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bayergroup-my.sharepoint.com/personal/carlos_vieiraevieira_bayer_com/Documents/Projects/RShinyapp/data/"/>
    </mc:Choice>
  </mc:AlternateContent>
  <xr:revisionPtr revIDLastSave="10800" documentId="13_ncr:1_{AF82915B-6A8D-4FB2-8891-BA809A89A227}" xr6:coauthVersionLast="47" xr6:coauthVersionMax="47" xr10:uidLastSave="{943004C7-4B2A-46C8-AC96-E7723B0DD1FE}"/>
  <bookViews>
    <workbookView xWindow="-19310" yWindow="5090" windowWidth="19420" windowHeight="10300" activeTab="1" xr2:uid="{B05586BD-EABE-4186-A298-AD4619624E88}"/>
  </bookViews>
  <sheets>
    <sheet name="Analysis" sheetId="2" r:id="rId1"/>
    <sheet name="base scenario" sheetId="3" r:id="rId2"/>
    <sheet name="low return" sheetId="5" r:id="rId3"/>
    <sheet name="high return" sheetId="6" r:id="rId4"/>
    <sheet name="low property growth" sheetId="7" r:id="rId5"/>
    <sheet name="high property growth" sheetId="8" r:id="rId6"/>
    <sheet name="low interest rate" sheetId="9" r:id="rId7"/>
    <sheet name="high interest rate" sheetId="10" r:id="rId8"/>
    <sheet name="low property value" sheetId="11" r:id="rId9"/>
    <sheet name="high property value" sheetId="12"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3" l="1"/>
  <c r="AR2" i="3"/>
  <c r="AR3" i="3"/>
  <c r="ED39" i="3"/>
  <c r="EK39" i="3" s="1"/>
  <c r="A37" i="3"/>
  <c r="FQ2" i="3"/>
  <c r="FS2" i="3"/>
  <c r="FT2" i="3"/>
  <c r="HS2" i="3"/>
  <c r="BR2" i="3"/>
  <c r="C28" i="2"/>
  <c r="DJ2" i="3"/>
  <c r="DQ2" i="3"/>
  <c r="DQ3" i="3"/>
  <c r="DB2" i="3"/>
  <c r="DC2" i="3"/>
  <c r="DE2" i="3"/>
  <c r="DI2" i="3"/>
  <c r="DD2" i="3" s="1"/>
  <c r="DT2" i="3" s="1"/>
  <c r="DI3" i="3"/>
  <c r="CP37" i="3"/>
  <c r="CP38" i="3"/>
  <c r="CP39" i="3"/>
  <c r="CP40" i="3"/>
  <c r="CP41" i="3"/>
  <c r="CP42" i="3"/>
  <c r="CP43" i="3"/>
  <c r="CP44" i="3"/>
  <c r="CP45" i="3"/>
  <c r="CP46" i="3"/>
  <c r="CP47" i="3"/>
  <c r="CP48" i="3"/>
  <c r="CP49" i="3"/>
  <c r="CP50" i="3"/>
  <c r="CP51" i="3"/>
  <c r="CP52" i="3"/>
  <c r="CO2" i="3"/>
  <c r="CN2" i="3"/>
  <c r="CN3" i="3"/>
  <c r="CO37" i="3"/>
  <c r="CO38" i="3"/>
  <c r="CO39" i="3"/>
  <c r="CO40" i="3"/>
  <c r="CO41" i="3"/>
  <c r="CO42" i="3"/>
  <c r="CO43" i="3"/>
  <c r="CO44" i="3"/>
  <c r="CO45" i="3"/>
  <c r="CO46" i="3"/>
  <c r="CO47" i="3"/>
  <c r="CO48" i="3"/>
  <c r="CO49" i="3"/>
  <c r="CO50" i="3"/>
  <c r="CO51" i="3"/>
  <c r="CO52" i="3"/>
  <c r="CT3" i="3"/>
  <c r="CM3" i="3"/>
  <c r="CK2" i="3"/>
  <c r="CM2" i="3" s="1"/>
  <c r="CP2" i="3" s="1"/>
  <c r="CQ2" i="3" s="1"/>
  <c r="R3" i="3"/>
  <c r="C5" i="2"/>
  <c r="O2" i="3"/>
  <c r="P2" i="3"/>
  <c r="B16" i="2"/>
  <c r="B65" i="2"/>
  <c r="B69" i="2"/>
  <c r="B72" i="2"/>
  <c r="B75" i="2"/>
  <c r="B172" i="2" s="1"/>
  <c r="FX2" i="7" s="1"/>
  <c r="B90" i="2"/>
  <c r="B95" i="2"/>
  <c r="B97" i="2" s="1"/>
  <c r="CK2" i="11" s="1"/>
  <c r="B102" i="2"/>
  <c r="B109" i="2"/>
  <c r="B112" i="2"/>
  <c r="B114" i="2"/>
  <c r="B136" i="2"/>
  <c r="B139" i="2"/>
  <c r="B154" i="2"/>
  <c r="B169" i="2" s="1"/>
  <c r="B160" i="2"/>
  <c r="B166" i="2"/>
  <c r="B174" i="2"/>
  <c r="C3" i="2"/>
  <c r="C129" i="2"/>
  <c r="C90" i="2"/>
  <c r="C174" i="2" s="1"/>
  <c r="C130" i="2"/>
  <c r="EF51" i="12" s="1"/>
  <c r="EF52" i="12"/>
  <c r="EE52" i="12"/>
  <c r="ED52" i="12"/>
  <c r="EK52" i="12" s="1"/>
  <c r="EE51" i="12"/>
  <c r="ED50" i="12"/>
  <c r="EK50" i="12" s="1"/>
  <c r="EF49" i="12"/>
  <c r="EE49" i="12"/>
  <c r="EF48" i="12"/>
  <c r="ED48" i="12"/>
  <c r="EK48" i="12" s="1"/>
  <c r="EE47" i="12"/>
  <c r="EF46" i="12"/>
  <c r="ED46" i="12"/>
  <c r="EK46" i="12" s="1"/>
  <c r="EE44" i="12"/>
  <c r="ED44" i="12"/>
  <c r="EK44" i="12" s="1"/>
  <c r="EE43" i="12"/>
  <c r="EF42" i="12"/>
  <c r="EE42" i="12"/>
  <c r="ED42" i="12"/>
  <c r="EK42" i="12" s="1"/>
  <c r="EF41" i="12"/>
  <c r="EE41" i="12"/>
  <c r="EF40" i="12"/>
  <c r="EE39" i="12"/>
  <c r="EF38" i="12"/>
  <c r="EF37" i="12"/>
  <c r="EJ36" i="12"/>
  <c r="EH36" i="12"/>
  <c r="EG36" i="12"/>
  <c r="EE36" i="12"/>
  <c r="EI35" i="12"/>
  <c r="EH35" i="12"/>
  <c r="EG35" i="12"/>
  <c r="EF35" i="12"/>
  <c r="ED35" i="12"/>
  <c r="EK35" i="12" s="1"/>
  <c r="EI34" i="12"/>
  <c r="EH34" i="12"/>
  <c r="EF34" i="12"/>
  <c r="EJ33" i="12"/>
  <c r="EG33" i="12"/>
  <c r="EE33" i="12"/>
  <c r="ED33" i="12"/>
  <c r="EK33" i="12" s="1"/>
  <c r="EI32" i="12"/>
  <c r="EG32" i="12"/>
  <c r="EF32" i="12"/>
  <c r="EE32" i="12"/>
  <c r="ED32" i="12"/>
  <c r="EK32" i="12" s="1"/>
  <c r="EJ31" i="12"/>
  <c r="EH31" i="12"/>
  <c r="EE31" i="12"/>
  <c r="ED31" i="12"/>
  <c r="EK31" i="12" s="1"/>
  <c r="EJ30" i="12"/>
  <c r="EG30" i="12"/>
  <c r="EE30" i="12"/>
  <c r="EJ29" i="12"/>
  <c r="EI29" i="12"/>
  <c r="EH29" i="12"/>
  <c r="EF29" i="12"/>
  <c r="EJ28" i="12"/>
  <c r="EI28" i="12"/>
  <c r="EH28" i="12"/>
  <c r="EG28" i="12"/>
  <c r="EE28" i="12"/>
  <c r="EJ27" i="12"/>
  <c r="EI27" i="12"/>
  <c r="EH27" i="12"/>
  <c r="EG27" i="12"/>
  <c r="EF27" i="12"/>
  <c r="ED27" i="12"/>
  <c r="EK27" i="12" s="1"/>
  <c r="EH26" i="12"/>
  <c r="EG26" i="12"/>
  <c r="EF26" i="12"/>
  <c r="EE26" i="12"/>
  <c r="EJ25" i="12"/>
  <c r="EH25" i="12"/>
  <c r="EG25" i="12"/>
  <c r="EF25" i="12"/>
  <c r="EE25" i="12"/>
  <c r="ED25" i="12"/>
  <c r="EK25" i="12" s="1"/>
  <c r="EI24" i="12"/>
  <c r="EF24" i="12"/>
  <c r="EE24" i="12"/>
  <c r="ED24" i="12"/>
  <c r="EK24" i="12" s="1"/>
  <c r="EJ23" i="12"/>
  <c r="EH23" i="12"/>
  <c r="EF23" i="12"/>
  <c r="EE23" i="12"/>
  <c r="ED23" i="12"/>
  <c r="EK23" i="12" s="1"/>
  <c r="EJ22" i="12"/>
  <c r="EI22" i="12"/>
  <c r="EG22" i="12"/>
  <c r="ED22" i="12"/>
  <c r="EK22" i="12" s="1"/>
  <c r="EJ21" i="12"/>
  <c r="EI21" i="12"/>
  <c r="EH21" i="12"/>
  <c r="EF21" i="12"/>
  <c r="ED21" i="12"/>
  <c r="EK21" i="12" s="1"/>
  <c r="EJ20" i="12"/>
  <c r="EI20" i="12"/>
  <c r="EH20" i="12"/>
  <c r="EG20" i="12"/>
  <c r="EE20" i="12"/>
  <c r="EI19" i="12"/>
  <c r="EH19" i="12"/>
  <c r="EG19" i="12"/>
  <c r="EF19" i="12"/>
  <c r="ED19" i="12"/>
  <c r="EK19" i="12" s="1"/>
  <c r="EI18" i="12"/>
  <c r="EH18" i="12"/>
  <c r="EG18" i="12"/>
  <c r="EF18" i="12"/>
  <c r="EE18" i="12"/>
  <c r="EJ17" i="12"/>
  <c r="EG17" i="12"/>
  <c r="EF17" i="12"/>
  <c r="EE17" i="12"/>
  <c r="ED17" i="12"/>
  <c r="EK17" i="12" s="1"/>
  <c r="EI16" i="12"/>
  <c r="EG16" i="12"/>
  <c r="EF16" i="12"/>
  <c r="EE16" i="12"/>
  <c r="ED16" i="12"/>
  <c r="EK16" i="12" s="1"/>
  <c r="EJ15" i="12"/>
  <c r="EH15" i="12"/>
  <c r="EE15" i="12"/>
  <c r="ED15" i="12"/>
  <c r="EK15" i="12" s="1"/>
  <c r="EJ14" i="12"/>
  <c r="EI14" i="12"/>
  <c r="EG14" i="12"/>
  <c r="EE14" i="12"/>
  <c r="ED14" i="12"/>
  <c r="EK14" i="12" s="1"/>
  <c r="EJ13" i="12"/>
  <c r="EI13" i="12"/>
  <c r="EH13" i="12"/>
  <c r="EF13" i="12"/>
  <c r="EJ12" i="12"/>
  <c r="EI12" i="12"/>
  <c r="EH12" i="12"/>
  <c r="EG12" i="12"/>
  <c r="EE12" i="12"/>
  <c r="EJ11" i="12"/>
  <c r="EI11" i="12"/>
  <c r="EH11" i="12"/>
  <c r="EG11" i="12"/>
  <c r="EF11" i="12"/>
  <c r="ED11" i="12"/>
  <c r="EK11" i="12" s="1"/>
  <c r="EH10" i="12"/>
  <c r="EG10" i="12"/>
  <c r="EF10" i="12"/>
  <c r="EE10" i="12"/>
  <c r="EJ9" i="12"/>
  <c r="EH9" i="12"/>
  <c r="EG9" i="12"/>
  <c r="EF9" i="12"/>
  <c r="EE9" i="12"/>
  <c r="ED9" i="12"/>
  <c r="EK9" i="12" s="1"/>
  <c r="EI8" i="12"/>
  <c r="EF8" i="12"/>
  <c r="EE8" i="12"/>
  <c r="ED8" i="12"/>
  <c r="EK8" i="12" s="1"/>
  <c r="EJ7" i="12"/>
  <c r="EH7" i="12"/>
  <c r="EF7" i="12"/>
  <c r="EE7" i="12"/>
  <c r="ED7" i="12"/>
  <c r="EK7" i="12" s="1"/>
  <c r="EJ6" i="12"/>
  <c r="EI6" i="12"/>
  <c r="EG6" i="12"/>
  <c r="ED6" i="12"/>
  <c r="EK6" i="12" s="1"/>
  <c r="EJ5" i="12"/>
  <c r="EI5" i="12"/>
  <c r="EH5" i="12"/>
  <c r="EF5" i="12"/>
  <c r="ED5" i="12"/>
  <c r="EK5" i="12" s="1"/>
  <c r="EJ4" i="12"/>
  <c r="EI4" i="12"/>
  <c r="EH4" i="12"/>
  <c r="EG4" i="12"/>
  <c r="EE4" i="12"/>
  <c r="EI3" i="12"/>
  <c r="EH3" i="12"/>
  <c r="EG3" i="12"/>
  <c r="EF3" i="12"/>
  <c r="ED3" i="12"/>
  <c r="EK3" i="12" s="1"/>
  <c r="EI2" i="12"/>
  <c r="EH2" i="12"/>
  <c r="EG2" i="12"/>
  <c r="EF2" i="12"/>
  <c r="EE2" i="12"/>
  <c r="EF52" i="11"/>
  <c r="EF51" i="11"/>
  <c r="EE51" i="11"/>
  <c r="ED51" i="11"/>
  <c r="EK51" i="11" s="1"/>
  <c r="EF50" i="11"/>
  <c r="ED50" i="11"/>
  <c r="EK50" i="11" s="1"/>
  <c r="EE49" i="11"/>
  <c r="ED49" i="11"/>
  <c r="EK49" i="11" s="1"/>
  <c r="EF48" i="11"/>
  <c r="EE48" i="11"/>
  <c r="ED48" i="11"/>
  <c r="EK48" i="11" s="1"/>
  <c r="EE47" i="11"/>
  <c r="EE46" i="11"/>
  <c r="ED46" i="11"/>
  <c r="EK46" i="11" s="1"/>
  <c r="EF45" i="11"/>
  <c r="EE45" i="11"/>
  <c r="EF44" i="11"/>
  <c r="ED44" i="11"/>
  <c r="EK44" i="11" s="1"/>
  <c r="EF43" i="11"/>
  <c r="EE43" i="11"/>
  <c r="ED43" i="11"/>
  <c r="EK43" i="11" s="1"/>
  <c r="EF42" i="11"/>
  <c r="ED42" i="11"/>
  <c r="EK42" i="11" s="1"/>
  <c r="ED41" i="11"/>
  <c r="EK41" i="11" s="1"/>
  <c r="EF40" i="11"/>
  <c r="EE40" i="11"/>
  <c r="ED40" i="11"/>
  <c r="EK40" i="11" s="1"/>
  <c r="EE39" i="11"/>
  <c r="EF38" i="11"/>
  <c r="EE38" i="11"/>
  <c r="ED38" i="11"/>
  <c r="EK38" i="11" s="1"/>
  <c r="EF37" i="11"/>
  <c r="EI36" i="11"/>
  <c r="EF36" i="11"/>
  <c r="EE36" i="11"/>
  <c r="ED36" i="11"/>
  <c r="EK36" i="11" s="1"/>
  <c r="EJ35" i="11"/>
  <c r="EH35" i="11"/>
  <c r="EF35" i="11"/>
  <c r="EE35" i="11"/>
  <c r="ED35" i="11"/>
  <c r="EK35" i="11" s="1"/>
  <c r="EJ34" i="11"/>
  <c r="EI34" i="11"/>
  <c r="EG34" i="11"/>
  <c r="ED34" i="11"/>
  <c r="EK34" i="11" s="1"/>
  <c r="EJ33" i="11"/>
  <c r="EI33" i="11"/>
  <c r="EH33" i="11"/>
  <c r="EF33" i="11"/>
  <c r="ED33" i="11"/>
  <c r="EK33" i="11" s="1"/>
  <c r="EJ32" i="11"/>
  <c r="EI32" i="11"/>
  <c r="EH32" i="11"/>
  <c r="EG32" i="11"/>
  <c r="EE32" i="11"/>
  <c r="EI31" i="11"/>
  <c r="EH31" i="11"/>
  <c r="EG31" i="11"/>
  <c r="EF31" i="11"/>
  <c r="ED31" i="11"/>
  <c r="EK31" i="11" s="1"/>
  <c r="EI30" i="11"/>
  <c r="EH30" i="11"/>
  <c r="EG30" i="11"/>
  <c r="EF30" i="11"/>
  <c r="EE30" i="11"/>
  <c r="EJ29" i="11"/>
  <c r="EG29" i="11"/>
  <c r="EF29" i="11"/>
  <c r="EE29" i="11"/>
  <c r="ED29" i="11"/>
  <c r="EK29" i="11" s="1"/>
  <c r="EI28" i="11"/>
  <c r="EG28" i="11"/>
  <c r="EF28" i="11"/>
  <c r="EE28" i="11"/>
  <c r="ED28" i="11"/>
  <c r="EK28" i="11" s="1"/>
  <c r="EJ27" i="11"/>
  <c r="EH27" i="11"/>
  <c r="EE27" i="11"/>
  <c r="ED27" i="11"/>
  <c r="EK27" i="11" s="1"/>
  <c r="EJ26" i="11"/>
  <c r="EI26" i="11"/>
  <c r="EG26" i="11"/>
  <c r="EE26" i="11"/>
  <c r="ED26" i="11"/>
  <c r="EK26" i="11" s="1"/>
  <c r="EJ25" i="11"/>
  <c r="EI25" i="11"/>
  <c r="EH25" i="11"/>
  <c r="EF25" i="11"/>
  <c r="EJ24" i="11"/>
  <c r="EI24" i="11"/>
  <c r="EH24" i="11"/>
  <c r="EG24" i="11"/>
  <c r="EE24" i="11"/>
  <c r="EJ23" i="11"/>
  <c r="EI23" i="11"/>
  <c r="EH23" i="11"/>
  <c r="EG23" i="11"/>
  <c r="EF23" i="11"/>
  <c r="ED23" i="11"/>
  <c r="EK23" i="11" s="1"/>
  <c r="EH22" i="11"/>
  <c r="EG22" i="11"/>
  <c r="EF22" i="11"/>
  <c r="EE22" i="11"/>
  <c r="EJ21" i="11"/>
  <c r="EH21" i="11"/>
  <c r="EG21" i="11"/>
  <c r="EF21" i="11"/>
  <c r="EE21" i="11"/>
  <c r="ED21" i="11"/>
  <c r="EK21" i="11" s="1"/>
  <c r="EI20" i="11"/>
  <c r="EF20" i="11"/>
  <c r="EE20" i="11"/>
  <c r="ED20" i="11"/>
  <c r="EK20" i="11" s="1"/>
  <c r="EJ19" i="11"/>
  <c r="EH19" i="11"/>
  <c r="EF19" i="11"/>
  <c r="EE19" i="11"/>
  <c r="ED19" i="11"/>
  <c r="EK19" i="11" s="1"/>
  <c r="EJ18" i="11"/>
  <c r="EI18" i="11"/>
  <c r="EG18" i="11"/>
  <c r="ED18" i="11"/>
  <c r="EK18" i="11" s="1"/>
  <c r="EJ17" i="11"/>
  <c r="EI17" i="11"/>
  <c r="EH17" i="11"/>
  <c r="EF17" i="11"/>
  <c r="ED17" i="11"/>
  <c r="EK17" i="11" s="1"/>
  <c r="EJ16" i="11"/>
  <c r="EI16" i="11"/>
  <c r="EH16" i="11"/>
  <c r="EG16" i="11"/>
  <c r="EE16" i="11"/>
  <c r="EI15" i="11"/>
  <c r="EH15" i="11"/>
  <c r="EG15" i="11"/>
  <c r="EF15" i="11"/>
  <c r="ED15" i="11"/>
  <c r="EK15" i="11" s="1"/>
  <c r="EI14" i="11"/>
  <c r="EH14" i="11"/>
  <c r="EG14" i="11"/>
  <c r="EF14" i="11"/>
  <c r="EE14" i="11"/>
  <c r="EJ13" i="11"/>
  <c r="EG13" i="11"/>
  <c r="EF13" i="11"/>
  <c r="EE13" i="11"/>
  <c r="ED13" i="11"/>
  <c r="EK13" i="11" s="1"/>
  <c r="EI12" i="11"/>
  <c r="EG12" i="11"/>
  <c r="EF12" i="11"/>
  <c r="EE12" i="11"/>
  <c r="ED12" i="11"/>
  <c r="EK12" i="11" s="1"/>
  <c r="EJ11" i="11"/>
  <c r="EH11" i="11"/>
  <c r="EE11" i="11"/>
  <c r="ED11" i="11"/>
  <c r="EK11" i="11" s="1"/>
  <c r="EJ10" i="11"/>
  <c r="EI10" i="11"/>
  <c r="EG10" i="11"/>
  <c r="EE10" i="11"/>
  <c r="ED10" i="11"/>
  <c r="EK10" i="11" s="1"/>
  <c r="EJ9" i="11"/>
  <c r="EI9" i="11"/>
  <c r="EH9" i="11"/>
  <c r="EF9" i="11"/>
  <c r="EJ8" i="11"/>
  <c r="EI8" i="11"/>
  <c r="EH8" i="11"/>
  <c r="EG8" i="11"/>
  <c r="EE8" i="11"/>
  <c r="EJ7" i="11"/>
  <c r="EI7" i="11"/>
  <c r="EH7" i="11"/>
  <c r="EG7" i="11"/>
  <c r="EF7" i="11"/>
  <c r="ED7" i="11"/>
  <c r="EK7" i="11" s="1"/>
  <c r="EH6" i="11"/>
  <c r="EG6" i="11"/>
  <c r="EF6" i="11"/>
  <c r="EE6" i="11"/>
  <c r="EJ5" i="11"/>
  <c r="EH5" i="11"/>
  <c r="EG5" i="11"/>
  <c r="EF5" i="11"/>
  <c r="EE5" i="11"/>
  <c r="ED5" i="11"/>
  <c r="EK5" i="11" s="1"/>
  <c r="EI4" i="11"/>
  <c r="EF4" i="11"/>
  <c r="EE4" i="11"/>
  <c r="ED4" i="11"/>
  <c r="EK4" i="11" s="1"/>
  <c r="EJ3" i="11"/>
  <c r="EH3" i="11"/>
  <c r="EF3" i="11"/>
  <c r="EE3" i="11"/>
  <c r="ED3" i="11"/>
  <c r="EK3" i="11" s="1"/>
  <c r="EJ2" i="11"/>
  <c r="EI2" i="11"/>
  <c r="EG2" i="11"/>
  <c r="ED2" i="11"/>
  <c r="EK2" i="11" s="1"/>
  <c r="EI3" i="10"/>
  <c r="EI4" i="10"/>
  <c r="EI5" i="10"/>
  <c r="EI7" i="10"/>
  <c r="EI9" i="10"/>
  <c r="EI10" i="10"/>
  <c r="EI11" i="10"/>
  <c r="EI12" i="10"/>
  <c r="EI13" i="10"/>
  <c r="EI15" i="10"/>
  <c r="EI18" i="10"/>
  <c r="EI19" i="10"/>
  <c r="EI20" i="10"/>
  <c r="EI21" i="10"/>
  <c r="EI23" i="10"/>
  <c r="EI25" i="10"/>
  <c r="EI26" i="10"/>
  <c r="EI27" i="10"/>
  <c r="EI28" i="10"/>
  <c r="EI29" i="10"/>
  <c r="EI31" i="10"/>
  <c r="EI34" i="10"/>
  <c r="EI35" i="10"/>
  <c r="EI36" i="10"/>
  <c r="EF52" i="10"/>
  <c r="ED52" i="10"/>
  <c r="EK52" i="10" s="1"/>
  <c r="EF51" i="10"/>
  <c r="EE51" i="10"/>
  <c r="ED51" i="10"/>
  <c r="EK51" i="10" s="1"/>
  <c r="EF50" i="10"/>
  <c r="ED50" i="10"/>
  <c r="EK50" i="10" s="1"/>
  <c r="ED49" i="10"/>
  <c r="EK49" i="10" s="1"/>
  <c r="EF48" i="10"/>
  <c r="EE48" i="10"/>
  <c r="ED48" i="10"/>
  <c r="EK48" i="10" s="1"/>
  <c r="EE47" i="10"/>
  <c r="EF46" i="10"/>
  <c r="EE46" i="10"/>
  <c r="ED46" i="10"/>
  <c r="EK46" i="10" s="1"/>
  <c r="EF45" i="10"/>
  <c r="EE45" i="10"/>
  <c r="EF44" i="10"/>
  <c r="EF43" i="10"/>
  <c r="EE43" i="10"/>
  <c r="ED43" i="10"/>
  <c r="EK43" i="10" s="1"/>
  <c r="EF42" i="10"/>
  <c r="ED42" i="10"/>
  <c r="EK42" i="10" s="1"/>
  <c r="EE41" i="10"/>
  <c r="ED41" i="10"/>
  <c r="EK41" i="10" s="1"/>
  <c r="EF40" i="10"/>
  <c r="EE40" i="10"/>
  <c r="ED40" i="10"/>
  <c r="EK40" i="10" s="1"/>
  <c r="EE39" i="10"/>
  <c r="EE38" i="10"/>
  <c r="ED38" i="10"/>
  <c r="EK38" i="10" s="1"/>
  <c r="EF37" i="10"/>
  <c r="EJ36" i="10"/>
  <c r="EG36" i="10"/>
  <c r="EE36" i="10"/>
  <c r="ED36" i="10"/>
  <c r="EK36" i="10" s="1"/>
  <c r="EJ35" i="10"/>
  <c r="EH35" i="10"/>
  <c r="EG35" i="10"/>
  <c r="EE35" i="10"/>
  <c r="EH34" i="10"/>
  <c r="EG34" i="10"/>
  <c r="EF34" i="10"/>
  <c r="EE34" i="10"/>
  <c r="EJ33" i="10"/>
  <c r="EG33" i="10"/>
  <c r="EF33" i="10"/>
  <c r="EE33" i="10"/>
  <c r="ED33" i="10"/>
  <c r="EK33" i="10" s="1"/>
  <c r="EJ32" i="10"/>
  <c r="EG32" i="10"/>
  <c r="ED32" i="10"/>
  <c r="EK32" i="10" s="1"/>
  <c r="EJ31" i="10"/>
  <c r="EH31" i="10"/>
  <c r="EG31" i="10"/>
  <c r="EE31" i="10"/>
  <c r="EJ30" i="10"/>
  <c r="EH30" i="10"/>
  <c r="EG30" i="10"/>
  <c r="EF30" i="10"/>
  <c r="EE30" i="10"/>
  <c r="EJ29" i="10"/>
  <c r="EF29" i="10"/>
  <c r="EE29" i="10"/>
  <c r="ED29" i="10"/>
  <c r="EK29" i="10" s="1"/>
  <c r="EJ28" i="10"/>
  <c r="EG28" i="10"/>
  <c r="EE28" i="10"/>
  <c r="ED28" i="10"/>
  <c r="EK28" i="10" s="1"/>
  <c r="EJ27" i="10"/>
  <c r="EH27" i="10"/>
  <c r="EG27" i="10"/>
  <c r="EE27" i="10"/>
  <c r="EH26" i="10"/>
  <c r="EG26" i="10"/>
  <c r="EF26" i="10"/>
  <c r="EE26" i="10"/>
  <c r="EJ25" i="10"/>
  <c r="EG25" i="10"/>
  <c r="EF25" i="10"/>
  <c r="EE25" i="10"/>
  <c r="ED25" i="10"/>
  <c r="EK25" i="10" s="1"/>
  <c r="EJ24" i="10"/>
  <c r="EG24" i="10"/>
  <c r="ED24" i="10"/>
  <c r="EK24" i="10" s="1"/>
  <c r="EJ23" i="10"/>
  <c r="EH23" i="10"/>
  <c r="EG23" i="10"/>
  <c r="EE23" i="10"/>
  <c r="EJ22" i="10"/>
  <c r="EH22" i="10"/>
  <c r="EG22" i="10"/>
  <c r="EF22" i="10"/>
  <c r="EE22" i="10"/>
  <c r="EJ21" i="10"/>
  <c r="EF21" i="10"/>
  <c r="EE21" i="10"/>
  <c r="ED21" i="10"/>
  <c r="EK21" i="10" s="1"/>
  <c r="EJ20" i="10"/>
  <c r="EG20" i="10"/>
  <c r="EE20" i="10"/>
  <c r="ED20" i="10"/>
  <c r="EK20" i="10" s="1"/>
  <c r="EJ19" i="10"/>
  <c r="EH19" i="10"/>
  <c r="EG19" i="10"/>
  <c r="EE19" i="10"/>
  <c r="EH18" i="10"/>
  <c r="EG18" i="10"/>
  <c r="EF18" i="10"/>
  <c r="EE18" i="10"/>
  <c r="EJ17" i="10"/>
  <c r="EG17" i="10"/>
  <c r="EF17" i="10"/>
  <c r="EE17" i="10"/>
  <c r="ED17" i="10"/>
  <c r="EK17" i="10" s="1"/>
  <c r="EJ16" i="10"/>
  <c r="EG16" i="10"/>
  <c r="ED16" i="10"/>
  <c r="EK16" i="10" s="1"/>
  <c r="EJ15" i="10"/>
  <c r="EH15" i="10"/>
  <c r="EG15" i="10"/>
  <c r="EE15" i="10"/>
  <c r="EJ14" i="10"/>
  <c r="EH14" i="10"/>
  <c r="EG14" i="10"/>
  <c r="EF14" i="10"/>
  <c r="EE14" i="10"/>
  <c r="EJ13" i="10"/>
  <c r="EF13" i="10"/>
  <c r="EE13" i="10"/>
  <c r="ED13" i="10"/>
  <c r="EK13" i="10" s="1"/>
  <c r="EJ12" i="10"/>
  <c r="EG12" i="10"/>
  <c r="EE12" i="10"/>
  <c r="ED12" i="10"/>
  <c r="EK12" i="10" s="1"/>
  <c r="EJ11" i="10"/>
  <c r="EH11" i="10"/>
  <c r="EG11" i="10"/>
  <c r="EE11" i="10"/>
  <c r="EH10" i="10"/>
  <c r="EG10" i="10"/>
  <c r="EF10" i="10"/>
  <c r="EE10" i="10"/>
  <c r="EJ9" i="10"/>
  <c r="EG9" i="10"/>
  <c r="EF9" i="10"/>
  <c r="EE9" i="10"/>
  <c r="ED9" i="10"/>
  <c r="EK9" i="10" s="1"/>
  <c r="EJ8" i="10"/>
  <c r="EG8" i="10"/>
  <c r="ED8" i="10"/>
  <c r="EK8" i="10" s="1"/>
  <c r="EJ7" i="10"/>
  <c r="EH7" i="10"/>
  <c r="EG7" i="10"/>
  <c r="EE7" i="10"/>
  <c r="EJ6" i="10"/>
  <c r="EH6" i="10"/>
  <c r="EG6" i="10"/>
  <c r="EF6" i="10"/>
  <c r="EE6" i="10"/>
  <c r="EJ5" i="10"/>
  <c r="EF5" i="10"/>
  <c r="EE5" i="10"/>
  <c r="ED5" i="10"/>
  <c r="EK5" i="10" s="1"/>
  <c r="EJ4" i="10"/>
  <c r="EG4" i="10"/>
  <c r="EE4" i="10"/>
  <c r="ED4" i="10"/>
  <c r="EK4" i="10" s="1"/>
  <c r="EJ3" i="10"/>
  <c r="EH3" i="10"/>
  <c r="EG3" i="10"/>
  <c r="EE3" i="10"/>
  <c r="EH2" i="10"/>
  <c r="EG2" i="10"/>
  <c r="EF2" i="10"/>
  <c r="EE2" i="10"/>
  <c r="EI3" i="9"/>
  <c r="EI5" i="9"/>
  <c r="EI6" i="9"/>
  <c r="EI7" i="9"/>
  <c r="EI8" i="9"/>
  <c r="EI9" i="9"/>
  <c r="EI11" i="9"/>
  <c r="EI14" i="9"/>
  <c r="EI15" i="9"/>
  <c r="EI16" i="9"/>
  <c r="EI17" i="9"/>
  <c r="EI19" i="9"/>
  <c r="EI21" i="9"/>
  <c r="EI22" i="9"/>
  <c r="EI23" i="9"/>
  <c r="EI24" i="9"/>
  <c r="EI25" i="9"/>
  <c r="EI27" i="9"/>
  <c r="EI30" i="9"/>
  <c r="EI31" i="9"/>
  <c r="EI32" i="9"/>
  <c r="EI33" i="9"/>
  <c r="EI35" i="9"/>
  <c r="EI2" i="9"/>
  <c r="EF52" i="9"/>
  <c r="EE52" i="9"/>
  <c r="ED52" i="9"/>
  <c r="EK52" i="9" s="1"/>
  <c r="EE51" i="9"/>
  <c r="EE50" i="9"/>
  <c r="ED50" i="9"/>
  <c r="EK50" i="9" s="1"/>
  <c r="EF49" i="9"/>
  <c r="EE49" i="9"/>
  <c r="ED49" i="9"/>
  <c r="EK49" i="9" s="1"/>
  <c r="EF48" i="9"/>
  <c r="ED48" i="9"/>
  <c r="EK48" i="9" s="1"/>
  <c r="EF47" i="9"/>
  <c r="EE47" i="9"/>
  <c r="ED47" i="9"/>
  <c r="EK47" i="9" s="1"/>
  <c r="EF46" i="9"/>
  <c r="ED46" i="9"/>
  <c r="EK46" i="9" s="1"/>
  <c r="ED45" i="9"/>
  <c r="EK45" i="9" s="1"/>
  <c r="EF44" i="9"/>
  <c r="EE44" i="9"/>
  <c r="ED44" i="9"/>
  <c r="EK44" i="9" s="1"/>
  <c r="EF43" i="9"/>
  <c r="EE43" i="9"/>
  <c r="EF42" i="9"/>
  <c r="EE42" i="9"/>
  <c r="ED42" i="9"/>
  <c r="EK42" i="9" s="1"/>
  <c r="EF41" i="9"/>
  <c r="EE41" i="9"/>
  <c r="EF40" i="9"/>
  <c r="EF39" i="9"/>
  <c r="EE39" i="9"/>
  <c r="ED39" i="9"/>
  <c r="EK39" i="9" s="1"/>
  <c r="EF38" i="9"/>
  <c r="EE38" i="9"/>
  <c r="ED38" i="9"/>
  <c r="EK38" i="9" s="1"/>
  <c r="EJ36" i="9"/>
  <c r="EH36" i="9"/>
  <c r="EG36" i="9"/>
  <c r="EF36" i="9"/>
  <c r="EE36" i="9"/>
  <c r="ED36" i="9"/>
  <c r="EK36" i="9" s="1"/>
  <c r="EJ35" i="9"/>
  <c r="EF35" i="9"/>
  <c r="EE35" i="9"/>
  <c r="ED35" i="9"/>
  <c r="EK35" i="9" s="1"/>
  <c r="EJ34" i="9"/>
  <c r="EH34" i="9"/>
  <c r="EG34" i="9"/>
  <c r="EE34" i="9"/>
  <c r="ED34" i="9"/>
  <c r="EK34" i="9" s="1"/>
  <c r="EJ33" i="9"/>
  <c r="EH33" i="9"/>
  <c r="EG33" i="9"/>
  <c r="EF33" i="9"/>
  <c r="EE33" i="9"/>
  <c r="EH32" i="9"/>
  <c r="EG32" i="9"/>
  <c r="EF32" i="9"/>
  <c r="EE32" i="9"/>
  <c r="ED32" i="9"/>
  <c r="EK32" i="9" s="1"/>
  <c r="EJ31" i="9"/>
  <c r="EH31" i="9"/>
  <c r="EG31" i="9"/>
  <c r="EF31" i="9"/>
  <c r="EE31" i="9"/>
  <c r="ED31" i="9"/>
  <c r="EK31" i="9" s="1"/>
  <c r="EJ30" i="9"/>
  <c r="EH30" i="9"/>
  <c r="EG30" i="9"/>
  <c r="ED30" i="9"/>
  <c r="EK30" i="9" s="1"/>
  <c r="EJ29" i="9"/>
  <c r="EH29" i="9"/>
  <c r="EG29" i="9"/>
  <c r="EF29" i="9"/>
  <c r="EE29" i="9"/>
  <c r="ED29" i="9"/>
  <c r="EK29" i="9" s="1"/>
  <c r="EJ28" i="9"/>
  <c r="EH28" i="9"/>
  <c r="EG28" i="9"/>
  <c r="EF28" i="9"/>
  <c r="EE28" i="9"/>
  <c r="ED28" i="9"/>
  <c r="EK28" i="9" s="1"/>
  <c r="EJ27" i="9"/>
  <c r="EF27" i="9"/>
  <c r="EE27" i="9"/>
  <c r="ED27" i="9"/>
  <c r="EK27" i="9" s="1"/>
  <c r="EJ26" i="9"/>
  <c r="EH26" i="9"/>
  <c r="EG26" i="9"/>
  <c r="EF26" i="9"/>
  <c r="EE26" i="9"/>
  <c r="ED26" i="9"/>
  <c r="EK26" i="9" s="1"/>
  <c r="EJ25" i="9"/>
  <c r="EH25" i="9"/>
  <c r="EG25" i="9"/>
  <c r="EF25" i="9"/>
  <c r="EE25" i="9"/>
  <c r="EH24" i="9"/>
  <c r="EG24" i="9"/>
  <c r="EF24" i="9"/>
  <c r="EE24" i="9"/>
  <c r="ED24" i="9"/>
  <c r="EK24" i="9" s="1"/>
  <c r="EJ23" i="9"/>
  <c r="EH23" i="9"/>
  <c r="EG23" i="9"/>
  <c r="EF23" i="9"/>
  <c r="EE23" i="9"/>
  <c r="ED23" i="9"/>
  <c r="EK23" i="9" s="1"/>
  <c r="EJ22" i="9"/>
  <c r="EH22" i="9"/>
  <c r="EG22" i="9"/>
  <c r="ED22" i="9"/>
  <c r="EK22" i="9" s="1"/>
  <c r="EJ21" i="9"/>
  <c r="EH21" i="9"/>
  <c r="EG21" i="9"/>
  <c r="EF21" i="9"/>
  <c r="EE21" i="9"/>
  <c r="ED21" i="9"/>
  <c r="EK21" i="9" s="1"/>
  <c r="EJ20" i="9"/>
  <c r="EH20" i="9"/>
  <c r="EG20" i="9"/>
  <c r="EF20" i="9"/>
  <c r="EE20" i="9"/>
  <c r="ED20" i="9"/>
  <c r="EK20" i="9" s="1"/>
  <c r="EJ19" i="9"/>
  <c r="EH19" i="9"/>
  <c r="EG19" i="9"/>
  <c r="EF19" i="9"/>
  <c r="EE19" i="9"/>
  <c r="ED19" i="9"/>
  <c r="EK19" i="9" s="1"/>
  <c r="EJ18" i="9"/>
  <c r="EH18" i="9"/>
  <c r="EG18" i="9"/>
  <c r="EF18" i="9"/>
  <c r="EE18" i="9"/>
  <c r="ED18" i="9"/>
  <c r="EK18" i="9" s="1"/>
  <c r="EJ17" i="9"/>
  <c r="EH17" i="9"/>
  <c r="EG17" i="9"/>
  <c r="EF17" i="9"/>
  <c r="EE17" i="9"/>
  <c r="ED17" i="9"/>
  <c r="EK17" i="9" s="1"/>
  <c r="EJ16" i="9"/>
  <c r="EH16" i="9"/>
  <c r="EG16" i="9"/>
  <c r="EF16" i="9"/>
  <c r="EE16" i="9"/>
  <c r="ED16" i="9"/>
  <c r="EK16" i="9" s="1"/>
  <c r="EJ15" i="9"/>
  <c r="EH15" i="9"/>
  <c r="EG15" i="9"/>
  <c r="EF15" i="9"/>
  <c r="EE15" i="9"/>
  <c r="ED15" i="9"/>
  <c r="EK15" i="9" s="1"/>
  <c r="EJ14" i="9"/>
  <c r="EH14" i="9"/>
  <c r="EG14" i="9"/>
  <c r="EF14" i="9"/>
  <c r="EE14" i="9"/>
  <c r="ED14" i="9"/>
  <c r="EK14" i="9" s="1"/>
  <c r="EJ13" i="9"/>
  <c r="EH13" i="9"/>
  <c r="EG13" i="9"/>
  <c r="EF13" i="9"/>
  <c r="EE13" i="9"/>
  <c r="ED13" i="9"/>
  <c r="EK13" i="9" s="1"/>
  <c r="EJ12" i="9"/>
  <c r="EH12" i="9"/>
  <c r="EG12" i="9"/>
  <c r="EF12" i="9"/>
  <c r="EE12" i="9"/>
  <c r="ED12" i="9"/>
  <c r="EK12" i="9" s="1"/>
  <c r="EJ11" i="9"/>
  <c r="EH11" i="9"/>
  <c r="EG11" i="9"/>
  <c r="EF11" i="9"/>
  <c r="EE11" i="9"/>
  <c r="ED11" i="9"/>
  <c r="EK11" i="9" s="1"/>
  <c r="EJ10" i="9"/>
  <c r="EH10" i="9"/>
  <c r="EG10" i="9"/>
  <c r="EF10" i="9"/>
  <c r="EE10" i="9"/>
  <c r="ED10" i="9"/>
  <c r="EK10" i="9" s="1"/>
  <c r="EJ9" i="9"/>
  <c r="EH9" i="9"/>
  <c r="EG9" i="9"/>
  <c r="EF9" i="9"/>
  <c r="EE9" i="9"/>
  <c r="ED9" i="9"/>
  <c r="EK9" i="9" s="1"/>
  <c r="EJ8" i="9"/>
  <c r="EH8" i="9"/>
  <c r="EG8" i="9"/>
  <c r="EF8" i="9"/>
  <c r="EE8" i="9"/>
  <c r="ED8" i="9"/>
  <c r="EK8" i="9" s="1"/>
  <c r="EJ7" i="9"/>
  <c r="EH7" i="9"/>
  <c r="EG7" i="9"/>
  <c r="EF7" i="9"/>
  <c r="EE7" i="9"/>
  <c r="ED7" i="9"/>
  <c r="EK7" i="9" s="1"/>
  <c r="EJ6" i="9"/>
  <c r="EH6" i="9"/>
  <c r="EG6" i="9"/>
  <c r="EF6" i="9"/>
  <c r="EE6" i="9"/>
  <c r="ED6" i="9"/>
  <c r="EK6" i="9" s="1"/>
  <c r="EJ5" i="9"/>
  <c r="EH5" i="9"/>
  <c r="EG5" i="9"/>
  <c r="EF5" i="9"/>
  <c r="EE5" i="9"/>
  <c r="ED5" i="9"/>
  <c r="EK5" i="9" s="1"/>
  <c r="EJ4" i="9"/>
  <c r="EH4" i="9"/>
  <c r="EG4" i="9"/>
  <c r="EF4" i="9"/>
  <c r="EE4" i="9"/>
  <c r="ED4" i="9"/>
  <c r="EK4" i="9" s="1"/>
  <c r="EJ3" i="9"/>
  <c r="EH3" i="9"/>
  <c r="EG3" i="9"/>
  <c r="EF3" i="9"/>
  <c r="EE3" i="9"/>
  <c r="ED3" i="9"/>
  <c r="EK3" i="9" s="1"/>
  <c r="EJ2" i="9"/>
  <c r="EH2" i="9"/>
  <c r="EG2" i="9"/>
  <c r="EF2" i="9"/>
  <c r="EE2" i="9"/>
  <c r="ED2" i="9"/>
  <c r="EK2" i="9" s="1"/>
  <c r="EF52" i="8"/>
  <c r="EE52" i="8"/>
  <c r="ED52" i="8"/>
  <c r="EK52" i="8" s="1"/>
  <c r="EF51" i="8"/>
  <c r="EE51" i="8"/>
  <c r="ED51" i="8"/>
  <c r="EK51" i="8" s="1"/>
  <c r="EF50" i="8"/>
  <c r="EE50" i="8"/>
  <c r="ED50" i="8"/>
  <c r="EK50" i="8" s="1"/>
  <c r="EF49" i="8"/>
  <c r="EE49" i="8"/>
  <c r="ED49" i="8"/>
  <c r="EK49" i="8" s="1"/>
  <c r="EF48" i="8"/>
  <c r="EE48" i="8"/>
  <c r="ED48" i="8"/>
  <c r="EK48" i="8" s="1"/>
  <c r="EF47" i="8"/>
  <c r="EE47" i="8"/>
  <c r="ED47" i="8"/>
  <c r="EK47" i="8" s="1"/>
  <c r="EF46" i="8"/>
  <c r="EE46" i="8"/>
  <c r="ED46" i="8"/>
  <c r="EK46" i="8" s="1"/>
  <c r="EF45" i="8"/>
  <c r="EE45" i="8"/>
  <c r="ED45" i="8"/>
  <c r="EK45" i="8" s="1"/>
  <c r="EF44" i="8"/>
  <c r="EE44" i="8"/>
  <c r="ED44" i="8"/>
  <c r="EK44" i="8" s="1"/>
  <c r="EF43" i="8"/>
  <c r="EE43" i="8"/>
  <c r="ED43" i="8"/>
  <c r="EK43" i="8" s="1"/>
  <c r="EF42" i="8"/>
  <c r="EE42" i="8"/>
  <c r="ED42" i="8"/>
  <c r="EK42" i="8" s="1"/>
  <c r="EF41" i="8"/>
  <c r="EE41" i="8"/>
  <c r="ED41" i="8"/>
  <c r="EK41" i="8" s="1"/>
  <c r="EF40" i="8"/>
  <c r="EE40" i="8"/>
  <c r="ED40" i="8"/>
  <c r="EK40" i="8" s="1"/>
  <c r="EF39" i="8"/>
  <c r="EE39" i="8"/>
  <c r="ED39" i="8"/>
  <c r="EK39" i="8" s="1"/>
  <c r="EF38" i="8"/>
  <c r="EE38" i="8"/>
  <c r="ED38" i="8"/>
  <c r="EK38" i="8" s="1"/>
  <c r="EF37" i="8"/>
  <c r="EJ36" i="8"/>
  <c r="EI36" i="8"/>
  <c r="EH36" i="8"/>
  <c r="EG36" i="8"/>
  <c r="EF36" i="8"/>
  <c r="EE36" i="8"/>
  <c r="ED36" i="8"/>
  <c r="EK36" i="8" s="1"/>
  <c r="EJ35" i="8"/>
  <c r="EI35" i="8"/>
  <c r="EH35" i="8"/>
  <c r="EG35" i="8"/>
  <c r="EF35" i="8"/>
  <c r="EE35" i="8"/>
  <c r="ED35" i="8"/>
  <c r="EK35" i="8" s="1"/>
  <c r="EJ34" i="8"/>
  <c r="EI34" i="8"/>
  <c r="EH34" i="8"/>
  <c r="EG34" i="8"/>
  <c r="EF34" i="8"/>
  <c r="EE34" i="8"/>
  <c r="ED34" i="8"/>
  <c r="EK34" i="8" s="1"/>
  <c r="EJ33" i="8"/>
  <c r="EI33" i="8"/>
  <c r="EH33" i="8"/>
  <c r="EG33" i="8"/>
  <c r="EF33" i="8"/>
  <c r="EE33" i="8"/>
  <c r="ED33" i="8"/>
  <c r="EK33" i="8" s="1"/>
  <c r="EJ32" i="8"/>
  <c r="EI32" i="8"/>
  <c r="EH32" i="8"/>
  <c r="EG32" i="8"/>
  <c r="EF32" i="8"/>
  <c r="EE32" i="8"/>
  <c r="ED32" i="8"/>
  <c r="EK32" i="8" s="1"/>
  <c r="EJ31" i="8"/>
  <c r="EI31" i="8"/>
  <c r="EH31" i="8"/>
  <c r="EG31" i="8"/>
  <c r="EF31" i="8"/>
  <c r="EE31" i="8"/>
  <c r="ED31" i="8"/>
  <c r="EK31" i="8" s="1"/>
  <c r="EJ30" i="8"/>
  <c r="EI30" i="8"/>
  <c r="EH30" i="8"/>
  <c r="EG30" i="8"/>
  <c r="EF30" i="8"/>
  <c r="EE30" i="8"/>
  <c r="ED30" i="8"/>
  <c r="EK30" i="8" s="1"/>
  <c r="EJ29" i="8"/>
  <c r="EI29" i="8"/>
  <c r="EH29" i="8"/>
  <c r="EG29" i="8"/>
  <c r="EF29" i="8"/>
  <c r="EE29" i="8"/>
  <c r="ED29" i="8"/>
  <c r="EK29" i="8" s="1"/>
  <c r="EJ28" i="8"/>
  <c r="EI28" i="8"/>
  <c r="EH28" i="8"/>
  <c r="EG28" i="8"/>
  <c r="EF28" i="8"/>
  <c r="EE28" i="8"/>
  <c r="ED28" i="8"/>
  <c r="EK28" i="8" s="1"/>
  <c r="EJ27" i="8"/>
  <c r="EI27" i="8"/>
  <c r="EH27" i="8"/>
  <c r="EG27" i="8"/>
  <c r="EF27" i="8"/>
  <c r="EE27" i="8"/>
  <c r="ED27" i="8"/>
  <c r="EK27" i="8" s="1"/>
  <c r="EJ26" i="8"/>
  <c r="EI26" i="8"/>
  <c r="EH26" i="8"/>
  <c r="EG26" i="8"/>
  <c r="EF26" i="8"/>
  <c r="EE26" i="8"/>
  <c r="ED26" i="8"/>
  <c r="EK26" i="8" s="1"/>
  <c r="EJ25" i="8"/>
  <c r="EI25" i="8"/>
  <c r="EH25" i="8"/>
  <c r="EG25" i="8"/>
  <c r="EF25" i="8"/>
  <c r="EE25" i="8"/>
  <c r="ED25" i="8"/>
  <c r="EK25" i="8" s="1"/>
  <c r="EJ24" i="8"/>
  <c r="EI24" i="8"/>
  <c r="EH24" i="8"/>
  <c r="EG24" i="8"/>
  <c r="EF24" i="8"/>
  <c r="EE24" i="8"/>
  <c r="ED24" i="8"/>
  <c r="EK24" i="8" s="1"/>
  <c r="EJ23" i="8"/>
  <c r="EI23" i="8"/>
  <c r="EH23" i="8"/>
  <c r="EG23" i="8"/>
  <c r="EF23" i="8"/>
  <c r="EE23" i="8"/>
  <c r="ED23" i="8"/>
  <c r="EK23" i="8" s="1"/>
  <c r="EJ22" i="8"/>
  <c r="EI22" i="8"/>
  <c r="EH22" i="8"/>
  <c r="EG22" i="8"/>
  <c r="EF22" i="8"/>
  <c r="EE22" i="8"/>
  <c r="ED22" i="8"/>
  <c r="EK22" i="8" s="1"/>
  <c r="EJ21" i="8"/>
  <c r="EI21" i="8"/>
  <c r="EH21" i="8"/>
  <c r="EG21" i="8"/>
  <c r="EF21" i="8"/>
  <c r="EE21" i="8"/>
  <c r="ED21" i="8"/>
  <c r="EK21" i="8" s="1"/>
  <c r="EJ20" i="8"/>
  <c r="EI20" i="8"/>
  <c r="EH20" i="8"/>
  <c r="EG20" i="8"/>
  <c r="EF20" i="8"/>
  <c r="EE20" i="8"/>
  <c r="ED20" i="8"/>
  <c r="EK20" i="8" s="1"/>
  <c r="EJ19" i="8"/>
  <c r="EI19" i="8"/>
  <c r="EH19" i="8"/>
  <c r="EG19" i="8"/>
  <c r="EF19" i="8"/>
  <c r="EE19" i="8"/>
  <c r="ED19" i="8"/>
  <c r="EK19" i="8" s="1"/>
  <c r="EJ18" i="8"/>
  <c r="EI18" i="8"/>
  <c r="EH18" i="8"/>
  <c r="EG18" i="8"/>
  <c r="EF18" i="8"/>
  <c r="EE18" i="8"/>
  <c r="ED18" i="8"/>
  <c r="EK18" i="8" s="1"/>
  <c r="EJ17" i="8"/>
  <c r="EI17" i="8"/>
  <c r="EH17" i="8"/>
  <c r="EG17" i="8"/>
  <c r="EF17" i="8"/>
  <c r="EE17" i="8"/>
  <c r="ED17" i="8"/>
  <c r="EK17" i="8" s="1"/>
  <c r="EJ16" i="8"/>
  <c r="EI16" i="8"/>
  <c r="EH16" i="8"/>
  <c r="EG16" i="8"/>
  <c r="EF16" i="8"/>
  <c r="EE16" i="8"/>
  <c r="ED16" i="8"/>
  <c r="EK16" i="8" s="1"/>
  <c r="EJ15" i="8"/>
  <c r="EI15" i="8"/>
  <c r="EH15" i="8"/>
  <c r="EG15" i="8"/>
  <c r="EF15" i="8"/>
  <c r="EE15" i="8"/>
  <c r="ED15" i="8"/>
  <c r="EK15" i="8" s="1"/>
  <c r="EJ14" i="8"/>
  <c r="EI14" i="8"/>
  <c r="EH14" i="8"/>
  <c r="EG14" i="8"/>
  <c r="EF14" i="8"/>
  <c r="EE14" i="8"/>
  <c r="ED14" i="8"/>
  <c r="EK14" i="8" s="1"/>
  <c r="EJ13" i="8"/>
  <c r="EI13" i="8"/>
  <c r="EH13" i="8"/>
  <c r="EG13" i="8"/>
  <c r="EF13" i="8"/>
  <c r="EE13" i="8"/>
  <c r="ED13" i="8"/>
  <c r="EK13" i="8" s="1"/>
  <c r="EJ12" i="8"/>
  <c r="EI12" i="8"/>
  <c r="EH12" i="8"/>
  <c r="EG12" i="8"/>
  <c r="EF12" i="8"/>
  <c r="EE12" i="8"/>
  <c r="ED12" i="8"/>
  <c r="EK12" i="8" s="1"/>
  <c r="EJ11" i="8"/>
  <c r="EI11" i="8"/>
  <c r="EH11" i="8"/>
  <c r="EG11" i="8"/>
  <c r="EF11" i="8"/>
  <c r="EE11" i="8"/>
  <c r="ED11" i="8"/>
  <c r="EK11" i="8" s="1"/>
  <c r="EJ10" i="8"/>
  <c r="EI10" i="8"/>
  <c r="EH10" i="8"/>
  <c r="EG10" i="8"/>
  <c r="EF10" i="8"/>
  <c r="EE10" i="8"/>
  <c r="ED10" i="8"/>
  <c r="EK10" i="8" s="1"/>
  <c r="EJ9" i="8"/>
  <c r="EI9" i="8"/>
  <c r="EH9" i="8"/>
  <c r="EG9" i="8"/>
  <c r="EF9" i="8"/>
  <c r="EE9" i="8"/>
  <c r="ED9" i="8"/>
  <c r="EK9" i="8" s="1"/>
  <c r="EJ8" i="8"/>
  <c r="EI8" i="8"/>
  <c r="EH8" i="8"/>
  <c r="EG8" i="8"/>
  <c r="EF8" i="8"/>
  <c r="EE8" i="8"/>
  <c r="ED8" i="8"/>
  <c r="EK8" i="8" s="1"/>
  <c r="EJ7" i="8"/>
  <c r="EI7" i="8"/>
  <c r="EH7" i="8"/>
  <c r="EG7" i="8"/>
  <c r="EF7" i="8"/>
  <c r="EE7" i="8"/>
  <c r="ED7" i="8"/>
  <c r="EK7" i="8" s="1"/>
  <c r="EJ6" i="8"/>
  <c r="EI6" i="8"/>
  <c r="EH6" i="8"/>
  <c r="EG6" i="8"/>
  <c r="EF6" i="8"/>
  <c r="EE6" i="8"/>
  <c r="ED6" i="8"/>
  <c r="EK6" i="8" s="1"/>
  <c r="EJ5" i="8"/>
  <c r="EI5" i="8"/>
  <c r="EH5" i="8"/>
  <c r="EG5" i="8"/>
  <c r="EF5" i="8"/>
  <c r="EE5" i="8"/>
  <c r="ED5" i="8"/>
  <c r="EK5" i="8" s="1"/>
  <c r="EJ4" i="8"/>
  <c r="EI4" i="8"/>
  <c r="EH4" i="8"/>
  <c r="EG4" i="8"/>
  <c r="EF4" i="8"/>
  <c r="EE4" i="8"/>
  <c r="ED4" i="8"/>
  <c r="EK4" i="8" s="1"/>
  <c r="EJ3" i="8"/>
  <c r="EI3" i="8"/>
  <c r="EH3" i="8"/>
  <c r="EG3" i="8"/>
  <c r="EF3" i="8"/>
  <c r="EE3" i="8"/>
  <c r="ED3" i="8"/>
  <c r="EK3" i="8" s="1"/>
  <c r="EJ2" i="8"/>
  <c r="EI2" i="8"/>
  <c r="EH2" i="8"/>
  <c r="EG2" i="8"/>
  <c r="EF2" i="8"/>
  <c r="EE2" i="8"/>
  <c r="ED2" i="8"/>
  <c r="EK2" i="8" s="1"/>
  <c r="EF52" i="6"/>
  <c r="EE52" i="6"/>
  <c r="ED52" i="6"/>
  <c r="EK52" i="6" s="1"/>
  <c r="EF51" i="6"/>
  <c r="EE51" i="6"/>
  <c r="ED51" i="6"/>
  <c r="EK51" i="6" s="1"/>
  <c r="EF50" i="6"/>
  <c r="EE50" i="6"/>
  <c r="ED50" i="6"/>
  <c r="EK50" i="6" s="1"/>
  <c r="EF49" i="6"/>
  <c r="EE49" i="6"/>
  <c r="ED49" i="6"/>
  <c r="EK49" i="6" s="1"/>
  <c r="EF48" i="6"/>
  <c r="EE48" i="6"/>
  <c r="ED48" i="6"/>
  <c r="EK48" i="6" s="1"/>
  <c r="EF47" i="6"/>
  <c r="EE47" i="6"/>
  <c r="ED47" i="6"/>
  <c r="EK47" i="6" s="1"/>
  <c r="EF46" i="6"/>
  <c r="EE46" i="6"/>
  <c r="ED46" i="6"/>
  <c r="EK46" i="6" s="1"/>
  <c r="EF45" i="6"/>
  <c r="EE45" i="6"/>
  <c r="ED45" i="6"/>
  <c r="EK45" i="6" s="1"/>
  <c r="EF44" i="6"/>
  <c r="EE44" i="6"/>
  <c r="ED44" i="6"/>
  <c r="EK44" i="6" s="1"/>
  <c r="EF43" i="6"/>
  <c r="EE43" i="6"/>
  <c r="ED43" i="6"/>
  <c r="EK43" i="6" s="1"/>
  <c r="EF42" i="6"/>
  <c r="EE42" i="6"/>
  <c r="ED42" i="6"/>
  <c r="EK42" i="6" s="1"/>
  <c r="EF41" i="6"/>
  <c r="EE41" i="6"/>
  <c r="ED41" i="6"/>
  <c r="EK41" i="6" s="1"/>
  <c r="EF40" i="6"/>
  <c r="EE40" i="6"/>
  <c r="ED40" i="6"/>
  <c r="EK40" i="6" s="1"/>
  <c r="EF39" i="6"/>
  <c r="EE39" i="6"/>
  <c r="ED39" i="6"/>
  <c r="EK39" i="6" s="1"/>
  <c r="EF38" i="6"/>
  <c r="EE38" i="6"/>
  <c r="ED38" i="6"/>
  <c r="EK38" i="6" s="1"/>
  <c r="EF37" i="6"/>
  <c r="EJ36" i="6"/>
  <c r="EI36" i="6"/>
  <c r="EH36" i="6"/>
  <c r="EG36" i="6"/>
  <c r="EF36" i="6"/>
  <c r="EE36" i="6"/>
  <c r="ED36" i="6"/>
  <c r="EK36" i="6" s="1"/>
  <c r="EJ35" i="6"/>
  <c r="EI35" i="6"/>
  <c r="EH35" i="6"/>
  <c r="EG35" i="6"/>
  <c r="EF35" i="6"/>
  <c r="EE35" i="6"/>
  <c r="ED35" i="6"/>
  <c r="EK35" i="6" s="1"/>
  <c r="EJ34" i="6"/>
  <c r="EI34" i="6"/>
  <c r="EH34" i="6"/>
  <c r="EG34" i="6"/>
  <c r="EF34" i="6"/>
  <c r="EE34" i="6"/>
  <c r="ED34" i="6"/>
  <c r="EK34" i="6" s="1"/>
  <c r="EJ33" i="6"/>
  <c r="EI33" i="6"/>
  <c r="EH33" i="6"/>
  <c r="EG33" i="6"/>
  <c r="EF33" i="6"/>
  <c r="EE33" i="6"/>
  <c r="ED33" i="6"/>
  <c r="EK33" i="6" s="1"/>
  <c r="EJ32" i="6"/>
  <c r="EI32" i="6"/>
  <c r="EH32" i="6"/>
  <c r="EG32" i="6"/>
  <c r="EF32" i="6"/>
  <c r="EE32" i="6"/>
  <c r="ED32" i="6"/>
  <c r="EK32" i="6" s="1"/>
  <c r="EJ31" i="6"/>
  <c r="EI31" i="6"/>
  <c r="EH31" i="6"/>
  <c r="EG31" i="6"/>
  <c r="EF31" i="6"/>
  <c r="EE31" i="6"/>
  <c r="ED31" i="6"/>
  <c r="EK31" i="6" s="1"/>
  <c r="EJ30" i="6"/>
  <c r="EI30" i="6"/>
  <c r="EH30" i="6"/>
  <c r="EG30" i="6"/>
  <c r="EF30" i="6"/>
  <c r="EE30" i="6"/>
  <c r="ED30" i="6"/>
  <c r="EK30" i="6" s="1"/>
  <c r="EJ29" i="6"/>
  <c r="EI29" i="6"/>
  <c r="EH29" i="6"/>
  <c r="EG29" i="6"/>
  <c r="EF29" i="6"/>
  <c r="EE29" i="6"/>
  <c r="ED29" i="6"/>
  <c r="EK29" i="6" s="1"/>
  <c r="EJ28" i="6"/>
  <c r="EI28" i="6"/>
  <c r="EH28" i="6"/>
  <c r="EG28" i="6"/>
  <c r="EF28" i="6"/>
  <c r="EE28" i="6"/>
  <c r="ED28" i="6"/>
  <c r="EK28" i="6" s="1"/>
  <c r="EJ27" i="6"/>
  <c r="EI27" i="6"/>
  <c r="EH27" i="6"/>
  <c r="EG27" i="6"/>
  <c r="EF27" i="6"/>
  <c r="EE27" i="6"/>
  <c r="ED27" i="6"/>
  <c r="EK27" i="6" s="1"/>
  <c r="EJ26" i="6"/>
  <c r="EI26" i="6"/>
  <c r="EH26" i="6"/>
  <c r="EG26" i="6"/>
  <c r="EF26" i="6"/>
  <c r="EE26" i="6"/>
  <c r="ED26" i="6"/>
  <c r="EK26" i="6" s="1"/>
  <c r="EJ25" i="6"/>
  <c r="EI25" i="6"/>
  <c r="EH25" i="6"/>
  <c r="EG25" i="6"/>
  <c r="EF25" i="6"/>
  <c r="EE25" i="6"/>
  <c r="ED25" i="6"/>
  <c r="EK25" i="6" s="1"/>
  <c r="EJ24" i="6"/>
  <c r="EI24" i="6"/>
  <c r="EH24" i="6"/>
  <c r="EG24" i="6"/>
  <c r="EF24" i="6"/>
  <c r="EE24" i="6"/>
  <c r="ED24" i="6"/>
  <c r="EK24" i="6" s="1"/>
  <c r="EJ23" i="6"/>
  <c r="EI23" i="6"/>
  <c r="EH23" i="6"/>
  <c r="EG23" i="6"/>
  <c r="EF23" i="6"/>
  <c r="EE23" i="6"/>
  <c r="ED23" i="6"/>
  <c r="EK23" i="6" s="1"/>
  <c r="EJ22" i="6"/>
  <c r="EI22" i="6"/>
  <c r="EH22" i="6"/>
  <c r="EG22" i="6"/>
  <c r="EF22" i="6"/>
  <c r="EE22" i="6"/>
  <c r="ED22" i="6"/>
  <c r="EK22" i="6" s="1"/>
  <c r="EJ21" i="6"/>
  <c r="EI21" i="6"/>
  <c r="EH21" i="6"/>
  <c r="EG21" i="6"/>
  <c r="EF21" i="6"/>
  <c r="EE21" i="6"/>
  <c r="ED21" i="6"/>
  <c r="EK21" i="6" s="1"/>
  <c r="EJ20" i="6"/>
  <c r="EI20" i="6"/>
  <c r="EH20" i="6"/>
  <c r="EG20" i="6"/>
  <c r="EF20" i="6"/>
  <c r="EE20" i="6"/>
  <c r="ED20" i="6"/>
  <c r="EK20" i="6" s="1"/>
  <c r="EJ19" i="6"/>
  <c r="EI19" i="6"/>
  <c r="EH19" i="6"/>
  <c r="EG19" i="6"/>
  <c r="EF19" i="6"/>
  <c r="EE19" i="6"/>
  <c r="ED19" i="6"/>
  <c r="EK19" i="6" s="1"/>
  <c r="EJ18" i="6"/>
  <c r="EI18" i="6"/>
  <c r="EH18" i="6"/>
  <c r="EG18" i="6"/>
  <c r="EF18" i="6"/>
  <c r="EE18" i="6"/>
  <c r="ED18" i="6"/>
  <c r="EK18" i="6" s="1"/>
  <c r="EJ17" i="6"/>
  <c r="EI17" i="6"/>
  <c r="EH17" i="6"/>
  <c r="EG17" i="6"/>
  <c r="EF17" i="6"/>
  <c r="EE17" i="6"/>
  <c r="ED17" i="6"/>
  <c r="EK17" i="6" s="1"/>
  <c r="EJ16" i="6"/>
  <c r="EI16" i="6"/>
  <c r="EH16" i="6"/>
  <c r="EG16" i="6"/>
  <c r="EF16" i="6"/>
  <c r="EE16" i="6"/>
  <c r="ED16" i="6"/>
  <c r="EK16" i="6" s="1"/>
  <c r="EJ15" i="6"/>
  <c r="EI15" i="6"/>
  <c r="EH15" i="6"/>
  <c r="EG15" i="6"/>
  <c r="EF15" i="6"/>
  <c r="EE15" i="6"/>
  <c r="ED15" i="6"/>
  <c r="EK15" i="6" s="1"/>
  <c r="EJ14" i="6"/>
  <c r="EI14" i="6"/>
  <c r="EH14" i="6"/>
  <c r="EG14" i="6"/>
  <c r="EF14" i="6"/>
  <c r="EE14" i="6"/>
  <c r="ED14" i="6"/>
  <c r="EK14" i="6" s="1"/>
  <c r="EJ13" i="6"/>
  <c r="EI13" i="6"/>
  <c r="EH13" i="6"/>
  <c r="EG13" i="6"/>
  <c r="EF13" i="6"/>
  <c r="EE13" i="6"/>
  <c r="ED13" i="6"/>
  <c r="EK13" i="6" s="1"/>
  <c r="EJ12" i="6"/>
  <c r="EI12" i="6"/>
  <c r="EH12" i="6"/>
  <c r="EG12" i="6"/>
  <c r="EF12" i="6"/>
  <c r="EE12" i="6"/>
  <c r="ED12" i="6"/>
  <c r="EK12" i="6" s="1"/>
  <c r="EJ11" i="6"/>
  <c r="EI11" i="6"/>
  <c r="EH11" i="6"/>
  <c r="EG11" i="6"/>
  <c r="EF11" i="6"/>
  <c r="EE11" i="6"/>
  <c r="ED11" i="6"/>
  <c r="EK11" i="6" s="1"/>
  <c r="EJ10" i="6"/>
  <c r="EI10" i="6"/>
  <c r="EH10" i="6"/>
  <c r="EG10" i="6"/>
  <c r="EF10" i="6"/>
  <c r="EE10" i="6"/>
  <c r="ED10" i="6"/>
  <c r="EK10" i="6" s="1"/>
  <c r="EJ9" i="6"/>
  <c r="EI9" i="6"/>
  <c r="EH9" i="6"/>
  <c r="EG9" i="6"/>
  <c r="EF9" i="6"/>
  <c r="EE9" i="6"/>
  <c r="ED9" i="6"/>
  <c r="EK9" i="6" s="1"/>
  <c r="EJ8" i="6"/>
  <c r="EI8" i="6"/>
  <c r="EH8" i="6"/>
  <c r="EG8" i="6"/>
  <c r="EF8" i="6"/>
  <c r="EE8" i="6"/>
  <c r="ED8" i="6"/>
  <c r="EK8" i="6" s="1"/>
  <c r="EJ7" i="6"/>
  <c r="EI7" i="6"/>
  <c r="EH7" i="6"/>
  <c r="EG7" i="6"/>
  <c r="EF7" i="6"/>
  <c r="EE7" i="6"/>
  <c r="ED7" i="6"/>
  <c r="EK7" i="6" s="1"/>
  <c r="EJ6" i="6"/>
  <c r="EI6" i="6"/>
  <c r="EH6" i="6"/>
  <c r="EG6" i="6"/>
  <c r="EF6" i="6"/>
  <c r="EE6" i="6"/>
  <c r="ED6" i="6"/>
  <c r="EK6" i="6" s="1"/>
  <c r="EJ5" i="6"/>
  <c r="EI5" i="6"/>
  <c r="EH5" i="6"/>
  <c r="EG5" i="6"/>
  <c r="EF5" i="6"/>
  <c r="EE5" i="6"/>
  <c r="ED5" i="6"/>
  <c r="EK5" i="6" s="1"/>
  <c r="EJ4" i="6"/>
  <c r="EI4" i="6"/>
  <c r="EH4" i="6"/>
  <c r="EG4" i="6"/>
  <c r="EF4" i="6"/>
  <c r="EE4" i="6"/>
  <c r="ED4" i="6"/>
  <c r="EK4" i="6" s="1"/>
  <c r="EJ3" i="6"/>
  <c r="EI3" i="6"/>
  <c r="EH3" i="6"/>
  <c r="EG3" i="6"/>
  <c r="EF3" i="6"/>
  <c r="EE3" i="6"/>
  <c r="ED3" i="6"/>
  <c r="EK3" i="6" s="1"/>
  <c r="EJ2" i="6"/>
  <c r="EI2" i="6"/>
  <c r="EH2" i="6"/>
  <c r="EG2" i="6"/>
  <c r="EF2" i="6"/>
  <c r="EE2" i="6"/>
  <c r="ED2" i="6"/>
  <c r="EK2" i="6" s="1"/>
  <c r="EF52" i="5"/>
  <c r="EE52" i="5"/>
  <c r="ED52" i="5"/>
  <c r="EK52" i="5" s="1"/>
  <c r="EF51" i="5"/>
  <c r="EE51" i="5"/>
  <c r="ED51" i="5"/>
  <c r="EK51" i="5" s="1"/>
  <c r="EF50" i="5"/>
  <c r="EE50" i="5"/>
  <c r="ED50" i="5"/>
  <c r="EK50" i="5" s="1"/>
  <c r="EF49" i="5"/>
  <c r="EE49" i="5"/>
  <c r="ED49" i="5"/>
  <c r="EK49" i="5" s="1"/>
  <c r="EF48" i="5"/>
  <c r="EE48" i="5"/>
  <c r="ED48" i="5"/>
  <c r="EK48" i="5" s="1"/>
  <c r="EF47" i="5"/>
  <c r="EE47" i="5"/>
  <c r="ED47" i="5"/>
  <c r="EK47" i="5" s="1"/>
  <c r="EF46" i="5"/>
  <c r="EE46" i="5"/>
  <c r="ED46" i="5"/>
  <c r="EK46" i="5" s="1"/>
  <c r="EF45" i="5"/>
  <c r="EE45" i="5"/>
  <c r="ED45" i="5"/>
  <c r="EK45" i="5" s="1"/>
  <c r="EF44" i="5"/>
  <c r="EE44" i="5"/>
  <c r="ED44" i="5"/>
  <c r="EK44" i="5" s="1"/>
  <c r="EF43" i="5"/>
  <c r="EE43" i="5"/>
  <c r="ED43" i="5"/>
  <c r="EK43" i="5" s="1"/>
  <c r="EF42" i="5"/>
  <c r="EE42" i="5"/>
  <c r="ED42" i="5"/>
  <c r="EK42" i="5" s="1"/>
  <c r="EF41" i="5"/>
  <c r="EE41" i="5"/>
  <c r="ED41" i="5"/>
  <c r="EK41" i="5" s="1"/>
  <c r="EF40" i="5"/>
  <c r="EE40" i="5"/>
  <c r="ED40" i="5"/>
  <c r="EK40" i="5" s="1"/>
  <c r="EF39" i="5"/>
  <c r="EE39" i="5"/>
  <c r="ED39" i="5"/>
  <c r="EK39" i="5" s="1"/>
  <c r="EF38" i="5"/>
  <c r="EE38" i="5"/>
  <c r="ED38" i="5"/>
  <c r="EK38" i="5" s="1"/>
  <c r="EF37" i="5"/>
  <c r="EJ36" i="5"/>
  <c r="EI36" i="5"/>
  <c r="EH36" i="5"/>
  <c r="EG36" i="5"/>
  <c r="EF36" i="5"/>
  <c r="EE36" i="5"/>
  <c r="ED36" i="5"/>
  <c r="EK36" i="5" s="1"/>
  <c r="EJ35" i="5"/>
  <c r="EI35" i="5"/>
  <c r="EH35" i="5"/>
  <c r="EG35" i="5"/>
  <c r="EF35" i="5"/>
  <c r="EE35" i="5"/>
  <c r="ED35" i="5"/>
  <c r="EK35" i="5" s="1"/>
  <c r="EJ34" i="5"/>
  <c r="EI34" i="5"/>
  <c r="EH34" i="5"/>
  <c r="EG34" i="5"/>
  <c r="EF34" i="5"/>
  <c r="EE34" i="5"/>
  <c r="ED34" i="5"/>
  <c r="EK34" i="5" s="1"/>
  <c r="EJ33" i="5"/>
  <c r="EI33" i="5"/>
  <c r="EH33" i="5"/>
  <c r="EG33" i="5"/>
  <c r="EF33" i="5"/>
  <c r="EE33" i="5"/>
  <c r="ED33" i="5"/>
  <c r="EK33" i="5" s="1"/>
  <c r="EJ32" i="5"/>
  <c r="EI32" i="5"/>
  <c r="EH32" i="5"/>
  <c r="EG32" i="5"/>
  <c r="EF32" i="5"/>
  <c r="EE32" i="5"/>
  <c r="ED32" i="5"/>
  <c r="EK32" i="5" s="1"/>
  <c r="EJ31" i="5"/>
  <c r="EI31" i="5"/>
  <c r="EH31" i="5"/>
  <c r="EG31" i="5"/>
  <c r="EF31" i="5"/>
  <c r="EE31" i="5"/>
  <c r="ED31" i="5"/>
  <c r="EK31" i="5" s="1"/>
  <c r="EJ30" i="5"/>
  <c r="EI30" i="5"/>
  <c r="EH30" i="5"/>
  <c r="EG30" i="5"/>
  <c r="EF30" i="5"/>
  <c r="EE30" i="5"/>
  <c r="ED30" i="5"/>
  <c r="EK30" i="5" s="1"/>
  <c r="EJ29" i="5"/>
  <c r="EI29" i="5"/>
  <c r="EH29" i="5"/>
  <c r="EG29" i="5"/>
  <c r="EF29" i="5"/>
  <c r="EE29" i="5"/>
  <c r="ED29" i="5"/>
  <c r="EK29" i="5" s="1"/>
  <c r="EJ28" i="5"/>
  <c r="EI28" i="5"/>
  <c r="EH28" i="5"/>
  <c r="EG28" i="5"/>
  <c r="EF28" i="5"/>
  <c r="EE28" i="5"/>
  <c r="ED28" i="5"/>
  <c r="EK28" i="5" s="1"/>
  <c r="EJ27" i="5"/>
  <c r="EI27" i="5"/>
  <c r="EH27" i="5"/>
  <c r="EG27" i="5"/>
  <c r="EF27" i="5"/>
  <c r="EE27" i="5"/>
  <c r="ED27" i="5"/>
  <c r="EK27" i="5" s="1"/>
  <c r="EJ26" i="5"/>
  <c r="EI26" i="5"/>
  <c r="EH26" i="5"/>
  <c r="EG26" i="5"/>
  <c r="EF26" i="5"/>
  <c r="EE26" i="5"/>
  <c r="ED26" i="5"/>
  <c r="EK26" i="5" s="1"/>
  <c r="EJ25" i="5"/>
  <c r="EI25" i="5"/>
  <c r="EH25" i="5"/>
  <c r="EG25" i="5"/>
  <c r="EF25" i="5"/>
  <c r="EE25" i="5"/>
  <c r="ED25" i="5"/>
  <c r="EK25" i="5" s="1"/>
  <c r="EJ24" i="5"/>
  <c r="EI24" i="5"/>
  <c r="EH24" i="5"/>
  <c r="EG24" i="5"/>
  <c r="EF24" i="5"/>
  <c r="EE24" i="5"/>
  <c r="ED24" i="5"/>
  <c r="EK24" i="5" s="1"/>
  <c r="EJ23" i="5"/>
  <c r="EI23" i="5"/>
  <c r="EH23" i="5"/>
  <c r="EG23" i="5"/>
  <c r="EF23" i="5"/>
  <c r="EE23" i="5"/>
  <c r="ED23" i="5"/>
  <c r="EK23" i="5" s="1"/>
  <c r="EJ22" i="5"/>
  <c r="EI22" i="5"/>
  <c r="EH22" i="5"/>
  <c r="EG22" i="5"/>
  <c r="EF22" i="5"/>
  <c r="EE22" i="5"/>
  <c r="ED22" i="5"/>
  <c r="EK22" i="5" s="1"/>
  <c r="EJ21" i="5"/>
  <c r="EI21" i="5"/>
  <c r="EH21" i="5"/>
  <c r="EG21" i="5"/>
  <c r="EF21" i="5"/>
  <c r="EE21" i="5"/>
  <c r="ED21" i="5"/>
  <c r="EK21" i="5" s="1"/>
  <c r="EJ20" i="5"/>
  <c r="EI20" i="5"/>
  <c r="EH20" i="5"/>
  <c r="EG20" i="5"/>
  <c r="EF20" i="5"/>
  <c r="EE20" i="5"/>
  <c r="ED20" i="5"/>
  <c r="EK20" i="5" s="1"/>
  <c r="EJ19" i="5"/>
  <c r="EI19" i="5"/>
  <c r="EH19" i="5"/>
  <c r="EG19" i="5"/>
  <c r="EF19" i="5"/>
  <c r="EE19" i="5"/>
  <c r="ED19" i="5"/>
  <c r="EK19" i="5" s="1"/>
  <c r="EJ18" i="5"/>
  <c r="EI18" i="5"/>
  <c r="EH18" i="5"/>
  <c r="EG18" i="5"/>
  <c r="EF18" i="5"/>
  <c r="EE18" i="5"/>
  <c r="ED18" i="5"/>
  <c r="EK18" i="5" s="1"/>
  <c r="EJ17" i="5"/>
  <c r="EI17" i="5"/>
  <c r="EH17" i="5"/>
  <c r="EG17" i="5"/>
  <c r="EF17" i="5"/>
  <c r="EE17" i="5"/>
  <c r="ED17" i="5"/>
  <c r="EK17" i="5" s="1"/>
  <c r="EJ16" i="5"/>
  <c r="EI16" i="5"/>
  <c r="EH16" i="5"/>
  <c r="EG16" i="5"/>
  <c r="EF16" i="5"/>
  <c r="EE16" i="5"/>
  <c r="ED16" i="5"/>
  <c r="EK16" i="5" s="1"/>
  <c r="EJ15" i="5"/>
  <c r="EI15" i="5"/>
  <c r="EH15" i="5"/>
  <c r="EG15" i="5"/>
  <c r="EF15" i="5"/>
  <c r="EE15" i="5"/>
  <c r="ED15" i="5"/>
  <c r="EK15" i="5" s="1"/>
  <c r="EJ14" i="5"/>
  <c r="EI14" i="5"/>
  <c r="EH14" i="5"/>
  <c r="EG14" i="5"/>
  <c r="EF14" i="5"/>
  <c r="EE14" i="5"/>
  <c r="ED14" i="5"/>
  <c r="EK14" i="5" s="1"/>
  <c r="EJ13" i="5"/>
  <c r="EI13" i="5"/>
  <c r="EH13" i="5"/>
  <c r="EG13" i="5"/>
  <c r="EF13" i="5"/>
  <c r="EE13" i="5"/>
  <c r="ED13" i="5"/>
  <c r="EK13" i="5" s="1"/>
  <c r="EJ12" i="5"/>
  <c r="EI12" i="5"/>
  <c r="EH12" i="5"/>
  <c r="EG12" i="5"/>
  <c r="EF12" i="5"/>
  <c r="EE12" i="5"/>
  <c r="ED12" i="5"/>
  <c r="EK12" i="5" s="1"/>
  <c r="EJ11" i="5"/>
  <c r="EI11" i="5"/>
  <c r="EH11" i="5"/>
  <c r="EG11" i="5"/>
  <c r="EF11" i="5"/>
  <c r="EE11" i="5"/>
  <c r="ED11" i="5"/>
  <c r="EK11" i="5" s="1"/>
  <c r="EJ10" i="5"/>
  <c r="EI10" i="5"/>
  <c r="EH10" i="5"/>
  <c r="EG10" i="5"/>
  <c r="EF10" i="5"/>
  <c r="EE10" i="5"/>
  <c r="ED10" i="5"/>
  <c r="EK10" i="5" s="1"/>
  <c r="EJ9" i="5"/>
  <c r="EI9" i="5"/>
  <c r="EH9" i="5"/>
  <c r="EG9" i="5"/>
  <c r="EF9" i="5"/>
  <c r="EE9" i="5"/>
  <c r="ED9" i="5"/>
  <c r="EK9" i="5" s="1"/>
  <c r="EJ8" i="5"/>
  <c r="EI8" i="5"/>
  <c r="EH8" i="5"/>
  <c r="EG8" i="5"/>
  <c r="EF8" i="5"/>
  <c r="EE8" i="5"/>
  <c r="ED8" i="5"/>
  <c r="EK8" i="5" s="1"/>
  <c r="EJ7" i="5"/>
  <c r="EI7" i="5"/>
  <c r="EH7" i="5"/>
  <c r="EG7" i="5"/>
  <c r="EF7" i="5"/>
  <c r="EE7" i="5"/>
  <c r="ED7" i="5"/>
  <c r="EK7" i="5" s="1"/>
  <c r="EJ6" i="5"/>
  <c r="EI6" i="5"/>
  <c r="EH6" i="5"/>
  <c r="EG6" i="5"/>
  <c r="EF6" i="5"/>
  <c r="EE6" i="5"/>
  <c r="ED6" i="5"/>
  <c r="EK6" i="5" s="1"/>
  <c r="EJ5" i="5"/>
  <c r="EI5" i="5"/>
  <c r="EH5" i="5"/>
  <c r="EG5" i="5"/>
  <c r="EF5" i="5"/>
  <c r="EE5" i="5"/>
  <c r="ED5" i="5"/>
  <c r="EK5" i="5" s="1"/>
  <c r="EJ4" i="5"/>
  <c r="EI4" i="5"/>
  <c r="EH4" i="5"/>
  <c r="EG4" i="5"/>
  <c r="EF4" i="5"/>
  <c r="EE4" i="5"/>
  <c r="ED4" i="5"/>
  <c r="EK4" i="5" s="1"/>
  <c r="EJ3" i="5"/>
  <c r="EI3" i="5"/>
  <c r="EH3" i="5"/>
  <c r="EG3" i="5"/>
  <c r="EF3" i="5"/>
  <c r="EE3" i="5"/>
  <c r="ED3" i="5"/>
  <c r="EK3" i="5" s="1"/>
  <c r="EJ2" i="5"/>
  <c r="EI2" i="5"/>
  <c r="EH2" i="5"/>
  <c r="EG2" i="5"/>
  <c r="EF2" i="5"/>
  <c r="EE2" i="5"/>
  <c r="ED2" i="5"/>
  <c r="EK2" i="5" s="1"/>
  <c r="EF52" i="3"/>
  <c r="EE52" i="3"/>
  <c r="ED52" i="3"/>
  <c r="EK52" i="3" s="1"/>
  <c r="EF51" i="3"/>
  <c r="EE51" i="3"/>
  <c r="ED51" i="3"/>
  <c r="EK51" i="3" s="1"/>
  <c r="EF50" i="3"/>
  <c r="EE50" i="3"/>
  <c r="ED50" i="3"/>
  <c r="EK50" i="3" s="1"/>
  <c r="EF49" i="3"/>
  <c r="EE49" i="3"/>
  <c r="ED49" i="3"/>
  <c r="EK49" i="3" s="1"/>
  <c r="EF48" i="3"/>
  <c r="EE48" i="3"/>
  <c r="ED48" i="3"/>
  <c r="EK48" i="3" s="1"/>
  <c r="EF47" i="3"/>
  <c r="EE47" i="3"/>
  <c r="ED47" i="3"/>
  <c r="EK47" i="3" s="1"/>
  <c r="EF46" i="3"/>
  <c r="EE46" i="3"/>
  <c r="ED46" i="3"/>
  <c r="EK46" i="3" s="1"/>
  <c r="EF45" i="3"/>
  <c r="EE45" i="3"/>
  <c r="ED45" i="3"/>
  <c r="EK45" i="3" s="1"/>
  <c r="EF44" i="3"/>
  <c r="EE44" i="3"/>
  <c r="ED44" i="3"/>
  <c r="EK44" i="3" s="1"/>
  <c r="EF43" i="3"/>
  <c r="EE43" i="3"/>
  <c r="ED43" i="3"/>
  <c r="EK43" i="3" s="1"/>
  <c r="EF42" i="3"/>
  <c r="EE42" i="3"/>
  <c r="ED42" i="3"/>
  <c r="EK42" i="3" s="1"/>
  <c r="EF41" i="3"/>
  <c r="EE41" i="3"/>
  <c r="ED41" i="3"/>
  <c r="EK41" i="3" s="1"/>
  <c r="EF40" i="3"/>
  <c r="EE40" i="3"/>
  <c r="ED40" i="3"/>
  <c r="EK40" i="3" s="1"/>
  <c r="EF39" i="3"/>
  <c r="EE39" i="3"/>
  <c r="EF38" i="3"/>
  <c r="EE38" i="3"/>
  <c r="ED38" i="3"/>
  <c r="EK38" i="3" s="1"/>
  <c r="EF37" i="3"/>
  <c r="EJ36" i="3"/>
  <c r="EI36" i="3"/>
  <c r="EH36" i="3"/>
  <c r="EG36" i="3"/>
  <c r="EF36" i="3"/>
  <c r="EE36" i="3"/>
  <c r="ED36" i="3"/>
  <c r="EK36" i="3" s="1"/>
  <c r="EJ35" i="3"/>
  <c r="EI35" i="3"/>
  <c r="EH35" i="3"/>
  <c r="EG35" i="3"/>
  <c r="EF35" i="3"/>
  <c r="EE35" i="3"/>
  <c r="ED35" i="3"/>
  <c r="EK35" i="3" s="1"/>
  <c r="EJ34" i="3"/>
  <c r="EI34" i="3"/>
  <c r="EH34" i="3"/>
  <c r="EG34" i="3"/>
  <c r="EF34" i="3"/>
  <c r="EE34" i="3"/>
  <c r="ED34" i="3"/>
  <c r="EK34" i="3" s="1"/>
  <c r="EJ33" i="3"/>
  <c r="EI33" i="3"/>
  <c r="EH33" i="3"/>
  <c r="EG33" i="3"/>
  <c r="EF33" i="3"/>
  <c r="EE33" i="3"/>
  <c r="ED33" i="3"/>
  <c r="EK33" i="3" s="1"/>
  <c r="EJ32" i="3"/>
  <c r="EI32" i="3"/>
  <c r="EH32" i="3"/>
  <c r="EG32" i="3"/>
  <c r="EF32" i="3"/>
  <c r="EE32" i="3"/>
  <c r="ED32" i="3"/>
  <c r="EK32" i="3" s="1"/>
  <c r="EJ31" i="3"/>
  <c r="EI31" i="3"/>
  <c r="EH31" i="3"/>
  <c r="EG31" i="3"/>
  <c r="EF31" i="3"/>
  <c r="EE31" i="3"/>
  <c r="ED31" i="3"/>
  <c r="EK31" i="3" s="1"/>
  <c r="EJ30" i="3"/>
  <c r="EI30" i="3"/>
  <c r="EH30" i="3"/>
  <c r="EG30" i="3"/>
  <c r="EF30" i="3"/>
  <c r="EE30" i="3"/>
  <c r="ED30" i="3"/>
  <c r="EK30" i="3" s="1"/>
  <c r="EJ29" i="3"/>
  <c r="EI29" i="3"/>
  <c r="EH29" i="3"/>
  <c r="EG29" i="3"/>
  <c r="EF29" i="3"/>
  <c r="EE29" i="3"/>
  <c r="ED29" i="3"/>
  <c r="EK29" i="3" s="1"/>
  <c r="EJ28" i="3"/>
  <c r="EI28" i="3"/>
  <c r="EH28" i="3"/>
  <c r="EG28" i="3"/>
  <c r="EF28" i="3"/>
  <c r="EE28" i="3"/>
  <c r="ED28" i="3"/>
  <c r="EK28" i="3" s="1"/>
  <c r="EJ27" i="3"/>
  <c r="EI27" i="3"/>
  <c r="EH27" i="3"/>
  <c r="EG27" i="3"/>
  <c r="EF27" i="3"/>
  <c r="EE27" i="3"/>
  <c r="ED27" i="3"/>
  <c r="EK27" i="3" s="1"/>
  <c r="EJ26" i="3"/>
  <c r="EI26" i="3"/>
  <c r="EH26" i="3"/>
  <c r="EG26" i="3"/>
  <c r="EF26" i="3"/>
  <c r="EE26" i="3"/>
  <c r="ED26" i="3"/>
  <c r="EK26" i="3" s="1"/>
  <c r="EJ25" i="3"/>
  <c r="EI25" i="3"/>
  <c r="EH25" i="3"/>
  <c r="EG25" i="3"/>
  <c r="EF25" i="3"/>
  <c r="EE25" i="3"/>
  <c r="ED25" i="3"/>
  <c r="EK25" i="3" s="1"/>
  <c r="EJ24" i="3"/>
  <c r="EI24" i="3"/>
  <c r="EH24" i="3"/>
  <c r="EG24" i="3"/>
  <c r="EF24" i="3"/>
  <c r="EE24" i="3"/>
  <c r="ED24" i="3"/>
  <c r="EK24" i="3" s="1"/>
  <c r="EJ23" i="3"/>
  <c r="EI23" i="3"/>
  <c r="EH23" i="3"/>
  <c r="EG23" i="3"/>
  <c r="EF23" i="3"/>
  <c r="EE23" i="3"/>
  <c r="ED23" i="3"/>
  <c r="EK23" i="3" s="1"/>
  <c r="EJ22" i="3"/>
  <c r="EI22" i="3"/>
  <c r="EH22" i="3"/>
  <c r="EG22" i="3"/>
  <c r="EF22" i="3"/>
  <c r="EE22" i="3"/>
  <c r="ED22" i="3"/>
  <c r="EK22" i="3" s="1"/>
  <c r="EJ21" i="3"/>
  <c r="EI21" i="3"/>
  <c r="EH21" i="3"/>
  <c r="EG21" i="3"/>
  <c r="EF21" i="3"/>
  <c r="EE21" i="3"/>
  <c r="ED21" i="3"/>
  <c r="EK21" i="3" s="1"/>
  <c r="EJ20" i="3"/>
  <c r="EI20" i="3"/>
  <c r="EH20" i="3"/>
  <c r="EG20" i="3"/>
  <c r="EF20" i="3"/>
  <c r="EE20" i="3"/>
  <c r="ED20" i="3"/>
  <c r="EK20" i="3" s="1"/>
  <c r="EJ19" i="3"/>
  <c r="EI19" i="3"/>
  <c r="EH19" i="3"/>
  <c r="EG19" i="3"/>
  <c r="EF19" i="3"/>
  <c r="EE19" i="3"/>
  <c r="ED19" i="3"/>
  <c r="EK19" i="3" s="1"/>
  <c r="EJ18" i="3"/>
  <c r="EI18" i="3"/>
  <c r="EH18" i="3"/>
  <c r="EG18" i="3"/>
  <c r="EF18" i="3"/>
  <c r="EE18" i="3"/>
  <c r="ED18" i="3"/>
  <c r="EK18" i="3" s="1"/>
  <c r="EJ17" i="3"/>
  <c r="EI17" i="3"/>
  <c r="EH17" i="3"/>
  <c r="EG17" i="3"/>
  <c r="EF17" i="3"/>
  <c r="EE17" i="3"/>
  <c r="ED17" i="3"/>
  <c r="EK17" i="3" s="1"/>
  <c r="EJ16" i="3"/>
  <c r="EI16" i="3"/>
  <c r="EH16" i="3"/>
  <c r="EG16" i="3"/>
  <c r="EF16" i="3"/>
  <c r="EE16" i="3"/>
  <c r="ED16" i="3"/>
  <c r="EK16" i="3" s="1"/>
  <c r="EJ15" i="3"/>
  <c r="EI15" i="3"/>
  <c r="EH15" i="3"/>
  <c r="EG15" i="3"/>
  <c r="EF15" i="3"/>
  <c r="EE15" i="3"/>
  <c r="ED15" i="3"/>
  <c r="EK15" i="3" s="1"/>
  <c r="EJ14" i="3"/>
  <c r="EI14" i="3"/>
  <c r="EH14" i="3"/>
  <c r="EG14" i="3"/>
  <c r="EF14" i="3"/>
  <c r="EE14" i="3"/>
  <c r="ED14" i="3"/>
  <c r="EK14" i="3" s="1"/>
  <c r="EJ13" i="3"/>
  <c r="EI13" i="3"/>
  <c r="EH13" i="3"/>
  <c r="EG13" i="3"/>
  <c r="EF13" i="3"/>
  <c r="EE13" i="3"/>
  <c r="ED13" i="3"/>
  <c r="EK13" i="3" s="1"/>
  <c r="EJ12" i="3"/>
  <c r="EI12" i="3"/>
  <c r="EH12" i="3"/>
  <c r="EG12" i="3"/>
  <c r="EF12" i="3"/>
  <c r="EE12" i="3"/>
  <c r="ED12" i="3"/>
  <c r="EK12" i="3" s="1"/>
  <c r="EJ11" i="3"/>
  <c r="EI11" i="3"/>
  <c r="EH11" i="3"/>
  <c r="EG11" i="3"/>
  <c r="EF11" i="3"/>
  <c r="EE11" i="3"/>
  <c r="ED11" i="3"/>
  <c r="EK11" i="3" s="1"/>
  <c r="EJ10" i="3"/>
  <c r="EI10" i="3"/>
  <c r="EH10" i="3"/>
  <c r="EG10" i="3"/>
  <c r="EF10" i="3"/>
  <c r="EE10" i="3"/>
  <c r="ED10" i="3"/>
  <c r="EK10" i="3" s="1"/>
  <c r="EJ9" i="3"/>
  <c r="EI9" i="3"/>
  <c r="EH9" i="3"/>
  <c r="EG9" i="3"/>
  <c r="EF9" i="3"/>
  <c r="EE9" i="3"/>
  <c r="ED9" i="3"/>
  <c r="EK9" i="3" s="1"/>
  <c r="EJ8" i="3"/>
  <c r="EI8" i="3"/>
  <c r="EH8" i="3"/>
  <c r="EG8" i="3"/>
  <c r="EF8" i="3"/>
  <c r="EE8" i="3"/>
  <c r="ED8" i="3"/>
  <c r="EK8" i="3" s="1"/>
  <c r="EJ7" i="3"/>
  <c r="EI7" i="3"/>
  <c r="EH7" i="3"/>
  <c r="EG7" i="3"/>
  <c r="EF7" i="3"/>
  <c r="EE7" i="3"/>
  <c r="ED7" i="3"/>
  <c r="EK7" i="3" s="1"/>
  <c r="EJ6" i="3"/>
  <c r="EI6" i="3"/>
  <c r="EH6" i="3"/>
  <c r="EG6" i="3"/>
  <c r="EF6" i="3"/>
  <c r="EE6" i="3"/>
  <c r="ED6" i="3"/>
  <c r="EK6" i="3" s="1"/>
  <c r="EJ5" i="3"/>
  <c r="EI5" i="3"/>
  <c r="EH5" i="3"/>
  <c r="EG5" i="3"/>
  <c r="EF5" i="3"/>
  <c r="EE5" i="3"/>
  <c r="ED5" i="3"/>
  <c r="EK5" i="3" s="1"/>
  <c r="EJ4" i="3"/>
  <c r="EI4" i="3"/>
  <c r="EH4" i="3"/>
  <c r="EG4" i="3"/>
  <c r="EF4" i="3"/>
  <c r="EE4" i="3"/>
  <c r="ED4" i="3"/>
  <c r="EK4" i="3" s="1"/>
  <c r="EJ3" i="3"/>
  <c r="EI3" i="3"/>
  <c r="EH3" i="3"/>
  <c r="EG3" i="3"/>
  <c r="EF3" i="3"/>
  <c r="EE3" i="3"/>
  <c r="ED3" i="3"/>
  <c r="EK3" i="3" s="1"/>
  <c r="EJ2" i="3"/>
  <c r="EI2" i="3"/>
  <c r="EH2" i="3"/>
  <c r="EG2" i="3"/>
  <c r="EF2" i="3"/>
  <c r="EE2" i="3"/>
  <c r="ED2" i="3"/>
  <c r="EK2" i="3" s="1"/>
  <c r="EE3" i="7"/>
  <c r="EE4" i="7"/>
  <c r="EE5" i="7"/>
  <c r="EE6" i="7"/>
  <c r="EE7" i="7"/>
  <c r="EE8" i="7"/>
  <c r="EE9" i="7"/>
  <c r="EE10" i="7"/>
  <c r="EE11" i="7"/>
  <c r="EE12" i="7"/>
  <c r="EE13" i="7"/>
  <c r="EE14" i="7"/>
  <c r="EE15" i="7"/>
  <c r="EE16" i="7"/>
  <c r="EE17" i="7"/>
  <c r="EE18" i="7"/>
  <c r="EE19" i="7"/>
  <c r="EE20" i="7"/>
  <c r="EE21" i="7"/>
  <c r="EE22" i="7"/>
  <c r="EE23" i="7"/>
  <c r="EE24" i="7"/>
  <c r="EE25" i="7"/>
  <c r="EE26" i="7"/>
  <c r="EE27" i="7"/>
  <c r="EE28" i="7"/>
  <c r="EE29" i="7"/>
  <c r="EE30" i="7"/>
  <c r="EE31" i="7"/>
  <c r="EE32" i="7"/>
  <c r="EE33" i="7"/>
  <c r="EE34" i="7"/>
  <c r="EE35" i="7"/>
  <c r="EE36" i="7"/>
  <c r="EE38" i="7"/>
  <c r="EE39" i="7"/>
  <c r="EE40" i="7"/>
  <c r="EE41" i="7"/>
  <c r="EE42" i="7"/>
  <c r="EE43" i="7"/>
  <c r="EE44" i="7"/>
  <c r="EE45" i="7"/>
  <c r="EE46" i="7"/>
  <c r="EE47" i="7"/>
  <c r="EE48" i="7"/>
  <c r="EE49" i="7"/>
  <c r="EE50" i="7"/>
  <c r="EE51" i="7"/>
  <c r="EE52" i="7"/>
  <c r="EE2" i="7"/>
  <c r="ED2" i="7"/>
  <c r="EK2" i="7" s="1"/>
  <c r="ED3" i="7"/>
  <c r="EK3" i="7" s="1"/>
  <c r="ED4" i="7"/>
  <c r="EK4" i="7" s="1"/>
  <c r="ED5" i="7"/>
  <c r="EK5" i="7" s="1"/>
  <c r="ED6" i="7"/>
  <c r="EK6" i="7" s="1"/>
  <c r="ED7" i="7"/>
  <c r="EK7" i="7" s="1"/>
  <c r="ED8" i="7"/>
  <c r="EK8" i="7" s="1"/>
  <c r="ED9" i="7"/>
  <c r="EK9" i="7" s="1"/>
  <c r="ED10" i="7"/>
  <c r="EK10" i="7" s="1"/>
  <c r="ED11" i="7"/>
  <c r="EK11" i="7" s="1"/>
  <c r="ED12" i="7"/>
  <c r="EK12" i="7" s="1"/>
  <c r="ED13" i="7"/>
  <c r="EK13" i="7" s="1"/>
  <c r="ED14" i="7"/>
  <c r="EK14" i="7" s="1"/>
  <c r="ED15" i="7"/>
  <c r="EK15" i="7" s="1"/>
  <c r="ED16" i="7"/>
  <c r="EK16" i="7" s="1"/>
  <c r="ED17" i="7"/>
  <c r="EK17" i="7" s="1"/>
  <c r="ED18" i="7"/>
  <c r="EK18" i="7" s="1"/>
  <c r="ED19" i="7"/>
  <c r="EK19" i="7" s="1"/>
  <c r="ED20" i="7"/>
  <c r="EK20" i="7" s="1"/>
  <c r="ED21" i="7"/>
  <c r="EK21" i="7" s="1"/>
  <c r="ED22" i="7"/>
  <c r="EK22" i="7" s="1"/>
  <c r="ED23" i="7"/>
  <c r="EK23" i="7" s="1"/>
  <c r="ED24" i="7"/>
  <c r="EK24" i="7" s="1"/>
  <c r="ED25" i="7"/>
  <c r="EK25" i="7" s="1"/>
  <c r="ED26" i="7"/>
  <c r="EK26" i="7" s="1"/>
  <c r="ED27" i="7"/>
  <c r="EK27" i="7" s="1"/>
  <c r="ED28" i="7"/>
  <c r="EK28" i="7" s="1"/>
  <c r="ED29" i="7"/>
  <c r="EK29" i="7" s="1"/>
  <c r="ED30" i="7"/>
  <c r="EK30" i="7" s="1"/>
  <c r="ED31" i="7"/>
  <c r="EK31" i="7" s="1"/>
  <c r="ED32" i="7"/>
  <c r="EK32" i="7" s="1"/>
  <c r="ED33" i="7"/>
  <c r="EK33" i="7" s="1"/>
  <c r="ED34" i="7"/>
  <c r="EK34" i="7" s="1"/>
  <c r="ED35" i="7"/>
  <c r="EK35" i="7" s="1"/>
  <c r="ED36" i="7"/>
  <c r="EK36" i="7" s="1"/>
  <c r="ED52" i="7"/>
  <c r="EK52" i="7" s="1"/>
  <c r="ED51" i="7"/>
  <c r="EK51" i="7" s="1"/>
  <c r="ED50" i="7"/>
  <c r="EK50" i="7" s="1"/>
  <c r="ED49" i="7"/>
  <c r="EK49" i="7" s="1"/>
  <c r="ED48" i="7"/>
  <c r="EK48" i="7" s="1"/>
  <c r="ED47" i="7"/>
  <c r="EK47" i="7" s="1"/>
  <c r="ED46" i="7"/>
  <c r="EK46" i="7" s="1"/>
  <c r="ED45" i="7"/>
  <c r="EK45" i="7" s="1"/>
  <c r="ED44" i="7"/>
  <c r="EK44" i="7" s="1"/>
  <c r="ED43" i="7"/>
  <c r="EK43" i="7" s="1"/>
  <c r="ED42" i="7"/>
  <c r="EK42" i="7" s="1"/>
  <c r="ED41" i="7"/>
  <c r="EK41" i="7" s="1"/>
  <c r="ED40" i="7"/>
  <c r="EK40" i="7" s="1"/>
  <c r="ED39" i="7"/>
  <c r="EK39" i="7" s="1"/>
  <c r="ED38" i="7"/>
  <c r="EK38" i="7" s="1"/>
  <c r="EB2" i="11"/>
  <c r="AU2" i="10"/>
  <c r="AU2" i="9"/>
  <c r="DC37" i="8"/>
  <c r="DC38" i="8"/>
  <c r="DC39" i="8"/>
  <c r="DC40" i="8"/>
  <c r="DC41" i="8"/>
  <c r="DC42" i="8"/>
  <c r="DC43" i="8"/>
  <c r="DC44" i="8"/>
  <c r="DC45" i="8"/>
  <c r="DC46" i="8"/>
  <c r="DC47" i="8"/>
  <c r="DC48" i="8"/>
  <c r="DC49" i="8"/>
  <c r="DC50" i="8"/>
  <c r="DC51" i="8"/>
  <c r="DC52" i="8"/>
  <c r="DC37" i="7"/>
  <c r="DC38" i="7"/>
  <c r="DC39" i="7"/>
  <c r="DC40" i="7"/>
  <c r="DC41" i="7"/>
  <c r="DC42" i="7"/>
  <c r="DC43" i="7"/>
  <c r="DC44" i="7"/>
  <c r="DC45" i="7"/>
  <c r="DC46" i="7"/>
  <c r="DC47" i="7"/>
  <c r="DC48" i="7"/>
  <c r="DC49" i="7"/>
  <c r="DC50" i="7"/>
  <c r="DC51" i="7"/>
  <c r="DC52" i="7"/>
  <c r="HK52" i="12"/>
  <c r="GY52" i="12"/>
  <c r="GX52" i="12"/>
  <c r="GW52" i="12"/>
  <c r="GV52" i="12"/>
  <c r="GL52" i="12"/>
  <c r="GJ52" i="12"/>
  <c r="GI52" i="12"/>
  <c r="GH52" i="12"/>
  <c r="GA52" i="12"/>
  <c r="FZ52" i="12"/>
  <c r="FY52" i="12"/>
  <c r="FI52" i="12"/>
  <c r="FG52" i="12"/>
  <c r="FD52" i="12"/>
  <c r="FB52" i="12"/>
  <c r="FA52" i="12"/>
  <c r="EZ52" i="12"/>
  <c r="EY52" i="12"/>
  <c r="EX52" i="12"/>
  <c r="EV52" i="12"/>
  <c r="ET52" i="12"/>
  <c r="EQ52" i="12"/>
  <c r="EO52" i="12"/>
  <c r="EN52" i="12"/>
  <c r="EM52" i="12"/>
  <c r="DY52" i="12"/>
  <c r="DX52" i="12"/>
  <c r="DW52" i="12"/>
  <c r="DO52" i="12"/>
  <c r="DN52" i="12"/>
  <c r="DM52" i="12"/>
  <c r="DL52" i="12"/>
  <c r="DK52" i="12"/>
  <c r="DJ52" i="12"/>
  <c r="DI52" i="12"/>
  <c r="DH52" i="12"/>
  <c r="DF52" i="12"/>
  <c r="DC52" i="12"/>
  <c r="DB52" i="12"/>
  <c r="DQ52" i="12" s="1"/>
  <c r="CZ52" i="12"/>
  <c r="CY52" i="12"/>
  <c r="CX52" i="12"/>
  <c r="CW52" i="12"/>
  <c r="CV52" i="12"/>
  <c r="CU52" i="12"/>
  <c r="CT52" i="12"/>
  <c r="CS52" i="12"/>
  <c r="CR52" i="12"/>
  <c r="CQ52" i="12"/>
  <c r="CP52" i="12"/>
  <c r="CO52" i="12"/>
  <c r="CN52" i="12"/>
  <c r="CM52" i="12"/>
  <c r="CJ52" i="12"/>
  <c r="CI52" i="12"/>
  <c r="BU52" i="12"/>
  <c r="BS52" i="12"/>
  <c r="BP52" i="12"/>
  <c r="BN52" i="12"/>
  <c r="BM52" i="12"/>
  <c r="BL52" i="12"/>
  <c r="BK52" i="12"/>
  <c r="BJ52" i="12"/>
  <c r="BH52" i="12"/>
  <c r="BF52" i="12"/>
  <c r="BC52" i="12"/>
  <c r="BA52" i="12"/>
  <c r="AZ52" i="12"/>
  <c r="AY52" i="12"/>
  <c r="AR52" i="12"/>
  <c r="AQ52" i="12"/>
  <c r="AP52" i="12"/>
  <c r="R52" i="12"/>
  <c r="P52" i="12"/>
  <c r="O52" i="12"/>
  <c r="A52" i="12"/>
  <c r="HK51" i="12"/>
  <c r="GY51" i="12"/>
  <c r="GX51" i="12"/>
  <c r="GW51" i="12"/>
  <c r="GV51" i="12"/>
  <c r="GL51" i="12"/>
  <c r="GJ51" i="12"/>
  <c r="GI51" i="12"/>
  <c r="GH51" i="12"/>
  <c r="GA51" i="12"/>
  <c r="FZ51" i="12"/>
  <c r="FY51" i="12"/>
  <c r="FI51" i="12"/>
  <c r="FG51" i="12"/>
  <c r="FD51" i="12"/>
  <c r="FB51" i="12"/>
  <c r="FA51" i="12"/>
  <c r="EZ51" i="12"/>
  <c r="EY51" i="12"/>
  <c r="EX51" i="12"/>
  <c r="EV51" i="12"/>
  <c r="ET51" i="12"/>
  <c r="EQ51" i="12"/>
  <c r="EO51" i="12"/>
  <c r="EN51" i="12"/>
  <c r="EM51" i="12"/>
  <c r="DY51" i="12"/>
  <c r="DX51" i="12"/>
  <c r="DW51" i="12"/>
  <c r="DO51" i="12"/>
  <c r="DN51" i="12"/>
  <c r="DM51" i="12"/>
  <c r="DL51" i="12"/>
  <c r="DK51" i="12"/>
  <c r="DJ51" i="12"/>
  <c r="DI51" i="12"/>
  <c r="DH51" i="12"/>
  <c r="DF51" i="12"/>
  <c r="DC51" i="12"/>
  <c r="DB51" i="12"/>
  <c r="CZ51" i="12"/>
  <c r="CY51" i="12"/>
  <c r="CX51" i="12"/>
  <c r="CW51" i="12"/>
  <c r="CV51" i="12"/>
  <c r="CU51" i="12"/>
  <c r="CT51" i="12"/>
  <c r="CS51" i="12"/>
  <c r="CR51" i="12"/>
  <c r="CQ51" i="12"/>
  <c r="CP51" i="12"/>
  <c r="CO51" i="12"/>
  <c r="CN51" i="12"/>
  <c r="CM51" i="12"/>
  <c r="CJ51" i="12"/>
  <c r="CI51" i="12"/>
  <c r="BU51" i="12"/>
  <c r="BS51" i="12"/>
  <c r="BP51" i="12"/>
  <c r="BN51" i="12"/>
  <c r="BM51" i="12"/>
  <c r="BL51" i="12"/>
  <c r="BK51" i="12"/>
  <c r="BJ51" i="12"/>
  <c r="BH51" i="12"/>
  <c r="BF51" i="12"/>
  <c r="BC51" i="12"/>
  <c r="BA51" i="12"/>
  <c r="AZ51" i="12"/>
  <c r="AY51" i="12"/>
  <c r="AR51" i="12"/>
  <c r="AQ51" i="12"/>
  <c r="AP51" i="12"/>
  <c r="R51" i="12"/>
  <c r="P51" i="12"/>
  <c r="O51" i="12"/>
  <c r="A51" i="12"/>
  <c r="HK50" i="12"/>
  <c r="GY50" i="12"/>
  <c r="GX50" i="12"/>
  <c r="GW50" i="12"/>
  <c r="GV50" i="12"/>
  <c r="GL50" i="12"/>
  <c r="GJ50" i="12"/>
  <c r="GI50" i="12"/>
  <c r="GH50" i="12"/>
  <c r="GA50" i="12"/>
  <c r="FZ50" i="12"/>
  <c r="FY50" i="12"/>
  <c r="FI50" i="12"/>
  <c r="FG50" i="12"/>
  <c r="FD50" i="12"/>
  <c r="FB50" i="12"/>
  <c r="FA50" i="12"/>
  <c r="EZ50" i="12"/>
  <c r="EY50" i="12"/>
  <c r="EX50" i="12"/>
  <c r="EV50" i="12"/>
  <c r="ET50" i="12"/>
  <c r="EQ50" i="12"/>
  <c r="EO50" i="12"/>
  <c r="EN50" i="12"/>
  <c r="EM50" i="12"/>
  <c r="DY50" i="12"/>
  <c r="DX50" i="12"/>
  <c r="DW50" i="12"/>
  <c r="DO50" i="12"/>
  <c r="DN50" i="12"/>
  <c r="DM50" i="12"/>
  <c r="DL50" i="12"/>
  <c r="DK50" i="12"/>
  <c r="DJ50" i="12"/>
  <c r="DI50" i="12"/>
  <c r="DH50" i="12"/>
  <c r="DF50" i="12"/>
  <c r="DC50" i="12"/>
  <c r="DB50" i="12"/>
  <c r="DQ50" i="12" s="1"/>
  <c r="CZ50" i="12"/>
  <c r="CY50" i="12"/>
  <c r="CX50" i="12"/>
  <c r="CW50" i="12"/>
  <c r="CV50" i="12"/>
  <c r="CU50" i="12"/>
  <c r="CT50" i="12"/>
  <c r="CS50" i="12"/>
  <c r="CR50" i="12"/>
  <c r="CQ50" i="12"/>
  <c r="CP50" i="12"/>
  <c r="CO50" i="12"/>
  <c r="CN50" i="12"/>
  <c r="CM50" i="12"/>
  <c r="CJ50" i="12"/>
  <c r="CI50" i="12"/>
  <c r="BU50" i="12"/>
  <c r="BS50" i="12"/>
  <c r="BP50" i="12"/>
  <c r="BN50" i="12"/>
  <c r="BM50" i="12"/>
  <c r="BL50" i="12"/>
  <c r="BK50" i="12"/>
  <c r="BJ50" i="12"/>
  <c r="BH50" i="12"/>
  <c r="BF50" i="12"/>
  <c r="BC50" i="12"/>
  <c r="BA50" i="12"/>
  <c r="AZ50" i="12"/>
  <c r="AY50" i="12"/>
  <c r="AR50" i="12"/>
  <c r="AQ50" i="12"/>
  <c r="AP50" i="12"/>
  <c r="R50" i="12"/>
  <c r="P50" i="12"/>
  <c r="O50" i="12"/>
  <c r="A50" i="12"/>
  <c r="HK49" i="12"/>
  <c r="GY49" i="12"/>
  <c r="GX49" i="12"/>
  <c r="GW49" i="12"/>
  <c r="GV49" i="12"/>
  <c r="GL49" i="12"/>
  <c r="GJ49" i="12"/>
  <c r="GI49" i="12"/>
  <c r="GH49" i="12"/>
  <c r="GA49" i="12"/>
  <c r="FZ49" i="12"/>
  <c r="FY49" i="12"/>
  <c r="FI49" i="12"/>
  <c r="FG49" i="12"/>
  <c r="FD49" i="12"/>
  <c r="FB49" i="12"/>
  <c r="FA49" i="12"/>
  <c r="EZ49" i="12"/>
  <c r="EY49" i="12"/>
  <c r="EX49" i="12"/>
  <c r="EV49" i="12"/>
  <c r="ET49" i="12"/>
  <c r="EQ49" i="12"/>
  <c r="EO49" i="12"/>
  <c r="EN49" i="12"/>
  <c r="EM49" i="12"/>
  <c r="DY49" i="12"/>
  <c r="DX49" i="12"/>
  <c r="DW49" i="12"/>
  <c r="DO49" i="12"/>
  <c r="DN49" i="12"/>
  <c r="DM49" i="12"/>
  <c r="DL49" i="12"/>
  <c r="DK49" i="12"/>
  <c r="DJ49" i="12"/>
  <c r="DI49" i="12"/>
  <c r="DH49" i="12"/>
  <c r="DF49" i="12"/>
  <c r="DC49" i="12"/>
  <c r="DB49" i="12"/>
  <c r="DQ49" i="12" s="1"/>
  <c r="CZ49" i="12"/>
  <c r="CY49" i="12"/>
  <c r="CX49" i="12"/>
  <c r="CW49" i="12"/>
  <c r="CV49" i="12"/>
  <c r="CU49" i="12"/>
  <c r="CT49" i="12"/>
  <c r="CS49" i="12"/>
  <c r="CR49" i="12"/>
  <c r="CQ49" i="12"/>
  <c r="CP49" i="12"/>
  <c r="CO49" i="12"/>
  <c r="CN49" i="12"/>
  <c r="CM49" i="12"/>
  <c r="CJ49" i="12"/>
  <c r="CI49" i="12"/>
  <c r="BU49" i="12"/>
  <c r="BS49" i="12"/>
  <c r="BP49" i="12"/>
  <c r="BN49" i="12"/>
  <c r="BM49" i="12"/>
  <c r="BL49" i="12"/>
  <c r="BK49" i="12"/>
  <c r="BJ49" i="12"/>
  <c r="BH49" i="12"/>
  <c r="BF49" i="12"/>
  <c r="BC49" i="12"/>
  <c r="BA49" i="12"/>
  <c r="AZ49" i="12"/>
  <c r="AY49" i="12"/>
  <c r="AR49" i="12"/>
  <c r="AQ49" i="12"/>
  <c r="AP49" i="12"/>
  <c r="R49" i="12"/>
  <c r="P49" i="12"/>
  <c r="O49" i="12"/>
  <c r="A49" i="12"/>
  <c r="HK48" i="12"/>
  <c r="GY48" i="12"/>
  <c r="GX48" i="12"/>
  <c r="GW48" i="12"/>
  <c r="GV48" i="12"/>
  <c r="GL48" i="12"/>
  <c r="GJ48" i="12"/>
  <c r="GI48" i="12"/>
  <c r="GH48" i="12"/>
  <c r="GA48" i="12"/>
  <c r="FZ48" i="12"/>
  <c r="FY48" i="12"/>
  <c r="FI48" i="12"/>
  <c r="FG48" i="12"/>
  <c r="FD48" i="12"/>
  <c r="FB48" i="12"/>
  <c r="FA48" i="12"/>
  <c r="EZ48" i="12"/>
  <c r="EY48" i="12"/>
  <c r="EX48" i="12"/>
  <c r="EV48" i="12"/>
  <c r="ET48" i="12"/>
  <c r="EQ48" i="12"/>
  <c r="EO48" i="12"/>
  <c r="EN48" i="12"/>
  <c r="EM48" i="12"/>
  <c r="DY48" i="12"/>
  <c r="DX48" i="12"/>
  <c r="DW48" i="12"/>
  <c r="DO48" i="12"/>
  <c r="DN48" i="12"/>
  <c r="DM48" i="12"/>
  <c r="DL48" i="12"/>
  <c r="DK48" i="12"/>
  <c r="DJ48" i="12"/>
  <c r="DI48" i="12"/>
  <c r="DH48" i="12"/>
  <c r="DF48" i="12"/>
  <c r="DC48" i="12"/>
  <c r="DB48" i="12"/>
  <c r="DQ48" i="12" s="1"/>
  <c r="CZ48" i="12"/>
  <c r="CY48" i="12"/>
  <c r="CX48" i="12"/>
  <c r="CW48" i="12"/>
  <c r="CV48" i="12"/>
  <c r="CU48" i="12"/>
  <c r="CT48" i="12"/>
  <c r="CS48" i="12"/>
  <c r="CR48" i="12"/>
  <c r="CQ48" i="12"/>
  <c r="CP48" i="12"/>
  <c r="CO48" i="12"/>
  <c r="CN48" i="12"/>
  <c r="CM48" i="12"/>
  <c r="CJ48" i="12"/>
  <c r="CI48" i="12"/>
  <c r="BU48" i="12"/>
  <c r="BS48" i="12"/>
  <c r="BP48" i="12"/>
  <c r="BN48" i="12"/>
  <c r="BM48" i="12"/>
  <c r="BL48" i="12"/>
  <c r="BK48" i="12"/>
  <c r="BJ48" i="12"/>
  <c r="BH48" i="12"/>
  <c r="BF48" i="12"/>
  <c r="BC48" i="12"/>
  <c r="BA48" i="12"/>
  <c r="AZ48" i="12"/>
  <c r="AY48" i="12"/>
  <c r="AR48" i="12"/>
  <c r="AQ48" i="12"/>
  <c r="AP48" i="12"/>
  <c r="R48" i="12"/>
  <c r="P48" i="12"/>
  <c r="O48" i="12"/>
  <c r="A48" i="12"/>
  <c r="HK47" i="12"/>
  <c r="GY47" i="12"/>
  <c r="GX47" i="12"/>
  <c r="GW47" i="12"/>
  <c r="GV47" i="12"/>
  <c r="GL47" i="12"/>
  <c r="GJ47" i="12"/>
  <c r="GI47" i="12"/>
  <c r="GH47" i="12"/>
  <c r="GA47" i="12"/>
  <c r="FZ47" i="12"/>
  <c r="FY47" i="12"/>
  <c r="FI47" i="12"/>
  <c r="FG47" i="12"/>
  <c r="FD47" i="12"/>
  <c r="FB47" i="12"/>
  <c r="FA47" i="12"/>
  <c r="EZ47" i="12"/>
  <c r="EY47" i="12"/>
  <c r="EX47" i="12"/>
  <c r="EV47" i="12"/>
  <c r="ET47" i="12"/>
  <c r="EO47" i="12"/>
  <c r="EN47" i="12"/>
  <c r="EM47" i="12"/>
  <c r="DY47" i="12"/>
  <c r="DX47" i="12"/>
  <c r="DW47" i="12"/>
  <c r="DO47" i="12"/>
  <c r="DN47" i="12"/>
  <c r="DM47" i="12"/>
  <c r="DL47" i="12"/>
  <c r="DK47" i="12"/>
  <c r="DJ47" i="12"/>
  <c r="DI47" i="12"/>
  <c r="DH47" i="12"/>
  <c r="DF47" i="12"/>
  <c r="DC47" i="12"/>
  <c r="DB47" i="12"/>
  <c r="DQ47" i="12" s="1"/>
  <c r="CZ47" i="12"/>
  <c r="CY47" i="12"/>
  <c r="CX47" i="12"/>
  <c r="CW47" i="12"/>
  <c r="CV47" i="12"/>
  <c r="CU47" i="12"/>
  <c r="CT47" i="12"/>
  <c r="CS47" i="12"/>
  <c r="CR47" i="12"/>
  <c r="CQ47" i="12"/>
  <c r="CP47" i="12"/>
  <c r="CO47" i="12"/>
  <c r="CN47" i="12"/>
  <c r="CM47" i="12"/>
  <c r="CJ47" i="12"/>
  <c r="CI47" i="12"/>
  <c r="BU47" i="12"/>
  <c r="BS47" i="12"/>
  <c r="BP47" i="12"/>
  <c r="BN47" i="12"/>
  <c r="BM47" i="12"/>
  <c r="BL47" i="12"/>
  <c r="BK47" i="12"/>
  <c r="BJ47" i="12"/>
  <c r="BH47" i="12"/>
  <c r="BF47" i="12"/>
  <c r="BC47" i="12"/>
  <c r="BA47" i="12"/>
  <c r="AZ47" i="12"/>
  <c r="AY47" i="12"/>
  <c r="AR47" i="12"/>
  <c r="AQ47" i="12"/>
  <c r="AP47" i="12"/>
  <c r="R47" i="12"/>
  <c r="P47" i="12"/>
  <c r="O47" i="12"/>
  <c r="A47" i="12"/>
  <c r="HK46" i="12"/>
  <c r="GY46" i="12"/>
  <c r="GX46" i="12"/>
  <c r="GW46" i="12"/>
  <c r="GV46" i="12"/>
  <c r="GL46" i="12"/>
  <c r="GJ46" i="12"/>
  <c r="GI46" i="12"/>
  <c r="GH46" i="12"/>
  <c r="GA46" i="12"/>
  <c r="FZ46" i="12"/>
  <c r="FY46" i="12"/>
  <c r="FI46" i="12"/>
  <c r="FG46" i="12"/>
  <c r="FD46" i="12"/>
  <c r="FB46" i="12"/>
  <c r="FA46" i="12"/>
  <c r="EZ46" i="12"/>
  <c r="EY46" i="12"/>
  <c r="EX46" i="12"/>
  <c r="EV46" i="12"/>
  <c r="ET46" i="12"/>
  <c r="EO46" i="12"/>
  <c r="EN46" i="12"/>
  <c r="EM46" i="12"/>
  <c r="DY46" i="12"/>
  <c r="DX46" i="12"/>
  <c r="DW46" i="12"/>
  <c r="DO46" i="12"/>
  <c r="DN46" i="12"/>
  <c r="DM46" i="12"/>
  <c r="DL46" i="12"/>
  <c r="DK46" i="12"/>
  <c r="DJ46" i="12"/>
  <c r="DI46" i="12"/>
  <c r="DH46" i="12"/>
  <c r="DF46" i="12"/>
  <c r="DC46" i="12"/>
  <c r="DB46" i="12"/>
  <c r="DQ46" i="12" s="1"/>
  <c r="CZ46" i="12"/>
  <c r="CY46" i="12"/>
  <c r="CX46" i="12"/>
  <c r="CW46" i="12"/>
  <c r="CV46" i="12"/>
  <c r="CU46" i="12"/>
  <c r="CT46" i="12"/>
  <c r="CS46" i="12"/>
  <c r="CR46" i="12"/>
  <c r="CQ46" i="12"/>
  <c r="CP46" i="12"/>
  <c r="CO46" i="12"/>
  <c r="CN46" i="12"/>
  <c r="CM46" i="12"/>
  <c r="CJ46" i="12"/>
  <c r="CI46" i="12"/>
  <c r="BU46" i="12"/>
  <c r="BS46" i="12"/>
  <c r="BP46" i="12"/>
  <c r="BN46" i="12"/>
  <c r="BM46" i="12"/>
  <c r="BL46" i="12"/>
  <c r="BK46" i="12"/>
  <c r="BJ46" i="12"/>
  <c r="BH46" i="12"/>
  <c r="BF46" i="12"/>
  <c r="BC46" i="12"/>
  <c r="BA46" i="12"/>
  <c r="AZ46" i="12"/>
  <c r="AY46" i="12"/>
  <c r="AR46" i="12"/>
  <c r="AQ46" i="12"/>
  <c r="AP46" i="12"/>
  <c r="R46" i="12"/>
  <c r="P46" i="12"/>
  <c r="O46" i="12"/>
  <c r="A46" i="12"/>
  <c r="HK45" i="12"/>
  <c r="GY45" i="12"/>
  <c r="GX45" i="12"/>
  <c r="GW45" i="12"/>
  <c r="GV45" i="12"/>
  <c r="GL45" i="12"/>
  <c r="GJ45" i="12"/>
  <c r="GI45" i="12"/>
  <c r="GH45" i="12"/>
  <c r="GA45" i="12"/>
  <c r="FZ45" i="12"/>
  <c r="FY45" i="12"/>
  <c r="FI45" i="12"/>
  <c r="FG45" i="12"/>
  <c r="FD45" i="12"/>
  <c r="FB45" i="12"/>
  <c r="FA45" i="12"/>
  <c r="EZ45" i="12"/>
  <c r="EY45" i="12"/>
  <c r="EX45" i="12"/>
  <c r="EV45" i="12"/>
  <c r="ET45" i="12"/>
  <c r="EO45" i="12"/>
  <c r="EN45" i="12"/>
  <c r="EM45" i="12"/>
  <c r="DY45" i="12"/>
  <c r="DX45" i="12"/>
  <c r="DW45" i="12"/>
  <c r="DO45" i="12"/>
  <c r="DN45" i="12"/>
  <c r="DM45" i="12"/>
  <c r="DL45" i="12"/>
  <c r="DK45" i="12"/>
  <c r="DJ45" i="12"/>
  <c r="DI45" i="12"/>
  <c r="DH45" i="12"/>
  <c r="DF45" i="12"/>
  <c r="DC45" i="12"/>
  <c r="DB45" i="12"/>
  <c r="DQ45" i="12" s="1"/>
  <c r="CZ45" i="12"/>
  <c r="CY45" i="12"/>
  <c r="CX45" i="12"/>
  <c r="CW45" i="12"/>
  <c r="CV45" i="12"/>
  <c r="CU45" i="12"/>
  <c r="CT45" i="12"/>
  <c r="CS45" i="12"/>
  <c r="CR45" i="12"/>
  <c r="CQ45" i="12"/>
  <c r="CP45" i="12"/>
  <c r="CO45" i="12"/>
  <c r="CN45" i="12"/>
  <c r="CM45" i="12"/>
  <c r="CJ45" i="12"/>
  <c r="CI45" i="12"/>
  <c r="BU45" i="12"/>
  <c r="BS45" i="12"/>
  <c r="BP45" i="12"/>
  <c r="BN45" i="12"/>
  <c r="BM45" i="12"/>
  <c r="BL45" i="12"/>
  <c r="BK45" i="12"/>
  <c r="BJ45" i="12"/>
  <c r="BH45" i="12"/>
  <c r="BF45" i="12"/>
  <c r="BC45" i="12"/>
  <c r="BA45" i="12"/>
  <c r="AZ45" i="12"/>
  <c r="AY45" i="12"/>
  <c r="AR45" i="12"/>
  <c r="AQ45" i="12"/>
  <c r="AP45" i="12"/>
  <c r="R45" i="12"/>
  <c r="P45" i="12"/>
  <c r="O45" i="12"/>
  <c r="A45" i="12"/>
  <c r="HK44" i="12"/>
  <c r="GY44" i="12"/>
  <c r="GX44" i="12"/>
  <c r="GW44" i="12"/>
  <c r="GV44" i="12"/>
  <c r="GL44" i="12"/>
  <c r="GJ44" i="12"/>
  <c r="GI44" i="12"/>
  <c r="GH44" i="12"/>
  <c r="GA44" i="12"/>
  <c r="FZ44" i="12"/>
  <c r="FY44" i="12"/>
  <c r="FI44" i="12"/>
  <c r="FG44" i="12"/>
  <c r="FD44" i="12"/>
  <c r="FB44" i="12"/>
  <c r="FA44" i="12"/>
  <c r="EZ44" i="12"/>
  <c r="EY44" i="12"/>
  <c r="EX44" i="12"/>
  <c r="EV44" i="12"/>
  <c r="ET44" i="12"/>
  <c r="EO44" i="12"/>
  <c r="EN44" i="12"/>
  <c r="EM44" i="12"/>
  <c r="DY44" i="12"/>
  <c r="DX44" i="12"/>
  <c r="DW44" i="12"/>
  <c r="DO44" i="12"/>
  <c r="DN44" i="12"/>
  <c r="DM44" i="12"/>
  <c r="DL44" i="12"/>
  <c r="DK44" i="12"/>
  <c r="DJ44" i="12"/>
  <c r="DI44" i="12"/>
  <c r="DH44" i="12"/>
  <c r="DF44" i="12"/>
  <c r="DC44" i="12"/>
  <c r="DB44" i="12"/>
  <c r="DQ44" i="12" s="1"/>
  <c r="CZ44" i="12"/>
  <c r="CY44" i="12"/>
  <c r="CX44" i="12"/>
  <c r="CW44" i="12"/>
  <c r="CV44" i="12"/>
  <c r="CU44" i="12"/>
  <c r="CT44" i="12"/>
  <c r="CS44" i="12"/>
  <c r="CR44" i="12"/>
  <c r="CQ44" i="12"/>
  <c r="CP44" i="12"/>
  <c r="CO44" i="12"/>
  <c r="CN44" i="12"/>
  <c r="CM44" i="12"/>
  <c r="CJ44" i="12"/>
  <c r="CI44" i="12"/>
  <c r="BU44" i="12"/>
  <c r="BS44" i="12"/>
  <c r="BP44" i="12"/>
  <c r="BN44" i="12"/>
  <c r="BM44" i="12"/>
  <c r="BL44" i="12"/>
  <c r="BK44" i="12"/>
  <c r="BJ44" i="12"/>
  <c r="BH44" i="12"/>
  <c r="BF44" i="12"/>
  <c r="BC44" i="12"/>
  <c r="BA44" i="12"/>
  <c r="AZ44" i="12"/>
  <c r="AY44" i="12"/>
  <c r="AR44" i="12"/>
  <c r="AQ44" i="12"/>
  <c r="AP44" i="12"/>
  <c r="R44" i="12"/>
  <c r="P44" i="12"/>
  <c r="O44" i="12"/>
  <c r="A44" i="12"/>
  <c r="HK43" i="12"/>
  <c r="GY43" i="12"/>
  <c r="GX43" i="12"/>
  <c r="GW43" i="12"/>
  <c r="GV43" i="12"/>
  <c r="GL43" i="12"/>
  <c r="GJ43" i="12"/>
  <c r="GI43" i="12"/>
  <c r="GH43" i="12"/>
  <c r="GA43" i="12"/>
  <c r="FZ43" i="12"/>
  <c r="FY43" i="12"/>
  <c r="FI43" i="12"/>
  <c r="FG43" i="12"/>
  <c r="FD43" i="12"/>
  <c r="FB43" i="12"/>
  <c r="FA43" i="12"/>
  <c r="EZ43" i="12"/>
  <c r="EY43" i="12"/>
  <c r="EX43" i="12"/>
  <c r="EV43" i="12"/>
  <c r="ET43" i="12"/>
  <c r="EO43" i="12"/>
  <c r="EN43" i="12"/>
  <c r="EM43" i="12"/>
  <c r="DY43" i="12"/>
  <c r="DX43" i="12"/>
  <c r="DW43" i="12"/>
  <c r="DO43" i="12"/>
  <c r="DN43" i="12"/>
  <c r="DM43" i="12"/>
  <c r="DL43" i="12"/>
  <c r="DK43" i="12"/>
  <c r="DJ43" i="12"/>
  <c r="DI43" i="12"/>
  <c r="DH43" i="12"/>
  <c r="DF43" i="12"/>
  <c r="DC43" i="12"/>
  <c r="DB43" i="12"/>
  <c r="CZ43" i="12"/>
  <c r="CY43" i="12"/>
  <c r="CX43" i="12"/>
  <c r="CW43" i="12"/>
  <c r="CV43" i="12"/>
  <c r="CU43" i="12"/>
  <c r="CT43" i="12"/>
  <c r="CS43" i="12"/>
  <c r="CR43" i="12"/>
  <c r="CQ43" i="12"/>
  <c r="CP43" i="12"/>
  <c r="CO43" i="12"/>
  <c r="CN43" i="12"/>
  <c r="CM43" i="12"/>
  <c r="CJ43" i="12"/>
  <c r="CI43" i="12"/>
  <c r="BU43" i="12"/>
  <c r="BS43" i="12"/>
  <c r="BP43" i="12"/>
  <c r="BN43" i="12"/>
  <c r="BM43" i="12"/>
  <c r="BL43" i="12"/>
  <c r="BK43" i="12"/>
  <c r="BJ43" i="12"/>
  <c r="BH43" i="12"/>
  <c r="BF43" i="12"/>
  <c r="BC43" i="12"/>
  <c r="BA43" i="12"/>
  <c r="AZ43" i="12"/>
  <c r="AY43" i="12"/>
  <c r="AR43" i="12"/>
  <c r="AQ43" i="12"/>
  <c r="AP43" i="12"/>
  <c r="R43" i="12"/>
  <c r="P43" i="12"/>
  <c r="O43" i="12"/>
  <c r="A43" i="12"/>
  <c r="HK42" i="12"/>
  <c r="GY42" i="12"/>
  <c r="GX42" i="12"/>
  <c r="GW42" i="12"/>
  <c r="GV42" i="12"/>
  <c r="GL42" i="12"/>
  <c r="GJ42" i="12"/>
  <c r="GI42" i="12"/>
  <c r="GH42" i="12"/>
  <c r="GA42" i="12"/>
  <c r="FZ42" i="12"/>
  <c r="FY42" i="12"/>
  <c r="FI42" i="12"/>
  <c r="FG42" i="12"/>
  <c r="FD42" i="12"/>
  <c r="FB42" i="12"/>
  <c r="FA42" i="12"/>
  <c r="EZ42" i="12"/>
  <c r="EY42" i="12"/>
  <c r="EX42" i="12"/>
  <c r="EV42" i="12"/>
  <c r="ET42" i="12"/>
  <c r="EO42" i="12"/>
  <c r="EN42" i="12"/>
  <c r="EM42" i="12"/>
  <c r="DY42" i="12"/>
  <c r="DX42" i="12"/>
  <c r="DW42" i="12"/>
  <c r="DO42" i="12"/>
  <c r="DN42" i="12"/>
  <c r="DM42" i="12"/>
  <c r="DL42" i="12"/>
  <c r="DK42" i="12"/>
  <c r="DJ42" i="12"/>
  <c r="DI42" i="12"/>
  <c r="DH42" i="12"/>
  <c r="DF42" i="12"/>
  <c r="DC42" i="12"/>
  <c r="DB42" i="12"/>
  <c r="DQ42" i="12" s="1"/>
  <c r="CZ42" i="12"/>
  <c r="CY42" i="12"/>
  <c r="CX42" i="12"/>
  <c r="CW42" i="12"/>
  <c r="CV42" i="12"/>
  <c r="CU42" i="12"/>
  <c r="CT42" i="12"/>
  <c r="CS42" i="12"/>
  <c r="CR42" i="12"/>
  <c r="CQ42" i="12"/>
  <c r="CP42" i="12"/>
  <c r="CO42" i="12"/>
  <c r="CN42" i="12"/>
  <c r="CM42" i="12"/>
  <c r="CJ42" i="12"/>
  <c r="CI42" i="12"/>
  <c r="BU42" i="12"/>
  <c r="BS42" i="12"/>
  <c r="BP42" i="12"/>
  <c r="BN42" i="12"/>
  <c r="BM42" i="12"/>
  <c r="BL42" i="12"/>
  <c r="BK42" i="12"/>
  <c r="BJ42" i="12"/>
  <c r="BH42" i="12"/>
  <c r="BF42" i="12"/>
  <c r="BC42" i="12"/>
  <c r="BA42" i="12"/>
  <c r="AZ42" i="12"/>
  <c r="AY42" i="12"/>
  <c r="AR42" i="12"/>
  <c r="AQ42" i="12"/>
  <c r="AP42" i="12"/>
  <c r="R42" i="12"/>
  <c r="P42" i="12"/>
  <c r="O42" i="12"/>
  <c r="A42" i="12"/>
  <c r="HK41" i="12"/>
  <c r="GY41" i="12"/>
  <c r="GX41" i="12"/>
  <c r="GW41" i="12"/>
  <c r="GV41" i="12"/>
  <c r="GL41" i="12"/>
  <c r="GJ41" i="12"/>
  <c r="GI41" i="12"/>
  <c r="GH41" i="12"/>
  <c r="GA41" i="12"/>
  <c r="FZ41" i="12"/>
  <c r="FY41" i="12"/>
  <c r="FG41" i="12"/>
  <c r="FD41" i="12"/>
  <c r="FB41" i="12"/>
  <c r="FA41" i="12"/>
  <c r="EZ41" i="12"/>
  <c r="EY41" i="12"/>
  <c r="EX41" i="12"/>
  <c r="EV41" i="12"/>
  <c r="ET41" i="12"/>
  <c r="EO41" i="12"/>
  <c r="EN41" i="12"/>
  <c r="EM41" i="12"/>
  <c r="DY41" i="12"/>
  <c r="DX41" i="12"/>
  <c r="DW41" i="12"/>
  <c r="DO41" i="12"/>
  <c r="DN41" i="12"/>
  <c r="DM41" i="12"/>
  <c r="DL41" i="12"/>
  <c r="DK41" i="12"/>
  <c r="DJ41" i="12"/>
  <c r="DI41" i="12"/>
  <c r="DH41" i="12"/>
  <c r="DF41" i="12"/>
  <c r="DC41" i="12"/>
  <c r="DB41" i="12"/>
  <c r="DQ41" i="12" s="1"/>
  <c r="CZ41" i="12"/>
  <c r="CY41" i="12"/>
  <c r="CX41" i="12"/>
  <c r="CW41" i="12"/>
  <c r="CV41" i="12"/>
  <c r="CU41" i="12"/>
  <c r="CT41" i="12"/>
  <c r="CS41" i="12"/>
  <c r="CR41" i="12"/>
  <c r="CQ41" i="12"/>
  <c r="CP41" i="12"/>
  <c r="CO41" i="12"/>
  <c r="CN41" i="12"/>
  <c r="CM41" i="12"/>
  <c r="CJ41" i="12"/>
  <c r="CI41" i="12"/>
  <c r="BU41" i="12"/>
  <c r="BS41" i="12"/>
  <c r="BP41" i="12"/>
  <c r="BN41" i="12"/>
  <c r="BM41" i="12"/>
  <c r="BL41" i="12"/>
  <c r="BK41" i="12"/>
  <c r="BJ41" i="12"/>
  <c r="BH41" i="12"/>
  <c r="BF41" i="12"/>
  <c r="BC41" i="12"/>
  <c r="BA41" i="12"/>
  <c r="AZ41" i="12"/>
  <c r="AY41" i="12"/>
  <c r="AR41" i="12"/>
  <c r="AQ41" i="12"/>
  <c r="AP41" i="12"/>
  <c r="R41" i="12"/>
  <c r="P41" i="12"/>
  <c r="O41" i="12"/>
  <c r="A41" i="12"/>
  <c r="HK40" i="12"/>
  <c r="GY40" i="12"/>
  <c r="GX40" i="12"/>
  <c r="GW40" i="12"/>
  <c r="GV40" i="12"/>
  <c r="GL40" i="12"/>
  <c r="GJ40" i="12"/>
  <c r="GI40" i="12"/>
  <c r="GH40" i="12"/>
  <c r="GA40" i="12"/>
  <c r="FZ40" i="12"/>
  <c r="FY40" i="12"/>
  <c r="FG40" i="12"/>
  <c r="FD40" i="12"/>
  <c r="FB40" i="12"/>
  <c r="FA40" i="12"/>
  <c r="EZ40" i="12"/>
  <c r="EY40" i="12"/>
  <c r="EX40" i="12"/>
  <c r="EV40" i="12"/>
  <c r="ET40" i="12"/>
  <c r="EO40" i="12"/>
  <c r="EN40" i="12"/>
  <c r="EM40" i="12"/>
  <c r="DY40" i="12"/>
  <c r="DX40" i="12"/>
  <c r="DW40" i="12"/>
  <c r="DO40" i="12"/>
  <c r="DN40" i="12"/>
  <c r="DM40" i="12"/>
  <c r="DL40" i="12"/>
  <c r="DK40" i="12"/>
  <c r="DJ40" i="12"/>
  <c r="DI40" i="12"/>
  <c r="DH40" i="12"/>
  <c r="DF40" i="12"/>
  <c r="DC40" i="12"/>
  <c r="DB40" i="12"/>
  <c r="DQ40" i="12" s="1"/>
  <c r="CZ40" i="12"/>
  <c r="CY40" i="12"/>
  <c r="CX40" i="12"/>
  <c r="CW40" i="12"/>
  <c r="CV40" i="12"/>
  <c r="CU40" i="12"/>
  <c r="CT40" i="12"/>
  <c r="CS40" i="12"/>
  <c r="CR40" i="12"/>
  <c r="CQ40" i="12"/>
  <c r="CP40" i="12"/>
  <c r="CO40" i="12"/>
  <c r="CN40" i="12"/>
  <c r="CM40" i="12"/>
  <c r="CJ40" i="12"/>
  <c r="CI40" i="12"/>
  <c r="BU40" i="12"/>
  <c r="BS40" i="12"/>
  <c r="BP40" i="12"/>
  <c r="BN40" i="12"/>
  <c r="BM40" i="12"/>
  <c r="BL40" i="12"/>
  <c r="BK40" i="12"/>
  <c r="BJ40" i="12"/>
  <c r="BH40" i="12"/>
  <c r="BF40" i="12"/>
  <c r="BC40" i="12"/>
  <c r="BA40" i="12"/>
  <c r="AZ40" i="12"/>
  <c r="AY40" i="12"/>
  <c r="AR40" i="12"/>
  <c r="AQ40" i="12"/>
  <c r="AP40" i="12"/>
  <c r="R40" i="12"/>
  <c r="P40" i="12"/>
  <c r="O40" i="12"/>
  <c r="A40" i="12"/>
  <c r="HK39" i="12"/>
  <c r="GY39" i="12"/>
  <c r="GX39" i="12"/>
  <c r="GW39" i="12"/>
  <c r="GV39" i="12"/>
  <c r="GL39" i="12"/>
  <c r="GJ39" i="12"/>
  <c r="GI39" i="12"/>
  <c r="GH39" i="12"/>
  <c r="GA39" i="12"/>
  <c r="FZ39" i="12"/>
  <c r="FY39" i="12"/>
  <c r="FG39" i="12"/>
  <c r="FD39" i="12"/>
  <c r="FB39" i="12"/>
  <c r="FA39" i="12"/>
  <c r="EZ39" i="12"/>
  <c r="EY39" i="12"/>
  <c r="EX39" i="12"/>
  <c r="EV39" i="12"/>
  <c r="ET39" i="12"/>
  <c r="EO39" i="12"/>
  <c r="EN39" i="12"/>
  <c r="EM39" i="12"/>
  <c r="DY39" i="12"/>
  <c r="DX39" i="12"/>
  <c r="DW39" i="12"/>
  <c r="DO39" i="12"/>
  <c r="DN39" i="12"/>
  <c r="DM39" i="12"/>
  <c r="DL39" i="12"/>
  <c r="DK39" i="12"/>
  <c r="DJ39" i="12"/>
  <c r="DI39" i="12"/>
  <c r="DH39" i="12"/>
  <c r="DF39" i="12"/>
  <c r="DC39" i="12"/>
  <c r="DB39" i="12"/>
  <c r="DQ39" i="12" s="1"/>
  <c r="CZ39" i="12"/>
  <c r="CY39" i="12"/>
  <c r="CX39" i="12"/>
  <c r="CW39" i="12"/>
  <c r="CV39" i="12"/>
  <c r="CU39" i="12"/>
  <c r="CT39" i="12"/>
  <c r="CS39" i="12"/>
  <c r="CR39" i="12"/>
  <c r="CQ39" i="12"/>
  <c r="CP39" i="12"/>
  <c r="CO39" i="12"/>
  <c r="CN39" i="12"/>
  <c r="CM39" i="12"/>
  <c r="CJ39" i="12"/>
  <c r="CI39" i="12"/>
  <c r="BU39" i="12"/>
  <c r="BS39" i="12"/>
  <c r="BP39" i="12"/>
  <c r="BN39" i="12"/>
  <c r="BM39" i="12"/>
  <c r="BL39" i="12"/>
  <c r="BK39" i="12"/>
  <c r="BJ39" i="12"/>
  <c r="BH39" i="12"/>
  <c r="BF39" i="12"/>
  <c r="BC39" i="12"/>
  <c r="BA39" i="12"/>
  <c r="AZ39" i="12"/>
  <c r="AY39" i="12"/>
  <c r="AR39" i="12"/>
  <c r="AQ39" i="12"/>
  <c r="AP39" i="12"/>
  <c r="R39" i="12"/>
  <c r="P39" i="12"/>
  <c r="O39" i="12"/>
  <c r="A39" i="12"/>
  <c r="HK38" i="12"/>
  <c r="GY38" i="12"/>
  <c r="GX38" i="12"/>
  <c r="GW38" i="12"/>
  <c r="GV38" i="12"/>
  <c r="GL38" i="12"/>
  <c r="GJ38" i="12"/>
  <c r="GI38" i="12"/>
  <c r="GH38" i="12"/>
  <c r="GA38" i="12"/>
  <c r="FZ38" i="12"/>
  <c r="FY38" i="12"/>
  <c r="FG38" i="12"/>
  <c r="FD38" i="12"/>
  <c r="FB38" i="12"/>
  <c r="FA38" i="12"/>
  <c r="EZ38" i="12"/>
  <c r="EY38" i="12"/>
  <c r="EX38" i="12"/>
  <c r="EV38" i="12"/>
  <c r="ET38" i="12"/>
  <c r="EO38" i="12"/>
  <c r="EM38" i="12"/>
  <c r="DY38" i="12"/>
  <c r="DX38" i="12"/>
  <c r="DW38" i="12"/>
  <c r="DO38" i="12"/>
  <c r="DN38" i="12"/>
  <c r="DM38" i="12"/>
  <c r="DL38" i="12"/>
  <c r="DK38" i="12"/>
  <c r="DJ38" i="12"/>
  <c r="DI38" i="12"/>
  <c r="DH38" i="12"/>
  <c r="DF38" i="12"/>
  <c r="DC38" i="12"/>
  <c r="DB38" i="12"/>
  <c r="CZ38" i="12"/>
  <c r="CY38" i="12"/>
  <c r="CX38" i="12"/>
  <c r="CW38" i="12"/>
  <c r="CV38" i="12"/>
  <c r="CU38" i="12"/>
  <c r="CT38" i="12"/>
  <c r="CS38" i="12"/>
  <c r="CR38" i="12"/>
  <c r="CQ38" i="12"/>
  <c r="CP38" i="12"/>
  <c r="CO38" i="12"/>
  <c r="CN38" i="12"/>
  <c r="CM38" i="12"/>
  <c r="CJ38" i="12"/>
  <c r="CI38" i="12"/>
  <c r="BU38" i="12"/>
  <c r="BS38" i="12"/>
  <c r="BP38" i="12"/>
  <c r="BN38" i="12"/>
  <c r="BM38" i="12"/>
  <c r="BL38" i="12"/>
  <c r="BK38" i="12"/>
  <c r="BJ38" i="12"/>
  <c r="BH38" i="12"/>
  <c r="BF38" i="12"/>
  <c r="BC38" i="12"/>
  <c r="BA38" i="12"/>
  <c r="AZ38" i="12"/>
  <c r="AY38" i="12"/>
  <c r="AR38" i="12"/>
  <c r="AQ38" i="12"/>
  <c r="AP38" i="12"/>
  <c r="R38" i="12"/>
  <c r="P38" i="12"/>
  <c r="O38" i="12"/>
  <c r="A38" i="12"/>
  <c r="HK37" i="12"/>
  <c r="GY37" i="12"/>
  <c r="GX37" i="12"/>
  <c r="GW37" i="12"/>
  <c r="GV37" i="12"/>
  <c r="GL37" i="12"/>
  <c r="GJ37" i="12"/>
  <c r="GI37" i="12"/>
  <c r="GH37" i="12"/>
  <c r="GA37" i="12"/>
  <c r="FZ37" i="12"/>
  <c r="FY37" i="12"/>
  <c r="FG37" i="12"/>
  <c r="FD37" i="12"/>
  <c r="FB37" i="12"/>
  <c r="FA37" i="12"/>
  <c r="EZ37" i="12"/>
  <c r="EY37" i="12"/>
  <c r="EX37" i="12"/>
  <c r="EV37" i="12"/>
  <c r="ET37" i="12"/>
  <c r="EO37" i="12"/>
  <c r="EM37" i="12"/>
  <c r="DY37" i="12"/>
  <c r="DX37" i="12"/>
  <c r="DW37" i="12"/>
  <c r="DO37" i="12"/>
  <c r="DN37" i="12"/>
  <c r="DM37" i="12"/>
  <c r="DL37" i="12"/>
  <c r="DK37" i="12"/>
  <c r="DJ37" i="12"/>
  <c r="DI37" i="12"/>
  <c r="DH37" i="12"/>
  <c r="DF37" i="12"/>
  <c r="DC37" i="12"/>
  <c r="DB37" i="12"/>
  <c r="DQ37" i="12" s="1"/>
  <c r="CZ37" i="12"/>
  <c r="CY37" i="12"/>
  <c r="CX37" i="12"/>
  <c r="CW37" i="12"/>
  <c r="CV37" i="12"/>
  <c r="CU37" i="12"/>
  <c r="CT37" i="12"/>
  <c r="CS37" i="12"/>
  <c r="CR37" i="12"/>
  <c r="CQ37" i="12"/>
  <c r="CP37" i="12"/>
  <c r="CO37" i="12"/>
  <c r="CN37" i="12"/>
  <c r="CM37" i="12"/>
  <c r="BU37" i="12"/>
  <c r="BS37" i="12"/>
  <c r="BP37" i="12"/>
  <c r="BN37" i="12"/>
  <c r="BM37" i="12"/>
  <c r="BL37" i="12"/>
  <c r="BK37" i="12"/>
  <c r="BJ37" i="12"/>
  <c r="BH37" i="12"/>
  <c r="BF37" i="12"/>
  <c r="BC37" i="12"/>
  <c r="BA37" i="12"/>
  <c r="AZ37" i="12"/>
  <c r="AY37" i="12"/>
  <c r="AR37" i="12"/>
  <c r="AQ37" i="12"/>
  <c r="AP37" i="12"/>
  <c r="T37" i="12"/>
  <c r="R37" i="12"/>
  <c r="P37" i="12"/>
  <c r="O37" i="12"/>
  <c r="A37" i="12"/>
  <c r="HK36" i="12"/>
  <c r="GY36" i="12"/>
  <c r="GX36" i="12"/>
  <c r="GW36" i="12"/>
  <c r="GV36" i="12"/>
  <c r="GL36" i="12"/>
  <c r="GJ36" i="12"/>
  <c r="GI36" i="12"/>
  <c r="GH36" i="12"/>
  <c r="GA36" i="12"/>
  <c r="FZ36" i="12"/>
  <c r="FY36" i="12"/>
  <c r="FH36" i="12"/>
  <c r="FG36" i="12"/>
  <c r="FD36" i="12"/>
  <c r="FB36" i="12"/>
  <c r="FA36" i="12"/>
  <c r="EZ36" i="12"/>
  <c r="EY36" i="12"/>
  <c r="EX36" i="12"/>
  <c r="EW36" i="12"/>
  <c r="EV36" i="12"/>
  <c r="EU36" i="12"/>
  <c r="ET36" i="12"/>
  <c r="ES36" i="12"/>
  <c r="EQ36" i="12"/>
  <c r="EP36" i="12"/>
  <c r="EO36" i="12"/>
  <c r="EN36" i="12"/>
  <c r="EM36" i="12"/>
  <c r="EL36" i="12"/>
  <c r="DY36" i="12"/>
  <c r="DM36" i="12"/>
  <c r="DL36" i="12"/>
  <c r="DK36" i="12"/>
  <c r="DJ36" i="12"/>
  <c r="CZ36" i="12"/>
  <c r="CX36" i="12"/>
  <c r="CW36" i="12"/>
  <c r="CV36" i="12"/>
  <c r="CO36" i="12"/>
  <c r="CN36" i="12"/>
  <c r="CM36" i="12"/>
  <c r="BU36" i="12"/>
  <c r="BS36" i="12"/>
  <c r="BP36" i="12"/>
  <c r="BN36" i="12"/>
  <c r="BM36" i="12"/>
  <c r="BL36" i="12"/>
  <c r="BK36" i="12"/>
  <c r="BJ36" i="12"/>
  <c r="BH36" i="12"/>
  <c r="BF36" i="12"/>
  <c r="BC36" i="12"/>
  <c r="BA36" i="12"/>
  <c r="AZ36" i="12"/>
  <c r="AY36" i="12"/>
  <c r="AR36" i="12"/>
  <c r="AQ36" i="12"/>
  <c r="AP36" i="12"/>
  <c r="R36" i="12"/>
  <c r="P36" i="12"/>
  <c r="O36" i="12"/>
  <c r="A36" i="12"/>
  <c r="HK35" i="12"/>
  <c r="GY35" i="12"/>
  <c r="GX35" i="12"/>
  <c r="GW35" i="12"/>
  <c r="GV35" i="12"/>
  <c r="GL35" i="12"/>
  <c r="GJ35" i="12"/>
  <c r="GI35" i="12"/>
  <c r="GH35" i="12"/>
  <c r="GA35" i="12"/>
  <c r="FZ35" i="12"/>
  <c r="FY35" i="12"/>
  <c r="FH35" i="12"/>
  <c r="FG35" i="12"/>
  <c r="FD35" i="12"/>
  <c r="FB35" i="12"/>
  <c r="FA35" i="12"/>
  <c r="EZ35" i="12"/>
  <c r="EY35" i="12"/>
  <c r="EX35" i="12"/>
  <c r="EW35" i="12"/>
  <c r="EV35" i="12"/>
  <c r="EU35" i="12"/>
  <c r="ET35" i="12"/>
  <c r="ES35" i="12"/>
  <c r="EQ35" i="12"/>
  <c r="EP35" i="12"/>
  <c r="EO35" i="12"/>
  <c r="EN35" i="12"/>
  <c r="EM35" i="12"/>
  <c r="EL35" i="12"/>
  <c r="DY35" i="12"/>
  <c r="DM35" i="12"/>
  <c r="DL35" i="12"/>
  <c r="DK35" i="12"/>
  <c r="DJ35" i="12"/>
  <c r="CZ35" i="12"/>
  <c r="CX35" i="12"/>
  <c r="CW35" i="12"/>
  <c r="CV35" i="12"/>
  <c r="CO35" i="12"/>
  <c r="CN35" i="12"/>
  <c r="CM35" i="12"/>
  <c r="BU35" i="12"/>
  <c r="BS35" i="12"/>
  <c r="BP35" i="12"/>
  <c r="BN35" i="12"/>
  <c r="BM35" i="12"/>
  <c r="BL35" i="12"/>
  <c r="BK35" i="12"/>
  <c r="BJ35" i="12"/>
  <c r="BH35" i="12"/>
  <c r="BF35" i="12"/>
  <c r="BC35" i="12"/>
  <c r="BA35" i="12"/>
  <c r="AZ35" i="12"/>
  <c r="AY35" i="12"/>
  <c r="AR35" i="12"/>
  <c r="AQ35" i="12"/>
  <c r="AP35" i="12"/>
  <c r="R35" i="12"/>
  <c r="P35" i="12"/>
  <c r="O35" i="12"/>
  <c r="A35" i="12"/>
  <c r="HK34" i="12"/>
  <c r="GY34" i="12"/>
  <c r="GX34" i="12"/>
  <c r="GW34" i="12"/>
  <c r="GV34" i="12"/>
  <c r="GL34" i="12"/>
  <c r="GJ34" i="12"/>
  <c r="GI34" i="12"/>
  <c r="GH34" i="12"/>
  <c r="GA34" i="12"/>
  <c r="FZ34" i="12"/>
  <c r="FY34" i="12"/>
  <c r="FH34" i="12"/>
  <c r="FG34" i="12"/>
  <c r="FD34" i="12"/>
  <c r="FB34" i="12"/>
  <c r="FA34" i="12"/>
  <c r="EZ34" i="12"/>
  <c r="EY34" i="12"/>
  <c r="EX34" i="12"/>
  <c r="EW34" i="12"/>
  <c r="EV34" i="12"/>
  <c r="EU34" i="12"/>
  <c r="ET34" i="12"/>
  <c r="ES34" i="12"/>
  <c r="EQ34" i="12"/>
  <c r="EP34" i="12"/>
  <c r="EO34" i="12"/>
  <c r="EN34" i="12"/>
  <c r="EM34" i="12"/>
  <c r="EL34" i="12"/>
  <c r="DY34" i="12"/>
  <c r="DM34" i="12"/>
  <c r="DL34" i="12"/>
  <c r="DK34" i="12"/>
  <c r="DJ34" i="12"/>
  <c r="CZ34" i="12"/>
  <c r="CX34" i="12"/>
  <c r="CW34" i="12"/>
  <c r="CV34" i="12"/>
  <c r="CO34" i="12"/>
  <c r="CN34" i="12"/>
  <c r="CM34" i="12"/>
  <c r="BU34" i="12"/>
  <c r="BS34" i="12"/>
  <c r="BP34" i="12"/>
  <c r="BN34" i="12"/>
  <c r="BM34" i="12"/>
  <c r="BL34" i="12"/>
  <c r="BK34" i="12"/>
  <c r="BJ34" i="12"/>
  <c r="BH34" i="12"/>
  <c r="BF34" i="12"/>
  <c r="BC34" i="12"/>
  <c r="BA34" i="12"/>
  <c r="AZ34" i="12"/>
  <c r="AY34" i="12"/>
  <c r="AR34" i="12"/>
  <c r="AQ34" i="12"/>
  <c r="AP34" i="12"/>
  <c r="R34" i="12"/>
  <c r="P34" i="12"/>
  <c r="O34" i="12"/>
  <c r="A34" i="12"/>
  <c r="HK33" i="12"/>
  <c r="GY33" i="12"/>
  <c r="GX33" i="12"/>
  <c r="GW33" i="12"/>
  <c r="GV33" i="12"/>
  <c r="GL33" i="12"/>
  <c r="GJ33" i="12"/>
  <c r="GI33" i="12"/>
  <c r="GH33" i="12"/>
  <c r="GA33" i="12"/>
  <c r="FZ33" i="12"/>
  <c r="FY33" i="12"/>
  <c r="FH33" i="12"/>
  <c r="FG33" i="12"/>
  <c r="FD33" i="12"/>
  <c r="FB33" i="12"/>
  <c r="FA33" i="12"/>
  <c r="EZ33" i="12"/>
  <c r="EY33" i="12"/>
  <c r="EX33" i="12"/>
  <c r="EW33" i="12"/>
  <c r="EV33" i="12"/>
  <c r="EU33" i="12"/>
  <c r="ET33" i="12"/>
  <c r="ES33" i="12"/>
  <c r="EQ33" i="12"/>
  <c r="EP33" i="12"/>
  <c r="EO33" i="12"/>
  <c r="EN33" i="12"/>
  <c r="EM33" i="12"/>
  <c r="EL33" i="12"/>
  <c r="DY33" i="12"/>
  <c r="DM33" i="12"/>
  <c r="DL33" i="12"/>
  <c r="DK33" i="12"/>
  <c r="DJ33" i="12"/>
  <c r="CZ33" i="12"/>
  <c r="CX33" i="12"/>
  <c r="CW33" i="12"/>
  <c r="CV33" i="12"/>
  <c r="CO33" i="12"/>
  <c r="CN33" i="12"/>
  <c r="CM33" i="12"/>
  <c r="BU33" i="12"/>
  <c r="BS33" i="12"/>
  <c r="BP33" i="12"/>
  <c r="BN33" i="12"/>
  <c r="BM33" i="12"/>
  <c r="BL33" i="12"/>
  <c r="BK33" i="12"/>
  <c r="BJ33" i="12"/>
  <c r="BH33" i="12"/>
  <c r="BF33" i="12"/>
  <c r="BC33" i="12"/>
  <c r="BA33" i="12"/>
  <c r="AZ33" i="12"/>
  <c r="AY33" i="12"/>
  <c r="AR33" i="12"/>
  <c r="AQ33" i="12"/>
  <c r="AP33" i="12"/>
  <c r="R33" i="12"/>
  <c r="P33" i="12"/>
  <c r="O33" i="12"/>
  <c r="A33" i="12"/>
  <c r="HK32" i="12"/>
  <c r="GY32" i="12"/>
  <c r="GX32" i="12"/>
  <c r="GW32" i="12"/>
  <c r="GV32" i="12"/>
  <c r="GL32" i="12"/>
  <c r="GJ32" i="12"/>
  <c r="GI32" i="12"/>
  <c r="GH32" i="12"/>
  <c r="GA32" i="12"/>
  <c r="FZ32" i="12"/>
  <c r="FY32" i="12"/>
  <c r="FH32" i="12"/>
  <c r="FG32" i="12"/>
  <c r="FD32" i="12"/>
  <c r="FB32" i="12"/>
  <c r="FA32" i="12"/>
  <c r="EZ32" i="12"/>
  <c r="EY32" i="12"/>
  <c r="EX32" i="12"/>
  <c r="EW32" i="12"/>
  <c r="EV32" i="12"/>
  <c r="EU32" i="12"/>
  <c r="ET32" i="12"/>
  <c r="ES32" i="12"/>
  <c r="EQ32" i="12"/>
  <c r="EP32" i="12"/>
  <c r="EO32" i="12"/>
  <c r="EN32" i="12"/>
  <c r="EM32" i="12"/>
  <c r="EL32" i="12"/>
  <c r="DY32" i="12"/>
  <c r="DM32" i="12"/>
  <c r="DL32" i="12"/>
  <c r="DK32" i="12"/>
  <c r="DJ32" i="12"/>
  <c r="CZ32" i="12"/>
  <c r="CX32" i="12"/>
  <c r="CW32" i="12"/>
  <c r="CV32" i="12"/>
  <c r="CO32" i="12"/>
  <c r="CN32" i="12"/>
  <c r="CM32" i="12"/>
  <c r="BU32" i="12"/>
  <c r="BS32" i="12"/>
  <c r="BP32" i="12"/>
  <c r="BN32" i="12"/>
  <c r="BM32" i="12"/>
  <c r="BL32" i="12"/>
  <c r="BK32" i="12"/>
  <c r="BJ32" i="12"/>
  <c r="BH32" i="12"/>
  <c r="BF32" i="12"/>
  <c r="BC32" i="12"/>
  <c r="BA32" i="12"/>
  <c r="AZ32" i="12"/>
  <c r="AY32" i="12"/>
  <c r="AR32" i="12"/>
  <c r="AQ32" i="12"/>
  <c r="AP32" i="12"/>
  <c r="R32" i="12"/>
  <c r="P32" i="12"/>
  <c r="O32" i="12"/>
  <c r="A32" i="12"/>
  <c r="HK31" i="12"/>
  <c r="GY31" i="12"/>
  <c r="GX31" i="12"/>
  <c r="GW31" i="12"/>
  <c r="GV31" i="12"/>
  <c r="GL31" i="12"/>
  <c r="GJ31" i="12"/>
  <c r="GI31" i="12"/>
  <c r="GH31" i="12"/>
  <c r="GA31" i="12"/>
  <c r="FZ31" i="12"/>
  <c r="FY31" i="12"/>
  <c r="FH31" i="12"/>
  <c r="FG31" i="12"/>
  <c r="FD31" i="12"/>
  <c r="FB31" i="12"/>
  <c r="FA31" i="12"/>
  <c r="EZ31" i="12"/>
  <c r="EY31" i="12"/>
  <c r="EX31" i="12"/>
  <c r="EW31" i="12"/>
  <c r="EV31" i="12"/>
  <c r="EU31" i="12"/>
  <c r="ET31" i="12"/>
  <c r="ES31" i="12"/>
  <c r="EQ31" i="12"/>
  <c r="EP31" i="12"/>
  <c r="EO31" i="12"/>
  <c r="EN31" i="12"/>
  <c r="EM31" i="12"/>
  <c r="EL31" i="12"/>
  <c r="DY31" i="12"/>
  <c r="DM31" i="12"/>
  <c r="DL31" i="12"/>
  <c r="DK31" i="12"/>
  <c r="DJ31" i="12"/>
  <c r="CZ31" i="12"/>
  <c r="CX31" i="12"/>
  <c r="CW31" i="12"/>
  <c r="CV31" i="12"/>
  <c r="CO31" i="12"/>
  <c r="CN31" i="12"/>
  <c r="CM31" i="12"/>
  <c r="BU31" i="12"/>
  <c r="BS31" i="12"/>
  <c r="BP31" i="12"/>
  <c r="BN31" i="12"/>
  <c r="BM31" i="12"/>
  <c r="BL31" i="12"/>
  <c r="BK31" i="12"/>
  <c r="BJ31" i="12"/>
  <c r="BH31" i="12"/>
  <c r="BF31" i="12"/>
  <c r="BA31" i="12"/>
  <c r="AZ31" i="12"/>
  <c r="AY31" i="12"/>
  <c r="AR31" i="12"/>
  <c r="AQ31" i="12"/>
  <c r="AP31" i="12"/>
  <c r="R31" i="12"/>
  <c r="P31" i="12"/>
  <c r="O31" i="12"/>
  <c r="A31" i="12"/>
  <c r="HK30" i="12"/>
  <c r="GY30" i="12"/>
  <c r="GX30" i="12"/>
  <c r="GW30" i="12"/>
  <c r="GV30" i="12"/>
  <c r="GL30" i="12"/>
  <c r="GJ30" i="12"/>
  <c r="GI30" i="12"/>
  <c r="GH30" i="12"/>
  <c r="GA30" i="12"/>
  <c r="FZ30" i="12"/>
  <c r="FY30" i="12"/>
  <c r="FH30" i="12"/>
  <c r="FG30" i="12"/>
  <c r="FD30" i="12"/>
  <c r="FB30" i="12"/>
  <c r="FA30" i="12"/>
  <c r="EZ30" i="12"/>
  <c r="EY30" i="12"/>
  <c r="EX30" i="12"/>
  <c r="EW30" i="12"/>
  <c r="EV30" i="12"/>
  <c r="EU30" i="12"/>
  <c r="ET30" i="12"/>
  <c r="ES30" i="12"/>
  <c r="EQ30" i="12"/>
  <c r="EP30" i="12"/>
  <c r="EO30" i="12"/>
  <c r="EN30" i="12"/>
  <c r="EM30" i="12"/>
  <c r="EL30" i="12"/>
  <c r="DY30" i="12"/>
  <c r="DM30" i="12"/>
  <c r="DL30" i="12"/>
  <c r="DK30" i="12"/>
  <c r="DJ30" i="12"/>
  <c r="CZ30" i="12"/>
  <c r="CX30" i="12"/>
  <c r="CW30" i="12"/>
  <c r="CV30" i="12"/>
  <c r="CO30" i="12"/>
  <c r="CN30" i="12"/>
  <c r="CM30" i="12"/>
  <c r="BU30" i="12"/>
  <c r="BS30" i="12"/>
  <c r="BP30" i="12"/>
  <c r="BN30" i="12"/>
  <c r="BM30" i="12"/>
  <c r="BL30" i="12"/>
  <c r="BK30" i="12"/>
  <c r="BJ30" i="12"/>
  <c r="BH30" i="12"/>
  <c r="BF30" i="12"/>
  <c r="BA30" i="12"/>
  <c r="AZ30" i="12"/>
  <c r="AY30" i="12"/>
  <c r="AR30" i="12"/>
  <c r="AQ30" i="12"/>
  <c r="AP30" i="12"/>
  <c r="R30" i="12"/>
  <c r="P30" i="12"/>
  <c r="O30" i="12"/>
  <c r="A30" i="12"/>
  <c r="HK29" i="12"/>
  <c r="GY29" i="12"/>
  <c r="GX29" i="12"/>
  <c r="GW29" i="12"/>
  <c r="GV29" i="12"/>
  <c r="GL29" i="12"/>
  <c r="GJ29" i="12"/>
  <c r="GI29" i="12"/>
  <c r="GH29" i="12"/>
  <c r="GA29" i="12"/>
  <c r="FZ29" i="12"/>
  <c r="FY29" i="12"/>
  <c r="FH29" i="12"/>
  <c r="FG29" i="12"/>
  <c r="FD29" i="12"/>
  <c r="FB29" i="12"/>
  <c r="FA29" i="12"/>
  <c r="EZ29" i="12"/>
  <c r="EY29" i="12"/>
  <c r="EX29" i="12"/>
  <c r="EW29" i="12"/>
  <c r="EV29" i="12"/>
  <c r="EU29" i="12"/>
  <c r="ET29" i="12"/>
  <c r="ES29" i="12"/>
  <c r="EQ29" i="12"/>
  <c r="EP29" i="12"/>
  <c r="EO29" i="12"/>
  <c r="EN29" i="12"/>
  <c r="EM29" i="12"/>
  <c r="EL29" i="12"/>
  <c r="DY29" i="12"/>
  <c r="DM29" i="12"/>
  <c r="DL29" i="12"/>
  <c r="DK29" i="12"/>
  <c r="DJ29" i="12"/>
  <c r="CZ29" i="12"/>
  <c r="CX29" i="12"/>
  <c r="CW29" i="12"/>
  <c r="CV29" i="12"/>
  <c r="CO29" i="12"/>
  <c r="CN29" i="12"/>
  <c r="CM29" i="12"/>
  <c r="BU29" i="12"/>
  <c r="BS29" i="12"/>
  <c r="BP29" i="12"/>
  <c r="BN29" i="12"/>
  <c r="BM29" i="12"/>
  <c r="BL29" i="12"/>
  <c r="BK29" i="12"/>
  <c r="BJ29" i="12"/>
  <c r="BH29" i="12"/>
  <c r="BF29" i="12"/>
  <c r="BA29" i="12"/>
  <c r="AZ29" i="12"/>
  <c r="AY29" i="12"/>
  <c r="AR29" i="12"/>
  <c r="AQ29" i="12"/>
  <c r="AP29" i="12"/>
  <c r="R29" i="12"/>
  <c r="O29" i="12"/>
  <c r="A29" i="12"/>
  <c r="HK28" i="12"/>
  <c r="GY28" i="12"/>
  <c r="GX28" i="12"/>
  <c r="GW28" i="12"/>
  <c r="GV28" i="12"/>
  <c r="GL28" i="12"/>
  <c r="GJ28" i="12"/>
  <c r="GI28" i="12"/>
  <c r="GH28" i="12"/>
  <c r="GA28" i="12"/>
  <c r="FZ28" i="12"/>
  <c r="FY28" i="12"/>
  <c r="FH28" i="12"/>
  <c r="FG28" i="12"/>
  <c r="FD28" i="12"/>
  <c r="FB28" i="12"/>
  <c r="FA28" i="12"/>
  <c r="EZ28" i="12"/>
  <c r="EY28" i="12"/>
  <c r="EX28" i="12"/>
  <c r="EW28" i="12"/>
  <c r="EV28" i="12"/>
  <c r="EU28" i="12"/>
  <c r="ET28" i="12"/>
  <c r="ES28" i="12"/>
  <c r="EQ28" i="12"/>
  <c r="EP28" i="12"/>
  <c r="EO28" i="12"/>
  <c r="EN28" i="12"/>
  <c r="EM28" i="12"/>
  <c r="EL28" i="12"/>
  <c r="DY28" i="12"/>
  <c r="DM28" i="12"/>
  <c r="DL28" i="12"/>
  <c r="DK28" i="12"/>
  <c r="DJ28" i="12"/>
  <c r="CZ28" i="12"/>
  <c r="CX28" i="12"/>
  <c r="CW28" i="12"/>
  <c r="CV28" i="12"/>
  <c r="CO28" i="12"/>
  <c r="CN28" i="12"/>
  <c r="CM28" i="12"/>
  <c r="BU28" i="12"/>
  <c r="BS28" i="12"/>
  <c r="BP28" i="12"/>
  <c r="BN28" i="12"/>
  <c r="BM28" i="12"/>
  <c r="BL28" i="12"/>
  <c r="BK28" i="12"/>
  <c r="BJ28" i="12"/>
  <c r="BH28" i="12"/>
  <c r="BF28" i="12"/>
  <c r="BA28" i="12"/>
  <c r="AZ28" i="12"/>
  <c r="AY28" i="12"/>
  <c r="AR28" i="12"/>
  <c r="AQ28" i="12"/>
  <c r="AP28" i="12"/>
  <c r="R28" i="12"/>
  <c r="O28" i="12"/>
  <c r="A28" i="12"/>
  <c r="HK27" i="12"/>
  <c r="GY27" i="12"/>
  <c r="GX27" i="12"/>
  <c r="GW27" i="12"/>
  <c r="GV27" i="12"/>
  <c r="GL27" i="12"/>
  <c r="GJ27" i="12"/>
  <c r="GI27" i="12"/>
  <c r="GH27" i="12"/>
  <c r="GA27" i="12"/>
  <c r="FZ27" i="12"/>
  <c r="FY27" i="12"/>
  <c r="FH27" i="12"/>
  <c r="FG27" i="12"/>
  <c r="FD27" i="12"/>
  <c r="FB27" i="12"/>
  <c r="FA27" i="12"/>
  <c r="EZ27" i="12"/>
  <c r="EY27" i="12"/>
  <c r="EX27" i="12"/>
  <c r="EW27" i="12"/>
  <c r="EV27" i="12"/>
  <c r="EU27" i="12"/>
  <c r="ET27" i="12"/>
  <c r="ES27" i="12"/>
  <c r="EQ27" i="12"/>
  <c r="EP27" i="12"/>
  <c r="EO27" i="12"/>
  <c r="EN27" i="12"/>
  <c r="EM27" i="12"/>
  <c r="EL27" i="12"/>
  <c r="DY27" i="12"/>
  <c r="DM27" i="12"/>
  <c r="DL27" i="12"/>
  <c r="DK27" i="12"/>
  <c r="DJ27" i="12"/>
  <c r="CZ27" i="12"/>
  <c r="CX27" i="12"/>
  <c r="CW27" i="12"/>
  <c r="CV27" i="12"/>
  <c r="CO27" i="12"/>
  <c r="CN27" i="12"/>
  <c r="CM27" i="12"/>
  <c r="BU27" i="12"/>
  <c r="BS27" i="12"/>
  <c r="BP27" i="12"/>
  <c r="BN27" i="12"/>
  <c r="BM27" i="12"/>
  <c r="BL27" i="12"/>
  <c r="BK27" i="12"/>
  <c r="BJ27" i="12"/>
  <c r="BH27" i="12"/>
  <c r="BF27" i="12"/>
  <c r="BA27" i="12"/>
  <c r="AZ27" i="12"/>
  <c r="AY27" i="12"/>
  <c r="AR27" i="12"/>
  <c r="AQ27" i="12"/>
  <c r="AP27" i="12"/>
  <c r="R27" i="12"/>
  <c r="O27" i="12"/>
  <c r="A27" i="12"/>
  <c r="HK26" i="12"/>
  <c r="GY26" i="12"/>
  <c r="GX26" i="12"/>
  <c r="GW26" i="12"/>
  <c r="GV26" i="12"/>
  <c r="GL26" i="12"/>
  <c r="GJ26" i="12"/>
  <c r="GI26" i="12"/>
  <c r="GH26" i="12"/>
  <c r="GA26" i="12"/>
  <c r="FZ26" i="12"/>
  <c r="FY26" i="12"/>
  <c r="FH26" i="12"/>
  <c r="FG26" i="12"/>
  <c r="FD26" i="12"/>
  <c r="FB26" i="12"/>
  <c r="FA26" i="12"/>
  <c r="EZ26" i="12"/>
  <c r="EY26" i="12"/>
  <c r="EX26" i="12"/>
  <c r="EW26" i="12"/>
  <c r="EV26" i="12"/>
  <c r="EU26" i="12"/>
  <c r="ET26" i="12"/>
  <c r="ES26" i="12"/>
  <c r="EQ26" i="12"/>
  <c r="EP26" i="12"/>
  <c r="EO26" i="12"/>
  <c r="EN26" i="12"/>
  <c r="EM26" i="12"/>
  <c r="EL26" i="12"/>
  <c r="DY26" i="12"/>
  <c r="DM26" i="12"/>
  <c r="DL26" i="12"/>
  <c r="DK26" i="12"/>
  <c r="DJ26" i="12"/>
  <c r="CZ26" i="12"/>
  <c r="CX26" i="12"/>
  <c r="CW26" i="12"/>
  <c r="CV26" i="12"/>
  <c r="CO26" i="12"/>
  <c r="CN26" i="12"/>
  <c r="CM26" i="12"/>
  <c r="BU26" i="12"/>
  <c r="BS26" i="12"/>
  <c r="BP26" i="12"/>
  <c r="BN26" i="12"/>
  <c r="BM26" i="12"/>
  <c r="BL26" i="12"/>
  <c r="BK26" i="12"/>
  <c r="BJ26" i="12"/>
  <c r="BH26" i="12"/>
  <c r="BF26" i="12"/>
  <c r="BA26" i="12"/>
  <c r="AZ26" i="12"/>
  <c r="AY26" i="12"/>
  <c r="AR26" i="12"/>
  <c r="AQ26" i="12"/>
  <c r="AP26" i="12"/>
  <c r="R26" i="12"/>
  <c r="O26" i="12"/>
  <c r="A26" i="12"/>
  <c r="HK25" i="12"/>
  <c r="GY25" i="12"/>
  <c r="GX25" i="12"/>
  <c r="GW25" i="12"/>
  <c r="GV25" i="12"/>
  <c r="GL25" i="12"/>
  <c r="GJ25" i="12"/>
  <c r="GI25" i="12"/>
  <c r="GH25" i="12"/>
  <c r="GA25" i="12"/>
  <c r="FZ25" i="12"/>
  <c r="FY25" i="12"/>
  <c r="FH25" i="12"/>
  <c r="FG25" i="12"/>
  <c r="FD25" i="12"/>
  <c r="FB25" i="12"/>
  <c r="FA25" i="12"/>
  <c r="EZ25" i="12"/>
  <c r="EY25" i="12"/>
  <c r="EX25" i="12"/>
  <c r="EW25" i="12"/>
  <c r="EV25" i="12"/>
  <c r="EU25" i="12"/>
  <c r="ET25" i="12"/>
  <c r="ES25" i="12"/>
  <c r="EQ25" i="12"/>
  <c r="EP25" i="12"/>
  <c r="EO25" i="12"/>
  <c r="EN25" i="12"/>
  <c r="EM25" i="12"/>
  <c r="EL25" i="12"/>
  <c r="DY25" i="12"/>
  <c r="DM25" i="12"/>
  <c r="DL25" i="12"/>
  <c r="DK25" i="12"/>
  <c r="DJ25" i="12"/>
  <c r="CZ25" i="12"/>
  <c r="CX25" i="12"/>
  <c r="CW25" i="12"/>
  <c r="CV25" i="12"/>
  <c r="CO25" i="12"/>
  <c r="CN25" i="12"/>
  <c r="CM25" i="12"/>
  <c r="BU25" i="12"/>
  <c r="BS25" i="12"/>
  <c r="BP25" i="12"/>
  <c r="BN25" i="12"/>
  <c r="BM25" i="12"/>
  <c r="BL25" i="12"/>
  <c r="BK25" i="12"/>
  <c r="BJ25" i="12"/>
  <c r="BH25" i="12"/>
  <c r="BF25" i="12"/>
  <c r="BA25" i="12"/>
  <c r="AZ25" i="12"/>
  <c r="AY25" i="12"/>
  <c r="AR25" i="12"/>
  <c r="AQ25" i="12"/>
  <c r="AP25" i="12"/>
  <c r="R25" i="12"/>
  <c r="O25" i="12"/>
  <c r="A25" i="12"/>
  <c r="HK24" i="12"/>
  <c r="GY24" i="12"/>
  <c r="GX24" i="12"/>
  <c r="GW24" i="12"/>
  <c r="GV24" i="12"/>
  <c r="GL24" i="12"/>
  <c r="GJ24" i="12"/>
  <c r="GI24" i="12"/>
  <c r="GH24" i="12"/>
  <c r="GA24" i="12"/>
  <c r="FZ24" i="12"/>
  <c r="FY24" i="12"/>
  <c r="FH24" i="12"/>
  <c r="FG24" i="12"/>
  <c r="FD24" i="12"/>
  <c r="FB24" i="12"/>
  <c r="FA24" i="12"/>
  <c r="EZ24" i="12"/>
  <c r="EY24" i="12"/>
  <c r="EX24" i="12"/>
  <c r="EW24" i="12"/>
  <c r="EV24" i="12"/>
  <c r="EU24" i="12"/>
  <c r="ET24" i="12"/>
  <c r="ES24" i="12"/>
  <c r="EQ24" i="12"/>
  <c r="EP24" i="12"/>
  <c r="EO24" i="12"/>
  <c r="EN24" i="12"/>
  <c r="EM24" i="12"/>
  <c r="EL24" i="12"/>
  <c r="DY24" i="12"/>
  <c r="DM24" i="12"/>
  <c r="DL24" i="12"/>
  <c r="DK24" i="12"/>
  <c r="DJ24" i="12"/>
  <c r="CZ24" i="12"/>
  <c r="CX24" i="12"/>
  <c r="CW24" i="12"/>
  <c r="CV24" i="12"/>
  <c r="CO24" i="12"/>
  <c r="CN24" i="12"/>
  <c r="CM24" i="12"/>
  <c r="BU24" i="12"/>
  <c r="BS24" i="12"/>
  <c r="BP24" i="12"/>
  <c r="BN24" i="12"/>
  <c r="BM24" i="12"/>
  <c r="BL24" i="12"/>
  <c r="BK24" i="12"/>
  <c r="BJ24" i="12"/>
  <c r="BH24" i="12"/>
  <c r="BF24" i="12"/>
  <c r="BA24" i="12"/>
  <c r="AZ24" i="12"/>
  <c r="AY24" i="12"/>
  <c r="AR24" i="12"/>
  <c r="AQ24" i="12"/>
  <c r="AP24" i="12"/>
  <c r="R24" i="12"/>
  <c r="O24" i="12"/>
  <c r="A24" i="12"/>
  <c r="HK23" i="12"/>
  <c r="GY23" i="12"/>
  <c r="GX23" i="12"/>
  <c r="GW23" i="12"/>
  <c r="GV23" i="12"/>
  <c r="GL23" i="12"/>
  <c r="GJ23" i="12"/>
  <c r="GI23" i="12"/>
  <c r="GH23" i="12"/>
  <c r="GA23" i="12"/>
  <c r="FZ23" i="12"/>
  <c r="FY23" i="12"/>
  <c r="FH23" i="12"/>
  <c r="FG23" i="12"/>
  <c r="FD23" i="12"/>
  <c r="FB23" i="12"/>
  <c r="FA23" i="12"/>
  <c r="EZ23" i="12"/>
  <c r="EY23" i="12"/>
  <c r="EX23" i="12"/>
  <c r="EW23" i="12"/>
  <c r="EV23" i="12"/>
  <c r="EU23" i="12"/>
  <c r="ET23" i="12"/>
  <c r="ES23" i="12"/>
  <c r="EQ23" i="12"/>
  <c r="EP23" i="12"/>
  <c r="EO23" i="12"/>
  <c r="EN23" i="12"/>
  <c r="EM23" i="12"/>
  <c r="EL23" i="12"/>
  <c r="DY23" i="12"/>
  <c r="DM23" i="12"/>
  <c r="DL23" i="12"/>
  <c r="DK23" i="12"/>
  <c r="DJ23" i="12"/>
  <c r="CZ23" i="12"/>
  <c r="CX23" i="12"/>
  <c r="CW23" i="12"/>
  <c r="CV23" i="12"/>
  <c r="CO23" i="12"/>
  <c r="CN23" i="12"/>
  <c r="CM23" i="12"/>
  <c r="BU23" i="12"/>
  <c r="BS23" i="12"/>
  <c r="BP23" i="12"/>
  <c r="BN23" i="12"/>
  <c r="BM23" i="12"/>
  <c r="BL23" i="12"/>
  <c r="BK23" i="12"/>
  <c r="BJ23" i="12"/>
  <c r="BH23" i="12"/>
  <c r="BF23" i="12"/>
  <c r="BA23" i="12"/>
  <c r="AZ23" i="12"/>
  <c r="AY23" i="12"/>
  <c r="AR23" i="12"/>
  <c r="AQ23" i="12"/>
  <c r="AP23" i="12"/>
  <c r="R23" i="12"/>
  <c r="O23" i="12"/>
  <c r="A23" i="12"/>
  <c r="HK22" i="12"/>
  <c r="GY22" i="12"/>
  <c r="GX22" i="12"/>
  <c r="GW22" i="12"/>
  <c r="GV22" i="12"/>
  <c r="GL22" i="12"/>
  <c r="GJ22" i="12"/>
  <c r="GI22" i="12"/>
  <c r="GH22" i="12"/>
  <c r="GA22" i="12"/>
  <c r="FZ22" i="12"/>
  <c r="FY22" i="12"/>
  <c r="FH22" i="12"/>
  <c r="FG22" i="12"/>
  <c r="FD22" i="12"/>
  <c r="FB22" i="12"/>
  <c r="FA22" i="12"/>
  <c r="EZ22" i="12"/>
  <c r="EY22" i="12"/>
  <c r="EX22" i="12"/>
  <c r="EW22" i="12"/>
  <c r="EV22" i="12"/>
  <c r="EU22" i="12"/>
  <c r="ET22" i="12"/>
  <c r="ES22" i="12"/>
  <c r="EQ22" i="12"/>
  <c r="EP22" i="12"/>
  <c r="EO22" i="12"/>
  <c r="EN22" i="12"/>
  <c r="EM22" i="12"/>
  <c r="EL22" i="12"/>
  <c r="DY22" i="12"/>
  <c r="DM22" i="12"/>
  <c r="DL22" i="12"/>
  <c r="DK22" i="12"/>
  <c r="DJ22" i="12"/>
  <c r="CZ22" i="12"/>
  <c r="CX22" i="12"/>
  <c r="CW22" i="12"/>
  <c r="CV22" i="12"/>
  <c r="CO22" i="12"/>
  <c r="CN22" i="12"/>
  <c r="CM22" i="12"/>
  <c r="BU22" i="12"/>
  <c r="BS22" i="12"/>
  <c r="BP22" i="12"/>
  <c r="BN22" i="12"/>
  <c r="BM22" i="12"/>
  <c r="BL22" i="12"/>
  <c r="BK22" i="12"/>
  <c r="BJ22" i="12"/>
  <c r="BH22" i="12"/>
  <c r="BF22" i="12"/>
  <c r="BA22" i="12"/>
  <c r="AY22" i="12"/>
  <c r="AR22" i="12"/>
  <c r="R22" i="12"/>
  <c r="O22" i="12"/>
  <c r="A22" i="12"/>
  <c r="HK21" i="12"/>
  <c r="GY21" i="12"/>
  <c r="GX21" i="12"/>
  <c r="GW21" i="12"/>
  <c r="GV21" i="12"/>
  <c r="GL21" i="12"/>
  <c r="GJ21" i="12"/>
  <c r="GI21" i="12"/>
  <c r="GH21" i="12"/>
  <c r="GA21" i="12"/>
  <c r="FZ21" i="12"/>
  <c r="FY21" i="12"/>
  <c r="FH21" i="12"/>
  <c r="FG21" i="12"/>
  <c r="FD21" i="12"/>
  <c r="FB21" i="12"/>
  <c r="FA21" i="12"/>
  <c r="EZ21" i="12"/>
  <c r="EY21" i="12"/>
  <c r="EX21" i="12"/>
  <c r="EW21" i="12"/>
  <c r="EV21" i="12"/>
  <c r="EU21" i="12"/>
  <c r="ET21" i="12"/>
  <c r="ES21" i="12"/>
  <c r="EQ21" i="12"/>
  <c r="EP21" i="12"/>
  <c r="EO21" i="12"/>
  <c r="EN21" i="12"/>
  <c r="EM21" i="12"/>
  <c r="EL21" i="12"/>
  <c r="DY21" i="12"/>
  <c r="DM21" i="12"/>
  <c r="DL21" i="12"/>
  <c r="DK21" i="12"/>
  <c r="DJ21" i="12"/>
  <c r="CZ21" i="12"/>
  <c r="CX21" i="12"/>
  <c r="CW21" i="12"/>
  <c r="CV21" i="12"/>
  <c r="CO21" i="12"/>
  <c r="CN21" i="12"/>
  <c r="CM21" i="12"/>
  <c r="BU21" i="12"/>
  <c r="BS21" i="12"/>
  <c r="BP21" i="12"/>
  <c r="BN21" i="12"/>
  <c r="BM21" i="12"/>
  <c r="BL21" i="12"/>
  <c r="BK21" i="12"/>
  <c r="BJ21" i="12"/>
  <c r="BH21" i="12"/>
  <c r="BF21" i="12"/>
  <c r="BA21" i="12"/>
  <c r="AZ21" i="12"/>
  <c r="AY21" i="12"/>
  <c r="AR21" i="12"/>
  <c r="AQ21" i="12"/>
  <c r="AP21" i="12"/>
  <c r="R21" i="12"/>
  <c r="O21" i="12"/>
  <c r="A21" i="12"/>
  <c r="HK20" i="12"/>
  <c r="GY20" i="12"/>
  <c r="GX20" i="12"/>
  <c r="GW20" i="12"/>
  <c r="GV20" i="12"/>
  <c r="GL20" i="12"/>
  <c r="GJ20" i="12"/>
  <c r="GI20" i="12"/>
  <c r="GH20" i="12"/>
  <c r="GA20" i="12"/>
  <c r="FZ20" i="12"/>
  <c r="FY20" i="12"/>
  <c r="FH20" i="12"/>
  <c r="FG20" i="12"/>
  <c r="FD20" i="12"/>
  <c r="FB20" i="12"/>
  <c r="FA20" i="12"/>
  <c r="EZ20" i="12"/>
  <c r="EY20" i="12"/>
  <c r="EX20" i="12"/>
  <c r="EW20" i="12"/>
  <c r="EV20" i="12"/>
  <c r="EU20" i="12"/>
  <c r="ET20" i="12"/>
  <c r="ES20" i="12"/>
  <c r="EQ20" i="12"/>
  <c r="EP20" i="12"/>
  <c r="EO20" i="12"/>
  <c r="EN20" i="12"/>
  <c r="EM20" i="12"/>
  <c r="EL20" i="12"/>
  <c r="DY20" i="12"/>
  <c r="DM20" i="12"/>
  <c r="DL20" i="12"/>
  <c r="DK20" i="12"/>
  <c r="DJ20" i="12"/>
  <c r="CZ20" i="12"/>
  <c r="CX20" i="12"/>
  <c r="CW20" i="12"/>
  <c r="CV20" i="12"/>
  <c r="CO20" i="12"/>
  <c r="CN20" i="12"/>
  <c r="CM20" i="12"/>
  <c r="BU20" i="12"/>
  <c r="BS20" i="12"/>
  <c r="BP20" i="12"/>
  <c r="BN20" i="12"/>
  <c r="BM20" i="12"/>
  <c r="BL20" i="12"/>
  <c r="BK20" i="12"/>
  <c r="BJ20" i="12"/>
  <c r="BH20" i="12"/>
  <c r="BF20" i="12"/>
  <c r="BA20" i="12"/>
  <c r="AZ20" i="12"/>
  <c r="AY20" i="12"/>
  <c r="AR20" i="12"/>
  <c r="AQ20" i="12"/>
  <c r="AP20" i="12"/>
  <c r="R20" i="12"/>
  <c r="O20" i="12"/>
  <c r="A20" i="12"/>
  <c r="HK19" i="12"/>
  <c r="GY19" i="12"/>
  <c r="GX19" i="12"/>
  <c r="GW19" i="12"/>
  <c r="GV19" i="12"/>
  <c r="GL19" i="12"/>
  <c r="GJ19" i="12"/>
  <c r="GI19" i="12"/>
  <c r="GH19" i="12"/>
  <c r="GA19" i="12"/>
  <c r="FZ19" i="12"/>
  <c r="FY19" i="12"/>
  <c r="FH19" i="12"/>
  <c r="FG19" i="12"/>
  <c r="FD19" i="12"/>
  <c r="FB19" i="12"/>
  <c r="FA19" i="12"/>
  <c r="EZ19" i="12"/>
  <c r="EY19" i="12"/>
  <c r="EX19" i="12"/>
  <c r="EW19" i="12"/>
  <c r="EV19" i="12"/>
  <c r="EU19" i="12"/>
  <c r="ET19" i="12"/>
  <c r="ES19" i="12"/>
  <c r="EQ19" i="12"/>
  <c r="EP19" i="12"/>
  <c r="EO19" i="12"/>
  <c r="EN19" i="12"/>
  <c r="EM19" i="12"/>
  <c r="EL19" i="12"/>
  <c r="DY19" i="12"/>
  <c r="DM19" i="12"/>
  <c r="DL19" i="12"/>
  <c r="DK19" i="12"/>
  <c r="DJ19" i="12"/>
  <c r="CZ19" i="12"/>
  <c r="CX19" i="12"/>
  <c r="CW19" i="12"/>
  <c r="CV19" i="12"/>
  <c r="CO19" i="12"/>
  <c r="CN19" i="12"/>
  <c r="CM19" i="12"/>
  <c r="BU19" i="12"/>
  <c r="BS19" i="12"/>
  <c r="BP19" i="12"/>
  <c r="BN19" i="12"/>
  <c r="BM19" i="12"/>
  <c r="BL19" i="12"/>
  <c r="BK19" i="12"/>
  <c r="BJ19" i="12"/>
  <c r="BH19" i="12"/>
  <c r="BF19" i="12"/>
  <c r="BA19" i="12"/>
  <c r="AZ19" i="12"/>
  <c r="AY19" i="12"/>
  <c r="AR19" i="12"/>
  <c r="AQ19" i="12"/>
  <c r="AP19" i="12"/>
  <c r="R19" i="12"/>
  <c r="O19" i="12"/>
  <c r="A19" i="12"/>
  <c r="HK18" i="12"/>
  <c r="GY18" i="12"/>
  <c r="GX18" i="12"/>
  <c r="GW18" i="12"/>
  <c r="GV18" i="12"/>
  <c r="GL18" i="12"/>
  <c r="GJ18" i="12"/>
  <c r="GI18" i="12"/>
  <c r="GH18" i="12"/>
  <c r="GA18" i="12"/>
  <c r="FZ18" i="12"/>
  <c r="FY18" i="12"/>
  <c r="FH18" i="12"/>
  <c r="FG18" i="12"/>
  <c r="FD18" i="12"/>
  <c r="FB18" i="12"/>
  <c r="FA18" i="12"/>
  <c r="EZ18" i="12"/>
  <c r="EY18" i="12"/>
  <c r="EX18" i="12"/>
  <c r="EW18" i="12"/>
  <c r="EV18" i="12"/>
  <c r="EU18" i="12"/>
  <c r="ET18" i="12"/>
  <c r="ES18" i="12"/>
  <c r="EQ18" i="12"/>
  <c r="EP18" i="12"/>
  <c r="EO18" i="12"/>
  <c r="EN18" i="12"/>
  <c r="EM18" i="12"/>
  <c r="EL18" i="12"/>
  <c r="DY18" i="12"/>
  <c r="DM18" i="12"/>
  <c r="DL18" i="12"/>
  <c r="DK18" i="12"/>
  <c r="DJ18" i="12"/>
  <c r="CZ18" i="12"/>
  <c r="CX18" i="12"/>
  <c r="CW18" i="12"/>
  <c r="CV18" i="12"/>
  <c r="CO18" i="12"/>
  <c r="CN18" i="12"/>
  <c r="CM18" i="12"/>
  <c r="BU18" i="12"/>
  <c r="BS18" i="12"/>
  <c r="BP18" i="12"/>
  <c r="BN18" i="12"/>
  <c r="BM18" i="12"/>
  <c r="BL18" i="12"/>
  <c r="BK18" i="12"/>
  <c r="BJ18" i="12"/>
  <c r="BH18" i="12"/>
  <c r="BF18" i="12"/>
  <c r="BA18" i="12"/>
  <c r="AZ18" i="12"/>
  <c r="AY18" i="12"/>
  <c r="AR18" i="12"/>
  <c r="AQ18" i="12"/>
  <c r="AP18" i="12"/>
  <c r="R18" i="12"/>
  <c r="O18" i="12"/>
  <c r="A18" i="12"/>
  <c r="HK17" i="12"/>
  <c r="GY17" i="12"/>
  <c r="GX17" i="12"/>
  <c r="GW17" i="12"/>
  <c r="GV17" i="12"/>
  <c r="GL17" i="12"/>
  <c r="GJ17" i="12"/>
  <c r="GI17" i="12"/>
  <c r="GH17" i="12"/>
  <c r="GA17" i="12"/>
  <c r="FZ17" i="12"/>
  <c r="FY17" i="12"/>
  <c r="FH17" i="12"/>
  <c r="FG17" i="12"/>
  <c r="FD17" i="12"/>
  <c r="FB17" i="12"/>
  <c r="FA17" i="12"/>
  <c r="EZ17" i="12"/>
  <c r="EY17" i="12"/>
  <c r="EX17" i="12"/>
  <c r="EW17" i="12"/>
  <c r="EV17" i="12"/>
  <c r="EU17" i="12"/>
  <c r="ET17" i="12"/>
  <c r="ES17" i="12"/>
  <c r="EQ17" i="12"/>
  <c r="EP17" i="12"/>
  <c r="EO17" i="12"/>
  <c r="EN17" i="12"/>
  <c r="EM17" i="12"/>
  <c r="EL17" i="12"/>
  <c r="DY17" i="12"/>
  <c r="DM17" i="12"/>
  <c r="DL17" i="12"/>
  <c r="DK17" i="12"/>
  <c r="DJ17" i="12"/>
  <c r="CZ17" i="12"/>
  <c r="CX17" i="12"/>
  <c r="CW17" i="12"/>
  <c r="CV17" i="12"/>
  <c r="CO17" i="12"/>
  <c r="CN17" i="12"/>
  <c r="CM17" i="12"/>
  <c r="BU17" i="12"/>
  <c r="BS17" i="12"/>
  <c r="BP17" i="12"/>
  <c r="BN17" i="12"/>
  <c r="BM17" i="12"/>
  <c r="BL17" i="12"/>
  <c r="BK17" i="12"/>
  <c r="BJ17" i="12"/>
  <c r="BH17" i="12"/>
  <c r="BF17" i="12"/>
  <c r="BA17" i="12"/>
  <c r="AY17" i="12"/>
  <c r="AR17" i="12"/>
  <c r="R17" i="12"/>
  <c r="O17" i="12"/>
  <c r="A17" i="12"/>
  <c r="HK16" i="12"/>
  <c r="GY16" i="12"/>
  <c r="GX16" i="12"/>
  <c r="GW16" i="12"/>
  <c r="GV16" i="12"/>
  <c r="GL16" i="12"/>
  <c r="GJ16" i="12"/>
  <c r="GI16" i="12"/>
  <c r="GH16" i="12"/>
  <c r="GA16" i="12"/>
  <c r="FZ16" i="12"/>
  <c r="FY16" i="12"/>
  <c r="FH16" i="12"/>
  <c r="FG16" i="12"/>
  <c r="FD16" i="12"/>
  <c r="FB16" i="12"/>
  <c r="FA16" i="12"/>
  <c r="EZ16" i="12"/>
  <c r="EY16" i="12"/>
  <c r="EX16" i="12"/>
  <c r="EW16" i="12"/>
  <c r="EV16" i="12"/>
  <c r="EU16" i="12"/>
  <c r="ET16" i="12"/>
  <c r="ES16" i="12"/>
  <c r="EQ16" i="12"/>
  <c r="EP16" i="12"/>
  <c r="EO16" i="12"/>
  <c r="EN16" i="12"/>
  <c r="EM16" i="12"/>
  <c r="EL16" i="12"/>
  <c r="DY16" i="12"/>
  <c r="DM16" i="12"/>
  <c r="DL16" i="12"/>
  <c r="DK16" i="12"/>
  <c r="DJ16" i="12"/>
  <c r="CZ16" i="12"/>
  <c r="CX16" i="12"/>
  <c r="CW16" i="12"/>
  <c r="CV16" i="12"/>
  <c r="CO16" i="12"/>
  <c r="CN16" i="12"/>
  <c r="CM16" i="12"/>
  <c r="BU16" i="12"/>
  <c r="BS16" i="12"/>
  <c r="BP16" i="12"/>
  <c r="BN16" i="12"/>
  <c r="BM16" i="12"/>
  <c r="BL16" i="12"/>
  <c r="BK16" i="12"/>
  <c r="BJ16" i="12"/>
  <c r="BH16" i="12"/>
  <c r="BF16" i="12"/>
  <c r="BA16" i="12"/>
  <c r="AZ16" i="12"/>
  <c r="AY16" i="12"/>
  <c r="AR16" i="12"/>
  <c r="AQ16" i="12"/>
  <c r="AP16" i="12"/>
  <c r="R16" i="12"/>
  <c r="O16" i="12"/>
  <c r="A16" i="12"/>
  <c r="HK15" i="12"/>
  <c r="GY15" i="12"/>
  <c r="GX15" i="12"/>
  <c r="GW15" i="12"/>
  <c r="GV15" i="12"/>
  <c r="GL15" i="12"/>
  <c r="GJ15" i="12"/>
  <c r="GI15" i="12"/>
  <c r="GH15" i="12"/>
  <c r="GA15" i="12"/>
  <c r="FZ15" i="12"/>
  <c r="FY15" i="12"/>
  <c r="FH15" i="12"/>
  <c r="FG15" i="12"/>
  <c r="FD15" i="12"/>
  <c r="FB15" i="12"/>
  <c r="FA15" i="12"/>
  <c r="EZ15" i="12"/>
  <c r="EY15" i="12"/>
  <c r="EX15" i="12"/>
  <c r="EW15" i="12"/>
  <c r="EV15" i="12"/>
  <c r="EU15" i="12"/>
  <c r="ET15" i="12"/>
  <c r="ES15" i="12"/>
  <c r="EQ15" i="12"/>
  <c r="EP15" i="12"/>
  <c r="EO15" i="12"/>
  <c r="EN15" i="12"/>
  <c r="EM15" i="12"/>
  <c r="EL15" i="12"/>
  <c r="DY15" i="12"/>
  <c r="DM15" i="12"/>
  <c r="DL15" i="12"/>
  <c r="DK15" i="12"/>
  <c r="DJ15" i="12"/>
  <c r="CZ15" i="12"/>
  <c r="CX15" i="12"/>
  <c r="CW15" i="12"/>
  <c r="CV15" i="12"/>
  <c r="CO15" i="12"/>
  <c r="CN15" i="12"/>
  <c r="CM15" i="12"/>
  <c r="BU15" i="12"/>
  <c r="BS15" i="12"/>
  <c r="BP15" i="12"/>
  <c r="BN15" i="12"/>
  <c r="BM15" i="12"/>
  <c r="BL15" i="12"/>
  <c r="BK15" i="12"/>
  <c r="BJ15" i="12"/>
  <c r="BH15" i="12"/>
  <c r="BF15" i="12"/>
  <c r="BA15" i="12"/>
  <c r="AZ15" i="12"/>
  <c r="AY15" i="12"/>
  <c r="AR15" i="12"/>
  <c r="AQ15" i="12"/>
  <c r="AP15" i="12"/>
  <c r="R15" i="12"/>
  <c r="O15" i="12"/>
  <c r="A15" i="12"/>
  <c r="HK14" i="12"/>
  <c r="GY14" i="12"/>
  <c r="GX14" i="12"/>
  <c r="GW14" i="12"/>
  <c r="GV14" i="12"/>
  <c r="GL14" i="12"/>
  <c r="GJ14" i="12"/>
  <c r="GI14" i="12"/>
  <c r="GH14" i="12"/>
  <c r="GA14" i="12"/>
  <c r="FZ14" i="12"/>
  <c r="FY14" i="12"/>
  <c r="FH14" i="12"/>
  <c r="FG14" i="12"/>
  <c r="FD14" i="12"/>
  <c r="FB14" i="12"/>
  <c r="FA14" i="12"/>
  <c r="EZ14" i="12"/>
  <c r="EY14" i="12"/>
  <c r="EX14" i="12"/>
  <c r="EW14" i="12"/>
  <c r="EV14" i="12"/>
  <c r="EU14" i="12"/>
  <c r="ET14" i="12"/>
  <c r="ES14" i="12"/>
  <c r="EQ14" i="12"/>
  <c r="EP14" i="12"/>
  <c r="EO14" i="12"/>
  <c r="EN14" i="12"/>
  <c r="EM14" i="12"/>
  <c r="EL14" i="12"/>
  <c r="DY14" i="12"/>
  <c r="DM14" i="12"/>
  <c r="DL14" i="12"/>
  <c r="DK14" i="12"/>
  <c r="DJ14" i="12"/>
  <c r="CZ14" i="12"/>
  <c r="CX14" i="12"/>
  <c r="CW14" i="12"/>
  <c r="CV14" i="12"/>
  <c r="CO14" i="12"/>
  <c r="CN14" i="12"/>
  <c r="CM14" i="12"/>
  <c r="BU14" i="12"/>
  <c r="BS14" i="12"/>
  <c r="BP14" i="12"/>
  <c r="BN14" i="12"/>
  <c r="BM14" i="12"/>
  <c r="BL14" i="12"/>
  <c r="BK14" i="12"/>
  <c r="BJ14" i="12"/>
  <c r="BH14" i="12"/>
  <c r="BF14" i="12"/>
  <c r="BA14" i="12"/>
  <c r="AZ14" i="12"/>
  <c r="AY14" i="12"/>
  <c r="AR14" i="12"/>
  <c r="AQ14" i="12"/>
  <c r="AP14" i="12"/>
  <c r="R14" i="12"/>
  <c r="O14" i="12"/>
  <c r="A14" i="12"/>
  <c r="HK13" i="12"/>
  <c r="GY13" i="12"/>
  <c r="GX13" i="12"/>
  <c r="GW13" i="12"/>
  <c r="GV13" i="12"/>
  <c r="GL13" i="12"/>
  <c r="GJ13" i="12"/>
  <c r="GI13" i="12"/>
  <c r="GH13" i="12"/>
  <c r="GA13" i="12"/>
  <c r="FZ13" i="12"/>
  <c r="FY13" i="12"/>
  <c r="FH13" i="12"/>
  <c r="FG13" i="12"/>
  <c r="FD13" i="12"/>
  <c r="FB13" i="12"/>
  <c r="FA13" i="12"/>
  <c r="EZ13" i="12"/>
  <c r="EY13" i="12"/>
  <c r="EX13" i="12"/>
  <c r="EW13" i="12"/>
  <c r="EV13" i="12"/>
  <c r="EU13" i="12"/>
  <c r="ET13" i="12"/>
  <c r="ES13" i="12"/>
  <c r="EQ13" i="12"/>
  <c r="EP13" i="12"/>
  <c r="EO13" i="12"/>
  <c r="EN13" i="12"/>
  <c r="EM13" i="12"/>
  <c r="EL13" i="12"/>
  <c r="DY13" i="12"/>
  <c r="DM13" i="12"/>
  <c r="DL13" i="12"/>
  <c r="DK13" i="12"/>
  <c r="DJ13" i="12"/>
  <c r="CZ13" i="12"/>
  <c r="CX13" i="12"/>
  <c r="CW13" i="12"/>
  <c r="CV13" i="12"/>
  <c r="CO13" i="12"/>
  <c r="CN13" i="12"/>
  <c r="CM13" i="12"/>
  <c r="BU13" i="12"/>
  <c r="BS13" i="12"/>
  <c r="BP13" i="12"/>
  <c r="BN13" i="12"/>
  <c r="BM13" i="12"/>
  <c r="BL13" i="12"/>
  <c r="BK13" i="12"/>
  <c r="BJ13" i="12"/>
  <c r="BH13" i="12"/>
  <c r="BF13" i="12"/>
  <c r="BA13" i="12"/>
  <c r="AZ13" i="12"/>
  <c r="AY13" i="12"/>
  <c r="AR13" i="12"/>
  <c r="AQ13" i="12"/>
  <c r="AP13" i="12"/>
  <c r="R13" i="12"/>
  <c r="O13" i="12"/>
  <c r="A13" i="12"/>
  <c r="GY12" i="12"/>
  <c r="GX12" i="12"/>
  <c r="GW12" i="12"/>
  <c r="GV12" i="12"/>
  <c r="GL12" i="12"/>
  <c r="GJ12" i="12"/>
  <c r="GI12" i="12"/>
  <c r="GH12" i="12"/>
  <c r="GA12" i="12"/>
  <c r="FZ12" i="12"/>
  <c r="FY12" i="12"/>
  <c r="FH12" i="12"/>
  <c r="FG12" i="12"/>
  <c r="FD12" i="12"/>
  <c r="FB12" i="12"/>
  <c r="FA12" i="12"/>
  <c r="EZ12" i="12"/>
  <c r="EY12" i="12"/>
  <c r="EX12" i="12"/>
  <c r="EW12" i="12"/>
  <c r="EV12" i="12"/>
  <c r="EU12" i="12"/>
  <c r="ET12" i="12"/>
  <c r="ES12" i="12"/>
  <c r="EQ12" i="12"/>
  <c r="EP12" i="12"/>
  <c r="EO12" i="12"/>
  <c r="EN12" i="12"/>
  <c r="EM12" i="12"/>
  <c r="EL12" i="12"/>
  <c r="DY12" i="12"/>
  <c r="DM12" i="12"/>
  <c r="DL12" i="12"/>
  <c r="DK12" i="12"/>
  <c r="DJ12" i="12"/>
  <c r="CZ12" i="12"/>
  <c r="CX12" i="12"/>
  <c r="CW12" i="12"/>
  <c r="CV12" i="12"/>
  <c r="CO12" i="12"/>
  <c r="CN12" i="12"/>
  <c r="CM12" i="12"/>
  <c r="BU12" i="12"/>
  <c r="BS12" i="12"/>
  <c r="BP12" i="12"/>
  <c r="BN12" i="12"/>
  <c r="BM12" i="12"/>
  <c r="BL12" i="12"/>
  <c r="BK12" i="12"/>
  <c r="BJ12" i="12"/>
  <c r="BH12" i="12"/>
  <c r="BF12" i="12"/>
  <c r="BA12" i="12"/>
  <c r="AY12" i="12"/>
  <c r="AR12" i="12"/>
  <c r="R12" i="12"/>
  <c r="O12" i="12"/>
  <c r="A12" i="12"/>
  <c r="GY11" i="12"/>
  <c r="GX11" i="12"/>
  <c r="GW11" i="12"/>
  <c r="GV11" i="12"/>
  <c r="GJ11" i="12"/>
  <c r="GI11" i="12"/>
  <c r="GH11" i="12"/>
  <c r="GA11" i="12"/>
  <c r="FZ11" i="12"/>
  <c r="FY11" i="12"/>
  <c r="FH11" i="12"/>
  <c r="FG11" i="12"/>
  <c r="FD11" i="12"/>
  <c r="FB11" i="12"/>
  <c r="FA11" i="12"/>
  <c r="EZ11" i="12"/>
  <c r="EY11" i="12"/>
  <c r="EX11" i="12"/>
  <c r="EW11" i="12"/>
  <c r="EV11" i="12"/>
  <c r="EU11" i="12"/>
  <c r="ET11" i="12"/>
  <c r="ES11" i="12"/>
  <c r="EQ11" i="12"/>
  <c r="EP11" i="12"/>
  <c r="EO11" i="12"/>
  <c r="EN11" i="12"/>
  <c r="EM11" i="12"/>
  <c r="EL11" i="12"/>
  <c r="DY11" i="12"/>
  <c r="DM11" i="12"/>
  <c r="DL11" i="12"/>
  <c r="DK11" i="12"/>
  <c r="DJ11" i="12"/>
  <c r="CX11" i="12"/>
  <c r="CW11" i="12"/>
  <c r="CV11" i="12"/>
  <c r="CO11" i="12"/>
  <c r="CN11" i="12"/>
  <c r="CM11" i="12"/>
  <c r="BU11" i="12"/>
  <c r="BS11" i="12"/>
  <c r="BP11" i="12"/>
  <c r="BN11" i="12"/>
  <c r="BM11" i="12"/>
  <c r="BL11" i="12"/>
  <c r="BK11" i="12"/>
  <c r="BJ11" i="12"/>
  <c r="BH11" i="12"/>
  <c r="BF11" i="12"/>
  <c r="BA11" i="12"/>
  <c r="AZ11" i="12"/>
  <c r="AY11" i="12"/>
  <c r="AR11" i="12"/>
  <c r="AQ11" i="12"/>
  <c r="AP11" i="12"/>
  <c r="R11" i="12"/>
  <c r="O11" i="12"/>
  <c r="A11" i="12"/>
  <c r="GY10" i="12"/>
  <c r="GX10" i="12"/>
  <c r="GW10" i="12"/>
  <c r="GV10" i="12"/>
  <c r="GJ10" i="12"/>
  <c r="GI10" i="12"/>
  <c r="GH10" i="12"/>
  <c r="GA10" i="12"/>
  <c r="FZ10" i="12"/>
  <c r="FY10" i="12"/>
  <c r="FH10" i="12"/>
  <c r="FG10" i="12"/>
  <c r="FD10" i="12"/>
  <c r="FB10" i="12"/>
  <c r="FA10" i="12"/>
  <c r="EZ10" i="12"/>
  <c r="EY10" i="12"/>
  <c r="EX10" i="12"/>
  <c r="EW10" i="12"/>
  <c r="EV10" i="12"/>
  <c r="EU10" i="12"/>
  <c r="ET10" i="12"/>
  <c r="ES10" i="12"/>
  <c r="EQ10" i="12"/>
  <c r="EP10" i="12"/>
  <c r="EO10" i="12"/>
  <c r="EN10" i="12"/>
  <c r="EM10" i="12"/>
  <c r="EL10" i="12"/>
  <c r="DY10" i="12"/>
  <c r="DM10" i="12"/>
  <c r="DL10" i="12"/>
  <c r="DK10" i="12"/>
  <c r="DJ10" i="12"/>
  <c r="CX10" i="12"/>
  <c r="CW10" i="12"/>
  <c r="CV10" i="12"/>
  <c r="CO10" i="12"/>
  <c r="CN10" i="12"/>
  <c r="CM10" i="12"/>
  <c r="BS10" i="12"/>
  <c r="BP10" i="12"/>
  <c r="BN10" i="12"/>
  <c r="BM10" i="12"/>
  <c r="BL10" i="12"/>
  <c r="BK10" i="12"/>
  <c r="BJ10" i="12"/>
  <c r="BH10" i="12"/>
  <c r="BF10" i="12"/>
  <c r="BA10" i="12"/>
  <c r="AZ10" i="12"/>
  <c r="AY10" i="12"/>
  <c r="AR10" i="12"/>
  <c r="AQ10" i="12"/>
  <c r="AP10" i="12"/>
  <c r="R10" i="12"/>
  <c r="O10" i="12"/>
  <c r="A10" i="12"/>
  <c r="GY9" i="12"/>
  <c r="GX9" i="12"/>
  <c r="GW9" i="12"/>
  <c r="GV9" i="12"/>
  <c r="GJ9" i="12"/>
  <c r="GI9" i="12"/>
  <c r="GH9" i="12"/>
  <c r="GA9" i="12"/>
  <c r="FZ9" i="12"/>
  <c r="FY9" i="12"/>
  <c r="FH9" i="12"/>
  <c r="FG9" i="12"/>
  <c r="FD9" i="12"/>
  <c r="FB9" i="12"/>
  <c r="FA9" i="12"/>
  <c r="EZ9" i="12"/>
  <c r="EY9" i="12"/>
  <c r="EX9" i="12"/>
  <c r="EW9" i="12"/>
  <c r="EV9" i="12"/>
  <c r="EU9" i="12"/>
  <c r="ET9" i="12"/>
  <c r="ES9" i="12"/>
  <c r="EQ9" i="12"/>
  <c r="EP9" i="12"/>
  <c r="EO9" i="12"/>
  <c r="EN9" i="12"/>
  <c r="EM9" i="12"/>
  <c r="EL9" i="12"/>
  <c r="DY9" i="12"/>
  <c r="DM9" i="12"/>
  <c r="DL9" i="12"/>
  <c r="DK9" i="12"/>
  <c r="DJ9" i="12"/>
  <c r="CX9" i="12"/>
  <c r="CW9" i="12"/>
  <c r="CV9" i="12"/>
  <c r="CO9" i="12"/>
  <c r="CN9" i="12"/>
  <c r="CM9" i="12"/>
  <c r="BS9" i="12"/>
  <c r="BP9" i="12"/>
  <c r="BN9" i="12"/>
  <c r="BM9" i="12"/>
  <c r="BL9" i="12"/>
  <c r="BK9" i="12"/>
  <c r="BJ9" i="12"/>
  <c r="BH9" i="12"/>
  <c r="BF9" i="12"/>
  <c r="BA9" i="12"/>
  <c r="AZ9" i="12"/>
  <c r="AY9" i="12"/>
  <c r="AR9" i="12"/>
  <c r="AQ9" i="12"/>
  <c r="AP9" i="12"/>
  <c r="R9" i="12"/>
  <c r="O9" i="12"/>
  <c r="A9" i="12"/>
  <c r="GY8" i="12"/>
  <c r="GX8" i="12"/>
  <c r="GW8" i="12"/>
  <c r="GV8" i="12"/>
  <c r="GJ8" i="12"/>
  <c r="GI8" i="12"/>
  <c r="GH8" i="12"/>
  <c r="GA8" i="12"/>
  <c r="FZ8" i="12"/>
  <c r="FY8" i="12"/>
  <c r="FH8" i="12"/>
  <c r="FG8" i="12"/>
  <c r="FD8" i="12"/>
  <c r="FB8" i="12"/>
  <c r="FA8" i="12"/>
  <c r="EZ8" i="12"/>
  <c r="EY8" i="12"/>
  <c r="EX8" i="12"/>
  <c r="EW8" i="12"/>
  <c r="EV8" i="12"/>
  <c r="EU8" i="12"/>
  <c r="ET8" i="12"/>
  <c r="ES8" i="12"/>
  <c r="EQ8" i="12"/>
  <c r="EP8" i="12"/>
  <c r="EO8" i="12"/>
  <c r="EN8" i="12"/>
  <c r="EM8" i="12"/>
  <c r="EL8" i="12"/>
  <c r="DY8" i="12"/>
  <c r="DM8" i="12"/>
  <c r="DL8" i="12"/>
  <c r="DK8" i="12"/>
  <c r="DJ8" i="12"/>
  <c r="CX8" i="12"/>
  <c r="CW8" i="12"/>
  <c r="CV8" i="12"/>
  <c r="CO8" i="12"/>
  <c r="CN8" i="12"/>
  <c r="CM8" i="12"/>
  <c r="BS8" i="12"/>
  <c r="BP8" i="12"/>
  <c r="BN8" i="12"/>
  <c r="BM8" i="12"/>
  <c r="BL8" i="12"/>
  <c r="BK8" i="12"/>
  <c r="BJ8" i="12"/>
  <c r="BH8" i="12"/>
  <c r="BF8" i="12"/>
  <c r="BA8" i="12"/>
  <c r="AZ8" i="12"/>
  <c r="AY8" i="12"/>
  <c r="AR8" i="12"/>
  <c r="AQ8" i="12"/>
  <c r="AP8" i="12"/>
  <c r="R8" i="12"/>
  <c r="O8" i="12"/>
  <c r="A8" i="12"/>
  <c r="GY7" i="12"/>
  <c r="GX7" i="12"/>
  <c r="GW7" i="12"/>
  <c r="GV7" i="12"/>
  <c r="GJ7" i="12"/>
  <c r="GI7" i="12"/>
  <c r="GH7" i="12"/>
  <c r="GA7" i="12"/>
  <c r="FZ7" i="12"/>
  <c r="FY7" i="12"/>
  <c r="FH7" i="12"/>
  <c r="FG7" i="12"/>
  <c r="FD7" i="12"/>
  <c r="FB7" i="12"/>
  <c r="FA7" i="12"/>
  <c r="EZ7" i="12"/>
  <c r="EY7" i="12"/>
  <c r="EX7" i="12"/>
  <c r="EW7" i="12"/>
  <c r="EV7" i="12"/>
  <c r="EU7" i="12"/>
  <c r="ET7" i="12"/>
  <c r="ES7" i="12"/>
  <c r="EQ7" i="12"/>
  <c r="EP7" i="12"/>
  <c r="EO7" i="12"/>
  <c r="EN7" i="12"/>
  <c r="EM7" i="12"/>
  <c r="EL7" i="12"/>
  <c r="DY7" i="12"/>
  <c r="DM7" i="12"/>
  <c r="DL7" i="12"/>
  <c r="DK7" i="12"/>
  <c r="DJ7" i="12"/>
  <c r="CX7" i="12"/>
  <c r="CW7" i="12"/>
  <c r="CV7" i="12"/>
  <c r="CO7" i="12"/>
  <c r="CN7" i="12"/>
  <c r="CM7" i="12"/>
  <c r="BS7" i="12"/>
  <c r="BP7" i="12"/>
  <c r="BN7" i="12"/>
  <c r="BM7" i="12"/>
  <c r="BL7" i="12"/>
  <c r="BK7" i="12"/>
  <c r="BJ7" i="12"/>
  <c r="BH7" i="12"/>
  <c r="BF7" i="12"/>
  <c r="BA7" i="12"/>
  <c r="AY7" i="12"/>
  <c r="AR7" i="12"/>
  <c r="R7" i="12"/>
  <c r="O7" i="12"/>
  <c r="A7" i="12"/>
  <c r="GY6" i="12"/>
  <c r="GX6" i="12"/>
  <c r="GW6" i="12"/>
  <c r="GV6" i="12"/>
  <c r="GJ6" i="12"/>
  <c r="GI6" i="12"/>
  <c r="GH6" i="12"/>
  <c r="GA6" i="12"/>
  <c r="FZ6" i="12"/>
  <c r="FY6" i="12"/>
  <c r="FH6" i="12"/>
  <c r="FG6" i="12"/>
  <c r="FD6" i="12"/>
  <c r="FB6" i="12"/>
  <c r="FA6" i="12"/>
  <c r="EZ6" i="12"/>
  <c r="EY6" i="12"/>
  <c r="EX6" i="12"/>
  <c r="EW6" i="12"/>
  <c r="EV6" i="12"/>
  <c r="EU6" i="12"/>
  <c r="ET6" i="12"/>
  <c r="ES6" i="12"/>
  <c r="EQ6" i="12"/>
  <c r="EP6" i="12"/>
  <c r="EO6" i="12"/>
  <c r="EN6" i="12"/>
  <c r="EM6" i="12"/>
  <c r="EL6" i="12"/>
  <c r="DY6" i="12"/>
  <c r="DM6" i="12"/>
  <c r="DL6" i="12"/>
  <c r="DK6" i="12"/>
  <c r="DJ6" i="12"/>
  <c r="CX6" i="12"/>
  <c r="CW6" i="12"/>
  <c r="CV6" i="12"/>
  <c r="CO6" i="12"/>
  <c r="CN6" i="12"/>
  <c r="CM6" i="12"/>
  <c r="BS6" i="12"/>
  <c r="BP6" i="12"/>
  <c r="BN6" i="12"/>
  <c r="BM6" i="12"/>
  <c r="BL6" i="12"/>
  <c r="BK6" i="12"/>
  <c r="BJ6" i="12"/>
  <c r="BH6" i="12"/>
  <c r="BF6" i="12"/>
  <c r="BA6" i="12"/>
  <c r="AZ6" i="12"/>
  <c r="AY6" i="12"/>
  <c r="AR6" i="12"/>
  <c r="AQ6" i="12"/>
  <c r="AP6" i="12"/>
  <c r="R6" i="12"/>
  <c r="O6" i="12"/>
  <c r="A6" i="12"/>
  <c r="GY5" i="12"/>
  <c r="GX5" i="12"/>
  <c r="GW5" i="12"/>
  <c r="GV5" i="12"/>
  <c r="GJ5" i="12"/>
  <c r="GI5" i="12"/>
  <c r="GH5" i="12"/>
  <c r="GA5" i="12"/>
  <c r="FZ5" i="12"/>
  <c r="FY5" i="12"/>
  <c r="FH5" i="12"/>
  <c r="FG5" i="12"/>
  <c r="FD5" i="12"/>
  <c r="FB5" i="12"/>
  <c r="FA5" i="12"/>
  <c r="EZ5" i="12"/>
  <c r="EY5" i="12"/>
  <c r="EX5" i="12"/>
  <c r="EW5" i="12"/>
  <c r="EV5" i="12"/>
  <c r="EU5" i="12"/>
  <c r="ET5" i="12"/>
  <c r="ES5" i="12"/>
  <c r="EQ5" i="12"/>
  <c r="EP5" i="12"/>
  <c r="EO5" i="12"/>
  <c r="EN5" i="12"/>
  <c r="EM5" i="12"/>
  <c r="EL5" i="12"/>
  <c r="DM5" i="12"/>
  <c r="DL5" i="12"/>
  <c r="DK5" i="12"/>
  <c r="DJ5" i="12"/>
  <c r="CX5" i="12"/>
  <c r="CW5" i="12"/>
  <c r="CV5" i="12"/>
  <c r="CO5" i="12"/>
  <c r="CN5" i="12"/>
  <c r="CM5" i="12"/>
  <c r="BS5" i="12"/>
  <c r="BP5" i="12"/>
  <c r="BN5" i="12"/>
  <c r="BM5" i="12"/>
  <c r="BL5" i="12"/>
  <c r="BK5" i="12"/>
  <c r="BJ5" i="12"/>
  <c r="BH5" i="12"/>
  <c r="BF5" i="12"/>
  <c r="BA5" i="12"/>
  <c r="AY5" i="12"/>
  <c r="AR5" i="12"/>
  <c r="R5" i="12"/>
  <c r="O5" i="12"/>
  <c r="A5" i="12"/>
  <c r="GY4" i="12"/>
  <c r="GX4" i="12"/>
  <c r="GW4" i="12"/>
  <c r="GV4" i="12"/>
  <c r="GJ4" i="12"/>
  <c r="GI4" i="12"/>
  <c r="GH4" i="12"/>
  <c r="GA4" i="12"/>
  <c r="FZ4" i="12"/>
  <c r="FY4" i="12"/>
  <c r="FH4" i="12"/>
  <c r="FG4" i="12"/>
  <c r="FD4" i="12"/>
  <c r="FB4" i="12"/>
  <c r="FA4" i="12"/>
  <c r="EZ4" i="12"/>
  <c r="EY4" i="12"/>
  <c r="EX4" i="12"/>
  <c r="EW4" i="12"/>
  <c r="EV4" i="12"/>
  <c r="EU4" i="12"/>
  <c r="ET4" i="12"/>
  <c r="ES4" i="12"/>
  <c r="EQ4" i="12"/>
  <c r="EP4" i="12"/>
  <c r="EO4" i="12"/>
  <c r="EN4" i="12"/>
  <c r="EM4" i="12"/>
  <c r="EL4" i="12"/>
  <c r="DM4" i="12"/>
  <c r="DL4" i="12"/>
  <c r="DK4" i="12"/>
  <c r="DJ4" i="12"/>
  <c r="CX4" i="12"/>
  <c r="CW4" i="12"/>
  <c r="CV4" i="12"/>
  <c r="CO4" i="12"/>
  <c r="CN4" i="12"/>
  <c r="CM4" i="12"/>
  <c r="BS4" i="12"/>
  <c r="BP4" i="12"/>
  <c r="BN4" i="12"/>
  <c r="BM4" i="12"/>
  <c r="BL4" i="12"/>
  <c r="BK4" i="12"/>
  <c r="BJ4" i="12"/>
  <c r="BH4" i="12"/>
  <c r="BF4" i="12"/>
  <c r="BA4" i="12"/>
  <c r="AZ4" i="12"/>
  <c r="AY4" i="12"/>
  <c r="AR4" i="12"/>
  <c r="AQ4" i="12"/>
  <c r="AP4" i="12"/>
  <c r="R4" i="12"/>
  <c r="O4" i="12"/>
  <c r="A4" i="12"/>
  <c r="GY3" i="12"/>
  <c r="GX3" i="12"/>
  <c r="GW3" i="12"/>
  <c r="GV3" i="12"/>
  <c r="GJ3" i="12"/>
  <c r="GI3" i="12"/>
  <c r="GH3" i="12"/>
  <c r="GA3" i="12"/>
  <c r="FZ3" i="12"/>
  <c r="FY3" i="12"/>
  <c r="FH3" i="12"/>
  <c r="FG3" i="12"/>
  <c r="FD3" i="12"/>
  <c r="FB3" i="12"/>
  <c r="FA3" i="12"/>
  <c r="EZ3" i="12"/>
  <c r="EY3" i="12"/>
  <c r="EX3" i="12"/>
  <c r="EW3" i="12"/>
  <c r="EV3" i="12"/>
  <c r="EU3" i="12"/>
  <c r="ET3" i="12"/>
  <c r="ES3" i="12"/>
  <c r="EQ3" i="12"/>
  <c r="EP3" i="12"/>
  <c r="EO3" i="12"/>
  <c r="EN3" i="12"/>
  <c r="EM3" i="12"/>
  <c r="EL3" i="12"/>
  <c r="DM3" i="12"/>
  <c r="DL3" i="12"/>
  <c r="DK3" i="12"/>
  <c r="DJ3" i="12"/>
  <c r="CX3" i="12"/>
  <c r="CW3" i="12"/>
  <c r="CV3" i="12"/>
  <c r="CO3" i="12"/>
  <c r="CN3" i="12"/>
  <c r="CM3" i="12"/>
  <c r="BS3" i="12"/>
  <c r="BP3" i="12"/>
  <c r="BN3" i="12"/>
  <c r="BM3" i="12"/>
  <c r="BL3" i="12"/>
  <c r="BK3" i="12"/>
  <c r="BJ3" i="12"/>
  <c r="BH3" i="12"/>
  <c r="BF3" i="12"/>
  <c r="BA3" i="12"/>
  <c r="AZ3" i="12"/>
  <c r="AY3" i="12"/>
  <c r="AR3" i="12"/>
  <c r="AQ3" i="12"/>
  <c r="AP3" i="12"/>
  <c r="S3" i="12"/>
  <c r="R3" i="12"/>
  <c r="O3" i="12"/>
  <c r="A3" i="12"/>
  <c r="HV2" i="12"/>
  <c r="HU2" i="12"/>
  <c r="HI2" i="12"/>
  <c r="HI3" i="12" s="1"/>
  <c r="GY2" i="12"/>
  <c r="GX2" i="12"/>
  <c r="GW2" i="12"/>
  <c r="GV2" i="12"/>
  <c r="GJ2" i="12"/>
  <c r="GH2" i="12"/>
  <c r="GA2" i="12"/>
  <c r="FT2" i="12"/>
  <c r="FS2" i="12"/>
  <c r="FH2" i="12"/>
  <c r="FG2" i="12"/>
  <c r="FD2" i="12"/>
  <c r="FB2" i="12"/>
  <c r="FA2" i="12"/>
  <c r="EZ2" i="12"/>
  <c r="EY2" i="12"/>
  <c r="EX2" i="12"/>
  <c r="EW2" i="12"/>
  <c r="EV2" i="12"/>
  <c r="EU2" i="12"/>
  <c r="ET2" i="12"/>
  <c r="ES2" i="12"/>
  <c r="EQ2" i="12"/>
  <c r="EP2" i="12"/>
  <c r="EO2" i="12"/>
  <c r="EN2" i="12"/>
  <c r="EM2" i="12"/>
  <c r="EL2" i="12"/>
  <c r="EB2" i="12"/>
  <c r="DW2" i="12"/>
  <c r="DW3" i="12" s="1"/>
  <c r="DM2" i="12"/>
  <c r="DL2" i="12"/>
  <c r="DK2" i="12"/>
  <c r="DJ2" i="12"/>
  <c r="CX2" i="12"/>
  <c r="CY14" i="12" s="1"/>
  <c r="CV2" i="12"/>
  <c r="CO2" i="12"/>
  <c r="CI2" i="12"/>
  <c r="BS2" i="12"/>
  <c r="BP2" i="12"/>
  <c r="BN2" i="12"/>
  <c r="BM2" i="12"/>
  <c r="BL2" i="12"/>
  <c r="BK2" i="12"/>
  <c r="BJ2" i="12"/>
  <c r="BH2" i="12"/>
  <c r="BF2" i="12"/>
  <c r="BA2" i="12"/>
  <c r="AY2" i="12"/>
  <c r="AU2" i="12"/>
  <c r="AR2" i="12"/>
  <c r="X2" i="12"/>
  <c r="T2" i="12"/>
  <c r="S2" i="12"/>
  <c r="S21" i="12" s="1"/>
  <c r="R2" i="12"/>
  <c r="O2" i="12"/>
  <c r="A2" i="12"/>
  <c r="HK52" i="11"/>
  <c r="GY52" i="11"/>
  <c r="GX52" i="11"/>
  <c r="GW52" i="11"/>
  <c r="GV52" i="11"/>
  <c r="GL52" i="11"/>
  <c r="GJ52" i="11"/>
  <c r="GI52" i="11"/>
  <c r="GH52" i="11"/>
  <c r="GA52" i="11"/>
  <c r="FZ52" i="11"/>
  <c r="FY52" i="11"/>
  <c r="FI52" i="11"/>
  <c r="FG52" i="11"/>
  <c r="FD52" i="11"/>
  <c r="FB52" i="11"/>
  <c r="FA52" i="11"/>
  <c r="EZ52" i="11"/>
  <c r="EY52" i="11"/>
  <c r="EX52" i="11"/>
  <c r="EV52" i="11"/>
  <c r="ET52" i="11"/>
  <c r="EQ52" i="11"/>
  <c r="EO52" i="11"/>
  <c r="EN52" i="11"/>
  <c r="EM52" i="11"/>
  <c r="DY52" i="11"/>
  <c r="DX52" i="11"/>
  <c r="DW52" i="11"/>
  <c r="DO52" i="11"/>
  <c r="DN52" i="11"/>
  <c r="DM52" i="11"/>
  <c r="DL52" i="11"/>
  <c r="DK52" i="11"/>
  <c r="DJ52" i="11"/>
  <c r="DI52" i="11"/>
  <c r="DH52" i="11"/>
  <c r="DF52" i="11"/>
  <c r="DC52" i="11"/>
  <c r="DB52" i="11"/>
  <c r="DQ52" i="11" s="1"/>
  <c r="CZ52" i="11"/>
  <c r="CY52" i="11"/>
  <c r="CX52" i="11"/>
  <c r="CW52" i="11"/>
  <c r="CV52" i="11"/>
  <c r="CU52" i="11"/>
  <c r="CT52" i="11"/>
  <c r="CS52" i="11"/>
  <c r="CR52" i="11"/>
  <c r="CQ52" i="11"/>
  <c r="CP52" i="11"/>
  <c r="CO52" i="11"/>
  <c r="CN52" i="11"/>
  <c r="CM52" i="11"/>
  <c r="CJ52" i="11"/>
  <c r="CI52" i="11"/>
  <c r="BU52" i="11"/>
  <c r="BS52" i="11"/>
  <c r="BP52" i="11"/>
  <c r="BN52" i="11"/>
  <c r="BM52" i="11"/>
  <c r="BL52" i="11"/>
  <c r="BK52" i="11"/>
  <c r="BJ52" i="11"/>
  <c r="BH52" i="11"/>
  <c r="BF52" i="11"/>
  <c r="BC52" i="11"/>
  <c r="BA52" i="11"/>
  <c r="AZ52" i="11"/>
  <c r="AY52" i="11"/>
  <c r="AR52" i="11"/>
  <c r="AQ52" i="11"/>
  <c r="AP52" i="11"/>
  <c r="R52" i="11"/>
  <c r="P52" i="11"/>
  <c r="O52" i="11"/>
  <c r="A52" i="11"/>
  <c r="HK51" i="11"/>
  <c r="GY51" i="11"/>
  <c r="GX51" i="11"/>
  <c r="GW51" i="11"/>
  <c r="GV51" i="11"/>
  <c r="GL51" i="11"/>
  <c r="GJ51" i="11"/>
  <c r="GI51" i="11"/>
  <c r="GH51" i="11"/>
  <c r="GA51" i="11"/>
  <c r="FZ51" i="11"/>
  <c r="FY51" i="11"/>
  <c r="FI51" i="11"/>
  <c r="FG51" i="11"/>
  <c r="FD51" i="11"/>
  <c r="FB51" i="11"/>
  <c r="FA51" i="11"/>
  <c r="EZ51" i="11"/>
  <c r="EY51" i="11"/>
  <c r="EX51" i="11"/>
  <c r="EV51" i="11"/>
  <c r="ET51" i="11"/>
  <c r="EQ51" i="11"/>
  <c r="EO51" i="11"/>
  <c r="EN51" i="11"/>
  <c r="EM51" i="11"/>
  <c r="DY51" i="11"/>
  <c r="DX51" i="11"/>
  <c r="DW51" i="11"/>
  <c r="DO51" i="11"/>
  <c r="DN51" i="11"/>
  <c r="DM51" i="11"/>
  <c r="DL51" i="11"/>
  <c r="DK51" i="11"/>
  <c r="DJ51" i="11"/>
  <c r="DI51" i="11"/>
  <c r="DH51" i="11"/>
  <c r="DF51" i="11"/>
  <c r="DC51" i="11"/>
  <c r="DB51" i="11"/>
  <c r="CZ51" i="11"/>
  <c r="CY51" i="11"/>
  <c r="CX51" i="11"/>
  <c r="CW51" i="11"/>
  <c r="CV51" i="11"/>
  <c r="CU51" i="11"/>
  <c r="CT51" i="11"/>
  <c r="CS51" i="11"/>
  <c r="CR51" i="11"/>
  <c r="CQ51" i="11"/>
  <c r="CP51" i="11"/>
  <c r="CO51" i="11"/>
  <c r="CN51" i="11"/>
  <c r="CM51" i="11"/>
  <c r="CJ51" i="11"/>
  <c r="CI51" i="11"/>
  <c r="BU51" i="11"/>
  <c r="BS51" i="11"/>
  <c r="BP51" i="11"/>
  <c r="BN51" i="11"/>
  <c r="BM51" i="11"/>
  <c r="BL51" i="11"/>
  <c r="BK51" i="11"/>
  <c r="BJ51" i="11"/>
  <c r="BH51" i="11"/>
  <c r="BF51" i="11"/>
  <c r="BC51" i="11"/>
  <c r="BA51" i="11"/>
  <c r="AZ51" i="11"/>
  <c r="AY51" i="11"/>
  <c r="AR51" i="11"/>
  <c r="AQ51" i="11"/>
  <c r="AP51" i="11"/>
  <c r="R51" i="11"/>
  <c r="P51" i="11"/>
  <c r="O51" i="11"/>
  <c r="A51" i="11"/>
  <c r="HK50" i="11"/>
  <c r="GY50" i="11"/>
  <c r="GX50" i="11"/>
  <c r="GW50" i="11"/>
  <c r="GV50" i="11"/>
  <c r="GL50" i="11"/>
  <c r="GJ50" i="11"/>
  <c r="GI50" i="11"/>
  <c r="GH50" i="11"/>
  <c r="GA50" i="11"/>
  <c r="FZ50" i="11"/>
  <c r="FY50" i="11"/>
  <c r="FI50" i="11"/>
  <c r="FG50" i="11"/>
  <c r="FD50" i="11"/>
  <c r="FB50" i="11"/>
  <c r="FA50" i="11"/>
  <c r="EZ50" i="11"/>
  <c r="EY50" i="11"/>
  <c r="EX50" i="11"/>
  <c r="EV50" i="11"/>
  <c r="ET50" i="11"/>
  <c r="EQ50" i="11"/>
  <c r="EO50" i="11"/>
  <c r="EN50" i="11"/>
  <c r="EM50" i="11"/>
  <c r="DY50" i="11"/>
  <c r="DX50" i="11"/>
  <c r="DW50" i="11"/>
  <c r="DO50" i="11"/>
  <c r="DN50" i="11"/>
  <c r="DM50" i="11"/>
  <c r="DL50" i="11"/>
  <c r="DK50" i="11"/>
  <c r="DJ50" i="11"/>
  <c r="DI50" i="11"/>
  <c r="DH50" i="11"/>
  <c r="DF50" i="11"/>
  <c r="DC50" i="11"/>
  <c r="DB50" i="11"/>
  <c r="DQ50" i="11" s="1"/>
  <c r="CZ50" i="11"/>
  <c r="CY50" i="11"/>
  <c r="CX50" i="11"/>
  <c r="CW50" i="11"/>
  <c r="CV50" i="11"/>
  <c r="CU50" i="11"/>
  <c r="CT50" i="11"/>
  <c r="CS50" i="11"/>
  <c r="CR50" i="11"/>
  <c r="CQ50" i="11"/>
  <c r="CP50" i="11"/>
  <c r="CO50" i="11"/>
  <c r="CN50" i="11"/>
  <c r="CM50" i="11"/>
  <c r="CJ50" i="11"/>
  <c r="CI50" i="11"/>
  <c r="BU50" i="11"/>
  <c r="BS50" i="11"/>
  <c r="BP50" i="11"/>
  <c r="BN50" i="11"/>
  <c r="BM50" i="11"/>
  <c r="BL50" i="11"/>
  <c r="BK50" i="11"/>
  <c r="BJ50" i="11"/>
  <c r="BH50" i="11"/>
  <c r="BF50" i="11"/>
  <c r="BC50" i="11"/>
  <c r="BA50" i="11"/>
  <c r="AZ50" i="11"/>
  <c r="AY50" i="11"/>
  <c r="AR50" i="11"/>
  <c r="AQ50" i="11"/>
  <c r="AP50" i="11"/>
  <c r="R50" i="11"/>
  <c r="P50" i="11"/>
  <c r="O50" i="11"/>
  <c r="A50" i="11"/>
  <c r="HK49" i="11"/>
  <c r="GY49" i="11"/>
  <c r="GX49" i="11"/>
  <c r="GW49" i="11"/>
  <c r="GV49" i="11"/>
  <c r="GL49" i="11"/>
  <c r="GJ49" i="11"/>
  <c r="GI49" i="11"/>
  <c r="GH49" i="11"/>
  <c r="GA49" i="11"/>
  <c r="FZ49" i="11"/>
  <c r="FY49" i="11"/>
  <c r="FI49" i="11"/>
  <c r="FG49" i="11"/>
  <c r="FD49" i="11"/>
  <c r="FB49" i="11"/>
  <c r="FA49" i="11"/>
  <c r="EZ49" i="11"/>
  <c r="EY49" i="11"/>
  <c r="EX49" i="11"/>
  <c r="EV49" i="11"/>
  <c r="ET49" i="11"/>
  <c r="EQ49" i="11"/>
  <c r="EO49" i="11"/>
  <c r="EN49" i="11"/>
  <c r="EM49" i="11"/>
  <c r="DY49" i="11"/>
  <c r="DX49" i="11"/>
  <c r="DW49" i="11"/>
  <c r="DO49" i="11"/>
  <c r="DN49" i="11"/>
  <c r="DM49" i="11"/>
  <c r="DL49" i="11"/>
  <c r="DK49" i="11"/>
  <c r="DJ49" i="11"/>
  <c r="DI49" i="11"/>
  <c r="DH49" i="11"/>
  <c r="DF49" i="11"/>
  <c r="DC49" i="11"/>
  <c r="DB49" i="11"/>
  <c r="CZ49" i="11"/>
  <c r="CY49" i="11"/>
  <c r="CX49" i="11"/>
  <c r="CW49" i="11"/>
  <c r="CV49" i="11"/>
  <c r="CU49" i="11"/>
  <c r="CT49" i="11"/>
  <c r="CS49" i="11"/>
  <c r="CR49" i="11"/>
  <c r="CQ49" i="11"/>
  <c r="CP49" i="11"/>
  <c r="CO49" i="11"/>
  <c r="CN49" i="11"/>
  <c r="CM49" i="11"/>
  <c r="CJ49" i="11"/>
  <c r="CI49" i="11"/>
  <c r="BU49" i="11"/>
  <c r="BS49" i="11"/>
  <c r="BP49" i="11"/>
  <c r="BN49" i="11"/>
  <c r="BM49" i="11"/>
  <c r="BL49" i="11"/>
  <c r="BK49" i="11"/>
  <c r="BJ49" i="11"/>
  <c r="BH49" i="11"/>
  <c r="BF49" i="11"/>
  <c r="BC49" i="11"/>
  <c r="BA49" i="11"/>
  <c r="AZ49" i="11"/>
  <c r="AY49" i="11"/>
  <c r="AR49" i="11"/>
  <c r="AQ49" i="11"/>
  <c r="AP49" i="11"/>
  <c r="R49" i="11"/>
  <c r="P49" i="11"/>
  <c r="O49" i="11"/>
  <c r="A49" i="11"/>
  <c r="HK48" i="11"/>
  <c r="GY48" i="11"/>
  <c r="GX48" i="11"/>
  <c r="GW48" i="11"/>
  <c r="GV48" i="11"/>
  <c r="GL48" i="11"/>
  <c r="GJ48" i="11"/>
  <c r="GI48" i="11"/>
  <c r="GH48" i="11"/>
  <c r="GA48" i="11"/>
  <c r="FZ48" i="11"/>
  <c r="FY48" i="11"/>
  <c r="FI48" i="11"/>
  <c r="FG48" i="11"/>
  <c r="FD48" i="11"/>
  <c r="FB48" i="11"/>
  <c r="FA48" i="11"/>
  <c r="EZ48" i="11"/>
  <c r="EY48" i="11"/>
  <c r="EX48" i="11"/>
  <c r="EV48" i="11"/>
  <c r="ET48" i="11"/>
  <c r="EQ48" i="11"/>
  <c r="EO48" i="11"/>
  <c r="EN48" i="11"/>
  <c r="EM48" i="11"/>
  <c r="DY48" i="11"/>
  <c r="DX48" i="11"/>
  <c r="DW48" i="11"/>
  <c r="DO48" i="11"/>
  <c r="DN48" i="11"/>
  <c r="DM48" i="11"/>
  <c r="DL48" i="11"/>
  <c r="DK48" i="11"/>
  <c r="DJ48" i="11"/>
  <c r="DI48" i="11"/>
  <c r="DH48" i="11"/>
  <c r="DF48" i="11"/>
  <c r="DC48" i="11"/>
  <c r="DB48" i="11"/>
  <c r="DQ48" i="11" s="1"/>
  <c r="CZ48" i="11"/>
  <c r="CY48" i="11"/>
  <c r="CX48" i="11"/>
  <c r="CW48" i="11"/>
  <c r="CV48" i="11"/>
  <c r="CU48" i="11"/>
  <c r="CT48" i="11"/>
  <c r="CS48" i="11"/>
  <c r="CR48" i="11"/>
  <c r="CQ48" i="11"/>
  <c r="CP48" i="11"/>
  <c r="CO48" i="11"/>
  <c r="CN48" i="11"/>
  <c r="CM48" i="11"/>
  <c r="CJ48" i="11"/>
  <c r="CI48" i="11"/>
  <c r="BU48" i="11"/>
  <c r="BS48" i="11"/>
  <c r="BP48" i="11"/>
  <c r="BN48" i="11"/>
  <c r="BM48" i="11"/>
  <c r="BL48" i="11"/>
  <c r="BK48" i="11"/>
  <c r="BJ48" i="11"/>
  <c r="BH48" i="11"/>
  <c r="BF48" i="11"/>
  <c r="BC48" i="11"/>
  <c r="BA48" i="11"/>
  <c r="AZ48" i="11"/>
  <c r="AY48" i="11"/>
  <c r="AR48" i="11"/>
  <c r="AQ48" i="11"/>
  <c r="AP48" i="11"/>
  <c r="R48" i="11"/>
  <c r="P48" i="11"/>
  <c r="O48" i="11"/>
  <c r="A48" i="11"/>
  <c r="HK47" i="11"/>
  <c r="GY47" i="11"/>
  <c r="GX47" i="11"/>
  <c r="GW47" i="11"/>
  <c r="GV47" i="11"/>
  <c r="GL47" i="11"/>
  <c r="GJ47" i="11"/>
  <c r="GI47" i="11"/>
  <c r="GH47" i="11"/>
  <c r="GA47" i="11"/>
  <c r="FZ47" i="11"/>
  <c r="FY47" i="11"/>
  <c r="FI47" i="11"/>
  <c r="FG47" i="11"/>
  <c r="FD47" i="11"/>
  <c r="FB47" i="11"/>
  <c r="FA47" i="11"/>
  <c r="EZ47" i="11"/>
  <c r="EY47" i="11"/>
  <c r="EX47" i="11"/>
  <c r="EV47" i="11"/>
  <c r="ET47" i="11"/>
  <c r="EO47" i="11"/>
  <c r="EN47" i="11"/>
  <c r="EM47" i="11"/>
  <c r="DY47" i="11"/>
  <c r="DX47" i="11"/>
  <c r="DW47" i="11"/>
  <c r="DO47" i="11"/>
  <c r="DN47" i="11"/>
  <c r="DM47" i="11"/>
  <c r="DL47" i="11"/>
  <c r="DK47" i="11"/>
  <c r="DJ47" i="11"/>
  <c r="DI47" i="11"/>
  <c r="DH47" i="11"/>
  <c r="DF47" i="11"/>
  <c r="DC47" i="11"/>
  <c r="DB47" i="11"/>
  <c r="DQ47" i="11" s="1"/>
  <c r="CZ47" i="11"/>
  <c r="CY47" i="11"/>
  <c r="CX47" i="11"/>
  <c r="CW47" i="11"/>
  <c r="CV47" i="11"/>
  <c r="CU47" i="11"/>
  <c r="CT47" i="11"/>
  <c r="CS47" i="11"/>
  <c r="CR47" i="11"/>
  <c r="CQ47" i="11"/>
  <c r="CP47" i="11"/>
  <c r="CO47" i="11"/>
  <c r="CN47" i="11"/>
  <c r="CM47" i="11"/>
  <c r="CJ47" i="11"/>
  <c r="CI47" i="11"/>
  <c r="BU47" i="11"/>
  <c r="BS47" i="11"/>
  <c r="BP47" i="11"/>
  <c r="BN47" i="11"/>
  <c r="BM47" i="11"/>
  <c r="BL47" i="11"/>
  <c r="BK47" i="11"/>
  <c r="BJ47" i="11"/>
  <c r="BH47" i="11"/>
  <c r="BF47" i="11"/>
  <c r="BC47" i="11"/>
  <c r="BA47" i="11"/>
  <c r="AZ47" i="11"/>
  <c r="AY47" i="11"/>
  <c r="AR47" i="11"/>
  <c r="AQ47" i="11"/>
  <c r="AP47" i="11"/>
  <c r="R47" i="11"/>
  <c r="P47" i="11"/>
  <c r="O47" i="11"/>
  <c r="A47" i="11"/>
  <c r="HK46" i="11"/>
  <c r="GY46" i="11"/>
  <c r="GX46" i="11"/>
  <c r="GW46" i="11"/>
  <c r="GV46" i="11"/>
  <c r="GL46" i="11"/>
  <c r="GJ46" i="11"/>
  <c r="GI46" i="11"/>
  <c r="GH46" i="11"/>
  <c r="GA46" i="11"/>
  <c r="FZ46" i="11"/>
  <c r="FY46" i="11"/>
  <c r="FI46" i="11"/>
  <c r="FG46" i="11"/>
  <c r="FD46" i="11"/>
  <c r="FB46" i="11"/>
  <c r="FA46" i="11"/>
  <c r="EZ46" i="11"/>
  <c r="EY46" i="11"/>
  <c r="EX46" i="11"/>
  <c r="EV46" i="11"/>
  <c r="ET46" i="11"/>
  <c r="EO46" i="11"/>
  <c r="EN46" i="11"/>
  <c r="EM46" i="11"/>
  <c r="DY46" i="11"/>
  <c r="DX46" i="11"/>
  <c r="DW46" i="11"/>
  <c r="DO46" i="11"/>
  <c r="DN46" i="11"/>
  <c r="DM46" i="11"/>
  <c r="DL46" i="11"/>
  <c r="DK46" i="11"/>
  <c r="DJ46" i="11"/>
  <c r="DI46" i="11"/>
  <c r="DH46" i="11"/>
  <c r="DF46" i="11"/>
  <c r="DC46" i="11"/>
  <c r="DB46" i="11"/>
  <c r="DQ46" i="11" s="1"/>
  <c r="CZ46" i="11"/>
  <c r="CY46" i="11"/>
  <c r="CX46" i="11"/>
  <c r="CW46" i="11"/>
  <c r="CV46" i="11"/>
  <c r="CU46" i="11"/>
  <c r="CT46" i="11"/>
  <c r="CS46" i="11"/>
  <c r="CR46" i="11"/>
  <c r="CQ46" i="11"/>
  <c r="CP46" i="11"/>
  <c r="CO46" i="11"/>
  <c r="CN46" i="11"/>
  <c r="CM46" i="11"/>
  <c r="CJ46" i="11"/>
  <c r="CI46" i="11"/>
  <c r="BU46" i="11"/>
  <c r="BS46" i="11"/>
  <c r="BP46" i="11"/>
  <c r="BN46" i="11"/>
  <c r="BM46" i="11"/>
  <c r="BL46" i="11"/>
  <c r="BK46" i="11"/>
  <c r="BJ46" i="11"/>
  <c r="BH46" i="11"/>
  <c r="BF46" i="11"/>
  <c r="BC46" i="11"/>
  <c r="BA46" i="11"/>
  <c r="AZ46" i="11"/>
  <c r="AY46" i="11"/>
  <c r="AR46" i="11"/>
  <c r="AQ46" i="11"/>
  <c r="AP46" i="11"/>
  <c r="R46" i="11"/>
  <c r="P46" i="11"/>
  <c r="O46" i="11"/>
  <c r="A46" i="11"/>
  <c r="HK45" i="11"/>
  <c r="GY45" i="11"/>
  <c r="GX45" i="11"/>
  <c r="GW45" i="11"/>
  <c r="GV45" i="11"/>
  <c r="GL45" i="11"/>
  <c r="GJ45" i="11"/>
  <c r="GI45" i="11"/>
  <c r="GH45" i="11"/>
  <c r="GA45" i="11"/>
  <c r="FZ45" i="11"/>
  <c r="FY45" i="11"/>
  <c r="FI45" i="11"/>
  <c r="FG45" i="11"/>
  <c r="FD45" i="11"/>
  <c r="FB45" i="11"/>
  <c r="FA45" i="11"/>
  <c r="EZ45" i="11"/>
  <c r="EY45" i="11"/>
  <c r="EX45" i="11"/>
  <c r="EV45" i="11"/>
  <c r="ET45" i="11"/>
  <c r="EO45" i="11"/>
  <c r="EN45" i="11"/>
  <c r="EM45" i="11"/>
  <c r="DY45" i="11"/>
  <c r="DX45" i="11"/>
  <c r="DW45" i="11"/>
  <c r="DO45" i="11"/>
  <c r="DN45" i="11"/>
  <c r="DM45" i="11"/>
  <c r="DL45" i="11"/>
  <c r="DK45" i="11"/>
  <c r="DJ45" i="11"/>
  <c r="DI45" i="11"/>
  <c r="DH45" i="11"/>
  <c r="DF45" i="11"/>
  <c r="DC45" i="11"/>
  <c r="DB45" i="11"/>
  <c r="CZ45" i="11"/>
  <c r="CY45" i="11"/>
  <c r="CX45" i="11"/>
  <c r="CW45" i="11"/>
  <c r="CV45" i="11"/>
  <c r="CU45" i="11"/>
  <c r="CT45" i="11"/>
  <c r="CS45" i="11"/>
  <c r="CR45" i="11"/>
  <c r="CQ45" i="11"/>
  <c r="CP45" i="11"/>
  <c r="CO45" i="11"/>
  <c r="CN45" i="11"/>
  <c r="CM45" i="11"/>
  <c r="CJ45" i="11"/>
  <c r="CI45" i="11"/>
  <c r="BU45" i="11"/>
  <c r="BS45" i="11"/>
  <c r="BP45" i="11"/>
  <c r="BN45" i="11"/>
  <c r="BM45" i="11"/>
  <c r="BL45" i="11"/>
  <c r="BK45" i="11"/>
  <c r="BJ45" i="11"/>
  <c r="BH45" i="11"/>
  <c r="BF45" i="11"/>
  <c r="BC45" i="11"/>
  <c r="BA45" i="11"/>
  <c r="AZ45" i="11"/>
  <c r="AY45" i="11"/>
  <c r="AR45" i="11"/>
  <c r="AQ45" i="11"/>
  <c r="AP45" i="11"/>
  <c r="R45" i="11"/>
  <c r="P45" i="11"/>
  <c r="O45" i="11"/>
  <c r="A45" i="11"/>
  <c r="HK44" i="11"/>
  <c r="GY44" i="11"/>
  <c r="GX44" i="11"/>
  <c r="GW44" i="11"/>
  <c r="GV44" i="11"/>
  <c r="GL44" i="11"/>
  <c r="GJ44" i="11"/>
  <c r="GI44" i="11"/>
  <c r="GH44" i="11"/>
  <c r="GA44" i="11"/>
  <c r="FZ44" i="11"/>
  <c r="FY44" i="11"/>
  <c r="FI44" i="11"/>
  <c r="FG44" i="11"/>
  <c r="FD44" i="11"/>
  <c r="FB44" i="11"/>
  <c r="FA44" i="11"/>
  <c r="EZ44" i="11"/>
  <c r="EY44" i="11"/>
  <c r="EX44" i="11"/>
  <c r="EV44" i="11"/>
  <c r="ET44" i="11"/>
  <c r="EO44" i="11"/>
  <c r="EN44" i="11"/>
  <c r="EM44" i="11"/>
  <c r="DY44" i="11"/>
  <c r="DX44" i="11"/>
  <c r="DW44" i="11"/>
  <c r="DO44" i="11"/>
  <c r="DN44" i="11"/>
  <c r="DM44" i="11"/>
  <c r="DL44" i="11"/>
  <c r="DK44" i="11"/>
  <c r="DJ44" i="11"/>
  <c r="DI44" i="11"/>
  <c r="DH44" i="11"/>
  <c r="DF44" i="11"/>
  <c r="DC44" i="11"/>
  <c r="DB44" i="11"/>
  <c r="DQ44" i="11" s="1"/>
  <c r="CZ44" i="11"/>
  <c r="CY44" i="11"/>
  <c r="CX44" i="11"/>
  <c r="CW44" i="11"/>
  <c r="CV44" i="11"/>
  <c r="CU44" i="11"/>
  <c r="CT44" i="11"/>
  <c r="CS44" i="11"/>
  <c r="CR44" i="11"/>
  <c r="CQ44" i="11"/>
  <c r="CP44" i="11"/>
  <c r="CO44" i="11"/>
  <c r="CN44" i="11"/>
  <c r="CM44" i="11"/>
  <c r="CJ44" i="11"/>
  <c r="CI44" i="11"/>
  <c r="BU44" i="11"/>
  <c r="BS44" i="11"/>
  <c r="BP44" i="11"/>
  <c r="BN44" i="11"/>
  <c r="BM44" i="11"/>
  <c r="BL44" i="11"/>
  <c r="BK44" i="11"/>
  <c r="BJ44" i="11"/>
  <c r="BH44" i="11"/>
  <c r="BF44" i="11"/>
  <c r="BC44" i="11"/>
  <c r="BA44" i="11"/>
  <c r="AZ44" i="11"/>
  <c r="AY44" i="11"/>
  <c r="AR44" i="11"/>
  <c r="AQ44" i="11"/>
  <c r="AP44" i="11"/>
  <c r="R44" i="11"/>
  <c r="P44" i="11"/>
  <c r="O44" i="11"/>
  <c r="A44" i="11"/>
  <c r="HK43" i="11"/>
  <c r="GY43" i="11"/>
  <c r="GX43" i="11"/>
  <c r="GW43" i="11"/>
  <c r="GV43" i="11"/>
  <c r="GL43" i="11"/>
  <c r="GJ43" i="11"/>
  <c r="GI43" i="11"/>
  <c r="GH43" i="11"/>
  <c r="GA43" i="11"/>
  <c r="FZ43" i="11"/>
  <c r="FY43" i="11"/>
  <c r="FI43" i="11"/>
  <c r="FG43" i="11"/>
  <c r="FD43" i="11"/>
  <c r="FB43" i="11"/>
  <c r="FA43" i="11"/>
  <c r="EZ43" i="11"/>
  <c r="EY43" i="11"/>
  <c r="EX43" i="11"/>
  <c r="EV43" i="11"/>
  <c r="ET43" i="11"/>
  <c r="EO43" i="11"/>
  <c r="EN43" i="11"/>
  <c r="EM43" i="11"/>
  <c r="DY43" i="11"/>
  <c r="DX43" i="11"/>
  <c r="DW43" i="11"/>
  <c r="DO43" i="11"/>
  <c r="DN43" i="11"/>
  <c r="DM43" i="11"/>
  <c r="DL43" i="11"/>
  <c r="DK43" i="11"/>
  <c r="DJ43" i="11"/>
  <c r="DI43" i="11"/>
  <c r="DH43" i="11"/>
  <c r="DF43" i="11"/>
  <c r="DC43" i="11"/>
  <c r="DB43" i="11"/>
  <c r="DQ43" i="11" s="1"/>
  <c r="CZ43" i="11"/>
  <c r="CY43" i="11"/>
  <c r="CX43" i="11"/>
  <c r="CW43" i="11"/>
  <c r="CV43" i="11"/>
  <c r="CU43" i="11"/>
  <c r="CT43" i="11"/>
  <c r="CS43" i="11"/>
  <c r="CR43" i="11"/>
  <c r="CQ43" i="11"/>
  <c r="CP43" i="11"/>
  <c r="CO43" i="11"/>
  <c r="CN43" i="11"/>
  <c r="CM43" i="11"/>
  <c r="CJ43" i="11"/>
  <c r="CI43" i="11"/>
  <c r="BU43" i="11"/>
  <c r="BS43" i="11"/>
  <c r="BP43" i="11"/>
  <c r="BN43" i="11"/>
  <c r="BM43" i="11"/>
  <c r="BL43" i="11"/>
  <c r="BK43" i="11"/>
  <c r="BJ43" i="11"/>
  <c r="BH43" i="11"/>
  <c r="BF43" i="11"/>
  <c r="BC43" i="11"/>
  <c r="BA43" i="11"/>
  <c r="AZ43" i="11"/>
  <c r="AY43" i="11"/>
  <c r="AR43" i="11"/>
  <c r="AQ43" i="11"/>
  <c r="AP43" i="11"/>
  <c r="R43" i="11"/>
  <c r="P43" i="11"/>
  <c r="O43" i="11"/>
  <c r="A43" i="11"/>
  <c r="HK42" i="11"/>
  <c r="GY42" i="11"/>
  <c r="GX42" i="11"/>
  <c r="GW42" i="11"/>
  <c r="GV42" i="11"/>
  <c r="GL42" i="11"/>
  <c r="GJ42" i="11"/>
  <c r="GI42" i="11"/>
  <c r="GH42" i="11"/>
  <c r="GA42" i="11"/>
  <c r="FZ42" i="11"/>
  <c r="FY42" i="11"/>
  <c r="FI42" i="11"/>
  <c r="FG42" i="11"/>
  <c r="FD42" i="11"/>
  <c r="FB42" i="11"/>
  <c r="FA42" i="11"/>
  <c r="EZ42" i="11"/>
  <c r="EY42" i="11"/>
  <c r="EX42" i="11"/>
  <c r="EV42" i="11"/>
  <c r="ET42" i="11"/>
  <c r="EO42" i="11"/>
  <c r="EN42" i="11"/>
  <c r="EM42" i="11"/>
  <c r="DY42" i="11"/>
  <c r="DX42" i="11"/>
  <c r="DW42" i="11"/>
  <c r="DO42" i="11"/>
  <c r="DN42" i="11"/>
  <c r="DM42" i="11"/>
  <c r="DL42" i="11"/>
  <c r="DK42" i="11"/>
  <c r="DJ42" i="11"/>
  <c r="DI42" i="11"/>
  <c r="DH42" i="11"/>
  <c r="DF42" i="11"/>
  <c r="DC42" i="11"/>
  <c r="DB42" i="11"/>
  <c r="DQ42" i="11" s="1"/>
  <c r="CZ42" i="11"/>
  <c r="CY42" i="11"/>
  <c r="CX42" i="11"/>
  <c r="CW42" i="11"/>
  <c r="CV42" i="11"/>
  <c r="CU42" i="11"/>
  <c r="CT42" i="11"/>
  <c r="CS42" i="11"/>
  <c r="CR42" i="11"/>
  <c r="CQ42" i="11"/>
  <c r="CP42" i="11"/>
  <c r="CO42" i="11"/>
  <c r="CN42" i="11"/>
  <c r="CM42" i="11"/>
  <c r="CJ42" i="11"/>
  <c r="CI42" i="11"/>
  <c r="BU42" i="11"/>
  <c r="BS42" i="11"/>
  <c r="BP42" i="11"/>
  <c r="BN42" i="11"/>
  <c r="BM42" i="11"/>
  <c r="BL42" i="11"/>
  <c r="BK42" i="11"/>
  <c r="BJ42" i="11"/>
  <c r="BH42" i="11"/>
  <c r="BF42" i="11"/>
  <c r="BC42" i="11"/>
  <c r="BA42" i="11"/>
  <c r="AZ42" i="11"/>
  <c r="AY42" i="11"/>
  <c r="AR42" i="11"/>
  <c r="AQ42" i="11"/>
  <c r="AP42" i="11"/>
  <c r="R42" i="11"/>
  <c r="P42" i="11"/>
  <c r="O42" i="11"/>
  <c r="A42" i="11"/>
  <c r="HK41" i="11"/>
  <c r="GY41" i="11"/>
  <c r="GX41" i="11"/>
  <c r="GW41" i="11"/>
  <c r="GV41" i="11"/>
  <c r="GL41" i="11"/>
  <c r="GJ41" i="11"/>
  <c r="GI41" i="11"/>
  <c r="GH41" i="11"/>
  <c r="GA41" i="11"/>
  <c r="FZ41" i="11"/>
  <c r="FY41" i="11"/>
  <c r="FG41" i="11"/>
  <c r="FD41" i="11"/>
  <c r="FB41" i="11"/>
  <c r="FA41" i="11"/>
  <c r="EZ41" i="11"/>
  <c r="EY41" i="11"/>
  <c r="EX41" i="11"/>
  <c r="EV41" i="11"/>
  <c r="ET41" i="11"/>
  <c r="EO41" i="11"/>
  <c r="EN41" i="11"/>
  <c r="EM41" i="11"/>
  <c r="DY41" i="11"/>
  <c r="DX41" i="11"/>
  <c r="DW41" i="11"/>
  <c r="DO41" i="11"/>
  <c r="DN41" i="11"/>
  <c r="DM41" i="11"/>
  <c r="DL41" i="11"/>
  <c r="DK41" i="11"/>
  <c r="DJ41" i="11"/>
  <c r="DI41" i="11"/>
  <c r="DH41" i="11"/>
  <c r="DF41" i="11"/>
  <c r="DC41" i="11"/>
  <c r="DB41" i="11"/>
  <c r="CZ41" i="11"/>
  <c r="CY41" i="11"/>
  <c r="CX41" i="11"/>
  <c r="CW41" i="11"/>
  <c r="CV41" i="11"/>
  <c r="CU41" i="11"/>
  <c r="CT41" i="11"/>
  <c r="CS41" i="11"/>
  <c r="CR41" i="11"/>
  <c r="CQ41" i="11"/>
  <c r="CP41" i="11"/>
  <c r="CO41" i="11"/>
  <c r="CN41" i="11"/>
  <c r="CM41" i="11"/>
  <c r="CJ41" i="11"/>
  <c r="CI41" i="11"/>
  <c r="BU41" i="11"/>
  <c r="BS41" i="11"/>
  <c r="BP41" i="11"/>
  <c r="BN41" i="11"/>
  <c r="BM41" i="11"/>
  <c r="BL41" i="11"/>
  <c r="BK41" i="11"/>
  <c r="BJ41" i="11"/>
  <c r="BH41" i="11"/>
  <c r="BF41" i="11"/>
  <c r="BC41" i="11"/>
  <c r="BA41" i="11"/>
  <c r="AZ41" i="11"/>
  <c r="AY41" i="11"/>
  <c r="AR41" i="11"/>
  <c r="AQ41" i="11"/>
  <c r="AP41" i="11"/>
  <c r="R41" i="11"/>
  <c r="P41" i="11"/>
  <c r="O41" i="11"/>
  <c r="A41" i="11"/>
  <c r="HK40" i="11"/>
  <c r="GY40" i="11"/>
  <c r="GX40" i="11"/>
  <c r="GW40" i="11"/>
  <c r="GV40" i="11"/>
  <c r="GL40" i="11"/>
  <c r="GJ40" i="11"/>
  <c r="GI40" i="11"/>
  <c r="GH40" i="11"/>
  <c r="GA40" i="11"/>
  <c r="FZ40" i="11"/>
  <c r="FY40" i="11"/>
  <c r="FG40" i="11"/>
  <c r="FD40" i="11"/>
  <c r="FB40" i="11"/>
  <c r="FA40" i="11"/>
  <c r="EZ40" i="11"/>
  <c r="EY40" i="11"/>
  <c r="EX40" i="11"/>
  <c r="EV40" i="11"/>
  <c r="ET40" i="11"/>
  <c r="EO40" i="11"/>
  <c r="EN40" i="11"/>
  <c r="EM40" i="11"/>
  <c r="DY40" i="11"/>
  <c r="DX40" i="11"/>
  <c r="DW40" i="11"/>
  <c r="DO40" i="11"/>
  <c r="DN40" i="11"/>
  <c r="DM40" i="11"/>
  <c r="DL40" i="11"/>
  <c r="DK40" i="11"/>
  <c r="DJ40" i="11"/>
  <c r="DI40" i="11"/>
  <c r="DH40" i="11"/>
  <c r="DF40" i="11"/>
  <c r="DC40" i="11"/>
  <c r="DB40" i="11"/>
  <c r="DQ40" i="11" s="1"/>
  <c r="CZ40" i="11"/>
  <c r="CY40" i="11"/>
  <c r="CX40" i="11"/>
  <c r="CW40" i="11"/>
  <c r="CV40" i="11"/>
  <c r="CU40" i="11"/>
  <c r="CT40" i="11"/>
  <c r="CS40" i="11"/>
  <c r="CR40" i="11"/>
  <c r="CQ40" i="11"/>
  <c r="CP40" i="11"/>
  <c r="CO40" i="11"/>
  <c r="CN40" i="11"/>
  <c r="CM40" i="11"/>
  <c r="CJ40" i="11"/>
  <c r="CI40" i="11"/>
  <c r="BU40" i="11"/>
  <c r="BS40" i="11"/>
  <c r="BP40" i="11"/>
  <c r="BN40" i="11"/>
  <c r="BM40" i="11"/>
  <c r="BL40" i="11"/>
  <c r="BK40" i="11"/>
  <c r="BJ40" i="11"/>
  <c r="BH40" i="11"/>
  <c r="BF40" i="11"/>
  <c r="BC40" i="11"/>
  <c r="BA40" i="11"/>
  <c r="AZ40" i="11"/>
  <c r="AY40" i="11"/>
  <c r="AR40" i="11"/>
  <c r="AQ40" i="11"/>
  <c r="AP40" i="11"/>
  <c r="R40" i="11"/>
  <c r="P40" i="11"/>
  <c r="O40" i="11"/>
  <c r="A40" i="11"/>
  <c r="HK39" i="11"/>
  <c r="GY39" i="11"/>
  <c r="GX39" i="11"/>
  <c r="GW39" i="11"/>
  <c r="GV39" i="11"/>
  <c r="GL39" i="11"/>
  <c r="GJ39" i="11"/>
  <c r="GI39" i="11"/>
  <c r="GH39" i="11"/>
  <c r="GA39" i="11"/>
  <c r="FZ39" i="11"/>
  <c r="FY39" i="11"/>
  <c r="FG39" i="11"/>
  <c r="FD39" i="11"/>
  <c r="FB39" i="11"/>
  <c r="FA39" i="11"/>
  <c r="EZ39" i="11"/>
  <c r="EY39" i="11"/>
  <c r="EX39" i="11"/>
  <c r="EV39" i="11"/>
  <c r="ET39" i="11"/>
  <c r="EO39" i="11"/>
  <c r="EN39" i="11"/>
  <c r="EM39" i="11"/>
  <c r="DY39" i="11"/>
  <c r="DX39" i="11"/>
  <c r="DW39" i="11"/>
  <c r="DO39" i="11"/>
  <c r="DN39" i="11"/>
  <c r="DM39" i="11"/>
  <c r="DL39" i="11"/>
  <c r="DK39" i="11"/>
  <c r="DJ39" i="11"/>
  <c r="DI39" i="11"/>
  <c r="DH39" i="11"/>
  <c r="DF39" i="11"/>
  <c r="DC39" i="11"/>
  <c r="DB39" i="11"/>
  <c r="DQ39" i="11" s="1"/>
  <c r="CZ39" i="11"/>
  <c r="CY39" i="11"/>
  <c r="CX39" i="11"/>
  <c r="CW39" i="11"/>
  <c r="CV39" i="11"/>
  <c r="CU39" i="11"/>
  <c r="CT39" i="11"/>
  <c r="CS39" i="11"/>
  <c r="CR39" i="11"/>
  <c r="CQ39" i="11"/>
  <c r="CP39" i="11"/>
  <c r="CO39" i="11"/>
  <c r="CN39" i="11"/>
  <c r="CM39" i="11"/>
  <c r="CJ39" i="11"/>
  <c r="CI39" i="11"/>
  <c r="BU39" i="11"/>
  <c r="BS39" i="11"/>
  <c r="BP39" i="11"/>
  <c r="BN39" i="11"/>
  <c r="BM39" i="11"/>
  <c r="BL39" i="11"/>
  <c r="BK39" i="11"/>
  <c r="BJ39" i="11"/>
  <c r="BH39" i="11"/>
  <c r="BF39" i="11"/>
  <c r="BC39" i="11"/>
  <c r="BA39" i="11"/>
  <c r="AZ39" i="11"/>
  <c r="AY39" i="11"/>
  <c r="AR39" i="11"/>
  <c r="AQ39" i="11"/>
  <c r="AP39" i="11"/>
  <c r="R39" i="11"/>
  <c r="P39" i="11"/>
  <c r="O39" i="11"/>
  <c r="A39" i="11"/>
  <c r="HK38" i="11"/>
  <c r="GY38" i="11"/>
  <c r="GX38" i="11"/>
  <c r="GW38" i="11"/>
  <c r="GV38" i="11"/>
  <c r="GL38" i="11"/>
  <c r="GJ38" i="11"/>
  <c r="GI38" i="11"/>
  <c r="GH38" i="11"/>
  <c r="GA38" i="11"/>
  <c r="FZ38" i="11"/>
  <c r="FY38" i="11"/>
  <c r="FG38" i="11"/>
  <c r="FD38" i="11"/>
  <c r="FB38" i="11"/>
  <c r="FA38" i="11"/>
  <c r="EZ38" i="11"/>
  <c r="EY38" i="11"/>
  <c r="EX38" i="11"/>
  <c r="EV38" i="11"/>
  <c r="ET38" i="11"/>
  <c r="EO38" i="11"/>
  <c r="EM38" i="11"/>
  <c r="DY38" i="11"/>
  <c r="DX38" i="11"/>
  <c r="DW38" i="11"/>
  <c r="DO38" i="11"/>
  <c r="DN38" i="11"/>
  <c r="DM38" i="11"/>
  <c r="DL38" i="11"/>
  <c r="DK38" i="11"/>
  <c r="DJ38" i="11"/>
  <c r="DI38" i="11"/>
  <c r="DH38" i="11"/>
  <c r="DF38" i="11"/>
  <c r="DC38" i="11"/>
  <c r="DB38" i="11"/>
  <c r="DQ38" i="11" s="1"/>
  <c r="CZ38" i="11"/>
  <c r="CY38" i="11"/>
  <c r="CX38" i="11"/>
  <c r="CW38" i="11"/>
  <c r="CV38" i="11"/>
  <c r="CU38" i="11"/>
  <c r="CT38" i="11"/>
  <c r="CS38" i="11"/>
  <c r="CR38" i="11"/>
  <c r="CQ38" i="11"/>
  <c r="CP38" i="11"/>
  <c r="CO38" i="11"/>
  <c r="CN38" i="11"/>
  <c r="CM38" i="11"/>
  <c r="CJ38" i="11"/>
  <c r="CI38" i="11"/>
  <c r="BU38" i="11"/>
  <c r="BS38" i="11"/>
  <c r="BP38" i="11"/>
  <c r="BN38" i="11"/>
  <c r="BM38" i="11"/>
  <c r="BL38" i="11"/>
  <c r="BK38" i="11"/>
  <c r="BJ38" i="11"/>
  <c r="BH38" i="11"/>
  <c r="BF38" i="11"/>
  <c r="BC38" i="11"/>
  <c r="BA38" i="11"/>
  <c r="AZ38" i="11"/>
  <c r="AY38" i="11"/>
  <c r="AR38" i="11"/>
  <c r="AQ38" i="11"/>
  <c r="AP38" i="11"/>
  <c r="R38" i="11"/>
  <c r="P38" i="11"/>
  <c r="O38" i="11"/>
  <c r="A38" i="11"/>
  <c r="HK37" i="11"/>
  <c r="GY37" i="11"/>
  <c r="GX37" i="11"/>
  <c r="GW37" i="11"/>
  <c r="GV37" i="11"/>
  <c r="GL37" i="11"/>
  <c r="GJ37" i="11"/>
  <c r="GI37" i="11"/>
  <c r="GH37" i="11"/>
  <c r="GA37" i="11"/>
  <c r="FZ37" i="11"/>
  <c r="FY37" i="11"/>
  <c r="FG37" i="11"/>
  <c r="FD37" i="11"/>
  <c r="FB37" i="11"/>
  <c r="FA37" i="11"/>
  <c r="EZ37" i="11"/>
  <c r="EY37" i="11"/>
  <c r="EX37" i="11"/>
  <c r="EV37" i="11"/>
  <c r="ET37" i="11"/>
  <c r="EO37" i="11"/>
  <c r="EP49" i="11" s="1"/>
  <c r="EM37" i="11"/>
  <c r="DY37" i="11"/>
  <c r="DX37" i="11"/>
  <c r="DW37" i="11"/>
  <c r="DO37" i="11"/>
  <c r="DN37" i="11"/>
  <c r="DM37" i="11"/>
  <c r="DL37" i="11"/>
  <c r="DK37" i="11"/>
  <c r="DJ37" i="11"/>
  <c r="DI37" i="11"/>
  <c r="DH37" i="11"/>
  <c r="DF37" i="11"/>
  <c r="DC37" i="11"/>
  <c r="DB37" i="11"/>
  <c r="DQ37" i="11" s="1"/>
  <c r="CZ37" i="11"/>
  <c r="CY37" i="11"/>
  <c r="CX37" i="11"/>
  <c r="CW37" i="11"/>
  <c r="CV37" i="11"/>
  <c r="CU37" i="11"/>
  <c r="CT37" i="11"/>
  <c r="CS37" i="11"/>
  <c r="CR37" i="11"/>
  <c r="CQ37" i="11"/>
  <c r="CP37" i="11"/>
  <c r="CO37" i="11"/>
  <c r="CN37" i="11"/>
  <c r="CM37" i="11"/>
  <c r="BU37" i="11"/>
  <c r="BS37" i="11"/>
  <c r="BP37" i="11"/>
  <c r="BN37" i="11"/>
  <c r="BM37" i="11"/>
  <c r="BL37" i="11"/>
  <c r="BK37" i="11"/>
  <c r="BJ37" i="11"/>
  <c r="BH37" i="11"/>
  <c r="BF37" i="11"/>
  <c r="BC37" i="11"/>
  <c r="BA37" i="11"/>
  <c r="AZ37" i="11"/>
  <c r="AY37" i="11"/>
  <c r="AR37" i="11"/>
  <c r="AQ37" i="11"/>
  <c r="AP37" i="11"/>
  <c r="T37" i="11"/>
  <c r="R37" i="11"/>
  <c r="P37" i="11"/>
  <c r="O37" i="11"/>
  <c r="A37" i="11"/>
  <c r="HK36" i="11"/>
  <c r="GY36" i="11"/>
  <c r="GX36" i="11"/>
  <c r="GW36" i="11"/>
  <c r="GV36" i="11"/>
  <c r="GL36" i="11"/>
  <c r="GJ36" i="11"/>
  <c r="GI36" i="11"/>
  <c r="GH36" i="11"/>
  <c r="GA36" i="11"/>
  <c r="FZ36" i="11"/>
  <c r="FY36" i="11"/>
  <c r="FH36" i="11"/>
  <c r="FG36" i="11"/>
  <c r="FD36" i="11"/>
  <c r="FB36" i="11"/>
  <c r="FA36" i="11"/>
  <c r="EZ36" i="11"/>
  <c r="EY36" i="11"/>
  <c r="EX36" i="11"/>
  <c r="EW36" i="11"/>
  <c r="EV36" i="11"/>
  <c r="EU36" i="11"/>
  <c r="ET36" i="11"/>
  <c r="ES36" i="11"/>
  <c r="EQ36" i="11"/>
  <c r="EP36" i="11"/>
  <c r="EO36" i="11"/>
  <c r="EN36" i="11"/>
  <c r="EM36" i="11"/>
  <c r="EL36" i="11"/>
  <c r="DY36" i="11"/>
  <c r="DM36" i="11"/>
  <c r="DL36" i="11"/>
  <c r="DK36" i="11"/>
  <c r="DJ36" i="11"/>
  <c r="CZ36" i="11"/>
  <c r="CX36" i="11"/>
  <c r="CW36" i="11"/>
  <c r="CV36" i="11"/>
  <c r="CO36" i="11"/>
  <c r="CN36" i="11"/>
  <c r="CM36" i="11"/>
  <c r="BU36" i="11"/>
  <c r="BS36" i="11"/>
  <c r="BP36" i="11"/>
  <c r="BN36" i="11"/>
  <c r="BM36" i="11"/>
  <c r="BL36" i="11"/>
  <c r="BK36" i="11"/>
  <c r="BJ36" i="11"/>
  <c r="BH36" i="11"/>
  <c r="BF36" i="11"/>
  <c r="BC36" i="11"/>
  <c r="BA36" i="11"/>
  <c r="AZ36" i="11"/>
  <c r="AY36" i="11"/>
  <c r="AR36" i="11"/>
  <c r="AQ36" i="11"/>
  <c r="AP36" i="11"/>
  <c r="R36" i="11"/>
  <c r="P36" i="11"/>
  <c r="O36" i="11"/>
  <c r="A36" i="11"/>
  <c r="HK35" i="11"/>
  <c r="GY35" i="11"/>
  <c r="GX35" i="11"/>
  <c r="GW35" i="11"/>
  <c r="GV35" i="11"/>
  <c r="GL35" i="11"/>
  <c r="GJ35" i="11"/>
  <c r="GI35" i="11"/>
  <c r="GH35" i="11"/>
  <c r="GA35" i="11"/>
  <c r="FZ35" i="11"/>
  <c r="FY35" i="11"/>
  <c r="FH35" i="11"/>
  <c r="FG35" i="11"/>
  <c r="FD35" i="11"/>
  <c r="FB35" i="11"/>
  <c r="FA35" i="11"/>
  <c r="EZ35" i="11"/>
  <c r="EY35" i="11"/>
  <c r="EX35" i="11"/>
  <c r="EW35" i="11"/>
  <c r="EV35" i="11"/>
  <c r="EU35" i="11"/>
  <c r="ET35" i="11"/>
  <c r="ES35" i="11"/>
  <c r="EQ35" i="11"/>
  <c r="EP35" i="11"/>
  <c r="EO35" i="11"/>
  <c r="EN35" i="11"/>
  <c r="EM35" i="11"/>
  <c r="EL35" i="11"/>
  <c r="DY35" i="11"/>
  <c r="DM35" i="11"/>
  <c r="DL35" i="11"/>
  <c r="DK35" i="11"/>
  <c r="DJ35" i="11"/>
  <c r="CZ35" i="11"/>
  <c r="CX35" i="11"/>
  <c r="CW35" i="11"/>
  <c r="CV35" i="11"/>
  <c r="CO35" i="11"/>
  <c r="CN35" i="11"/>
  <c r="CM35" i="11"/>
  <c r="BU35" i="11"/>
  <c r="BS35" i="11"/>
  <c r="BP35" i="11"/>
  <c r="BN35" i="11"/>
  <c r="BM35" i="11"/>
  <c r="BL35" i="11"/>
  <c r="BK35" i="11"/>
  <c r="BJ35" i="11"/>
  <c r="BH35" i="11"/>
  <c r="BF35" i="11"/>
  <c r="BC35" i="11"/>
  <c r="BA35" i="11"/>
  <c r="AZ35" i="11"/>
  <c r="AY35" i="11"/>
  <c r="AR35" i="11"/>
  <c r="AQ35" i="11"/>
  <c r="AP35" i="11"/>
  <c r="R35" i="11"/>
  <c r="P35" i="11"/>
  <c r="O35" i="11"/>
  <c r="A35" i="11"/>
  <c r="HK34" i="11"/>
  <c r="GY34" i="11"/>
  <c r="GX34" i="11"/>
  <c r="GW34" i="11"/>
  <c r="GV34" i="11"/>
  <c r="GL34" i="11"/>
  <c r="GJ34" i="11"/>
  <c r="GI34" i="11"/>
  <c r="GH34" i="11"/>
  <c r="GA34" i="11"/>
  <c r="FZ34" i="11"/>
  <c r="FY34" i="11"/>
  <c r="FH34" i="11"/>
  <c r="FG34" i="11"/>
  <c r="FD34" i="11"/>
  <c r="FB34" i="11"/>
  <c r="FA34" i="11"/>
  <c r="EZ34" i="11"/>
  <c r="EY34" i="11"/>
  <c r="EX34" i="11"/>
  <c r="EW34" i="11"/>
  <c r="EV34" i="11"/>
  <c r="EU34" i="11"/>
  <c r="ET34" i="11"/>
  <c r="ES34" i="11"/>
  <c r="EQ34" i="11"/>
  <c r="EP34" i="11"/>
  <c r="EO34" i="11"/>
  <c r="EN34" i="11"/>
  <c r="EM34" i="11"/>
  <c r="EL34" i="11"/>
  <c r="DY34" i="11"/>
  <c r="DM34" i="11"/>
  <c r="DL34" i="11"/>
  <c r="DK34" i="11"/>
  <c r="DJ34" i="11"/>
  <c r="CZ34" i="11"/>
  <c r="CX34" i="11"/>
  <c r="CW34" i="11"/>
  <c r="CV34" i="11"/>
  <c r="CO34" i="11"/>
  <c r="CN34" i="11"/>
  <c r="CM34" i="11"/>
  <c r="BU34" i="11"/>
  <c r="BS34" i="11"/>
  <c r="BP34" i="11"/>
  <c r="BN34" i="11"/>
  <c r="BM34" i="11"/>
  <c r="BL34" i="11"/>
  <c r="BK34" i="11"/>
  <c r="BJ34" i="11"/>
  <c r="BH34" i="11"/>
  <c r="BF34" i="11"/>
  <c r="BC34" i="11"/>
  <c r="BA34" i="11"/>
  <c r="AZ34" i="11"/>
  <c r="AY34" i="11"/>
  <c r="AR34" i="11"/>
  <c r="AQ34" i="11"/>
  <c r="AP34" i="11"/>
  <c r="R34" i="11"/>
  <c r="P34" i="11"/>
  <c r="O34" i="11"/>
  <c r="A34" i="11"/>
  <c r="HK33" i="11"/>
  <c r="GY33" i="11"/>
  <c r="GX33" i="11"/>
  <c r="GW33" i="11"/>
  <c r="GV33" i="11"/>
  <c r="GL33" i="11"/>
  <c r="GJ33" i="11"/>
  <c r="GI33" i="11"/>
  <c r="GH33" i="11"/>
  <c r="GA33" i="11"/>
  <c r="FZ33" i="11"/>
  <c r="FY33" i="11"/>
  <c r="FH33" i="11"/>
  <c r="FG33" i="11"/>
  <c r="FD33" i="11"/>
  <c r="FB33" i="11"/>
  <c r="FA33" i="11"/>
  <c r="EZ33" i="11"/>
  <c r="EY33" i="11"/>
  <c r="EX33" i="11"/>
  <c r="EW33" i="11"/>
  <c r="EV33" i="11"/>
  <c r="EU33" i="11"/>
  <c r="ET33" i="11"/>
  <c r="ES33" i="11"/>
  <c r="EQ33" i="11"/>
  <c r="EP33" i="11"/>
  <c r="EO33" i="11"/>
  <c r="EN33" i="11"/>
  <c r="EM33" i="11"/>
  <c r="EL33" i="11"/>
  <c r="DY33" i="11"/>
  <c r="DM33" i="11"/>
  <c r="DL33" i="11"/>
  <c r="DK33" i="11"/>
  <c r="DJ33" i="11"/>
  <c r="CZ33" i="11"/>
  <c r="CX33" i="11"/>
  <c r="CW33" i="11"/>
  <c r="CV33" i="11"/>
  <c r="CO33" i="11"/>
  <c r="CN33" i="11"/>
  <c r="CM33" i="11"/>
  <c r="BU33" i="11"/>
  <c r="BS33" i="11"/>
  <c r="BP33" i="11"/>
  <c r="BN33" i="11"/>
  <c r="BM33" i="11"/>
  <c r="BL33" i="11"/>
  <c r="BK33" i="11"/>
  <c r="BJ33" i="11"/>
  <c r="BH33" i="11"/>
  <c r="BF33" i="11"/>
  <c r="BC33" i="11"/>
  <c r="BA33" i="11"/>
  <c r="AZ33" i="11"/>
  <c r="AY33" i="11"/>
  <c r="AR33" i="11"/>
  <c r="AQ33" i="11"/>
  <c r="AP33" i="11"/>
  <c r="R33" i="11"/>
  <c r="P33" i="11"/>
  <c r="O33" i="11"/>
  <c r="A33" i="11"/>
  <c r="HK32" i="11"/>
  <c r="GY32" i="11"/>
  <c r="GX32" i="11"/>
  <c r="GW32" i="11"/>
  <c r="GV32" i="11"/>
  <c r="GL32" i="11"/>
  <c r="GJ32" i="11"/>
  <c r="GI32" i="11"/>
  <c r="GH32" i="11"/>
  <c r="GA32" i="11"/>
  <c r="FZ32" i="11"/>
  <c r="FY32" i="11"/>
  <c r="FH32" i="11"/>
  <c r="FG32" i="11"/>
  <c r="FD32" i="11"/>
  <c r="FB32" i="11"/>
  <c r="FA32" i="11"/>
  <c r="EZ32" i="11"/>
  <c r="EY32" i="11"/>
  <c r="EX32" i="11"/>
  <c r="EW32" i="11"/>
  <c r="EV32" i="11"/>
  <c r="EU32" i="11"/>
  <c r="ET32" i="11"/>
  <c r="ES32" i="11"/>
  <c r="EQ32" i="11"/>
  <c r="EP32" i="11"/>
  <c r="EO32" i="11"/>
  <c r="EN32" i="11"/>
  <c r="EM32" i="11"/>
  <c r="EL32" i="11"/>
  <c r="DY32" i="11"/>
  <c r="DM32" i="11"/>
  <c r="DL32" i="11"/>
  <c r="DK32" i="11"/>
  <c r="DJ32" i="11"/>
  <c r="CZ32" i="11"/>
  <c r="CX32" i="11"/>
  <c r="CW32" i="11"/>
  <c r="CV32" i="11"/>
  <c r="CO32" i="11"/>
  <c r="CN32" i="11"/>
  <c r="CM32" i="11"/>
  <c r="BU32" i="11"/>
  <c r="BS32" i="11"/>
  <c r="BP32" i="11"/>
  <c r="BN32" i="11"/>
  <c r="BM32" i="11"/>
  <c r="BL32" i="11"/>
  <c r="BK32" i="11"/>
  <c r="BJ32" i="11"/>
  <c r="BH32" i="11"/>
  <c r="BF32" i="11"/>
  <c r="BC32" i="11"/>
  <c r="BA32" i="11"/>
  <c r="AZ32" i="11"/>
  <c r="AY32" i="11"/>
  <c r="AR32" i="11"/>
  <c r="AQ32" i="11"/>
  <c r="AP32" i="11"/>
  <c r="R32" i="11"/>
  <c r="P32" i="11"/>
  <c r="O32" i="11"/>
  <c r="A32" i="11"/>
  <c r="HK31" i="11"/>
  <c r="GY31" i="11"/>
  <c r="GX31" i="11"/>
  <c r="GW31" i="11"/>
  <c r="GV31" i="11"/>
  <c r="GL31" i="11"/>
  <c r="GJ31" i="11"/>
  <c r="GI31" i="11"/>
  <c r="GH31" i="11"/>
  <c r="GA31" i="11"/>
  <c r="FZ31" i="11"/>
  <c r="FY31" i="11"/>
  <c r="FH31" i="11"/>
  <c r="FG31" i="11"/>
  <c r="FD31" i="11"/>
  <c r="FB31" i="11"/>
  <c r="FA31" i="11"/>
  <c r="EZ31" i="11"/>
  <c r="EY31" i="11"/>
  <c r="EX31" i="11"/>
  <c r="EW31" i="11"/>
  <c r="EV31" i="11"/>
  <c r="EU31" i="11"/>
  <c r="ET31" i="11"/>
  <c r="ES31" i="11"/>
  <c r="EQ31" i="11"/>
  <c r="EP31" i="11"/>
  <c r="EO31" i="11"/>
  <c r="EN31" i="11"/>
  <c r="EM31" i="11"/>
  <c r="EL31" i="11"/>
  <c r="DY31" i="11"/>
  <c r="DM31" i="11"/>
  <c r="DL31" i="11"/>
  <c r="DK31" i="11"/>
  <c r="DJ31" i="11"/>
  <c r="CZ31" i="11"/>
  <c r="CX31" i="11"/>
  <c r="CW31" i="11"/>
  <c r="CV31" i="11"/>
  <c r="CO31" i="11"/>
  <c r="CN31" i="11"/>
  <c r="CM31" i="11"/>
  <c r="BU31" i="11"/>
  <c r="BS31" i="11"/>
  <c r="BP31" i="11"/>
  <c r="BN31" i="11"/>
  <c r="BM31" i="11"/>
  <c r="BL31" i="11"/>
  <c r="BK31" i="11"/>
  <c r="BJ31" i="11"/>
  <c r="BH31" i="11"/>
  <c r="BF31" i="11"/>
  <c r="BA31" i="11"/>
  <c r="AZ31" i="11"/>
  <c r="AY31" i="11"/>
  <c r="AR31" i="11"/>
  <c r="AQ31" i="11"/>
  <c r="AP31" i="11"/>
  <c r="R31" i="11"/>
  <c r="P31" i="11"/>
  <c r="O31" i="11"/>
  <c r="A31" i="11"/>
  <c r="HK30" i="11"/>
  <c r="GY30" i="11"/>
  <c r="GX30" i="11"/>
  <c r="GW30" i="11"/>
  <c r="GV30" i="11"/>
  <c r="GL30" i="11"/>
  <c r="GJ30" i="11"/>
  <c r="GI30" i="11"/>
  <c r="GH30" i="11"/>
  <c r="GA30" i="11"/>
  <c r="FZ30" i="11"/>
  <c r="FY30" i="11"/>
  <c r="FH30" i="11"/>
  <c r="FG30" i="11"/>
  <c r="FD30" i="11"/>
  <c r="FB30" i="11"/>
  <c r="FA30" i="11"/>
  <c r="EZ30" i="11"/>
  <c r="EY30" i="11"/>
  <c r="EX30" i="11"/>
  <c r="EW30" i="11"/>
  <c r="EV30" i="11"/>
  <c r="EU30" i="11"/>
  <c r="ET30" i="11"/>
  <c r="ES30" i="11"/>
  <c r="EQ30" i="11"/>
  <c r="EP30" i="11"/>
  <c r="EO30" i="11"/>
  <c r="EN30" i="11"/>
  <c r="EM30" i="11"/>
  <c r="EL30" i="11"/>
  <c r="DY30" i="11"/>
  <c r="DM30" i="11"/>
  <c r="DL30" i="11"/>
  <c r="DK30" i="11"/>
  <c r="DJ30" i="11"/>
  <c r="CZ30" i="11"/>
  <c r="CX30" i="11"/>
  <c r="CW30" i="11"/>
  <c r="CV30" i="11"/>
  <c r="CO30" i="11"/>
  <c r="CN30" i="11"/>
  <c r="CM30" i="11"/>
  <c r="BU30" i="11"/>
  <c r="BS30" i="11"/>
  <c r="BP30" i="11"/>
  <c r="BN30" i="11"/>
  <c r="BM30" i="11"/>
  <c r="BL30" i="11"/>
  <c r="BK30" i="11"/>
  <c r="BJ30" i="11"/>
  <c r="BH30" i="11"/>
  <c r="BF30" i="11"/>
  <c r="BA30" i="11"/>
  <c r="AZ30" i="11"/>
  <c r="AY30" i="11"/>
  <c r="AR30" i="11"/>
  <c r="AQ30" i="11"/>
  <c r="AP30" i="11"/>
  <c r="R30" i="11"/>
  <c r="P30" i="11"/>
  <c r="O30" i="11"/>
  <c r="A30" i="11"/>
  <c r="HK29" i="11"/>
  <c r="GY29" i="11"/>
  <c r="GX29" i="11"/>
  <c r="GW29" i="11"/>
  <c r="GV29" i="11"/>
  <c r="GL29" i="11"/>
  <c r="GJ29" i="11"/>
  <c r="GI29" i="11"/>
  <c r="GH29" i="11"/>
  <c r="GA29" i="11"/>
  <c r="FZ29" i="11"/>
  <c r="FY29" i="11"/>
  <c r="FH29" i="11"/>
  <c r="FG29" i="11"/>
  <c r="FD29" i="11"/>
  <c r="FB29" i="11"/>
  <c r="FA29" i="11"/>
  <c r="EZ29" i="11"/>
  <c r="EY29" i="11"/>
  <c r="EX29" i="11"/>
  <c r="EW29" i="11"/>
  <c r="EV29" i="11"/>
  <c r="EU29" i="11"/>
  <c r="ET29" i="11"/>
  <c r="ES29" i="11"/>
  <c r="EQ29" i="11"/>
  <c r="EP29" i="11"/>
  <c r="EO29" i="11"/>
  <c r="EN29" i="11"/>
  <c r="EM29" i="11"/>
  <c r="EL29" i="11"/>
  <c r="DY29" i="11"/>
  <c r="DM29" i="11"/>
  <c r="DL29" i="11"/>
  <c r="DK29" i="11"/>
  <c r="DJ29" i="11"/>
  <c r="CZ29" i="11"/>
  <c r="CX29" i="11"/>
  <c r="CW29" i="11"/>
  <c r="CV29" i="11"/>
  <c r="CO29" i="11"/>
  <c r="CN29" i="11"/>
  <c r="CM29" i="11"/>
  <c r="BU29" i="11"/>
  <c r="BS29" i="11"/>
  <c r="BP29" i="11"/>
  <c r="BN29" i="11"/>
  <c r="BM29" i="11"/>
  <c r="BL29" i="11"/>
  <c r="BK29" i="11"/>
  <c r="BJ29" i="11"/>
  <c r="BH29" i="11"/>
  <c r="BF29" i="11"/>
  <c r="BA29" i="11"/>
  <c r="AZ29" i="11"/>
  <c r="AY29" i="11"/>
  <c r="AR29" i="11"/>
  <c r="AQ29" i="11"/>
  <c r="AP29" i="11"/>
  <c r="R29" i="11"/>
  <c r="O29" i="11"/>
  <c r="A29" i="11"/>
  <c r="HK28" i="11"/>
  <c r="GY28" i="11"/>
  <c r="GX28" i="11"/>
  <c r="GW28" i="11"/>
  <c r="GV28" i="11"/>
  <c r="GL28" i="11"/>
  <c r="GJ28" i="11"/>
  <c r="GI28" i="11"/>
  <c r="GH28" i="11"/>
  <c r="GA28" i="11"/>
  <c r="FZ28" i="11"/>
  <c r="FY28" i="11"/>
  <c r="FH28" i="11"/>
  <c r="FG28" i="11"/>
  <c r="FD28" i="11"/>
  <c r="FB28" i="11"/>
  <c r="FA28" i="11"/>
  <c r="EZ28" i="11"/>
  <c r="EY28" i="11"/>
  <c r="EX28" i="11"/>
  <c r="EW28" i="11"/>
  <c r="EV28" i="11"/>
  <c r="EU28" i="11"/>
  <c r="ET28" i="11"/>
  <c r="ES28" i="11"/>
  <c r="EQ28" i="11"/>
  <c r="EP28" i="11"/>
  <c r="EO28" i="11"/>
  <c r="EN28" i="11"/>
  <c r="EM28" i="11"/>
  <c r="EL28" i="11"/>
  <c r="DY28" i="11"/>
  <c r="DM28" i="11"/>
  <c r="DL28" i="11"/>
  <c r="DK28" i="11"/>
  <c r="DJ28" i="11"/>
  <c r="CZ28" i="11"/>
  <c r="CX28" i="11"/>
  <c r="CW28" i="11"/>
  <c r="CV28" i="11"/>
  <c r="CO28" i="11"/>
  <c r="CN28" i="11"/>
  <c r="CM28" i="11"/>
  <c r="BU28" i="11"/>
  <c r="BS28" i="11"/>
  <c r="BP28" i="11"/>
  <c r="BN28" i="11"/>
  <c r="BM28" i="11"/>
  <c r="BL28" i="11"/>
  <c r="BK28" i="11"/>
  <c r="BJ28" i="11"/>
  <c r="BH28" i="11"/>
  <c r="BF28" i="11"/>
  <c r="BA28" i="11"/>
  <c r="AZ28" i="11"/>
  <c r="AY28" i="11"/>
  <c r="AR28" i="11"/>
  <c r="AQ28" i="11"/>
  <c r="AP28" i="11"/>
  <c r="R28" i="11"/>
  <c r="O28" i="11"/>
  <c r="A28" i="11"/>
  <c r="HK27" i="11"/>
  <c r="GY27" i="11"/>
  <c r="GX27" i="11"/>
  <c r="GW27" i="11"/>
  <c r="GV27" i="11"/>
  <c r="GL27" i="11"/>
  <c r="GJ27" i="11"/>
  <c r="GI27" i="11"/>
  <c r="GH27" i="11"/>
  <c r="GA27" i="11"/>
  <c r="FZ27" i="11"/>
  <c r="FY27" i="11"/>
  <c r="FH27" i="11"/>
  <c r="FG27" i="11"/>
  <c r="FD27" i="11"/>
  <c r="FB27" i="11"/>
  <c r="FA27" i="11"/>
  <c r="EZ27" i="11"/>
  <c r="EY27" i="11"/>
  <c r="EX27" i="11"/>
  <c r="EW27" i="11"/>
  <c r="EV27" i="11"/>
  <c r="EU27" i="11"/>
  <c r="ET27" i="11"/>
  <c r="ES27" i="11"/>
  <c r="EQ27" i="11"/>
  <c r="EP27" i="11"/>
  <c r="EO27" i="11"/>
  <c r="EN27" i="11"/>
  <c r="EM27" i="11"/>
  <c r="EL27" i="11"/>
  <c r="DY27" i="11"/>
  <c r="DM27" i="11"/>
  <c r="DL27" i="11"/>
  <c r="DK27" i="11"/>
  <c r="DJ27" i="11"/>
  <c r="CZ27" i="11"/>
  <c r="CX27" i="11"/>
  <c r="CW27" i="11"/>
  <c r="CV27" i="11"/>
  <c r="CO27" i="11"/>
  <c r="CN27" i="11"/>
  <c r="CM27" i="11"/>
  <c r="BU27" i="11"/>
  <c r="BS27" i="11"/>
  <c r="BP27" i="11"/>
  <c r="BN27" i="11"/>
  <c r="BM27" i="11"/>
  <c r="BL27" i="11"/>
  <c r="BK27" i="11"/>
  <c r="BJ27" i="11"/>
  <c r="BH27" i="11"/>
  <c r="BF27" i="11"/>
  <c r="BA27" i="11"/>
  <c r="AZ27" i="11"/>
  <c r="AY27" i="11"/>
  <c r="AR27" i="11"/>
  <c r="AQ27" i="11"/>
  <c r="AP27" i="11"/>
  <c r="R27" i="11"/>
  <c r="O27" i="11"/>
  <c r="A27" i="11"/>
  <c r="HK26" i="11"/>
  <c r="GY26" i="11"/>
  <c r="GX26" i="11"/>
  <c r="GW26" i="11"/>
  <c r="GV26" i="11"/>
  <c r="GL26" i="11"/>
  <c r="GJ26" i="11"/>
  <c r="GI26" i="11"/>
  <c r="GH26" i="11"/>
  <c r="GA26" i="11"/>
  <c r="FZ26" i="11"/>
  <c r="FY26" i="11"/>
  <c r="FH26" i="11"/>
  <c r="FG26" i="11"/>
  <c r="FD26" i="11"/>
  <c r="FB26" i="11"/>
  <c r="FA26" i="11"/>
  <c r="EZ26" i="11"/>
  <c r="EY26" i="11"/>
  <c r="EX26" i="11"/>
  <c r="EW26" i="11"/>
  <c r="EV26" i="11"/>
  <c r="EU26" i="11"/>
  <c r="ET26" i="11"/>
  <c r="ES26" i="11"/>
  <c r="EQ26" i="11"/>
  <c r="EP26" i="11"/>
  <c r="EO26" i="11"/>
  <c r="EN26" i="11"/>
  <c r="EM26" i="11"/>
  <c r="EL26" i="11"/>
  <c r="DY26" i="11"/>
  <c r="DM26" i="11"/>
  <c r="DL26" i="11"/>
  <c r="DK26" i="11"/>
  <c r="DJ26" i="11"/>
  <c r="CZ26" i="11"/>
  <c r="CX26" i="11"/>
  <c r="CW26" i="11"/>
  <c r="CV26" i="11"/>
  <c r="CO26" i="11"/>
  <c r="CN26" i="11"/>
  <c r="CM26" i="11"/>
  <c r="BU26" i="11"/>
  <c r="BS26" i="11"/>
  <c r="BP26" i="11"/>
  <c r="BN26" i="11"/>
  <c r="BM26" i="11"/>
  <c r="BL26" i="11"/>
  <c r="BK26" i="11"/>
  <c r="BJ26" i="11"/>
  <c r="BH26" i="11"/>
  <c r="BF26" i="11"/>
  <c r="BA26" i="11"/>
  <c r="AZ26" i="11"/>
  <c r="AY26" i="11"/>
  <c r="AR26" i="11"/>
  <c r="AQ26" i="11"/>
  <c r="AP26" i="11"/>
  <c r="R26" i="11"/>
  <c r="O26" i="11"/>
  <c r="A26" i="11"/>
  <c r="HK25" i="11"/>
  <c r="GY25" i="11"/>
  <c r="GX25" i="11"/>
  <c r="GW25" i="11"/>
  <c r="GV25" i="11"/>
  <c r="GL25" i="11"/>
  <c r="GJ25" i="11"/>
  <c r="GI25" i="11"/>
  <c r="GH25" i="11"/>
  <c r="GA25" i="11"/>
  <c r="FZ25" i="11"/>
  <c r="FY25" i="11"/>
  <c r="FH25" i="11"/>
  <c r="FG25" i="11"/>
  <c r="FD25" i="11"/>
  <c r="FB25" i="11"/>
  <c r="FA25" i="11"/>
  <c r="EZ25" i="11"/>
  <c r="EY25" i="11"/>
  <c r="EX25" i="11"/>
  <c r="EW25" i="11"/>
  <c r="EV25" i="11"/>
  <c r="EU25" i="11"/>
  <c r="ET25" i="11"/>
  <c r="ES25" i="11"/>
  <c r="EQ25" i="11"/>
  <c r="EP25" i="11"/>
  <c r="EO25" i="11"/>
  <c r="EN25" i="11"/>
  <c r="EM25" i="11"/>
  <c r="EL25" i="11"/>
  <c r="DY25" i="11"/>
  <c r="DM25" i="11"/>
  <c r="DL25" i="11"/>
  <c r="DK25" i="11"/>
  <c r="DJ25" i="11"/>
  <c r="CZ25" i="11"/>
  <c r="CX25" i="11"/>
  <c r="CW25" i="11"/>
  <c r="CV25" i="11"/>
  <c r="CO25" i="11"/>
  <c r="CN25" i="11"/>
  <c r="CM25" i="11"/>
  <c r="BU25" i="11"/>
  <c r="BS25" i="11"/>
  <c r="BP25" i="11"/>
  <c r="BN25" i="11"/>
  <c r="BM25" i="11"/>
  <c r="BL25" i="11"/>
  <c r="BK25" i="11"/>
  <c r="BJ25" i="11"/>
  <c r="BH25" i="11"/>
  <c r="BF25" i="11"/>
  <c r="BA25" i="11"/>
  <c r="AZ25" i="11"/>
  <c r="AY25" i="11"/>
  <c r="AR25" i="11"/>
  <c r="AQ25" i="11"/>
  <c r="AP25" i="11"/>
  <c r="R25" i="11"/>
  <c r="O25" i="11"/>
  <c r="A25" i="11"/>
  <c r="HK24" i="11"/>
  <c r="GY24" i="11"/>
  <c r="GX24" i="11"/>
  <c r="GW24" i="11"/>
  <c r="GV24" i="11"/>
  <c r="GL24" i="11"/>
  <c r="GJ24" i="11"/>
  <c r="GI24" i="11"/>
  <c r="GH24" i="11"/>
  <c r="GA24" i="11"/>
  <c r="FZ24" i="11"/>
  <c r="FY24" i="11"/>
  <c r="FH24" i="11"/>
  <c r="FG24" i="11"/>
  <c r="FD24" i="11"/>
  <c r="FB24" i="11"/>
  <c r="FA24" i="11"/>
  <c r="EZ24" i="11"/>
  <c r="EY24" i="11"/>
  <c r="EX24" i="11"/>
  <c r="EW24" i="11"/>
  <c r="EV24" i="11"/>
  <c r="EU24" i="11"/>
  <c r="ET24" i="11"/>
  <c r="ES24" i="11"/>
  <c r="EQ24" i="11"/>
  <c r="EP24" i="11"/>
  <c r="EO24" i="11"/>
  <c r="EN24" i="11"/>
  <c r="EM24" i="11"/>
  <c r="EL24" i="11"/>
  <c r="DY24" i="11"/>
  <c r="DM24" i="11"/>
  <c r="DL24" i="11"/>
  <c r="DK24" i="11"/>
  <c r="DJ24" i="11"/>
  <c r="CZ24" i="11"/>
  <c r="CX24" i="11"/>
  <c r="CW24" i="11"/>
  <c r="CV24" i="11"/>
  <c r="CO24" i="11"/>
  <c r="CN24" i="11"/>
  <c r="CM24" i="11"/>
  <c r="BU24" i="11"/>
  <c r="BS24" i="11"/>
  <c r="BP24" i="11"/>
  <c r="BN24" i="11"/>
  <c r="BM24" i="11"/>
  <c r="BL24" i="11"/>
  <c r="BK24" i="11"/>
  <c r="BJ24" i="11"/>
  <c r="BH24" i="11"/>
  <c r="BF24" i="11"/>
  <c r="BA24" i="11"/>
  <c r="AZ24" i="11"/>
  <c r="AY24" i="11"/>
  <c r="AR24" i="11"/>
  <c r="AQ24" i="11"/>
  <c r="AP24" i="11"/>
  <c r="R24" i="11"/>
  <c r="O24" i="11"/>
  <c r="A24" i="11"/>
  <c r="HK23" i="11"/>
  <c r="GY23" i="11"/>
  <c r="GX23" i="11"/>
  <c r="GW23" i="11"/>
  <c r="GV23" i="11"/>
  <c r="GL23" i="11"/>
  <c r="GJ23" i="11"/>
  <c r="GI23" i="11"/>
  <c r="GH23" i="11"/>
  <c r="GA23" i="11"/>
  <c r="FZ23" i="11"/>
  <c r="FY23" i="11"/>
  <c r="FH23" i="11"/>
  <c r="FG23" i="11"/>
  <c r="FD23" i="11"/>
  <c r="FB23" i="11"/>
  <c r="FA23" i="11"/>
  <c r="EZ23" i="11"/>
  <c r="EY23" i="11"/>
  <c r="EX23" i="11"/>
  <c r="EW23" i="11"/>
  <c r="EV23" i="11"/>
  <c r="EU23" i="11"/>
  <c r="ET23" i="11"/>
  <c r="ES23" i="11"/>
  <c r="EQ23" i="11"/>
  <c r="EP23" i="11"/>
  <c r="EO23" i="11"/>
  <c r="EN23" i="11"/>
  <c r="EM23" i="11"/>
  <c r="EL23" i="11"/>
  <c r="DY23" i="11"/>
  <c r="DM23" i="11"/>
  <c r="DL23" i="11"/>
  <c r="DK23" i="11"/>
  <c r="DJ23" i="11"/>
  <c r="CZ23" i="11"/>
  <c r="CX23" i="11"/>
  <c r="CW23" i="11"/>
  <c r="CV23" i="11"/>
  <c r="CO23" i="11"/>
  <c r="CN23" i="11"/>
  <c r="CM23" i="11"/>
  <c r="BU23" i="11"/>
  <c r="BS23" i="11"/>
  <c r="BP23" i="11"/>
  <c r="BN23" i="11"/>
  <c r="BM23" i="11"/>
  <c r="BL23" i="11"/>
  <c r="BK23" i="11"/>
  <c r="BJ23" i="11"/>
  <c r="BH23" i="11"/>
  <c r="BF23" i="11"/>
  <c r="BA23" i="11"/>
  <c r="AZ23" i="11"/>
  <c r="AY23" i="11"/>
  <c r="AR23" i="11"/>
  <c r="AQ23" i="11"/>
  <c r="AP23" i="11"/>
  <c r="R23" i="11"/>
  <c r="O23" i="11"/>
  <c r="A23" i="11"/>
  <c r="HK22" i="11"/>
  <c r="GY22" i="11"/>
  <c r="GX22" i="11"/>
  <c r="GW22" i="11"/>
  <c r="GV22" i="11"/>
  <c r="GL22" i="11"/>
  <c r="GJ22" i="11"/>
  <c r="GI22" i="11"/>
  <c r="GH22" i="11"/>
  <c r="GA22" i="11"/>
  <c r="FZ22" i="11"/>
  <c r="FY22" i="11"/>
  <c r="FH22" i="11"/>
  <c r="FG22" i="11"/>
  <c r="FD22" i="11"/>
  <c r="FB22" i="11"/>
  <c r="FA22" i="11"/>
  <c r="EZ22" i="11"/>
  <c r="EY22" i="11"/>
  <c r="EX22" i="11"/>
  <c r="EW22" i="11"/>
  <c r="EV22" i="11"/>
  <c r="EU22" i="11"/>
  <c r="ET22" i="11"/>
  <c r="ES22" i="11"/>
  <c r="EQ22" i="11"/>
  <c r="EP22" i="11"/>
  <c r="EO22" i="11"/>
  <c r="EN22" i="11"/>
  <c r="EM22" i="11"/>
  <c r="EL22" i="11"/>
  <c r="DY22" i="11"/>
  <c r="DM22" i="11"/>
  <c r="DL22" i="11"/>
  <c r="DK22" i="11"/>
  <c r="DJ22" i="11"/>
  <c r="CZ22" i="11"/>
  <c r="CX22" i="11"/>
  <c r="CW22" i="11"/>
  <c r="CV22" i="11"/>
  <c r="CO22" i="11"/>
  <c r="CN22" i="11"/>
  <c r="CM22" i="11"/>
  <c r="BU22" i="11"/>
  <c r="BS22" i="11"/>
  <c r="BP22" i="11"/>
  <c r="BN22" i="11"/>
  <c r="BM22" i="11"/>
  <c r="BL22" i="11"/>
  <c r="BK22" i="11"/>
  <c r="BJ22" i="11"/>
  <c r="BH22" i="11"/>
  <c r="BF22" i="11"/>
  <c r="BA22" i="11"/>
  <c r="AY22" i="11"/>
  <c r="AR22" i="11"/>
  <c r="R22" i="11"/>
  <c r="O22" i="11"/>
  <c r="A22" i="11"/>
  <c r="HK21" i="11"/>
  <c r="GY21" i="11"/>
  <c r="GX21" i="11"/>
  <c r="GW21" i="11"/>
  <c r="GV21" i="11"/>
  <c r="GL21" i="11"/>
  <c r="GJ21" i="11"/>
  <c r="GI21" i="11"/>
  <c r="GH21" i="11"/>
  <c r="GA21" i="11"/>
  <c r="FZ21" i="11"/>
  <c r="FY21" i="11"/>
  <c r="FH21" i="11"/>
  <c r="FG21" i="11"/>
  <c r="FD21" i="11"/>
  <c r="FB21" i="11"/>
  <c r="FA21" i="11"/>
  <c r="EZ21" i="11"/>
  <c r="EY21" i="11"/>
  <c r="EX21" i="11"/>
  <c r="EW21" i="11"/>
  <c r="EV21" i="11"/>
  <c r="EU21" i="11"/>
  <c r="ET21" i="11"/>
  <c r="ES21" i="11"/>
  <c r="EQ21" i="11"/>
  <c r="EP21" i="11"/>
  <c r="EO21" i="11"/>
  <c r="EN21" i="11"/>
  <c r="EM21" i="11"/>
  <c r="EL21" i="11"/>
  <c r="DY21" i="11"/>
  <c r="DM21" i="11"/>
  <c r="DL21" i="11"/>
  <c r="DK21" i="11"/>
  <c r="DJ21" i="11"/>
  <c r="CZ21" i="11"/>
  <c r="CX21" i="11"/>
  <c r="CW21" i="11"/>
  <c r="CV21" i="11"/>
  <c r="CO21" i="11"/>
  <c r="CN21" i="11"/>
  <c r="CM21" i="11"/>
  <c r="BU21" i="11"/>
  <c r="BS21" i="11"/>
  <c r="BP21" i="11"/>
  <c r="BN21" i="11"/>
  <c r="BM21" i="11"/>
  <c r="BL21" i="11"/>
  <c r="BK21" i="11"/>
  <c r="BJ21" i="11"/>
  <c r="BH21" i="11"/>
  <c r="BF21" i="11"/>
  <c r="BA21" i="11"/>
  <c r="AZ21" i="11"/>
  <c r="AY21" i="11"/>
  <c r="AR21" i="11"/>
  <c r="AQ21" i="11"/>
  <c r="AP21" i="11"/>
  <c r="R21" i="11"/>
  <c r="O21" i="11"/>
  <c r="A21" i="11"/>
  <c r="HK20" i="11"/>
  <c r="GY20" i="11"/>
  <c r="GX20" i="11"/>
  <c r="GW20" i="11"/>
  <c r="GV20" i="11"/>
  <c r="GL20" i="11"/>
  <c r="GJ20" i="11"/>
  <c r="GI20" i="11"/>
  <c r="GH20" i="11"/>
  <c r="GA20" i="11"/>
  <c r="FZ20" i="11"/>
  <c r="FY20" i="11"/>
  <c r="FH20" i="11"/>
  <c r="FG20" i="11"/>
  <c r="FD20" i="11"/>
  <c r="FB20" i="11"/>
  <c r="FA20" i="11"/>
  <c r="EZ20" i="11"/>
  <c r="EY20" i="11"/>
  <c r="EX20" i="11"/>
  <c r="EW20" i="11"/>
  <c r="EV20" i="11"/>
  <c r="EU20" i="11"/>
  <c r="ET20" i="11"/>
  <c r="ES20" i="11"/>
  <c r="EQ20" i="11"/>
  <c r="EP20" i="11"/>
  <c r="EO20" i="11"/>
  <c r="EN20" i="11"/>
  <c r="EM20" i="11"/>
  <c r="EL20" i="11"/>
  <c r="DY20" i="11"/>
  <c r="DM20" i="11"/>
  <c r="DL20" i="11"/>
  <c r="DK20" i="11"/>
  <c r="DJ20" i="11"/>
  <c r="CZ20" i="11"/>
  <c r="CX20" i="11"/>
  <c r="CW20" i="11"/>
  <c r="CV20" i="11"/>
  <c r="CO20" i="11"/>
  <c r="CN20" i="11"/>
  <c r="CM20" i="11"/>
  <c r="BU20" i="11"/>
  <c r="BS20" i="11"/>
  <c r="BP20" i="11"/>
  <c r="BN20" i="11"/>
  <c r="BM20" i="11"/>
  <c r="BL20" i="11"/>
  <c r="BK20" i="11"/>
  <c r="BJ20" i="11"/>
  <c r="BH20" i="11"/>
  <c r="BF20" i="11"/>
  <c r="BA20" i="11"/>
  <c r="AZ20" i="11"/>
  <c r="AY20" i="11"/>
  <c r="AR20" i="11"/>
  <c r="AQ20" i="11"/>
  <c r="AP20" i="11"/>
  <c r="R20" i="11"/>
  <c r="O20" i="11"/>
  <c r="A20" i="11"/>
  <c r="HK19" i="11"/>
  <c r="GY19" i="11"/>
  <c r="GX19" i="11"/>
  <c r="GW19" i="11"/>
  <c r="GV19" i="11"/>
  <c r="GL19" i="11"/>
  <c r="GJ19" i="11"/>
  <c r="GI19" i="11"/>
  <c r="GH19" i="11"/>
  <c r="GA19" i="11"/>
  <c r="FZ19" i="11"/>
  <c r="FY19" i="11"/>
  <c r="FH19" i="11"/>
  <c r="FG19" i="11"/>
  <c r="FD19" i="11"/>
  <c r="FB19" i="11"/>
  <c r="FA19" i="11"/>
  <c r="EZ19" i="11"/>
  <c r="EY19" i="11"/>
  <c r="EX19" i="11"/>
  <c r="EW19" i="11"/>
  <c r="EV19" i="11"/>
  <c r="EU19" i="11"/>
  <c r="ET19" i="11"/>
  <c r="ES19" i="11"/>
  <c r="EQ19" i="11"/>
  <c r="EP19" i="11"/>
  <c r="EO19" i="11"/>
  <c r="EN19" i="11"/>
  <c r="EM19" i="11"/>
  <c r="EL19" i="11"/>
  <c r="DY19" i="11"/>
  <c r="DM19" i="11"/>
  <c r="DL19" i="11"/>
  <c r="DK19" i="11"/>
  <c r="DJ19" i="11"/>
  <c r="CZ19" i="11"/>
  <c r="CX19" i="11"/>
  <c r="CW19" i="11"/>
  <c r="CV19" i="11"/>
  <c r="CO19" i="11"/>
  <c r="CN19" i="11"/>
  <c r="CM19" i="11"/>
  <c r="BU19" i="11"/>
  <c r="BS19" i="11"/>
  <c r="BP19" i="11"/>
  <c r="BN19" i="11"/>
  <c r="BM19" i="11"/>
  <c r="BL19" i="11"/>
  <c r="BK19" i="11"/>
  <c r="BJ19" i="11"/>
  <c r="BH19" i="11"/>
  <c r="BF19" i="11"/>
  <c r="BA19" i="11"/>
  <c r="AZ19" i="11"/>
  <c r="AY19" i="11"/>
  <c r="AR19" i="11"/>
  <c r="AQ19" i="11"/>
  <c r="AP19" i="11"/>
  <c r="R19" i="11"/>
  <c r="O19" i="11"/>
  <c r="A19" i="11"/>
  <c r="HK18" i="11"/>
  <c r="GY18" i="11"/>
  <c r="GX18" i="11"/>
  <c r="GW18" i="11"/>
  <c r="GV18" i="11"/>
  <c r="GL18" i="11"/>
  <c r="GJ18" i="11"/>
  <c r="GI18" i="11"/>
  <c r="GH18" i="11"/>
  <c r="GA18" i="11"/>
  <c r="FZ18" i="11"/>
  <c r="FY18" i="11"/>
  <c r="FH18" i="11"/>
  <c r="FG18" i="11"/>
  <c r="FD18" i="11"/>
  <c r="FB18" i="11"/>
  <c r="FA18" i="11"/>
  <c r="EZ18" i="11"/>
  <c r="EY18" i="11"/>
  <c r="EX18" i="11"/>
  <c r="EW18" i="11"/>
  <c r="EV18" i="11"/>
  <c r="EU18" i="11"/>
  <c r="ET18" i="11"/>
  <c r="ES18" i="11"/>
  <c r="EQ18" i="11"/>
  <c r="EP18" i="11"/>
  <c r="EO18" i="11"/>
  <c r="EN18" i="11"/>
  <c r="EM18" i="11"/>
  <c r="EL18" i="11"/>
  <c r="DY18" i="11"/>
  <c r="DM18" i="11"/>
  <c r="DL18" i="11"/>
  <c r="DK18" i="11"/>
  <c r="DJ18" i="11"/>
  <c r="CZ18" i="11"/>
  <c r="CX18" i="11"/>
  <c r="CW18" i="11"/>
  <c r="CV18" i="11"/>
  <c r="CO18" i="11"/>
  <c r="CN18" i="11"/>
  <c r="CM18" i="11"/>
  <c r="BU18" i="11"/>
  <c r="BS18" i="11"/>
  <c r="BP18" i="11"/>
  <c r="BN18" i="11"/>
  <c r="BM18" i="11"/>
  <c r="BL18" i="11"/>
  <c r="BK18" i="11"/>
  <c r="BJ18" i="11"/>
  <c r="BH18" i="11"/>
  <c r="BF18" i="11"/>
  <c r="BA18" i="11"/>
  <c r="AZ18" i="11"/>
  <c r="AY18" i="11"/>
  <c r="AR18" i="11"/>
  <c r="AQ18" i="11"/>
  <c r="AP18" i="11"/>
  <c r="R18" i="11"/>
  <c r="O18" i="11"/>
  <c r="A18" i="11"/>
  <c r="HK17" i="11"/>
  <c r="GY17" i="11"/>
  <c r="GX17" i="11"/>
  <c r="GW17" i="11"/>
  <c r="GV17" i="11"/>
  <c r="GL17" i="11"/>
  <c r="GJ17" i="11"/>
  <c r="GI17" i="11"/>
  <c r="GH17" i="11"/>
  <c r="GA17" i="11"/>
  <c r="FZ17" i="11"/>
  <c r="FY17" i="11"/>
  <c r="FH17" i="11"/>
  <c r="FG17" i="11"/>
  <c r="FD17" i="11"/>
  <c r="FB17" i="11"/>
  <c r="FA17" i="11"/>
  <c r="EZ17" i="11"/>
  <c r="EY17" i="11"/>
  <c r="EX17" i="11"/>
  <c r="EW17" i="11"/>
  <c r="EV17" i="11"/>
  <c r="EU17" i="11"/>
  <c r="ET17" i="11"/>
  <c r="ES17" i="11"/>
  <c r="EQ17" i="11"/>
  <c r="EP17" i="11"/>
  <c r="EO17" i="11"/>
  <c r="EN17" i="11"/>
  <c r="EM17" i="11"/>
  <c r="EL17" i="11"/>
  <c r="DY17" i="11"/>
  <c r="DM17" i="11"/>
  <c r="DL17" i="11"/>
  <c r="DK17" i="11"/>
  <c r="DJ17" i="11"/>
  <c r="CZ17" i="11"/>
  <c r="CX17" i="11"/>
  <c r="CW17" i="11"/>
  <c r="CV17" i="11"/>
  <c r="CO17" i="11"/>
  <c r="CN17" i="11"/>
  <c r="CM17" i="11"/>
  <c r="BU17" i="11"/>
  <c r="BS17" i="11"/>
  <c r="BP17" i="11"/>
  <c r="BN17" i="11"/>
  <c r="BM17" i="11"/>
  <c r="BL17" i="11"/>
  <c r="BK17" i="11"/>
  <c r="BJ17" i="11"/>
  <c r="BH17" i="11"/>
  <c r="BF17" i="11"/>
  <c r="BA17" i="11"/>
  <c r="AY17" i="11"/>
  <c r="AR17" i="11"/>
  <c r="R17" i="11"/>
  <c r="O17" i="11"/>
  <c r="A17" i="11"/>
  <c r="HK16" i="11"/>
  <c r="GY16" i="11"/>
  <c r="GX16" i="11"/>
  <c r="GW16" i="11"/>
  <c r="GV16" i="11"/>
  <c r="GL16" i="11"/>
  <c r="GJ16" i="11"/>
  <c r="GI16" i="11"/>
  <c r="GH16" i="11"/>
  <c r="GA16" i="11"/>
  <c r="FZ16" i="11"/>
  <c r="FY16" i="11"/>
  <c r="FH16" i="11"/>
  <c r="FG16" i="11"/>
  <c r="FD16" i="11"/>
  <c r="FB16" i="11"/>
  <c r="FA16" i="11"/>
  <c r="EZ16" i="11"/>
  <c r="EY16" i="11"/>
  <c r="EX16" i="11"/>
  <c r="EW16" i="11"/>
  <c r="EV16" i="11"/>
  <c r="EU16" i="11"/>
  <c r="ET16" i="11"/>
  <c r="ES16" i="11"/>
  <c r="EQ16" i="11"/>
  <c r="EP16" i="11"/>
  <c r="EO16" i="11"/>
  <c r="EN16" i="11"/>
  <c r="EM16" i="11"/>
  <c r="EL16" i="11"/>
  <c r="DY16" i="11"/>
  <c r="DM16" i="11"/>
  <c r="DL16" i="11"/>
  <c r="DK16" i="11"/>
  <c r="DJ16" i="11"/>
  <c r="CZ16" i="11"/>
  <c r="CX16" i="11"/>
  <c r="CW16" i="11"/>
  <c r="CV16" i="11"/>
  <c r="CO16" i="11"/>
  <c r="CN16" i="11"/>
  <c r="CM16" i="11"/>
  <c r="BU16" i="11"/>
  <c r="BS16" i="11"/>
  <c r="BP16" i="11"/>
  <c r="BN16" i="11"/>
  <c r="BM16" i="11"/>
  <c r="BL16" i="11"/>
  <c r="BK16" i="11"/>
  <c r="BJ16" i="11"/>
  <c r="BH16" i="11"/>
  <c r="BF16" i="11"/>
  <c r="BA16" i="11"/>
  <c r="AZ16" i="11"/>
  <c r="AY16" i="11"/>
  <c r="AR16" i="11"/>
  <c r="AQ16" i="11"/>
  <c r="AP16" i="11"/>
  <c r="R16" i="11"/>
  <c r="O16" i="11"/>
  <c r="A16" i="11"/>
  <c r="HK15" i="11"/>
  <c r="GY15" i="11"/>
  <c r="GX15" i="11"/>
  <c r="GW15" i="11"/>
  <c r="GV15" i="11"/>
  <c r="GL15" i="11"/>
  <c r="GJ15" i="11"/>
  <c r="GI15" i="11"/>
  <c r="GH15" i="11"/>
  <c r="GA15" i="11"/>
  <c r="FZ15" i="11"/>
  <c r="FY15" i="11"/>
  <c r="FH15" i="11"/>
  <c r="FG15" i="11"/>
  <c r="FD15" i="11"/>
  <c r="FB15" i="11"/>
  <c r="FA15" i="11"/>
  <c r="EZ15" i="11"/>
  <c r="EY15" i="11"/>
  <c r="EX15" i="11"/>
  <c r="EW15" i="11"/>
  <c r="EV15" i="11"/>
  <c r="EU15" i="11"/>
  <c r="ET15" i="11"/>
  <c r="ES15" i="11"/>
  <c r="EQ15" i="11"/>
  <c r="EP15" i="11"/>
  <c r="EO15" i="11"/>
  <c r="EN15" i="11"/>
  <c r="EM15" i="11"/>
  <c r="EL15" i="11"/>
  <c r="DY15" i="11"/>
  <c r="DM15" i="11"/>
  <c r="DL15" i="11"/>
  <c r="DK15" i="11"/>
  <c r="DJ15" i="11"/>
  <c r="CZ15" i="11"/>
  <c r="CX15" i="11"/>
  <c r="CW15" i="11"/>
  <c r="CV15" i="11"/>
  <c r="CO15" i="11"/>
  <c r="CN15" i="11"/>
  <c r="CM15" i="11"/>
  <c r="BU15" i="11"/>
  <c r="BS15" i="11"/>
  <c r="BP15" i="11"/>
  <c r="BN15" i="11"/>
  <c r="BM15" i="11"/>
  <c r="BL15" i="11"/>
  <c r="BK15" i="11"/>
  <c r="BJ15" i="11"/>
  <c r="BH15" i="11"/>
  <c r="BF15" i="11"/>
  <c r="BA15" i="11"/>
  <c r="AZ15" i="11"/>
  <c r="AY15" i="11"/>
  <c r="AR15" i="11"/>
  <c r="AQ15" i="11"/>
  <c r="AP15" i="11"/>
  <c r="R15" i="11"/>
  <c r="O15" i="11"/>
  <c r="A15" i="11"/>
  <c r="HK14" i="11"/>
  <c r="GY14" i="11"/>
  <c r="GX14" i="11"/>
  <c r="GW14" i="11"/>
  <c r="GV14" i="11"/>
  <c r="GL14" i="11"/>
  <c r="GJ14" i="11"/>
  <c r="GI14" i="11"/>
  <c r="GH14" i="11"/>
  <c r="GA14" i="11"/>
  <c r="FZ14" i="11"/>
  <c r="FY14" i="11"/>
  <c r="FH14" i="11"/>
  <c r="FG14" i="11"/>
  <c r="FD14" i="11"/>
  <c r="FB14" i="11"/>
  <c r="FA14" i="11"/>
  <c r="EZ14" i="11"/>
  <c r="EY14" i="11"/>
  <c r="EX14" i="11"/>
  <c r="EW14" i="11"/>
  <c r="EV14" i="11"/>
  <c r="EU14" i="11"/>
  <c r="ET14" i="11"/>
  <c r="ES14" i="11"/>
  <c r="EQ14" i="11"/>
  <c r="EP14" i="11"/>
  <c r="EO14" i="11"/>
  <c r="EN14" i="11"/>
  <c r="EM14" i="11"/>
  <c r="EL14" i="11"/>
  <c r="DY14" i="11"/>
  <c r="DM14" i="11"/>
  <c r="DL14" i="11"/>
  <c r="DK14" i="11"/>
  <c r="DJ14" i="11"/>
  <c r="CZ14" i="11"/>
  <c r="CX14" i="11"/>
  <c r="CW14" i="11"/>
  <c r="CV14" i="11"/>
  <c r="CO14" i="11"/>
  <c r="CN14" i="11"/>
  <c r="CM14" i="11"/>
  <c r="BU14" i="11"/>
  <c r="BS14" i="11"/>
  <c r="BP14" i="11"/>
  <c r="BN14" i="11"/>
  <c r="BM14" i="11"/>
  <c r="BL14" i="11"/>
  <c r="BK14" i="11"/>
  <c r="BJ14" i="11"/>
  <c r="BH14" i="11"/>
  <c r="BF14" i="11"/>
  <c r="BA14" i="11"/>
  <c r="AZ14" i="11"/>
  <c r="AY14" i="11"/>
  <c r="AR14" i="11"/>
  <c r="AQ14" i="11"/>
  <c r="AP14" i="11"/>
  <c r="R14" i="11"/>
  <c r="O14" i="11"/>
  <c r="A14" i="11"/>
  <c r="HK13" i="11"/>
  <c r="GY13" i="11"/>
  <c r="GX13" i="11"/>
  <c r="GW13" i="11"/>
  <c r="GV13" i="11"/>
  <c r="GL13" i="11"/>
  <c r="GJ13" i="11"/>
  <c r="GI13" i="11"/>
  <c r="GH13" i="11"/>
  <c r="GA13" i="11"/>
  <c r="FZ13" i="11"/>
  <c r="FY13" i="11"/>
  <c r="FH13" i="11"/>
  <c r="FG13" i="11"/>
  <c r="FD13" i="11"/>
  <c r="FB13" i="11"/>
  <c r="FA13" i="11"/>
  <c r="EZ13" i="11"/>
  <c r="EY13" i="11"/>
  <c r="EX13" i="11"/>
  <c r="EW13" i="11"/>
  <c r="EV13" i="11"/>
  <c r="EU13" i="11"/>
  <c r="ET13" i="11"/>
  <c r="ES13" i="11"/>
  <c r="EQ13" i="11"/>
  <c r="EP13" i="11"/>
  <c r="EO13" i="11"/>
  <c r="EN13" i="11"/>
  <c r="EM13" i="11"/>
  <c r="EL13" i="11"/>
  <c r="DY13" i="11"/>
  <c r="DM13" i="11"/>
  <c r="DL13" i="11"/>
  <c r="DK13" i="11"/>
  <c r="DJ13" i="11"/>
  <c r="CZ13" i="11"/>
  <c r="CX13" i="11"/>
  <c r="CW13" i="11"/>
  <c r="CV13" i="11"/>
  <c r="CO13" i="11"/>
  <c r="CN13" i="11"/>
  <c r="CM13" i="11"/>
  <c r="BU13" i="11"/>
  <c r="BS13" i="11"/>
  <c r="BP13" i="11"/>
  <c r="BN13" i="11"/>
  <c r="BM13" i="11"/>
  <c r="BL13" i="11"/>
  <c r="BK13" i="11"/>
  <c r="BJ13" i="11"/>
  <c r="BH13" i="11"/>
  <c r="BF13" i="11"/>
  <c r="BA13" i="11"/>
  <c r="AZ13" i="11"/>
  <c r="AY13" i="11"/>
  <c r="AR13" i="11"/>
  <c r="AQ13" i="11"/>
  <c r="AP13" i="11"/>
  <c r="R13" i="11"/>
  <c r="O13" i="11"/>
  <c r="A13" i="11"/>
  <c r="GY12" i="11"/>
  <c r="GX12" i="11"/>
  <c r="GW12" i="11"/>
  <c r="GV12" i="11"/>
  <c r="GL12" i="11"/>
  <c r="GJ12" i="11"/>
  <c r="GI12" i="11"/>
  <c r="GH12" i="11"/>
  <c r="GA12" i="11"/>
  <c r="FZ12" i="11"/>
  <c r="FY12" i="11"/>
  <c r="FH12" i="11"/>
  <c r="FG12" i="11"/>
  <c r="FD12" i="11"/>
  <c r="FB12" i="11"/>
  <c r="FA12" i="11"/>
  <c r="EZ12" i="11"/>
  <c r="EY12" i="11"/>
  <c r="EX12" i="11"/>
  <c r="EW12" i="11"/>
  <c r="EV12" i="11"/>
  <c r="EU12" i="11"/>
  <c r="ET12" i="11"/>
  <c r="ES12" i="11"/>
  <c r="EQ12" i="11"/>
  <c r="EP12" i="11"/>
  <c r="EO12" i="11"/>
  <c r="EN12" i="11"/>
  <c r="EM12" i="11"/>
  <c r="EL12" i="11"/>
  <c r="DY12" i="11"/>
  <c r="DM12" i="11"/>
  <c r="DL12" i="11"/>
  <c r="DK12" i="11"/>
  <c r="DJ12" i="11"/>
  <c r="CZ12" i="11"/>
  <c r="CX12" i="11"/>
  <c r="CW12" i="11"/>
  <c r="CV12" i="11"/>
  <c r="CO12" i="11"/>
  <c r="CN12" i="11"/>
  <c r="CM12" i="11"/>
  <c r="BU12" i="11"/>
  <c r="BS12" i="11"/>
  <c r="BP12" i="11"/>
  <c r="BN12" i="11"/>
  <c r="BM12" i="11"/>
  <c r="BL12" i="11"/>
  <c r="BK12" i="11"/>
  <c r="BJ12" i="11"/>
  <c r="BH12" i="11"/>
  <c r="BF12" i="11"/>
  <c r="BA12" i="11"/>
  <c r="AY12" i="11"/>
  <c r="AR12" i="11"/>
  <c r="R12" i="11"/>
  <c r="O12" i="11"/>
  <c r="A12" i="11"/>
  <c r="GY11" i="11"/>
  <c r="GX11" i="11"/>
  <c r="GW11" i="11"/>
  <c r="GV11" i="11"/>
  <c r="GJ11" i="11"/>
  <c r="GI11" i="11"/>
  <c r="GH11" i="11"/>
  <c r="GA11" i="11"/>
  <c r="FZ11" i="11"/>
  <c r="FY11" i="11"/>
  <c r="FH11" i="11"/>
  <c r="FG11" i="11"/>
  <c r="FD11" i="11"/>
  <c r="FB11" i="11"/>
  <c r="FA11" i="11"/>
  <c r="EZ11" i="11"/>
  <c r="EY11" i="11"/>
  <c r="EX11" i="11"/>
  <c r="EW11" i="11"/>
  <c r="EV11" i="11"/>
  <c r="EU11" i="11"/>
  <c r="ET11" i="11"/>
  <c r="ES11" i="11"/>
  <c r="EQ11" i="11"/>
  <c r="EP11" i="11"/>
  <c r="EO11" i="11"/>
  <c r="EN11" i="11"/>
  <c r="EM11" i="11"/>
  <c r="EL11" i="11"/>
  <c r="DY11" i="11"/>
  <c r="DM11" i="11"/>
  <c r="DL11" i="11"/>
  <c r="DK11" i="11"/>
  <c r="DJ11" i="11"/>
  <c r="CX11" i="11"/>
  <c r="CW11" i="11"/>
  <c r="CV11" i="11"/>
  <c r="CO11" i="11"/>
  <c r="CN11" i="11"/>
  <c r="CM11" i="11"/>
  <c r="BU11" i="11"/>
  <c r="BS11" i="11"/>
  <c r="BP11" i="11"/>
  <c r="BN11" i="11"/>
  <c r="BM11" i="11"/>
  <c r="BL11" i="11"/>
  <c r="BK11" i="11"/>
  <c r="BJ11" i="11"/>
  <c r="BH11" i="11"/>
  <c r="BF11" i="11"/>
  <c r="BA11" i="11"/>
  <c r="AZ11" i="11"/>
  <c r="AY11" i="11"/>
  <c r="AR11" i="11"/>
  <c r="AQ11" i="11"/>
  <c r="AP11" i="11"/>
  <c r="R11" i="11"/>
  <c r="O11" i="11"/>
  <c r="A11" i="11"/>
  <c r="GY10" i="11"/>
  <c r="GX10" i="11"/>
  <c r="GW10" i="11"/>
  <c r="GV10" i="11"/>
  <c r="GJ10" i="11"/>
  <c r="GI10" i="11"/>
  <c r="GH10" i="11"/>
  <c r="GA10" i="11"/>
  <c r="FZ10" i="11"/>
  <c r="FY10" i="11"/>
  <c r="FH10" i="11"/>
  <c r="FG10" i="11"/>
  <c r="FD10" i="11"/>
  <c r="FB10" i="11"/>
  <c r="FA10" i="11"/>
  <c r="EZ10" i="11"/>
  <c r="EY10" i="11"/>
  <c r="EX10" i="11"/>
  <c r="EW10" i="11"/>
  <c r="EV10" i="11"/>
  <c r="EU10" i="11"/>
  <c r="ET10" i="11"/>
  <c r="ES10" i="11"/>
  <c r="EQ10" i="11"/>
  <c r="EP10" i="11"/>
  <c r="EO10" i="11"/>
  <c r="EN10" i="11"/>
  <c r="EM10" i="11"/>
  <c r="EL10" i="11"/>
  <c r="DY10" i="11"/>
  <c r="DM10" i="11"/>
  <c r="DL10" i="11"/>
  <c r="DK10" i="11"/>
  <c r="DJ10" i="11"/>
  <c r="CX10" i="11"/>
  <c r="CW10" i="11"/>
  <c r="CV10" i="11"/>
  <c r="CO10" i="11"/>
  <c r="CN10" i="11"/>
  <c r="CM10" i="11"/>
  <c r="BS10" i="11"/>
  <c r="BP10" i="11"/>
  <c r="BN10" i="11"/>
  <c r="BM10" i="11"/>
  <c r="BL10" i="11"/>
  <c r="BK10" i="11"/>
  <c r="BJ10" i="11"/>
  <c r="BH10" i="11"/>
  <c r="BF10" i="11"/>
  <c r="BA10" i="11"/>
  <c r="AZ10" i="11"/>
  <c r="AY10" i="11"/>
  <c r="AR10" i="11"/>
  <c r="AQ10" i="11"/>
  <c r="AP10" i="11"/>
  <c r="R10" i="11"/>
  <c r="O10" i="11"/>
  <c r="A10" i="11"/>
  <c r="GY9" i="11"/>
  <c r="GX9" i="11"/>
  <c r="GW9" i="11"/>
  <c r="GV9" i="11"/>
  <c r="GJ9" i="11"/>
  <c r="GI9" i="11"/>
  <c r="GH9" i="11"/>
  <c r="GA9" i="11"/>
  <c r="FZ9" i="11"/>
  <c r="FY9" i="11"/>
  <c r="FH9" i="11"/>
  <c r="FG9" i="11"/>
  <c r="FD9" i="11"/>
  <c r="FB9" i="11"/>
  <c r="FA9" i="11"/>
  <c r="EZ9" i="11"/>
  <c r="EY9" i="11"/>
  <c r="EX9" i="11"/>
  <c r="EW9" i="11"/>
  <c r="EV9" i="11"/>
  <c r="EU9" i="11"/>
  <c r="ET9" i="11"/>
  <c r="ES9" i="11"/>
  <c r="EQ9" i="11"/>
  <c r="EP9" i="11"/>
  <c r="EO9" i="11"/>
  <c r="EN9" i="11"/>
  <c r="EM9" i="11"/>
  <c r="EL9" i="11"/>
  <c r="DY9" i="11"/>
  <c r="DM9" i="11"/>
  <c r="DL9" i="11"/>
  <c r="DK9" i="11"/>
  <c r="DJ9" i="11"/>
  <c r="CX9" i="11"/>
  <c r="CW9" i="11"/>
  <c r="CV9" i="11"/>
  <c r="CO9" i="11"/>
  <c r="CN9" i="11"/>
  <c r="CM9" i="11"/>
  <c r="BS9" i="11"/>
  <c r="BP9" i="11"/>
  <c r="BN9" i="11"/>
  <c r="BM9" i="11"/>
  <c r="BL9" i="11"/>
  <c r="BK9" i="11"/>
  <c r="BJ9" i="11"/>
  <c r="BH9" i="11"/>
  <c r="BF9" i="11"/>
  <c r="BA9" i="11"/>
  <c r="AZ9" i="11"/>
  <c r="AY9" i="11"/>
  <c r="AR9" i="11"/>
  <c r="AQ9" i="11"/>
  <c r="AP9" i="11"/>
  <c r="R9" i="11"/>
  <c r="O9" i="11"/>
  <c r="A9" i="11"/>
  <c r="GY8" i="11"/>
  <c r="GX8" i="11"/>
  <c r="GW8" i="11"/>
  <c r="GV8" i="11"/>
  <c r="GJ8" i="11"/>
  <c r="GI8" i="11"/>
  <c r="GH8" i="11"/>
  <c r="GA8" i="11"/>
  <c r="FZ8" i="11"/>
  <c r="FY8" i="11"/>
  <c r="FH8" i="11"/>
  <c r="FG8" i="11"/>
  <c r="FD8" i="11"/>
  <c r="FB8" i="11"/>
  <c r="FA8" i="11"/>
  <c r="EZ8" i="11"/>
  <c r="EY8" i="11"/>
  <c r="EX8" i="11"/>
  <c r="EW8" i="11"/>
  <c r="EV8" i="11"/>
  <c r="EU8" i="11"/>
  <c r="ET8" i="11"/>
  <c r="ES8" i="11"/>
  <c r="EQ8" i="11"/>
  <c r="EP8" i="11"/>
  <c r="EO8" i="11"/>
  <c r="EN8" i="11"/>
  <c r="EM8" i="11"/>
  <c r="EL8" i="11"/>
  <c r="DY8" i="11"/>
  <c r="DM8" i="11"/>
  <c r="DL8" i="11"/>
  <c r="DK8" i="11"/>
  <c r="DJ8" i="11"/>
  <c r="CX8" i="11"/>
  <c r="CW8" i="11"/>
  <c r="CV8" i="11"/>
  <c r="CO8" i="11"/>
  <c r="CN8" i="11"/>
  <c r="CM8" i="11"/>
  <c r="BS8" i="11"/>
  <c r="BP8" i="11"/>
  <c r="BN8" i="11"/>
  <c r="BM8" i="11"/>
  <c r="BL8" i="11"/>
  <c r="BK8" i="11"/>
  <c r="BJ8" i="11"/>
  <c r="BH8" i="11"/>
  <c r="BF8" i="11"/>
  <c r="BA8" i="11"/>
  <c r="AZ8" i="11"/>
  <c r="AY8" i="11"/>
  <c r="AR8" i="11"/>
  <c r="AQ8" i="11"/>
  <c r="AP8" i="11"/>
  <c r="R8" i="11"/>
  <c r="O8" i="11"/>
  <c r="A8" i="11"/>
  <c r="GY7" i="11"/>
  <c r="GX7" i="11"/>
  <c r="GW7" i="11"/>
  <c r="GV7" i="11"/>
  <c r="GJ7" i="11"/>
  <c r="GI7" i="11"/>
  <c r="GH7" i="11"/>
  <c r="GA7" i="11"/>
  <c r="FZ7" i="11"/>
  <c r="FY7" i="11"/>
  <c r="FH7" i="11"/>
  <c r="FG7" i="11"/>
  <c r="FD7" i="11"/>
  <c r="FB7" i="11"/>
  <c r="FA7" i="11"/>
  <c r="EZ7" i="11"/>
  <c r="EY7" i="11"/>
  <c r="EX7" i="11"/>
  <c r="EW7" i="11"/>
  <c r="EV7" i="11"/>
  <c r="EU7" i="11"/>
  <c r="ET7" i="11"/>
  <c r="ES7" i="11"/>
  <c r="EQ7" i="11"/>
  <c r="EP7" i="11"/>
  <c r="EO7" i="11"/>
  <c r="EN7" i="11"/>
  <c r="EM7" i="11"/>
  <c r="EL7" i="11"/>
  <c r="DY7" i="11"/>
  <c r="DM7" i="11"/>
  <c r="DL7" i="11"/>
  <c r="DK7" i="11"/>
  <c r="DJ7" i="11"/>
  <c r="CX7" i="11"/>
  <c r="CW7" i="11"/>
  <c r="CV7" i="11"/>
  <c r="CO7" i="11"/>
  <c r="CN7" i="11"/>
  <c r="CM7" i="11"/>
  <c r="BS7" i="11"/>
  <c r="BP7" i="11"/>
  <c r="BN7" i="11"/>
  <c r="BM7" i="11"/>
  <c r="BL7" i="11"/>
  <c r="BK7" i="11"/>
  <c r="BJ7" i="11"/>
  <c r="BH7" i="11"/>
  <c r="BF7" i="11"/>
  <c r="BA7" i="11"/>
  <c r="AY7" i="11"/>
  <c r="AR7" i="11"/>
  <c r="R7" i="11"/>
  <c r="O7" i="11"/>
  <c r="A7" i="11"/>
  <c r="GY6" i="11"/>
  <c r="GX6" i="11"/>
  <c r="GW6" i="11"/>
  <c r="GV6" i="11"/>
  <c r="GJ6" i="11"/>
  <c r="GI6" i="11"/>
  <c r="GH6" i="11"/>
  <c r="GA6" i="11"/>
  <c r="FZ6" i="11"/>
  <c r="FY6" i="11"/>
  <c r="FH6" i="11"/>
  <c r="FG6" i="11"/>
  <c r="FD6" i="11"/>
  <c r="FB6" i="11"/>
  <c r="FA6" i="11"/>
  <c r="EZ6" i="11"/>
  <c r="EY6" i="11"/>
  <c r="EX6" i="11"/>
  <c r="EW6" i="11"/>
  <c r="EV6" i="11"/>
  <c r="EU6" i="11"/>
  <c r="ET6" i="11"/>
  <c r="ES6" i="11"/>
  <c r="EQ6" i="11"/>
  <c r="EP6" i="11"/>
  <c r="EO6" i="11"/>
  <c r="EN6" i="11"/>
  <c r="EM6" i="11"/>
  <c r="EL6" i="11"/>
  <c r="DY6" i="11"/>
  <c r="DM6" i="11"/>
  <c r="DL6" i="11"/>
  <c r="DK6" i="11"/>
  <c r="DJ6" i="11"/>
  <c r="CX6" i="11"/>
  <c r="CW6" i="11"/>
  <c r="CV6" i="11"/>
  <c r="CO6" i="11"/>
  <c r="CN6" i="11"/>
  <c r="CM6" i="11"/>
  <c r="BS6" i="11"/>
  <c r="BP6" i="11"/>
  <c r="BN6" i="11"/>
  <c r="BM6" i="11"/>
  <c r="BL6" i="11"/>
  <c r="BK6" i="11"/>
  <c r="BJ6" i="11"/>
  <c r="BH6" i="11"/>
  <c r="BF6" i="11"/>
  <c r="BA6" i="11"/>
  <c r="AZ6" i="11"/>
  <c r="AY6" i="11"/>
  <c r="AR6" i="11"/>
  <c r="AQ6" i="11"/>
  <c r="AP6" i="11"/>
  <c r="R6" i="11"/>
  <c r="O6" i="11"/>
  <c r="A6" i="11"/>
  <c r="GY5" i="11"/>
  <c r="GX5" i="11"/>
  <c r="GW5" i="11"/>
  <c r="GV5" i="11"/>
  <c r="GJ5" i="11"/>
  <c r="GI5" i="11"/>
  <c r="GH5" i="11"/>
  <c r="GA5" i="11"/>
  <c r="FZ5" i="11"/>
  <c r="FY5" i="11"/>
  <c r="FH5" i="11"/>
  <c r="FG5" i="11"/>
  <c r="FD5" i="11"/>
  <c r="FB5" i="11"/>
  <c r="FA5" i="11"/>
  <c r="EZ5" i="11"/>
  <c r="EY5" i="11"/>
  <c r="EX5" i="11"/>
  <c r="EW5" i="11"/>
  <c r="EV5" i="11"/>
  <c r="EU5" i="11"/>
  <c r="ET5" i="11"/>
  <c r="ES5" i="11"/>
  <c r="EQ5" i="11"/>
  <c r="EP5" i="11"/>
  <c r="EO5" i="11"/>
  <c r="EN5" i="11"/>
  <c r="EM5" i="11"/>
  <c r="EL5" i="11"/>
  <c r="DM5" i="11"/>
  <c r="DL5" i="11"/>
  <c r="DK5" i="11"/>
  <c r="DJ5" i="11"/>
  <c r="CX5" i="11"/>
  <c r="CW5" i="11"/>
  <c r="CV5" i="11"/>
  <c r="CO5" i="11"/>
  <c r="CN5" i="11"/>
  <c r="CM5" i="11"/>
  <c r="BS5" i="11"/>
  <c r="BP5" i="11"/>
  <c r="BN5" i="11"/>
  <c r="BM5" i="11"/>
  <c r="BL5" i="11"/>
  <c r="BK5" i="11"/>
  <c r="BJ5" i="11"/>
  <c r="BH5" i="11"/>
  <c r="BF5" i="11"/>
  <c r="BA5" i="11"/>
  <c r="AY5" i="11"/>
  <c r="AR5" i="11"/>
  <c r="R5" i="11"/>
  <c r="O5" i="11"/>
  <c r="A5" i="11"/>
  <c r="GY4" i="11"/>
  <c r="GX4" i="11"/>
  <c r="GW4" i="11"/>
  <c r="GV4" i="11"/>
  <c r="GJ4" i="11"/>
  <c r="GI4" i="11"/>
  <c r="GH4" i="11"/>
  <c r="GA4" i="11"/>
  <c r="FZ4" i="11"/>
  <c r="FY4" i="11"/>
  <c r="FH4" i="11"/>
  <c r="FG4" i="11"/>
  <c r="FD4" i="11"/>
  <c r="FB4" i="11"/>
  <c r="FA4" i="11"/>
  <c r="EZ4" i="11"/>
  <c r="EY4" i="11"/>
  <c r="EX4" i="11"/>
  <c r="EW4" i="11"/>
  <c r="EV4" i="11"/>
  <c r="EU4" i="11"/>
  <c r="ET4" i="11"/>
  <c r="ES4" i="11"/>
  <c r="EQ4" i="11"/>
  <c r="EP4" i="11"/>
  <c r="EO4" i="11"/>
  <c r="EN4" i="11"/>
  <c r="EM4" i="11"/>
  <c r="EL4" i="11"/>
  <c r="DM4" i="11"/>
  <c r="DL4" i="11"/>
  <c r="DK4" i="11"/>
  <c r="DJ4" i="11"/>
  <c r="CX4" i="11"/>
  <c r="CW4" i="11"/>
  <c r="CV4" i="11"/>
  <c r="CO4" i="11"/>
  <c r="CN4" i="11"/>
  <c r="CM4" i="11"/>
  <c r="BS4" i="11"/>
  <c r="BP4" i="11"/>
  <c r="BN4" i="11"/>
  <c r="BM4" i="11"/>
  <c r="BL4" i="11"/>
  <c r="BK4" i="11"/>
  <c r="BJ4" i="11"/>
  <c r="BH4" i="11"/>
  <c r="BF4" i="11"/>
  <c r="BA4" i="11"/>
  <c r="AZ4" i="11"/>
  <c r="AY4" i="11"/>
  <c r="AR4" i="11"/>
  <c r="AQ4" i="11"/>
  <c r="AP4" i="11"/>
  <c r="R4" i="11"/>
  <c r="O4" i="11"/>
  <c r="A4" i="11"/>
  <c r="GY3" i="11"/>
  <c r="GX3" i="11"/>
  <c r="GW3" i="11"/>
  <c r="GV3" i="11"/>
  <c r="GJ3" i="11"/>
  <c r="GI3" i="11"/>
  <c r="GH3" i="11"/>
  <c r="GA3" i="11"/>
  <c r="FZ3" i="11"/>
  <c r="FY3" i="11"/>
  <c r="FH3" i="11"/>
  <c r="FG3" i="11"/>
  <c r="FD3" i="11"/>
  <c r="FB3" i="11"/>
  <c r="FA3" i="11"/>
  <c r="EZ3" i="11"/>
  <c r="EY3" i="11"/>
  <c r="EX3" i="11"/>
  <c r="EW3" i="11"/>
  <c r="EV3" i="11"/>
  <c r="EU3" i="11"/>
  <c r="ET3" i="11"/>
  <c r="ES3" i="11"/>
  <c r="EQ3" i="11"/>
  <c r="EP3" i="11"/>
  <c r="EO3" i="11"/>
  <c r="EN3" i="11"/>
  <c r="EM3" i="11"/>
  <c r="EL3" i="11"/>
  <c r="DM3" i="11"/>
  <c r="DL3" i="11"/>
  <c r="DK3" i="11"/>
  <c r="DJ3" i="11"/>
  <c r="CX3" i="11"/>
  <c r="CW3" i="11"/>
  <c r="CV3" i="11"/>
  <c r="CO3" i="11"/>
  <c r="CN3" i="11"/>
  <c r="CM3" i="11"/>
  <c r="BS3" i="11"/>
  <c r="BP3" i="11"/>
  <c r="BN3" i="11"/>
  <c r="BM3" i="11"/>
  <c r="BL3" i="11"/>
  <c r="BK3" i="11"/>
  <c r="BJ3" i="11"/>
  <c r="BH3" i="11"/>
  <c r="BF3" i="11"/>
  <c r="BA3" i="11"/>
  <c r="AZ3" i="11"/>
  <c r="AY3" i="11"/>
  <c r="AR3" i="11"/>
  <c r="AQ3" i="11"/>
  <c r="AP3" i="11"/>
  <c r="S3" i="11"/>
  <c r="R3" i="11"/>
  <c r="O3" i="11"/>
  <c r="A3" i="11"/>
  <c r="HV2" i="11"/>
  <c r="HS3" i="11" s="1"/>
  <c r="HU2" i="11"/>
  <c r="HI2" i="11"/>
  <c r="HI3" i="11" s="1"/>
  <c r="HI4" i="11" s="1"/>
  <c r="GY2" i="11"/>
  <c r="GX2" i="11"/>
  <c r="GW2" i="11"/>
  <c r="GV2" i="11"/>
  <c r="GJ2" i="11"/>
  <c r="GH2" i="11"/>
  <c r="GA2" i="11"/>
  <c r="FT2" i="11"/>
  <c r="FQ3" i="11" s="1"/>
  <c r="FS2" i="11"/>
  <c r="FH2" i="11"/>
  <c r="FG2" i="11"/>
  <c r="FF2" i="11" s="1"/>
  <c r="FD2" i="11"/>
  <c r="FB2" i="11"/>
  <c r="FA2" i="11"/>
  <c r="EZ2" i="11"/>
  <c r="EY2" i="11"/>
  <c r="EX2" i="11"/>
  <c r="EW2" i="11"/>
  <c r="EV2" i="11"/>
  <c r="EU2" i="11"/>
  <c r="ET2" i="11"/>
  <c r="ES2" i="11"/>
  <c r="EQ2" i="11"/>
  <c r="EP2" i="11"/>
  <c r="EO2" i="11"/>
  <c r="EN2" i="11"/>
  <c r="EM2" i="11"/>
  <c r="EL2" i="11"/>
  <c r="DW2" i="11"/>
  <c r="DM2" i="11"/>
  <c r="DL2" i="11"/>
  <c r="DK2" i="11"/>
  <c r="DJ2" i="11"/>
  <c r="CX2" i="11"/>
  <c r="CY13" i="11" s="1"/>
  <c r="CV2" i="11"/>
  <c r="CO2" i="11"/>
  <c r="BS2" i="11"/>
  <c r="BP2" i="11"/>
  <c r="BN2" i="11"/>
  <c r="BM2" i="11"/>
  <c r="BL2" i="11"/>
  <c r="BK2" i="11"/>
  <c r="BJ2" i="11"/>
  <c r="BH2" i="11"/>
  <c r="BF2" i="11"/>
  <c r="BA2" i="11"/>
  <c r="AY2" i="11"/>
  <c r="AU2" i="11"/>
  <c r="AR2" i="11"/>
  <c r="X2" i="11"/>
  <c r="CI2" i="11" s="1"/>
  <c r="S2" i="11"/>
  <c r="S16" i="11" s="1"/>
  <c r="R2" i="11"/>
  <c r="O2" i="11"/>
  <c r="A2" i="11"/>
  <c r="HK52" i="10"/>
  <c r="GY52" i="10"/>
  <c r="GX52" i="10"/>
  <c r="GW52" i="10"/>
  <c r="GV52" i="10"/>
  <c r="GL52" i="10"/>
  <c r="GJ52" i="10"/>
  <c r="GI52" i="10"/>
  <c r="GH52" i="10"/>
  <c r="GA52" i="10"/>
  <c r="FZ52" i="10"/>
  <c r="FY52" i="10"/>
  <c r="FI52" i="10"/>
  <c r="FG52" i="10"/>
  <c r="FD52" i="10"/>
  <c r="FB52" i="10"/>
  <c r="FA52" i="10"/>
  <c r="EZ52" i="10"/>
  <c r="EY52" i="10"/>
  <c r="EX52" i="10"/>
  <c r="EV52" i="10"/>
  <c r="ET52" i="10"/>
  <c r="EQ52" i="10"/>
  <c r="EO52" i="10"/>
  <c r="EN52" i="10"/>
  <c r="EM52" i="10"/>
  <c r="DY52" i="10"/>
  <c r="DX52" i="10"/>
  <c r="DW52" i="10"/>
  <c r="DO52" i="10"/>
  <c r="DN52" i="10"/>
  <c r="DM52" i="10"/>
  <c r="DL52" i="10"/>
  <c r="DK52" i="10"/>
  <c r="DJ52" i="10"/>
  <c r="DI52" i="10"/>
  <c r="DH52" i="10"/>
  <c r="DF52" i="10"/>
  <c r="DC52" i="10"/>
  <c r="DB52" i="10"/>
  <c r="DQ52" i="10" s="1"/>
  <c r="CZ52" i="10"/>
  <c r="CY52" i="10"/>
  <c r="CX52" i="10"/>
  <c r="CW52" i="10"/>
  <c r="CV52" i="10"/>
  <c r="CU52" i="10"/>
  <c r="CT52" i="10"/>
  <c r="CS52" i="10"/>
  <c r="CR52" i="10"/>
  <c r="CQ52" i="10"/>
  <c r="CP52" i="10"/>
  <c r="CO52" i="10"/>
  <c r="CN52" i="10"/>
  <c r="CM52" i="10"/>
  <c r="CJ52" i="10"/>
  <c r="CI52" i="10"/>
  <c r="BU52" i="10"/>
  <c r="BS52" i="10"/>
  <c r="BP52" i="10"/>
  <c r="BN52" i="10"/>
  <c r="BM52" i="10"/>
  <c r="BL52" i="10"/>
  <c r="BK52" i="10"/>
  <c r="BJ52" i="10"/>
  <c r="BH52" i="10"/>
  <c r="BF52" i="10"/>
  <c r="BC52" i="10"/>
  <c r="BA52" i="10"/>
  <c r="AZ52" i="10"/>
  <c r="AY52" i="10"/>
  <c r="AR52" i="10"/>
  <c r="AQ52" i="10"/>
  <c r="AP52" i="10"/>
  <c r="R52" i="10"/>
  <c r="P52" i="10"/>
  <c r="O52" i="10"/>
  <c r="A52" i="10"/>
  <c r="HK51" i="10"/>
  <c r="GY51" i="10"/>
  <c r="GX51" i="10"/>
  <c r="GW51" i="10"/>
  <c r="GV51" i="10"/>
  <c r="GL51" i="10"/>
  <c r="GJ51" i="10"/>
  <c r="GI51" i="10"/>
  <c r="GH51" i="10"/>
  <c r="GA51" i="10"/>
  <c r="FZ51" i="10"/>
  <c r="FY51" i="10"/>
  <c r="FI51" i="10"/>
  <c r="FG51" i="10"/>
  <c r="FD51" i="10"/>
  <c r="FB51" i="10"/>
  <c r="FA51" i="10"/>
  <c r="EZ51" i="10"/>
  <c r="EY51" i="10"/>
  <c r="EX51" i="10"/>
  <c r="EV51" i="10"/>
  <c r="ET51" i="10"/>
  <c r="EQ51" i="10"/>
  <c r="EO51" i="10"/>
  <c r="EN51" i="10"/>
  <c r="EM51" i="10"/>
  <c r="DY51" i="10"/>
  <c r="DX51" i="10"/>
  <c r="DW51" i="10"/>
  <c r="DO51" i="10"/>
  <c r="DN51" i="10"/>
  <c r="DM51" i="10"/>
  <c r="DL51" i="10"/>
  <c r="DK51" i="10"/>
  <c r="DJ51" i="10"/>
  <c r="DI51" i="10"/>
  <c r="DH51" i="10"/>
  <c r="DF51" i="10"/>
  <c r="DC51" i="10"/>
  <c r="DB51" i="10"/>
  <c r="DQ51" i="10" s="1"/>
  <c r="CZ51" i="10"/>
  <c r="CY51" i="10"/>
  <c r="CX51" i="10"/>
  <c r="CW51" i="10"/>
  <c r="CV51" i="10"/>
  <c r="CU51" i="10"/>
  <c r="CT51" i="10"/>
  <c r="CS51" i="10"/>
  <c r="CR51" i="10"/>
  <c r="CQ51" i="10"/>
  <c r="CP51" i="10"/>
  <c r="CO51" i="10"/>
  <c r="CN51" i="10"/>
  <c r="CM51" i="10"/>
  <c r="CJ51" i="10"/>
  <c r="CI51" i="10"/>
  <c r="BU51" i="10"/>
  <c r="BS51" i="10"/>
  <c r="BP51" i="10"/>
  <c r="BN51" i="10"/>
  <c r="BM51" i="10"/>
  <c r="BL51" i="10"/>
  <c r="BK51" i="10"/>
  <c r="BJ51" i="10"/>
  <c r="BH51" i="10"/>
  <c r="BF51" i="10"/>
  <c r="BC51" i="10"/>
  <c r="BA51" i="10"/>
  <c r="AZ51" i="10"/>
  <c r="AY51" i="10"/>
  <c r="AR51" i="10"/>
  <c r="AQ51" i="10"/>
  <c r="AP51" i="10"/>
  <c r="R51" i="10"/>
  <c r="P51" i="10"/>
  <c r="O51" i="10"/>
  <c r="A51" i="10"/>
  <c r="HK50" i="10"/>
  <c r="GY50" i="10"/>
  <c r="GX50" i="10"/>
  <c r="GW50" i="10"/>
  <c r="GV50" i="10"/>
  <c r="GL50" i="10"/>
  <c r="GJ50" i="10"/>
  <c r="GI50" i="10"/>
  <c r="GH50" i="10"/>
  <c r="GA50" i="10"/>
  <c r="FZ50" i="10"/>
  <c r="FY50" i="10"/>
  <c r="FI50" i="10"/>
  <c r="FG50" i="10"/>
  <c r="FD50" i="10"/>
  <c r="FB50" i="10"/>
  <c r="FA50" i="10"/>
  <c r="EZ50" i="10"/>
  <c r="EY50" i="10"/>
  <c r="EX50" i="10"/>
  <c r="EV50" i="10"/>
  <c r="ET50" i="10"/>
  <c r="EQ50" i="10"/>
  <c r="EO50" i="10"/>
  <c r="EN50" i="10"/>
  <c r="EM50" i="10"/>
  <c r="DY50" i="10"/>
  <c r="DX50" i="10"/>
  <c r="DW50" i="10"/>
  <c r="DO50" i="10"/>
  <c r="DN50" i="10"/>
  <c r="DM50" i="10"/>
  <c r="DL50" i="10"/>
  <c r="DK50" i="10"/>
  <c r="DJ50" i="10"/>
  <c r="DI50" i="10"/>
  <c r="DH50" i="10"/>
  <c r="DF50" i="10"/>
  <c r="DC50" i="10"/>
  <c r="DB50" i="10"/>
  <c r="DQ50" i="10" s="1"/>
  <c r="CZ50" i="10"/>
  <c r="CY50" i="10"/>
  <c r="CX50" i="10"/>
  <c r="CW50" i="10"/>
  <c r="CV50" i="10"/>
  <c r="CU50" i="10"/>
  <c r="CT50" i="10"/>
  <c r="CS50" i="10"/>
  <c r="CR50" i="10"/>
  <c r="CQ50" i="10"/>
  <c r="CP50" i="10"/>
  <c r="CO50" i="10"/>
  <c r="CN50" i="10"/>
  <c r="CM50" i="10"/>
  <c r="CJ50" i="10"/>
  <c r="CI50" i="10"/>
  <c r="BU50" i="10"/>
  <c r="BS50" i="10"/>
  <c r="BP50" i="10"/>
  <c r="BN50" i="10"/>
  <c r="BM50" i="10"/>
  <c r="BL50" i="10"/>
  <c r="BK50" i="10"/>
  <c r="BJ50" i="10"/>
  <c r="BH50" i="10"/>
  <c r="BF50" i="10"/>
  <c r="BC50" i="10"/>
  <c r="BA50" i="10"/>
  <c r="AZ50" i="10"/>
  <c r="AY50" i="10"/>
  <c r="AR50" i="10"/>
  <c r="AQ50" i="10"/>
  <c r="AP50" i="10"/>
  <c r="R50" i="10"/>
  <c r="P50" i="10"/>
  <c r="O50" i="10"/>
  <c r="A50" i="10"/>
  <c r="HK49" i="10"/>
  <c r="GY49" i="10"/>
  <c r="GX49" i="10"/>
  <c r="GW49" i="10"/>
  <c r="GV49" i="10"/>
  <c r="GL49" i="10"/>
  <c r="GJ49" i="10"/>
  <c r="GI49" i="10"/>
  <c r="GH49" i="10"/>
  <c r="GA49" i="10"/>
  <c r="FZ49" i="10"/>
  <c r="FY49" i="10"/>
  <c r="FI49" i="10"/>
  <c r="FG49" i="10"/>
  <c r="FD49" i="10"/>
  <c r="FB49" i="10"/>
  <c r="FA49" i="10"/>
  <c r="EZ49" i="10"/>
  <c r="EY49" i="10"/>
  <c r="EX49" i="10"/>
  <c r="EV49" i="10"/>
  <c r="ET49" i="10"/>
  <c r="EQ49" i="10"/>
  <c r="EO49" i="10"/>
  <c r="EN49" i="10"/>
  <c r="EM49" i="10"/>
  <c r="DY49" i="10"/>
  <c r="DX49" i="10"/>
  <c r="DW49" i="10"/>
  <c r="DO49" i="10"/>
  <c r="DN49" i="10"/>
  <c r="DM49" i="10"/>
  <c r="DL49" i="10"/>
  <c r="DK49" i="10"/>
  <c r="DJ49" i="10"/>
  <c r="DI49" i="10"/>
  <c r="DH49" i="10"/>
  <c r="DF49" i="10"/>
  <c r="DC49" i="10"/>
  <c r="DB49" i="10"/>
  <c r="DQ49" i="10" s="1"/>
  <c r="CZ49" i="10"/>
  <c r="CY49" i="10"/>
  <c r="CX49" i="10"/>
  <c r="CW49" i="10"/>
  <c r="CV49" i="10"/>
  <c r="CU49" i="10"/>
  <c r="CT49" i="10"/>
  <c r="CS49" i="10"/>
  <c r="CR49" i="10"/>
  <c r="CQ49" i="10"/>
  <c r="CP49" i="10"/>
  <c r="CO49" i="10"/>
  <c r="CN49" i="10"/>
  <c r="CM49" i="10"/>
  <c r="CJ49" i="10"/>
  <c r="CI49" i="10"/>
  <c r="BU49" i="10"/>
  <c r="BS49" i="10"/>
  <c r="BP49" i="10"/>
  <c r="BN49" i="10"/>
  <c r="BM49" i="10"/>
  <c r="BL49" i="10"/>
  <c r="BK49" i="10"/>
  <c r="BJ49" i="10"/>
  <c r="BH49" i="10"/>
  <c r="BF49" i="10"/>
  <c r="BC49" i="10"/>
  <c r="BA49" i="10"/>
  <c r="AZ49" i="10"/>
  <c r="AY49" i="10"/>
  <c r="AR49" i="10"/>
  <c r="AQ49" i="10"/>
  <c r="AP49" i="10"/>
  <c r="R49" i="10"/>
  <c r="P49" i="10"/>
  <c r="O49" i="10"/>
  <c r="A49" i="10"/>
  <c r="HK48" i="10"/>
  <c r="GY48" i="10"/>
  <c r="GX48" i="10"/>
  <c r="GW48" i="10"/>
  <c r="GV48" i="10"/>
  <c r="GL48" i="10"/>
  <c r="GJ48" i="10"/>
  <c r="GI48" i="10"/>
  <c r="GH48" i="10"/>
  <c r="GA48" i="10"/>
  <c r="FZ48" i="10"/>
  <c r="FY48" i="10"/>
  <c r="FI48" i="10"/>
  <c r="FG48" i="10"/>
  <c r="FD48" i="10"/>
  <c r="FB48" i="10"/>
  <c r="FA48" i="10"/>
  <c r="EZ48" i="10"/>
  <c r="EY48" i="10"/>
  <c r="EX48" i="10"/>
  <c r="EV48" i="10"/>
  <c r="ET48" i="10"/>
  <c r="EQ48" i="10"/>
  <c r="EO48" i="10"/>
  <c r="EN48" i="10"/>
  <c r="EM48" i="10"/>
  <c r="DY48" i="10"/>
  <c r="DX48" i="10"/>
  <c r="DW48" i="10"/>
  <c r="DO48" i="10"/>
  <c r="DN48" i="10"/>
  <c r="DM48" i="10"/>
  <c r="DL48" i="10"/>
  <c r="DK48" i="10"/>
  <c r="DJ48" i="10"/>
  <c r="DI48" i="10"/>
  <c r="DH48" i="10"/>
  <c r="DF48" i="10"/>
  <c r="DC48" i="10"/>
  <c r="DB48" i="10"/>
  <c r="DQ48" i="10" s="1"/>
  <c r="CZ48" i="10"/>
  <c r="CY48" i="10"/>
  <c r="CX48" i="10"/>
  <c r="CW48" i="10"/>
  <c r="CV48" i="10"/>
  <c r="CU48" i="10"/>
  <c r="CT48" i="10"/>
  <c r="CS48" i="10"/>
  <c r="CR48" i="10"/>
  <c r="CQ48" i="10"/>
  <c r="CP48" i="10"/>
  <c r="CO48" i="10"/>
  <c r="CN48" i="10"/>
  <c r="CM48" i="10"/>
  <c r="CJ48" i="10"/>
  <c r="CI48" i="10"/>
  <c r="BU48" i="10"/>
  <c r="BS48" i="10"/>
  <c r="BP48" i="10"/>
  <c r="BN48" i="10"/>
  <c r="BM48" i="10"/>
  <c r="BL48" i="10"/>
  <c r="BK48" i="10"/>
  <c r="BJ48" i="10"/>
  <c r="BH48" i="10"/>
  <c r="BF48" i="10"/>
  <c r="BC48" i="10"/>
  <c r="BA48" i="10"/>
  <c r="AZ48" i="10"/>
  <c r="AY48" i="10"/>
  <c r="AR48" i="10"/>
  <c r="AQ48" i="10"/>
  <c r="AP48" i="10"/>
  <c r="R48" i="10"/>
  <c r="P48" i="10"/>
  <c r="O48" i="10"/>
  <c r="A48" i="10"/>
  <c r="HK47" i="10"/>
  <c r="GY47" i="10"/>
  <c r="GX47" i="10"/>
  <c r="GW47" i="10"/>
  <c r="GV47" i="10"/>
  <c r="GL47" i="10"/>
  <c r="GJ47" i="10"/>
  <c r="GI47" i="10"/>
  <c r="GH47" i="10"/>
  <c r="GA47" i="10"/>
  <c r="FZ47" i="10"/>
  <c r="FY47" i="10"/>
  <c r="FI47" i="10"/>
  <c r="FG47" i="10"/>
  <c r="FD47" i="10"/>
  <c r="FB47" i="10"/>
  <c r="FA47" i="10"/>
  <c r="EZ47" i="10"/>
  <c r="EY47" i="10"/>
  <c r="EX47" i="10"/>
  <c r="EV47" i="10"/>
  <c r="ET47" i="10"/>
  <c r="EO47" i="10"/>
  <c r="EN47" i="10"/>
  <c r="EM47" i="10"/>
  <c r="DY47" i="10"/>
  <c r="DX47" i="10"/>
  <c r="DW47" i="10"/>
  <c r="DO47" i="10"/>
  <c r="DN47" i="10"/>
  <c r="DM47" i="10"/>
  <c r="DL47" i="10"/>
  <c r="DK47" i="10"/>
  <c r="DJ47" i="10"/>
  <c r="DI47" i="10"/>
  <c r="DH47" i="10"/>
  <c r="DF47" i="10"/>
  <c r="DC47" i="10"/>
  <c r="DB47" i="10"/>
  <c r="DQ47" i="10" s="1"/>
  <c r="CZ47" i="10"/>
  <c r="CY47" i="10"/>
  <c r="CX47" i="10"/>
  <c r="CW47" i="10"/>
  <c r="CV47" i="10"/>
  <c r="CU47" i="10"/>
  <c r="CT47" i="10"/>
  <c r="CS47" i="10"/>
  <c r="CR47" i="10"/>
  <c r="CQ47" i="10"/>
  <c r="CP47" i="10"/>
  <c r="CO47" i="10"/>
  <c r="CN47" i="10"/>
  <c r="CM47" i="10"/>
  <c r="CJ47" i="10"/>
  <c r="CI47" i="10"/>
  <c r="BU47" i="10"/>
  <c r="BS47" i="10"/>
  <c r="BP47" i="10"/>
  <c r="BN47" i="10"/>
  <c r="BM47" i="10"/>
  <c r="BL47" i="10"/>
  <c r="BK47" i="10"/>
  <c r="BJ47" i="10"/>
  <c r="BH47" i="10"/>
  <c r="BF47" i="10"/>
  <c r="BC47" i="10"/>
  <c r="BA47" i="10"/>
  <c r="AZ47" i="10"/>
  <c r="AY47" i="10"/>
  <c r="AR47" i="10"/>
  <c r="AQ47" i="10"/>
  <c r="AP47" i="10"/>
  <c r="R47" i="10"/>
  <c r="P47" i="10"/>
  <c r="O47" i="10"/>
  <c r="A47" i="10"/>
  <c r="HK46" i="10"/>
  <c r="GY46" i="10"/>
  <c r="GX46" i="10"/>
  <c r="GW46" i="10"/>
  <c r="GV46" i="10"/>
  <c r="GL46" i="10"/>
  <c r="GJ46" i="10"/>
  <c r="GI46" i="10"/>
  <c r="GH46" i="10"/>
  <c r="GA46" i="10"/>
  <c r="FZ46" i="10"/>
  <c r="FY46" i="10"/>
  <c r="FI46" i="10"/>
  <c r="FG46" i="10"/>
  <c r="FD46" i="10"/>
  <c r="FB46" i="10"/>
  <c r="FA46" i="10"/>
  <c r="EZ46" i="10"/>
  <c r="EY46" i="10"/>
  <c r="EX46" i="10"/>
  <c r="EV46" i="10"/>
  <c r="ET46" i="10"/>
  <c r="EO46" i="10"/>
  <c r="EN46" i="10"/>
  <c r="EM46" i="10"/>
  <c r="DY46" i="10"/>
  <c r="DX46" i="10"/>
  <c r="DW46" i="10"/>
  <c r="DO46" i="10"/>
  <c r="DN46" i="10"/>
  <c r="DM46" i="10"/>
  <c r="DL46" i="10"/>
  <c r="DK46" i="10"/>
  <c r="DJ46" i="10"/>
  <c r="DI46" i="10"/>
  <c r="DH46" i="10"/>
  <c r="DF46" i="10"/>
  <c r="DC46" i="10"/>
  <c r="DB46" i="10"/>
  <c r="DQ46" i="10" s="1"/>
  <c r="CZ46" i="10"/>
  <c r="CY46" i="10"/>
  <c r="CX46" i="10"/>
  <c r="CW46" i="10"/>
  <c r="CV46" i="10"/>
  <c r="CU46" i="10"/>
  <c r="CT46" i="10"/>
  <c r="CS46" i="10"/>
  <c r="CR46" i="10"/>
  <c r="CQ46" i="10"/>
  <c r="CP46" i="10"/>
  <c r="CO46" i="10"/>
  <c r="CN46" i="10"/>
  <c r="CM46" i="10"/>
  <c r="CJ46" i="10"/>
  <c r="CI46" i="10"/>
  <c r="BU46" i="10"/>
  <c r="BS46" i="10"/>
  <c r="BP46" i="10"/>
  <c r="BN46" i="10"/>
  <c r="BM46" i="10"/>
  <c r="BL46" i="10"/>
  <c r="BK46" i="10"/>
  <c r="BJ46" i="10"/>
  <c r="BH46" i="10"/>
  <c r="BF46" i="10"/>
  <c r="BC46" i="10"/>
  <c r="BA46" i="10"/>
  <c r="AZ46" i="10"/>
  <c r="AY46" i="10"/>
  <c r="AR46" i="10"/>
  <c r="AQ46" i="10"/>
  <c r="AP46" i="10"/>
  <c r="R46" i="10"/>
  <c r="P46" i="10"/>
  <c r="O46" i="10"/>
  <c r="A46" i="10"/>
  <c r="HK45" i="10"/>
  <c r="GY45" i="10"/>
  <c r="GX45" i="10"/>
  <c r="GW45" i="10"/>
  <c r="GV45" i="10"/>
  <c r="GL45" i="10"/>
  <c r="GJ45" i="10"/>
  <c r="GI45" i="10"/>
  <c r="GH45" i="10"/>
  <c r="GA45" i="10"/>
  <c r="FZ45" i="10"/>
  <c r="FY45" i="10"/>
  <c r="FI45" i="10"/>
  <c r="FG45" i="10"/>
  <c r="FD45" i="10"/>
  <c r="FB45" i="10"/>
  <c r="FA45" i="10"/>
  <c r="EZ45" i="10"/>
  <c r="EY45" i="10"/>
  <c r="EX45" i="10"/>
  <c r="EV45" i="10"/>
  <c r="ET45" i="10"/>
  <c r="EO45" i="10"/>
  <c r="EN45" i="10"/>
  <c r="EM45" i="10"/>
  <c r="DY45" i="10"/>
  <c r="DX45" i="10"/>
  <c r="DW45" i="10"/>
  <c r="DO45" i="10"/>
  <c r="DN45" i="10"/>
  <c r="DM45" i="10"/>
  <c r="DL45" i="10"/>
  <c r="DK45" i="10"/>
  <c r="DJ45" i="10"/>
  <c r="DI45" i="10"/>
  <c r="DH45" i="10"/>
  <c r="DF45" i="10"/>
  <c r="DC45" i="10"/>
  <c r="DB45" i="10"/>
  <c r="CZ45" i="10"/>
  <c r="CY45" i="10"/>
  <c r="CX45" i="10"/>
  <c r="CW45" i="10"/>
  <c r="CV45" i="10"/>
  <c r="CU45" i="10"/>
  <c r="CT45" i="10"/>
  <c r="CS45" i="10"/>
  <c r="CR45" i="10"/>
  <c r="CQ45" i="10"/>
  <c r="CP45" i="10"/>
  <c r="CO45" i="10"/>
  <c r="CN45" i="10"/>
  <c r="CM45" i="10"/>
  <c r="CJ45" i="10"/>
  <c r="CI45" i="10"/>
  <c r="BU45" i="10"/>
  <c r="BS45" i="10"/>
  <c r="BP45" i="10"/>
  <c r="BN45" i="10"/>
  <c r="BM45" i="10"/>
  <c r="BL45" i="10"/>
  <c r="BK45" i="10"/>
  <c r="BJ45" i="10"/>
  <c r="BH45" i="10"/>
  <c r="BF45" i="10"/>
  <c r="BC45" i="10"/>
  <c r="BA45" i="10"/>
  <c r="AZ45" i="10"/>
  <c r="AY45" i="10"/>
  <c r="AR45" i="10"/>
  <c r="AQ45" i="10"/>
  <c r="AP45" i="10"/>
  <c r="R45" i="10"/>
  <c r="P45" i="10"/>
  <c r="O45" i="10"/>
  <c r="A45" i="10"/>
  <c r="HK44" i="10"/>
  <c r="GY44" i="10"/>
  <c r="GX44" i="10"/>
  <c r="GW44" i="10"/>
  <c r="GV44" i="10"/>
  <c r="GL44" i="10"/>
  <c r="GJ44" i="10"/>
  <c r="GI44" i="10"/>
  <c r="GH44" i="10"/>
  <c r="GA44" i="10"/>
  <c r="FZ44" i="10"/>
  <c r="FY44" i="10"/>
  <c r="FI44" i="10"/>
  <c r="FG44" i="10"/>
  <c r="FD44" i="10"/>
  <c r="FB44" i="10"/>
  <c r="FA44" i="10"/>
  <c r="EZ44" i="10"/>
  <c r="EY44" i="10"/>
  <c r="EX44" i="10"/>
  <c r="EV44" i="10"/>
  <c r="ET44" i="10"/>
  <c r="EO44" i="10"/>
  <c r="EN44" i="10"/>
  <c r="EM44" i="10"/>
  <c r="DY44" i="10"/>
  <c r="DX44" i="10"/>
  <c r="DW44" i="10"/>
  <c r="DO44" i="10"/>
  <c r="DN44" i="10"/>
  <c r="DM44" i="10"/>
  <c r="DL44" i="10"/>
  <c r="DK44" i="10"/>
  <c r="DJ44" i="10"/>
  <c r="DI44" i="10"/>
  <c r="DH44" i="10"/>
  <c r="DF44" i="10"/>
  <c r="DC44" i="10"/>
  <c r="DB44" i="10"/>
  <c r="DQ44" i="10" s="1"/>
  <c r="CZ44" i="10"/>
  <c r="CY44" i="10"/>
  <c r="CX44" i="10"/>
  <c r="CW44" i="10"/>
  <c r="CV44" i="10"/>
  <c r="CU44" i="10"/>
  <c r="CT44" i="10"/>
  <c r="CS44" i="10"/>
  <c r="CR44" i="10"/>
  <c r="CQ44" i="10"/>
  <c r="CP44" i="10"/>
  <c r="CO44" i="10"/>
  <c r="CN44" i="10"/>
  <c r="CM44" i="10"/>
  <c r="CJ44" i="10"/>
  <c r="CI44" i="10"/>
  <c r="BU44" i="10"/>
  <c r="BS44" i="10"/>
  <c r="BP44" i="10"/>
  <c r="BN44" i="10"/>
  <c r="BM44" i="10"/>
  <c r="BL44" i="10"/>
  <c r="BK44" i="10"/>
  <c r="BJ44" i="10"/>
  <c r="BH44" i="10"/>
  <c r="BF44" i="10"/>
  <c r="BC44" i="10"/>
  <c r="BA44" i="10"/>
  <c r="AZ44" i="10"/>
  <c r="AY44" i="10"/>
  <c r="AR44" i="10"/>
  <c r="AQ44" i="10"/>
  <c r="AP44" i="10"/>
  <c r="R44" i="10"/>
  <c r="P44" i="10"/>
  <c r="O44" i="10"/>
  <c r="A44" i="10"/>
  <c r="HK43" i="10"/>
  <c r="GY43" i="10"/>
  <c r="GX43" i="10"/>
  <c r="GW43" i="10"/>
  <c r="GV43" i="10"/>
  <c r="GL43" i="10"/>
  <c r="GJ43" i="10"/>
  <c r="GI43" i="10"/>
  <c r="GH43" i="10"/>
  <c r="GA43" i="10"/>
  <c r="FZ43" i="10"/>
  <c r="FY43" i="10"/>
  <c r="FI43" i="10"/>
  <c r="FG43" i="10"/>
  <c r="FD43" i="10"/>
  <c r="FB43" i="10"/>
  <c r="FA43" i="10"/>
  <c r="EZ43" i="10"/>
  <c r="EY43" i="10"/>
  <c r="EX43" i="10"/>
  <c r="EV43" i="10"/>
  <c r="ET43" i="10"/>
  <c r="EO43" i="10"/>
  <c r="EN43" i="10"/>
  <c r="EM43" i="10"/>
  <c r="DY43" i="10"/>
  <c r="DX43" i="10"/>
  <c r="DW43" i="10"/>
  <c r="DO43" i="10"/>
  <c r="DN43" i="10"/>
  <c r="DM43" i="10"/>
  <c r="DL43" i="10"/>
  <c r="DK43" i="10"/>
  <c r="DJ43" i="10"/>
  <c r="DI43" i="10"/>
  <c r="DH43" i="10"/>
  <c r="DF43" i="10"/>
  <c r="DC43" i="10"/>
  <c r="DB43" i="10"/>
  <c r="DQ43" i="10" s="1"/>
  <c r="CZ43" i="10"/>
  <c r="CY43" i="10"/>
  <c r="CX43" i="10"/>
  <c r="CW43" i="10"/>
  <c r="CV43" i="10"/>
  <c r="CU43" i="10"/>
  <c r="CT43" i="10"/>
  <c r="CS43" i="10"/>
  <c r="CR43" i="10"/>
  <c r="CQ43" i="10"/>
  <c r="CP43" i="10"/>
  <c r="CO43" i="10"/>
  <c r="CN43" i="10"/>
  <c r="CM43" i="10"/>
  <c r="CJ43" i="10"/>
  <c r="CI43" i="10"/>
  <c r="BU43" i="10"/>
  <c r="BS43" i="10"/>
  <c r="BP43" i="10"/>
  <c r="BN43" i="10"/>
  <c r="BM43" i="10"/>
  <c r="BL43" i="10"/>
  <c r="BK43" i="10"/>
  <c r="BJ43" i="10"/>
  <c r="BH43" i="10"/>
  <c r="BF43" i="10"/>
  <c r="BC43" i="10"/>
  <c r="BA43" i="10"/>
  <c r="AZ43" i="10"/>
  <c r="AY43" i="10"/>
  <c r="AR43" i="10"/>
  <c r="AQ43" i="10"/>
  <c r="AP43" i="10"/>
  <c r="R43" i="10"/>
  <c r="P43" i="10"/>
  <c r="O43" i="10"/>
  <c r="A43" i="10"/>
  <c r="HK42" i="10"/>
  <c r="GY42" i="10"/>
  <c r="GX42" i="10"/>
  <c r="GW42" i="10"/>
  <c r="GV42" i="10"/>
  <c r="GL42" i="10"/>
  <c r="GJ42" i="10"/>
  <c r="GI42" i="10"/>
  <c r="GH42" i="10"/>
  <c r="GA42" i="10"/>
  <c r="FZ42" i="10"/>
  <c r="FY42" i="10"/>
  <c r="FI42" i="10"/>
  <c r="FG42" i="10"/>
  <c r="FD42" i="10"/>
  <c r="FB42" i="10"/>
  <c r="FA42" i="10"/>
  <c r="EZ42" i="10"/>
  <c r="EY42" i="10"/>
  <c r="EX42" i="10"/>
  <c r="EV42" i="10"/>
  <c r="ET42" i="10"/>
  <c r="EO42" i="10"/>
  <c r="EN42" i="10"/>
  <c r="EM42" i="10"/>
  <c r="DY42" i="10"/>
  <c r="DX42" i="10"/>
  <c r="DW42" i="10"/>
  <c r="DO42" i="10"/>
  <c r="DN42" i="10"/>
  <c r="DM42" i="10"/>
  <c r="DL42" i="10"/>
  <c r="DK42" i="10"/>
  <c r="DJ42" i="10"/>
  <c r="DI42" i="10"/>
  <c r="DH42" i="10"/>
  <c r="DF42" i="10"/>
  <c r="DC42" i="10"/>
  <c r="DB42" i="10"/>
  <c r="DQ42" i="10" s="1"/>
  <c r="CZ42" i="10"/>
  <c r="CY42" i="10"/>
  <c r="CX42" i="10"/>
  <c r="CW42" i="10"/>
  <c r="CV42" i="10"/>
  <c r="CU42" i="10"/>
  <c r="CT42" i="10"/>
  <c r="CS42" i="10"/>
  <c r="CR42" i="10"/>
  <c r="CQ42" i="10"/>
  <c r="CP42" i="10"/>
  <c r="CO42" i="10"/>
  <c r="CN42" i="10"/>
  <c r="CM42" i="10"/>
  <c r="CJ42" i="10"/>
  <c r="CI42" i="10"/>
  <c r="BU42" i="10"/>
  <c r="BS42" i="10"/>
  <c r="BP42" i="10"/>
  <c r="BN42" i="10"/>
  <c r="BM42" i="10"/>
  <c r="BL42" i="10"/>
  <c r="BK42" i="10"/>
  <c r="BJ42" i="10"/>
  <c r="BH42" i="10"/>
  <c r="BF42" i="10"/>
  <c r="BC42" i="10"/>
  <c r="BA42" i="10"/>
  <c r="AZ42" i="10"/>
  <c r="AY42" i="10"/>
  <c r="AR42" i="10"/>
  <c r="AQ42" i="10"/>
  <c r="AP42" i="10"/>
  <c r="R42" i="10"/>
  <c r="P42" i="10"/>
  <c r="O42" i="10"/>
  <c r="A42" i="10"/>
  <c r="HK41" i="10"/>
  <c r="GY41" i="10"/>
  <c r="GX41" i="10"/>
  <c r="GW41" i="10"/>
  <c r="GV41" i="10"/>
  <c r="GL41" i="10"/>
  <c r="GJ41" i="10"/>
  <c r="GI41" i="10"/>
  <c r="GH41" i="10"/>
  <c r="GA41" i="10"/>
  <c r="FZ41" i="10"/>
  <c r="FY41" i="10"/>
  <c r="FG41" i="10"/>
  <c r="FD41" i="10"/>
  <c r="FB41" i="10"/>
  <c r="FA41" i="10"/>
  <c r="EZ41" i="10"/>
  <c r="EY41" i="10"/>
  <c r="EX41" i="10"/>
  <c r="EV41" i="10"/>
  <c r="ET41" i="10"/>
  <c r="EO41" i="10"/>
  <c r="EN41" i="10"/>
  <c r="EM41" i="10"/>
  <c r="DY41" i="10"/>
  <c r="DX41" i="10"/>
  <c r="DW41" i="10"/>
  <c r="DO41" i="10"/>
  <c r="DN41" i="10"/>
  <c r="DM41" i="10"/>
  <c r="DL41" i="10"/>
  <c r="DK41" i="10"/>
  <c r="DJ41" i="10"/>
  <c r="DI41" i="10"/>
  <c r="DH41" i="10"/>
  <c r="DF41" i="10"/>
  <c r="DC41" i="10"/>
  <c r="DB41" i="10"/>
  <c r="CZ41" i="10"/>
  <c r="CY41" i="10"/>
  <c r="CX41" i="10"/>
  <c r="CW41" i="10"/>
  <c r="CV41" i="10"/>
  <c r="CU41" i="10"/>
  <c r="CT41" i="10"/>
  <c r="CS41" i="10"/>
  <c r="CR41" i="10"/>
  <c r="CQ41" i="10"/>
  <c r="CP41" i="10"/>
  <c r="CO41" i="10"/>
  <c r="CN41" i="10"/>
  <c r="CM41" i="10"/>
  <c r="CJ41" i="10"/>
  <c r="CI41" i="10"/>
  <c r="BU41" i="10"/>
  <c r="BS41" i="10"/>
  <c r="BP41" i="10"/>
  <c r="BN41" i="10"/>
  <c r="BM41" i="10"/>
  <c r="BL41" i="10"/>
  <c r="BK41" i="10"/>
  <c r="BJ41" i="10"/>
  <c r="BH41" i="10"/>
  <c r="BF41" i="10"/>
  <c r="BC41" i="10"/>
  <c r="BA41" i="10"/>
  <c r="AZ41" i="10"/>
  <c r="AY41" i="10"/>
  <c r="AR41" i="10"/>
  <c r="AQ41" i="10"/>
  <c r="AP41" i="10"/>
  <c r="R41" i="10"/>
  <c r="P41" i="10"/>
  <c r="O41" i="10"/>
  <c r="A41" i="10"/>
  <c r="HK40" i="10"/>
  <c r="GY40" i="10"/>
  <c r="GX40" i="10"/>
  <c r="GW40" i="10"/>
  <c r="GV40" i="10"/>
  <c r="GL40" i="10"/>
  <c r="GJ40" i="10"/>
  <c r="GI40" i="10"/>
  <c r="GH40" i="10"/>
  <c r="GA40" i="10"/>
  <c r="FZ40" i="10"/>
  <c r="FY40" i="10"/>
  <c r="FG40" i="10"/>
  <c r="FD40" i="10"/>
  <c r="FB40" i="10"/>
  <c r="FA40" i="10"/>
  <c r="EZ40" i="10"/>
  <c r="EY40" i="10"/>
  <c r="EX40" i="10"/>
  <c r="EV40" i="10"/>
  <c r="ET40" i="10"/>
  <c r="EO40" i="10"/>
  <c r="EN40" i="10"/>
  <c r="EM40" i="10"/>
  <c r="DY40" i="10"/>
  <c r="DX40" i="10"/>
  <c r="DW40" i="10"/>
  <c r="DO40" i="10"/>
  <c r="DN40" i="10"/>
  <c r="DM40" i="10"/>
  <c r="DL40" i="10"/>
  <c r="DK40" i="10"/>
  <c r="DJ40" i="10"/>
  <c r="DI40" i="10"/>
  <c r="DH40" i="10"/>
  <c r="DF40" i="10"/>
  <c r="DC40" i="10"/>
  <c r="DB40" i="10"/>
  <c r="DQ40" i="10" s="1"/>
  <c r="CZ40" i="10"/>
  <c r="CY40" i="10"/>
  <c r="CX40" i="10"/>
  <c r="CW40" i="10"/>
  <c r="CV40" i="10"/>
  <c r="CU40" i="10"/>
  <c r="CT40" i="10"/>
  <c r="CS40" i="10"/>
  <c r="CR40" i="10"/>
  <c r="CQ40" i="10"/>
  <c r="CP40" i="10"/>
  <c r="CO40" i="10"/>
  <c r="CN40" i="10"/>
  <c r="CM40" i="10"/>
  <c r="CJ40" i="10"/>
  <c r="CI40" i="10"/>
  <c r="BU40" i="10"/>
  <c r="BS40" i="10"/>
  <c r="BP40" i="10"/>
  <c r="BN40" i="10"/>
  <c r="BM40" i="10"/>
  <c r="BL40" i="10"/>
  <c r="BK40" i="10"/>
  <c r="BJ40" i="10"/>
  <c r="BH40" i="10"/>
  <c r="BF40" i="10"/>
  <c r="BC40" i="10"/>
  <c r="BA40" i="10"/>
  <c r="AZ40" i="10"/>
  <c r="AY40" i="10"/>
  <c r="AR40" i="10"/>
  <c r="AQ40" i="10"/>
  <c r="AP40" i="10"/>
  <c r="R40" i="10"/>
  <c r="P40" i="10"/>
  <c r="O40" i="10"/>
  <c r="A40" i="10"/>
  <c r="HK39" i="10"/>
  <c r="GY39" i="10"/>
  <c r="GX39" i="10"/>
  <c r="GW39" i="10"/>
  <c r="GV39" i="10"/>
  <c r="GL39" i="10"/>
  <c r="GJ39" i="10"/>
  <c r="GI39" i="10"/>
  <c r="GH39" i="10"/>
  <c r="GA39" i="10"/>
  <c r="FZ39" i="10"/>
  <c r="FY39" i="10"/>
  <c r="FG39" i="10"/>
  <c r="FD39" i="10"/>
  <c r="FB39" i="10"/>
  <c r="FA39" i="10"/>
  <c r="EZ39" i="10"/>
  <c r="EY39" i="10"/>
  <c r="EX39" i="10"/>
  <c r="EV39" i="10"/>
  <c r="ET39" i="10"/>
  <c r="EO39" i="10"/>
  <c r="EN39" i="10"/>
  <c r="EM39" i="10"/>
  <c r="DY39" i="10"/>
  <c r="DX39" i="10"/>
  <c r="DW39" i="10"/>
  <c r="DO39" i="10"/>
  <c r="DN39" i="10"/>
  <c r="DM39" i="10"/>
  <c r="DL39" i="10"/>
  <c r="DK39" i="10"/>
  <c r="DJ39" i="10"/>
  <c r="DI39" i="10"/>
  <c r="DH39" i="10"/>
  <c r="DF39" i="10"/>
  <c r="DC39" i="10"/>
  <c r="DB39" i="10"/>
  <c r="DQ39" i="10" s="1"/>
  <c r="CZ39" i="10"/>
  <c r="CY39" i="10"/>
  <c r="CX39" i="10"/>
  <c r="CW39" i="10"/>
  <c r="CV39" i="10"/>
  <c r="CU39" i="10"/>
  <c r="CT39" i="10"/>
  <c r="CS39" i="10"/>
  <c r="CR39" i="10"/>
  <c r="CQ39" i="10"/>
  <c r="CP39" i="10"/>
  <c r="CO39" i="10"/>
  <c r="CN39" i="10"/>
  <c r="CM39" i="10"/>
  <c r="CJ39" i="10"/>
  <c r="CI39" i="10"/>
  <c r="BU39" i="10"/>
  <c r="BS39" i="10"/>
  <c r="BP39" i="10"/>
  <c r="BN39" i="10"/>
  <c r="BM39" i="10"/>
  <c r="BL39" i="10"/>
  <c r="BK39" i="10"/>
  <c r="BJ39" i="10"/>
  <c r="BH39" i="10"/>
  <c r="BF39" i="10"/>
  <c r="BC39" i="10"/>
  <c r="BA39" i="10"/>
  <c r="AZ39" i="10"/>
  <c r="AY39" i="10"/>
  <c r="AR39" i="10"/>
  <c r="AQ39" i="10"/>
  <c r="AP39" i="10"/>
  <c r="R39" i="10"/>
  <c r="P39" i="10"/>
  <c r="O39" i="10"/>
  <c r="A39" i="10"/>
  <c r="HK38" i="10"/>
  <c r="GY38" i="10"/>
  <c r="GX38" i="10"/>
  <c r="GW38" i="10"/>
  <c r="GV38" i="10"/>
  <c r="GL38" i="10"/>
  <c r="GJ38" i="10"/>
  <c r="GI38" i="10"/>
  <c r="GH38" i="10"/>
  <c r="GA38" i="10"/>
  <c r="FZ38" i="10"/>
  <c r="FY38" i="10"/>
  <c r="FG38" i="10"/>
  <c r="FD38" i="10"/>
  <c r="FB38" i="10"/>
  <c r="FA38" i="10"/>
  <c r="EZ38" i="10"/>
  <c r="EY38" i="10"/>
  <c r="EX38" i="10"/>
  <c r="EV38" i="10"/>
  <c r="ET38" i="10"/>
  <c r="EO38" i="10"/>
  <c r="EM38" i="10"/>
  <c r="DY38" i="10"/>
  <c r="DX38" i="10"/>
  <c r="DW38" i="10"/>
  <c r="DO38" i="10"/>
  <c r="DN38" i="10"/>
  <c r="DM38" i="10"/>
  <c r="DL38" i="10"/>
  <c r="DK38" i="10"/>
  <c r="DJ38" i="10"/>
  <c r="DI38" i="10"/>
  <c r="DH38" i="10"/>
  <c r="DF38" i="10"/>
  <c r="DC38" i="10"/>
  <c r="DB38" i="10"/>
  <c r="DQ38" i="10" s="1"/>
  <c r="CZ38" i="10"/>
  <c r="CY38" i="10"/>
  <c r="CX38" i="10"/>
  <c r="CW38" i="10"/>
  <c r="CV38" i="10"/>
  <c r="CU38" i="10"/>
  <c r="CT38" i="10"/>
  <c r="CS38" i="10"/>
  <c r="CR38" i="10"/>
  <c r="CQ38" i="10"/>
  <c r="CP38" i="10"/>
  <c r="CO38" i="10"/>
  <c r="CN38" i="10"/>
  <c r="CM38" i="10"/>
  <c r="CJ38" i="10"/>
  <c r="CI38" i="10"/>
  <c r="BU38" i="10"/>
  <c r="BS38" i="10"/>
  <c r="BP38" i="10"/>
  <c r="BN38" i="10"/>
  <c r="BM38" i="10"/>
  <c r="BL38" i="10"/>
  <c r="BK38" i="10"/>
  <c r="BJ38" i="10"/>
  <c r="BH38" i="10"/>
  <c r="BF38" i="10"/>
  <c r="BC38" i="10"/>
  <c r="BA38" i="10"/>
  <c r="AZ38" i="10"/>
  <c r="AY38" i="10"/>
  <c r="AR38" i="10"/>
  <c r="AQ38" i="10"/>
  <c r="AP38" i="10"/>
  <c r="R38" i="10"/>
  <c r="P38" i="10"/>
  <c r="O38" i="10"/>
  <c r="A38" i="10"/>
  <c r="HK37" i="10"/>
  <c r="GY37" i="10"/>
  <c r="GX37" i="10"/>
  <c r="GW37" i="10"/>
  <c r="GV37" i="10"/>
  <c r="GL37" i="10"/>
  <c r="GJ37" i="10"/>
  <c r="GI37" i="10"/>
  <c r="GH37" i="10"/>
  <c r="GA37" i="10"/>
  <c r="FZ37" i="10"/>
  <c r="FY37" i="10"/>
  <c r="FG37" i="10"/>
  <c r="FD37" i="10"/>
  <c r="FB37" i="10"/>
  <c r="FA37" i="10"/>
  <c r="EZ37" i="10"/>
  <c r="EY37" i="10"/>
  <c r="EX37" i="10"/>
  <c r="EV37" i="10"/>
  <c r="ET37" i="10"/>
  <c r="EO37" i="10"/>
  <c r="EM37" i="10"/>
  <c r="DY37" i="10"/>
  <c r="DX37" i="10"/>
  <c r="DW37" i="10"/>
  <c r="DO37" i="10"/>
  <c r="DN37" i="10"/>
  <c r="DM37" i="10"/>
  <c r="DL37" i="10"/>
  <c r="DK37" i="10"/>
  <c r="DJ37" i="10"/>
  <c r="DI37" i="10"/>
  <c r="DH37" i="10"/>
  <c r="DF37" i="10"/>
  <c r="DC37" i="10"/>
  <c r="DB37" i="10"/>
  <c r="DQ37" i="10" s="1"/>
  <c r="CZ37" i="10"/>
  <c r="CY37" i="10"/>
  <c r="CX37" i="10"/>
  <c r="CW37" i="10"/>
  <c r="CV37" i="10"/>
  <c r="CU37" i="10"/>
  <c r="CT37" i="10"/>
  <c r="CS37" i="10"/>
  <c r="CR37" i="10"/>
  <c r="CQ37" i="10"/>
  <c r="CP37" i="10"/>
  <c r="CO37" i="10"/>
  <c r="CN37" i="10"/>
  <c r="CM37" i="10"/>
  <c r="BU37" i="10"/>
  <c r="BS37" i="10"/>
  <c r="BP37" i="10"/>
  <c r="BN37" i="10"/>
  <c r="BM37" i="10"/>
  <c r="BL37" i="10"/>
  <c r="BK37" i="10"/>
  <c r="BJ37" i="10"/>
  <c r="BH37" i="10"/>
  <c r="BF37" i="10"/>
  <c r="BC37" i="10"/>
  <c r="BA37" i="10"/>
  <c r="AZ37" i="10"/>
  <c r="AY37" i="10"/>
  <c r="AR37" i="10"/>
  <c r="AQ37" i="10"/>
  <c r="AP37" i="10"/>
  <c r="T37" i="10"/>
  <c r="R37" i="10"/>
  <c r="P37" i="10"/>
  <c r="O37" i="10"/>
  <c r="A37" i="10"/>
  <c r="HK36" i="10"/>
  <c r="GY36" i="10"/>
  <c r="GX36" i="10"/>
  <c r="GW36" i="10"/>
  <c r="GV36" i="10"/>
  <c r="GL36" i="10"/>
  <c r="GJ36" i="10"/>
  <c r="GI36" i="10"/>
  <c r="GH36" i="10"/>
  <c r="GA36" i="10"/>
  <c r="FZ36" i="10"/>
  <c r="FY36" i="10"/>
  <c r="FH36" i="10"/>
  <c r="FG36" i="10"/>
  <c r="FD36" i="10"/>
  <c r="FB36" i="10"/>
  <c r="FA36" i="10"/>
  <c r="EZ36" i="10"/>
  <c r="EY36" i="10"/>
  <c r="EX36" i="10"/>
  <c r="EW36" i="10"/>
  <c r="EV36" i="10"/>
  <c r="EU36" i="10"/>
  <c r="ET36" i="10"/>
  <c r="ES36" i="10"/>
  <c r="EQ36" i="10"/>
  <c r="EP36" i="10"/>
  <c r="EO36" i="10"/>
  <c r="EN36" i="10"/>
  <c r="EM36" i="10"/>
  <c r="EL36" i="10"/>
  <c r="DY36" i="10"/>
  <c r="DM36" i="10"/>
  <c r="DL36" i="10"/>
  <c r="DK36" i="10"/>
  <c r="DJ36" i="10"/>
  <c r="CZ36" i="10"/>
  <c r="CX36" i="10"/>
  <c r="CW36" i="10"/>
  <c r="CV36" i="10"/>
  <c r="CO36" i="10"/>
  <c r="CN36" i="10"/>
  <c r="CM36" i="10"/>
  <c r="BU36" i="10"/>
  <c r="BS36" i="10"/>
  <c r="BP36" i="10"/>
  <c r="BN36" i="10"/>
  <c r="BM36" i="10"/>
  <c r="BL36" i="10"/>
  <c r="BK36" i="10"/>
  <c r="BJ36" i="10"/>
  <c r="BH36" i="10"/>
  <c r="BF36" i="10"/>
  <c r="BC36" i="10"/>
  <c r="BA36" i="10"/>
  <c r="AZ36" i="10"/>
  <c r="AY36" i="10"/>
  <c r="AR36" i="10"/>
  <c r="AQ36" i="10"/>
  <c r="AP36" i="10"/>
  <c r="R36" i="10"/>
  <c r="P36" i="10"/>
  <c r="O36" i="10"/>
  <c r="A36" i="10"/>
  <c r="HK35" i="10"/>
  <c r="GY35" i="10"/>
  <c r="GX35" i="10"/>
  <c r="GW35" i="10"/>
  <c r="GV35" i="10"/>
  <c r="GL35" i="10"/>
  <c r="GJ35" i="10"/>
  <c r="GI35" i="10"/>
  <c r="GH35" i="10"/>
  <c r="GA35" i="10"/>
  <c r="FZ35" i="10"/>
  <c r="FY35" i="10"/>
  <c r="FH35" i="10"/>
  <c r="FG35" i="10"/>
  <c r="FD35" i="10"/>
  <c r="FB35" i="10"/>
  <c r="FA35" i="10"/>
  <c r="EZ35" i="10"/>
  <c r="EY35" i="10"/>
  <c r="EX35" i="10"/>
  <c r="EW35" i="10"/>
  <c r="EV35" i="10"/>
  <c r="EU35" i="10"/>
  <c r="ET35" i="10"/>
  <c r="ES35" i="10"/>
  <c r="EQ35" i="10"/>
  <c r="EP35" i="10"/>
  <c r="EO35" i="10"/>
  <c r="EN35" i="10"/>
  <c r="EM35" i="10"/>
  <c r="EL35" i="10"/>
  <c r="DY35" i="10"/>
  <c r="DM35" i="10"/>
  <c r="DL35" i="10"/>
  <c r="DK35" i="10"/>
  <c r="DJ35" i="10"/>
  <c r="CZ35" i="10"/>
  <c r="CX35" i="10"/>
  <c r="CW35" i="10"/>
  <c r="CV35" i="10"/>
  <c r="CO35" i="10"/>
  <c r="CN35" i="10"/>
  <c r="CM35" i="10"/>
  <c r="BU35" i="10"/>
  <c r="BS35" i="10"/>
  <c r="BP35" i="10"/>
  <c r="BN35" i="10"/>
  <c r="BM35" i="10"/>
  <c r="BL35" i="10"/>
  <c r="BK35" i="10"/>
  <c r="BJ35" i="10"/>
  <c r="BH35" i="10"/>
  <c r="BF35" i="10"/>
  <c r="BC35" i="10"/>
  <c r="BA35" i="10"/>
  <c r="AZ35" i="10"/>
  <c r="AY35" i="10"/>
  <c r="AR35" i="10"/>
  <c r="AQ35" i="10"/>
  <c r="AP35" i="10"/>
  <c r="R35" i="10"/>
  <c r="P35" i="10"/>
  <c r="O35" i="10"/>
  <c r="A35" i="10"/>
  <c r="HK34" i="10"/>
  <c r="GY34" i="10"/>
  <c r="GX34" i="10"/>
  <c r="GW34" i="10"/>
  <c r="GV34" i="10"/>
  <c r="GL34" i="10"/>
  <c r="GJ34" i="10"/>
  <c r="GI34" i="10"/>
  <c r="GH34" i="10"/>
  <c r="GA34" i="10"/>
  <c r="FZ34" i="10"/>
  <c r="FY34" i="10"/>
  <c r="FH34" i="10"/>
  <c r="FG34" i="10"/>
  <c r="FD34" i="10"/>
  <c r="FB34" i="10"/>
  <c r="FA34" i="10"/>
  <c r="EZ34" i="10"/>
  <c r="EY34" i="10"/>
  <c r="EX34" i="10"/>
  <c r="EW34" i="10"/>
  <c r="EV34" i="10"/>
  <c r="EU34" i="10"/>
  <c r="ET34" i="10"/>
  <c r="ES34" i="10"/>
  <c r="EQ34" i="10"/>
  <c r="EP34" i="10"/>
  <c r="EO34" i="10"/>
  <c r="EN34" i="10"/>
  <c r="EM34" i="10"/>
  <c r="EL34" i="10"/>
  <c r="DY34" i="10"/>
  <c r="DM34" i="10"/>
  <c r="DL34" i="10"/>
  <c r="DK34" i="10"/>
  <c r="DJ34" i="10"/>
  <c r="CZ34" i="10"/>
  <c r="CX34" i="10"/>
  <c r="CW34" i="10"/>
  <c r="CV34" i="10"/>
  <c r="CO34" i="10"/>
  <c r="CN34" i="10"/>
  <c r="CM34" i="10"/>
  <c r="BU34" i="10"/>
  <c r="BS34" i="10"/>
  <c r="BP34" i="10"/>
  <c r="BN34" i="10"/>
  <c r="BM34" i="10"/>
  <c r="BL34" i="10"/>
  <c r="BK34" i="10"/>
  <c r="BJ34" i="10"/>
  <c r="BH34" i="10"/>
  <c r="BF34" i="10"/>
  <c r="BC34" i="10"/>
  <c r="BA34" i="10"/>
  <c r="AZ34" i="10"/>
  <c r="AY34" i="10"/>
  <c r="AR34" i="10"/>
  <c r="AQ34" i="10"/>
  <c r="AP34" i="10"/>
  <c r="R34" i="10"/>
  <c r="P34" i="10"/>
  <c r="O34" i="10"/>
  <c r="A34" i="10"/>
  <c r="HK33" i="10"/>
  <c r="GY33" i="10"/>
  <c r="GX33" i="10"/>
  <c r="GW33" i="10"/>
  <c r="GV33" i="10"/>
  <c r="GL33" i="10"/>
  <c r="GJ33" i="10"/>
  <c r="GI33" i="10"/>
  <c r="GH33" i="10"/>
  <c r="GA33" i="10"/>
  <c r="FZ33" i="10"/>
  <c r="FY33" i="10"/>
  <c r="FH33" i="10"/>
  <c r="FG33" i="10"/>
  <c r="FD33" i="10"/>
  <c r="FB33" i="10"/>
  <c r="FA33" i="10"/>
  <c r="EZ33" i="10"/>
  <c r="EY33" i="10"/>
  <c r="EX33" i="10"/>
  <c r="EW33" i="10"/>
  <c r="EV33" i="10"/>
  <c r="EU33" i="10"/>
  <c r="ET33" i="10"/>
  <c r="ES33" i="10"/>
  <c r="EQ33" i="10"/>
  <c r="EP33" i="10"/>
  <c r="EO33" i="10"/>
  <c r="EN33" i="10"/>
  <c r="EM33" i="10"/>
  <c r="EL33" i="10"/>
  <c r="DY33" i="10"/>
  <c r="DM33" i="10"/>
  <c r="DL33" i="10"/>
  <c r="DK33" i="10"/>
  <c r="DJ33" i="10"/>
  <c r="CZ33" i="10"/>
  <c r="CX33" i="10"/>
  <c r="CW33" i="10"/>
  <c r="CV33" i="10"/>
  <c r="CO33" i="10"/>
  <c r="CN33" i="10"/>
  <c r="CM33" i="10"/>
  <c r="BU33" i="10"/>
  <c r="BS33" i="10"/>
  <c r="BP33" i="10"/>
  <c r="BN33" i="10"/>
  <c r="BM33" i="10"/>
  <c r="BL33" i="10"/>
  <c r="BK33" i="10"/>
  <c r="BJ33" i="10"/>
  <c r="BH33" i="10"/>
  <c r="BF33" i="10"/>
  <c r="BC33" i="10"/>
  <c r="BA33" i="10"/>
  <c r="AZ33" i="10"/>
  <c r="AY33" i="10"/>
  <c r="AR33" i="10"/>
  <c r="AQ33" i="10"/>
  <c r="AP33" i="10"/>
  <c r="R33" i="10"/>
  <c r="P33" i="10"/>
  <c r="O33" i="10"/>
  <c r="A33" i="10"/>
  <c r="HK32" i="10"/>
  <c r="GY32" i="10"/>
  <c r="GX32" i="10"/>
  <c r="GW32" i="10"/>
  <c r="GV32" i="10"/>
  <c r="GL32" i="10"/>
  <c r="GJ32" i="10"/>
  <c r="GI32" i="10"/>
  <c r="GH32" i="10"/>
  <c r="GA32" i="10"/>
  <c r="FZ32" i="10"/>
  <c r="FY32" i="10"/>
  <c r="FH32" i="10"/>
  <c r="FG32" i="10"/>
  <c r="FD32" i="10"/>
  <c r="FB32" i="10"/>
  <c r="FA32" i="10"/>
  <c r="EZ32" i="10"/>
  <c r="EY32" i="10"/>
  <c r="EX32" i="10"/>
  <c r="EW32" i="10"/>
  <c r="EV32" i="10"/>
  <c r="EU32" i="10"/>
  <c r="ET32" i="10"/>
  <c r="ES32" i="10"/>
  <c r="EQ32" i="10"/>
  <c r="EP32" i="10"/>
  <c r="EO32" i="10"/>
  <c r="EN32" i="10"/>
  <c r="EM32" i="10"/>
  <c r="EL32" i="10"/>
  <c r="DY32" i="10"/>
  <c r="DM32" i="10"/>
  <c r="DL32" i="10"/>
  <c r="DK32" i="10"/>
  <c r="DJ32" i="10"/>
  <c r="CZ32" i="10"/>
  <c r="CX32" i="10"/>
  <c r="CW32" i="10"/>
  <c r="CV32" i="10"/>
  <c r="CO32" i="10"/>
  <c r="CN32" i="10"/>
  <c r="CM32" i="10"/>
  <c r="BU32" i="10"/>
  <c r="BS32" i="10"/>
  <c r="BP32" i="10"/>
  <c r="BN32" i="10"/>
  <c r="BM32" i="10"/>
  <c r="BL32" i="10"/>
  <c r="BK32" i="10"/>
  <c r="BJ32" i="10"/>
  <c r="BH32" i="10"/>
  <c r="BF32" i="10"/>
  <c r="BC32" i="10"/>
  <c r="BA32" i="10"/>
  <c r="AZ32" i="10"/>
  <c r="AY32" i="10"/>
  <c r="AR32" i="10"/>
  <c r="AQ32" i="10"/>
  <c r="AP32" i="10"/>
  <c r="R32" i="10"/>
  <c r="P32" i="10"/>
  <c r="O32" i="10"/>
  <c r="A32" i="10"/>
  <c r="HK31" i="10"/>
  <c r="GY31" i="10"/>
  <c r="GX31" i="10"/>
  <c r="GW31" i="10"/>
  <c r="GV31" i="10"/>
  <c r="GL31" i="10"/>
  <c r="GJ31" i="10"/>
  <c r="GI31" i="10"/>
  <c r="GH31" i="10"/>
  <c r="GA31" i="10"/>
  <c r="FZ31" i="10"/>
  <c r="FY31" i="10"/>
  <c r="FH31" i="10"/>
  <c r="FG31" i="10"/>
  <c r="FD31" i="10"/>
  <c r="FB31" i="10"/>
  <c r="FA31" i="10"/>
  <c r="EZ31" i="10"/>
  <c r="EY31" i="10"/>
  <c r="EX31" i="10"/>
  <c r="EW31" i="10"/>
  <c r="EV31" i="10"/>
  <c r="EU31" i="10"/>
  <c r="ET31" i="10"/>
  <c r="ES31" i="10"/>
  <c r="EQ31" i="10"/>
  <c r="EP31" i="10"/>
  <c r="EO31" i="10"/>
  <c r="EN31" i="10"/>
  <c r="EM31" i="10"/>
  <c r="EL31" i="10"/>
  <c r="DY31" i="10"/>
  <c r="DM31" i="10"/>
  <c r="DL31" i="10"/>
  <c r="DK31" i="10"/>
  <c r="DJ31" i="10"/>
  <c r="CZ31" i="10"/>
  <c r="CX31" i="10"/>
  <c r="CW31" i="10"/>
  <c r="CV31" i="10"/>
  <c r="CO31" i="10"/>
  <c r="CN31" i="10"/>
  <c r="CM31" i="10"/>
  <c r="BU31" i="10"/>
  <c r="BS31" i="10"/>
  <c r="BP31" i="10"/>
  <c r="BN31" i="10"/>
  <c r="BM31" i="10"/>
  <c r="BL31" i="10"/>
  <c r="BK31" i="10"/>
  <c r="BJ31" i="10"/>
  <c r="BH31" i="10"/>
  <c r="BF31" i="10"/>
  <c r="BA31" i="10"/>
  <c r="AZ31" i="10"/>
  <c r="AY31" i="10"/>
  <c r="AR31" i="10"/>
  <c r="AQ31" i="10"/>
  <c r="AP31" i="10"/>
  <c r="R31" i="10"/>
  <c r="P31" i="10"/>
  <c r="O31" i="10"/>
  <c r="A31" i="10"/>
  <c r="HK30" i="10"/>
  <c r="GY30" i="10"/>
  <c r="GX30" i="10"/>
  <c r="GW30" i="10"/>
  <c r="GV30" i="10"/>
  <c r="GL30" i="10"/>
  <c r="GJ30" i="10"/>
  <c r="GI30" i="10"/>
  <c r="GH30" i="10"/>
  <c r="GA30" i="10"/>
  <c r="FZ30" i="10"/>
  <c r="FY30" i="10"/>
  <c r="FH30" i="10"/>
  <c r="FG30" i="10"/>
  <c r="FD30" i="10"/>
  <c r="FB30" i="10"/>
  <c r="FA30" i="10"/>
  <c r="EZ30" i="10"/>
  <c r="EY30" i="10"/>
  <c r="EX30" i="10"/>
  <c r="EW30" i="10"/>
  <c r="EV30" i="10"/>
  <c r="EU30" i="10"/>
  <c r="ET30" i="10"/>
  <c r="ES30" i="10"/>
  <c r="EQ30" i="10"/>
  <c r="EP30" i="10"/>
  <c r="EO30" i="10"/>
  <c r="EN30" i="10"/>
  <c r="EM30" i="10"/>
  <c r="EL30" i="10"/>
  <c r="DY30" i="10"/>
  <c r="DM30" i="10"/>
  <c r="DL30" i="10"/>
  <c r="DK30" i="10"/>
  <c r="DJ30" i="10"/>
  <c r="CZ30" i="10"/>
  <c r="CX30" i="10"/>
  <c r="CW30" i="10"/>
  <c r="CV30" i="10"/>
  <c r="CO30" i="10"/>
  <c r="CN30" i="10"/>
  <c r="CM30" i="10"/>
  <c r="BU30" i="10"/>
  <c r="BS30" i="10"/>
  <c r="BP30" i="10"/>
  <c r="BN30" i="10"/>
  <c r="BM30" i="10"/>
  <c r="BL30" i="10"/>
  <c r="BK30" i="10"/>
  <c r="BJ30" i="10"/>
  <c r="BH30" i="10"/>
  <c r="BF30" i="10"/>
  <c r="BA30" i="10"/>
  <c r="AZ30" i="10"/>
  <c r="AY30" i="10"/>
  <c r="AR30" i="10"/>
  <c r="AQ30" i="10"/>
  <c r="AP30" i="10"/>
  <c r="R30" i="10"/>
  <c r="P30" i="10"/>
  <c r="O30" i="10"/>
  <c r="A30" i="10"/>
  <c r="HK29" i="10"/>
  <c r="GY29" i="10"/>
  <c r="GX29" i="10"/>
  <c r="GW29" i="10"/>
  <c r="GV29" i="10"/>
  <c r="GL29" i="10"/>
  <c r="GJ29" i="10"/>
  <c r="GI29" i="10"/>
  <c r="GH29" i="10"/>
  <c r="GA29" i="10"/>
  <c r="FZ29" i="10"/>
  <c r="FY29" i="10"/>
  <c r="FH29" i="10"/>
  <c r="FG29" i="10"/>
  <c r="FD29" i="10"/>
  <c r="FB29" i="10"/>
  <c r="FA29" i="10"/>
  <c r="EZ29" i="10"/>
  <c r="EY29" i="10"/>
  <c r="EX29" i="10"/>
  <c r="EW29" i="10"/>
  <c r="EV29" i="10"/>
  <c r="EU29" i="10"/>
  <c r="ET29" i="10"/>
  <c r="ES29" i="10"/>
  <c r="EQ29" i="10"/>
  <c r="EP29" i="10"/>
  <c r="EO29" i="10"/>
  <c r="EN29" i="10"/>
  <c r="EM29" i="10"/>
  <c r="EL29" i="10"/>
  <c r="DY29" i="10"/>
  <c r="DM29" i="10"/>
  <c r="DL29" i="10"/>
  <c r="DK29" i="10"/>
  <c r="DJ29" i="10"/>
  <c r="CZ29" i="10"/>
  <c r="CX29" i="10"/>
  <c r="CW29" i="10"/>
  <c r="CV29" i="10"/>
  <c r="CO29" i="10"/>
  <c r="CN29" i="10"/>
  <c r="CM29" i="10"/>
  <c r="BU29" i="10"/>
  <c r="BS29" i="10"/>
  <c r="BP29" i="10"/>
  <c r="BN29" i="10"/>
  <c r="BM29" i="10"/>
  <c r="BL29" i="10"/>
  <c r="BK29" i="10"/>
  <c r="BJ29" i="10"/>
  <c r="BH29" i="10"/>
  <c r="BF29" i="10"/>
  <c r="BA29" i="10"/>
  <c r="AZ29" i="10"/>
  <c r="AY29" i="10"/>
  <c r="AR29" i="10"/>
  <c r="AQ29" i="10"/>
  <c r="AP29" i="10"/>
  <c r="R29" i="10"/>
  <c r="O29" i="10"/>
  <c r="A29" i="10"/>
  <c r="HK28" i="10"/>
  <c r="GY28" i="10"/>
  <c r="GX28" i="10"/>
  <c r="GW28" i="10"/>
  <c r="GV28" i="10"/>
  <c r="GL28" i="10"/>
  <c r="GJ28" i="10"/>
  <c r="GI28" i="10"/>
  <c r="GH28" i="10"/>
  <c r="GA28" i="10"/>
  <c r="FZ28" i="10"/>
  <c r="FY28" i="10"/>
  <c r="FH28" i="10"/>
  <c r="FG28" i="10"/>
  <c r="FD28" i="10"/>
  <c r="FB28" i="10"/>
  <c r="FA28" i="10"/>
  <c r="EZ28" i="10"/>
  <c r="EY28" i="10"/>
  <c r="EX28" i="10"/>
  <c r="EW28" i="10"/>
  <c r="EV28" i="10"/>
  <c r="EU28" i="10"/>
  <c r="ET28" i="10"/>
  <c r="ES28" i="10"/>
  <c r="EQ28" i="10"/>
  <c r="EP28" i="10"/>
  <c r="EO28" i="10"/>
  <c r="EN28" i="10"/>
  <c r="EM28" i="10"/>
  <c r="EL28" i="10"/>
  <c r="DY28" i="10"/>
  <c r="DM28" i="10"/>
  <c r="DL28" i="10"/>
  <c r="DK28" i="10"/>
  <c r="DJ28" i="10"/>
  <c r="CZ28" i="10"/>
  <c r="CX28" i="10"/>
  <c r="CW28" i="10"/>
  <c r="CV28" i="10"/>
  <c r="CO28" i="10"/>
  <c r="CN28" i="10"/>
  <c r="CM28" i="10"/>
  <c r="BU28" i="10"/>
  <c r="BS28" i="10"/>
  <c r="BP28" i="10"/>
  <c r="BN28" i="10"/>
  <c r="BM28" i="10"/>
  <c r="BL28" i="10"/>
  <c r="BK28" i="10"/>
  <c r="BJ28" i="10"/>
  <c r="BH28" i="10"/>
  <c r="BF28" i="10"/>
  <c r="BA28" i="10"/>
  <c r="AZ28" i="10"/>
  <c r="AY28" i="10"/>
  <c r="AR28" i="10"/>
  <c r="AQ28" i="10"/>
  <c r="AP28" i="10"/>
  <c r="R28" i="10"/>
  <c r="O28" i="10"/>
  <c r="A28" i="10"/>
  <c r="HK27" i="10"/>
  <c r="GY27" i="10"/>
  <c r="GX27" i="10"/>
  <c r="GW27" i="10"/>
  <c r="GV27" i="10"/>
  <c r="GL27" i="10"/>
  <c r="GJ27" i="10"/>
  <c r="GI27" i="10"/>
  <c r="GH27" i="10"/>
  <c r="GA27" i="10"/>
  <c r="FZ27" i="10"/>
  <c r="FY27" i="10"/>
  <c r="FH27" i="10"/>
  <c r="FG27" i="10"/>
  <c r="FD27" i="10"/>
  <c r="FB27" i="10"/>
  <c r="FA27" i="10"/>
  <c r="EZ27" i="10"/>
  <c r="EY27" i="10"/>
  <c r="EX27" i="10"/>
  <c r="EW27" i="10"/>
  <c r="EV27" i="10"/>
  <c r="EU27" i="10"/>
  <c r="ET27" i="10"/>
  <c r="ES27" i="10"/>
  <c r="EQ27" i="10"/>
  <c r="EP27" i="10"/>
  <c r="EO27" i="10"/>
  <c r="EN27" i="10"/>
  <c r="EM27" i="10"/>
  <c r="EL27" i="10"/>
  <c r="DY27" i="10"/>
  <c r="DM27" i="10"/>
  <c r="DL27" i="10"/>
  <c r="DK27" i="10"/>
  <c r="DJ27" i="10"/>
  <c r="CZ27" i="10"/>
  <c r="CX27" i="10"/>
  <c r="CW27" i="10"/>
  <c r="CV27" i="10"/>
  <c r="CO27" i="10"/>
  <c r="CN27" i="10"/>
  <c r="CM27" i="10"/>
  <c r="BU27" i="10"/>
  <c r="BS27" i="10"/>
  <c r="BP27" i="10"/>
  <c r="BN27" i="10"/>
  <c r="BM27" i="10"/>
  <c r="BL27" i="10"/>
  <c r="BK27" i="10"/>
  <c r="BJ27" i="10"/>
  <c r="BH27" i="10"/>
  <c r="BF27" i="10"/>
  <c r="BA27" i="10"/>
  <c r="AZ27" i="10"/>
  <c r="AY27" i="10"/>
  <c r="AR27" i="10"/>
  <c r="AQ27" i="10"/>
  <c r="AP27" i="10"/>
  <c r="R27" i="10"/>
  <c r="O27" i="10"/>
  <c r="A27" i="10"/>
  <c r="HK26" i="10"/>
  <c r="GY26" i="10"/>
  <c r="GX26" i="10"/>
  <c r="GW26" i="10"/>
  <c r="GV26" i="10"/>
  <c r="GL26" i="10"/>
  <c r="GJ26" i="10"/>
  <c r="GI26" i="10"/>
  <c r="GH26" i="10"/>
  <c r="GA26" i="10"/>
  <c r="FZ26" i="10"/>
  <c r="FY26" i="10"/>
  <c r="FH26" i="10"/>
  <c r="FG26" i="10"/>
  <c r="FD26" i="10"/>
  <c r="FB26" i="10"/>
  <c r="FA26" i="10"/>
  <c r="EZ26" i="10"/>
  <c r="EY26" i="10"/>
  <c r="EX26" i="10"/>
  <c r="EW26" i="10"/>
  <c r="EV26" i="10"/>
  <c r="EU26" i="10"/>
  <c r="ET26" i="10"/>
  <c r="ES26" i="10"/>
  <c r="EQ26" i="10"/>
  <c r="EP26" i="10"/>
  <c r="EO26" i="10"/>
  <c r="EN26" i="10"/>
  <c r="EM26" i="10"/>
  <c r="EL26" i="10"/>
  <c r="DY26" i="10"/>
  <c r="DM26" i="10"/>
  <c r="DL26" i="10"/>
  <c r="DK26" i="10"/>
  <c r="DJ26" i="10"/>
  <c r="CZ26" i="10"/>
  <c r="CX26" i="10"/>
  <c r="CW26" i="10"/>
  <c r="CV26" i="10"/>
  <c r="CO26" i="10"/>
  <c r="CN26" i="10"/>
  <c r="CM26" i="10"/>
  <c r="BU26" i="10"/>
  <c r="BS26" i="10"/>
  <c r="BP26" i="10"/>
  <c r="BN26" i="10"/>
  <c r="BM26" i="10"/>
  <c r="BL26" i="10"/>
  <c r="BK26" i="10"/>
  <c r="BJ26" i="10"/>
  <c r="BH26" i="10"/>
  <c r="BF26" i="10"/>
  <c r="BA26" i="10"/>
  <c r="AZ26" i="10"/>
  <c r="AY26" i="10"/>
  <c r="AR26" i="10"/>
  <c r="AQ26" i="10"/>
  <c r="AP26" i="10"/>
  <c r="R26" i="10"/>
  <c r="O26" i="10"/>
  <c r="A26" i="10"/>
  <c r="HK25" i="10"/>
  <c r="GY25" i="10"/>
  <c r="GX25" i="10"/>
  <c r="GW25" i="10"/>
  <c r="GV25" i="10"/>
  <c r="GL25" i="10"/>
  <c r="GJ25" i="10"/>
  <c r="GI25" i="10"/>
  <c r="GH25" i="10"/>
  <c r="GA25" i="10"/>
  <c r="FZ25" i="10"/>
  <c r="FY25" i="10"/>
  <c r="FH25" i="10"/>
  <c r="FG25" i="10"/>
  <c r="FD25" i="10"/>
  <c r="FB25" i="10"/>
  <c r="FA25" i="10"/>
  <c r="EZ25" i="10"/>
  <c r="EY25" i="10"/>
  <c r="EX25" i="10"/>
  <c r="EW25" i="10"/>
  <c r="EV25" i="10"/>
  <c r="EU25" i="10"/>
  <c r="ET25" i="10"/>
  <c r="ES25" i="10"/>
  <c r="EQ25" i="10"/>
  <c r="EP25" i="10"/>
  <c r="EO25" i="10"/>
  <c r="EN25" i="10"/>
  <c r="EM25" i="10"/>
  <c r="EL25" i="10"/>
  <c r="DY25" i="10"/>
  <c r="DM25" i="10"/>
  <c r="DL25" i="10"/>
  <c r="DK25" i="10"/>
  <c r="DJ25" i="10"/>
  <c r="CZ25" i="10"/>
  <c r="CX25" i="10"/>
  <c r="CW25" i="10"/>
  <c r="CV25" i="10"/>
  <c r="CO25" i="10"/>
  <c r="CN25" i="10"/>
  <c r="CM25" i="10"/>
  <c r="BU25" i="10"/>
  <c r="BS25" i="10"/>
  <c r="BP25" i="10"/>
  <c r="BN25" i="10"/>
  <c r="BM25" i="10"/>
  <c r="BL25" i="10"/>
  <c r="BK25" i="10"/>
  <c r="BJ25" i="10"/>
  <c r="BH25" i="10"/>
  <c r="BF25" i="10"/>
  <c r="BA25" i="10"/>
  <c r="AZ25" i="10"/>
  <c r="AY25" i="10"/>
  <c r="AR25" i="10"/>
  <c r="AQ25" i="10"/>
  <c r="AP25" i="10"/>
  <c r="R25" i="10"/>
  <c r="O25" i="10"/>
  <c r="A25" i="10"/>
  <c r="HK24" i="10"/>
  <c r="GY24" i="10"/>
  <c r="GX24" i="10"/>
  <c r="GW24" i="10"/>
  <c r="GV24" i="10"/>
  <c r="GL24" i="10"/>
  <c r="GJ24" i="10"/>
  <c r="GI24" i="10"/>
  <c r="GH24" i="10"/>
  <c r="GA24" i="10"/>
  <c r="FZ24" i="10"/>
  <c r="FY24" i="10"/>
  <c r="FH24" i="10"/>
  <c r="FG24" i="10"/>
  <c r="FD24" i="10"/>
  <c r="FB24" i="10"/>
  <c r="FA24" i="10"/>
  <c r="EZ24" i="10"/>
  <c r="EY24" i="10"/>
  <c r="EX24" i="10"/>
  <c r="EW24" i="10"/>
  <c r="EV24" i="10"/>
  <c r="EU24" i="10"/>
  <c r="ET24" i="10"/>
  <c r="ES24" i="10"/>
  <c r="EQ24" i="10"/>
  <c r="EP24" i="10"/>
  <c r="EO24" i="10"/>
  <c r="EN24" i="10"/>
  <c r="EM24" i="10"/>
  <c r="EL24" i="10"/>
  <c r="DY24" i="10"/>
  <c r="DM24" i="10"/>
  <c r="DL24" i="10"/>
  <c r="DK24" i="10"/>
  <c r="DJ24" i="10"/>
  <c r="CZ24" i="10"/>
  <c r="CX24" i="10"/>
  <c r="CW24" i="10"/>
  <c r="CV24" i="10"/>
  <c r="CO24" i="10"/>
  <c r="CN24" i="10"/>
  <c r="CM24" i="10"/>
  <c r="BU24" i="10"/>
  <c r="BS24" i="10"/>
  <c r="BP24" i="10"/>
  <c r="BN24" i="10"/>
  <c r="BM24" i="10"/>
  <c r="BL24" i="10"/>
  <c r="BK24" i="10"/>
  <c r="BJ24" i="10"/>
  <c r="BH24" i="10"/>
  <c r="BF24" i="10"/>
  <c r="BA24" i="10"/>
  <c r="AZ24" i="10"/>
  <c r="AY24" i="10"/>
  <c r="AR24" i="10"/>
  <c r="AQ24" i="10"/>
  <c r="AP24" i="10"/>
  <c r="R24" i="10"/>
  <c r="O24" i="10"/>
  <c r="A24" i="10"/>
  <c r="HK23" i="10"/>
  <c r="GY23" i="10"/>
  <c r="GX23" i="10"/>
  <c r="GW23" i="10"/>
  <c r="GV23" i="10"/>
  <c r="GL23" i="10"/>
  <c r="GJ23" i="10"/>
  <c r="GI23" i="10"/>
  <c r="GH23" i="10"/>
  <c r="GA23" i="10"/>
  <c r="FZ23" i="10"/>
  <c r="FY23" i="10"/>
  <c r="FH23" i="10"/>
  <c r="FG23" i="10"/>
  <c r="FD23" i="10"/>
  <c r="FB23" i="10"/>
  <c r="FA23" i="10"/>
  <c r="EZ23" i="10"/>
  <c r="EY23" i="10"/>
  <c r="EX23" i="10"/>
  <c r="EW23" i="10"/>
  <c r="EV23" i="10"/>
  <c r="EU23" i="10"/>
  <c r="ET23" i="10"/>
  <c r="ES23" i="10"/>
  <c r="EQ23" i="10"/>
  <c r="EP23" i="10"/>
  <c r="EO23" i="10"/>
  <c r="EN23" i="10"/>
  <c r="EM23" i="10"/>
  <c r="EL23" i="10"/>
  <c r="DY23" i="10"/>
  <c r="DM23" i="10"/>
  <c r="DL23" i="10"/>
  <c r="DK23" i="10"/>
  <c r="DJ23" i="10"/>
  <c r="CZ23" i="10"/>
  <c r="CX23" i="10"/>
  <c r="CW23" i="10"/>
  <c r="CV23" i="10"/>
  <c r="CO23" i="10"/>
  <c r="CN23" i="10"/>
  <c r="CM23" i="10"/>
  <c r="BU23" i="10"/>
  <c r="BS23" i="10"/>
  <c r="BP23" i="10"/>
  <c r="BN23" i="10"/>
  <c r="BM23" i="10"/>
  <c r="BL23" i="10"/>
  <c r="BK23" i="10"/>
  <c r="BJ23" i="10"/>
  <c r="BH23" i="10"/>
  <c r="BF23" i="10"/>
  <c r="BA23" i="10"/>
  <c r="AZ23" i="10"/>
  <c r="AY23" i="10"/>
  <c r="AR23" i="10"/>
  <c r="AQ23" i="10"/>
  <c r="AP23" i="10"/>
  <c r="R23" i="10"/>
  <c r="O23" i="10"/>
  <c r="A23" i="10"/>
  <c r="HK22" i="10"/>
  <c r="GY22" i="10"/>
  <c r="GX22" i="10"/>
  <c r="GW22" i="10"/>
  <c r="GV22" i="10"/>
  <c r="GL22" i="10"/>
  <c r="GJ22" i="10"/>
  <c r="GI22" i="10"/>
  <c r="GH22" i="10"/>
  <c r="GA22" i="10"/>
  <c r="FZ22" i="10"/>
  <c r="FY22" i="10"/>
  <c r="FH22" i="10"/>
  <c r="FG22" i="10"/>
  <c r="FD22" i="10"/>
  <c r="FB22" i="10"/>
  <c r="FA22" i="10"/>
  <c r="EZ22" i="10"/>
  <c r="EY22" i="10"/>
  <c r="EX22" i="10"/>
  <c r="EW22" i="10"/>
  <c r="EV22" i="10"/>
  <c r="EU22" i="10"/>
  <c r="ET22" i="10"/>
  <c r="ES22" i="10"/>
  <c r="EQ22" i="10"/>
  <c r="EP22" i="10"/>
  <c r="EO22" i="10"/>
  <c r="EN22" i="10"/>
  <c r="EM22" i="10"/>
  <c r="EL22" i="10"/>
  <c r="DY22" i="10"/>
  <c r="DM22" i="10"/>
  <c r="DL22" i="10"/>
  <c r="DK22" i="10"/>
  <c r="DJ22" i="10"/>
  <c r="CZ22" i="10"/>
  <c r="CX22" i="10"/>
  <c r="CW22" i="10"/>
  <c r="CV22" i="10"/>
  <c r="CO22" i="10"/>
  <c r="CN22" i="10"/>
  <c r="CM22" i="10"/>
  <c r="BU22" i="10"/>
  <c r="BS22" i="10"/>
  <c r="BP22" i="10"/>
  <c r="BN22" i="10"/>
  <c r="BM22" i="10"/>
  <c r="BL22" i="10"/>
  <c r="BK22" i="10"/>
  <c r="BJ22" i="10"/>
  <c r="BH22" i="10"/>
  <c r="BF22" i="10"/>
  <c r="BA22" i="10"/>
  <c r="AY22" i="10"/>
  <c r="AR22" i="10"/>
  <c r="R22" i="10"/>
  <c r="O22" i="10"/>
  <c r="A22" i="10"/>
  <c r="HK21" i="10"/>
  <c r="GY21" i="10"/>
  <c r="GX21" i="10"/>
  <c r="GW21" i="10"/>
  <c r="GV21" i="10"/>
  <c r="GL21" i="10"/>
  <c r="GJ21" i="10"/>
  <c r="GI21" i="10"/>
  <c r="GH21" i="10"/>
  <c r="GA21" i="10"/>
  <c r="FZ21" i="10"/>
  <c r="FY21" i="10"/>
  <c r="FH21" i="10"/>
  <c r="FG21" i="10"/>
  <c r="FD21" i="10"/>
  <c r="FB21" i="10"/>
  <c r="FA21" i="10"/>
  <c r="EZ21" i="10"/>
  <c r="EY21" i="10"/>
  <c r="EX21" i="10"/>
  <c r="EW21" i="10"/>
  <c r="EV21" i="10"/>
  <c r="EU21" i="10"/>
  <c r="ET21" i="10"/>
  <c r="ES21" i="10"/>
  <c r="EQ21" i="10"/>
  <c r="EP21" i="10"/>
  <c r="EO21" i="10"/>
  <c r="EN21" i="10"/>
  <c r="EM21" i="10"/>
  <c r="EL21" i="10"/>
  <c r="DY21" i="10"/>
  <c r="DM21" i="10"/>
  <c r="DL21" i="10"/>
  <c r="DK21" i="10"/>
  <c r="DJ21" i="10"/>
  <c r="CZ21" i="10"/>
  <c r="CX21" i="10"/>
  <c r="CW21" i="10"/>
  <c r="CV21" i="10"/>
  <c r="CO21" i="10"/>
  <c r="CN21" i="10"/>
  <c r="CM21" i="10"/>
  <c r="BU21" i="10"/>
  <c r="BS21" i="10"/>
  <c r="BP21" i="10"/>
  <c r="BN21" i="10"/>
  <c r="BM21" i="10"/>
  <c r="BL21" i="10"/>
  <c r="BK21" i="10"/>
  <c r="BJ21" i="10"/>
  <c r="BH21" i="10"/>
  <c r="BF21" i="10"/>
  <c r="BA21" i="10"/>
  <c r="AZ21" i="10"/>
  <c r="AY21" i="10"/>
  <c r="AR21" i="10"/>
  <c r="AQ21" i="10"/>
  <c r="AP21" i="10"/>
  <c r="R21" i="10"/>
  <c r="O21" i="10"/>
  <c r="A21" i="10"/>
  <c r="HK20" i="10"/>
  <c r="GY20" i="10"/>
  <c r="GX20" i="10"/>
  <c r="GW20" i="10"/>
  <c r="GV20" i="10"/>
  <c r="GL20" i="10"/>
  <c r="GJ20" i="10"/>
  <c r="GI20" i="10"/>
  <c r="GH20" i="10"/>
  <c r="GA20" i="10"/>
  <c r="FZ20" i="10"/>
  <c r="FY20" i="10"/>
  <c r="FH20" i="10"/>
  <c r="FG20" i="10"/>
  <c r="FD20" i="10"/>
  <c r="FB20" i="10"/>
  <c r="FA20" i="10"/>
  <c r="EZ20" i="10"/>
  <c r="EY20" i="10"/>
  <c r="EX20" i="10"/>
  <c r="EW20" i="10"/>
  <c r="EV20" i="10"/>
  <c r="EU20" i="10"/>
  <c r="ET20" i="10"/>
  <c r="ES20" i="10"/>
  <c r="EQ20" i="10"/>
  <c r="EP20" i="10"/>
  <c r="EO20" i="10"/>
  <c r="EN20" i="10"/>
  <c r="EM20" i="10"/>
  <c r="EL20" i="10"/>
  <c r="DY20" i="10"/>
  <c r="DM20" i="10"/>
  <c r="DL20" i="10"/>
  <c r="DK20" i="10"/>
  <c r="DJ20" i="10"/>
  <c r="CZ20" i="10"/>
  <c r="CX20" i="10"/>
  <c r="CW20" i="10"/>
  <c r="CV20" i="10"/>
  <c r="CO20" i="10"/>
  <c r="CN20" i="10"/>
  <c r="CM20" i="10"/>
  <c r="BU20" i="10"/>
  <c r="BS20" i="10"/>
  <c r="BP20" i="10"/>
  <c r="BN20" i="10"/>
  <c r="BM20" i="10"/>
  <c r="BL20" i="10"/>
  <c r="BK20" i="10"/>
  <c r="BJ20" i="10"/>
  <c r="BH20" i="10"/>
  <c r="BF20" i="10"/>
  <c r="BA20" i="10"/>
  <c r="AZ20" i="10"/>
  <c r="AY20" i="10"/>
  <c r="AR20" i="10"/>
  <c r="AQ20" i="10"/>
  <c r="AP20" i="10"/>
  <c r="R20" i="10"/>
  <c r="O20" i="10"/>
  <c r="A20" i="10"/>
  <c r="HK19" i="10"/>
  <c r="GY19" i="10"/>
  <c r="GX19" i="10"/>
  <c r="GW19" i="10"/>
  <c r="GV19" i="10"/>
  <c r="GL19" i="10"/>
  <c r="GJ19" i="10"/>
  <c r="GI19" i="10"/>
  <c r="GH19" i="10"/>
  <c r="GA19" i="10"/>
  <c r="FZ19" i="10"/>
  <c r="FY19" i="10"/>
  <c r="FH19" i="10"/>
  <c r="FG19" i="10"/>
  <c r="FD19" i="10"/>
  <c r="FB19" i="10"/>
  <c r="FA19" i="10"/>
  <c r="EZ19" i="10"/>
  <c r="EY19" i="10"/>
  <c r="EX19" i="10"/>
  <c r="EW19" i="10"/>
  <c r="EV19" i="10"/>
  <c r="EU19" i="10"/>
  <c r="ET19" i="10"/>
  <c r="ES19" i="10"/>
  <c r="EQ19" i="10"/>
  <c r="EP19" i="10"/>
  <c r="EO19" i="10"/>
  <c r="EN19" i="10"/>
  <c r="EM19" i="10"/>
  <c r="EL19" i="10"/>
  <c r="DY19" i="10"/>
  <c r="DM19" i="10"/>
  <c r="DL19" i="10"/>
  <c r="DK19" i="10"/>
  <c r="DJ19" i="10"/>
  <c r="CZ19" i="10"/>
  <c r="CX19" i="10"/>
  <c r="CW19" i="10"/>
  <c r="CV19" i="10"/>
  <c r="CO19" i="10"/>
  <c r="CN19" i="10"/>
  <c r="CM19" i="10"/>
  <c r="BU19" i="10"/>
  <c r="BS19" i="10"/>
  <c r="BP19" i="10"/>
  <c r="BN19" i="10"/>
  <c r="BM19" i="10"/>
  <c r="BL19" i="10"/>
  <c r="BK19" i="10"/>
  <c r="BJ19" i="10"/>
  <c r="BH19" i="10"/>
  <c r="BF19" i="10"/>
  <c r="BA19" i="10"/>
  <c r="AZ19" i="10"/>
  <c r="AY19" i="10"/>
  <c r="AR19" i="10"/>
  <c r="AQ19" i="10"/>
  <c r="AP19" i="10"/>
  <c r="R19" i="10"/>
  <c r="O19" i="10"/>
  <c r="A19" i="10"/>
  <c r="HK18" i="10"/>
  <c r="GY18" i="10"/>
  <c r="GX18" i="10"/>
  <c r="GW18" i="10"/>
  <c r="GV18" i="10"/>
  <c r="GL18" i="10"/>
  <c r="GJ18" i="10"/>
  <c r="GI18" i="10"/>
  <c r="GH18" i="10"/>
  <c r="GA18" i="10"/>
  <c r="FZ18" i="10"/>
  <c r="FY18" i="10"/>
  <c r="FH18" i="10"/>
  <c r="FG18" i="10"/>
  <c r="FD18" i="10"/>
  <c r="FB18" i="10"/>
  <c r="FA18" i="10"/>
  <c r="EZ18" i="10"/>
  <c r="EY18" i="10"/>
  <c r="EX18" i="10"/>
  <c r="EW18" i="10"/>
  <c r="EV18" i="10"/>
  <c r="EU18" i="10"/>
  <c r="ET18" i="10"/>
  <c r="ES18" i="10"/>
  <c r="EQ18" i="10"/>
  <c r="EP18" i="10"/>
  <c r="EO18" i="10"/>
  <c r="EN18" i="10"/>
  <c r="EM18" i="10"/>
  <c r="EL18" i="10"/>
  <c r="DY18" i="10"/>
  <c r="DM18" i="10"/>
  <c r="DL18" i="10"/>
  <c r="DK18" i="10"/>
  <c r="DJ18" i="10"/>
  <c r="CZ18" i="10"/>
  <c r="CX18" i="10"/>
  <c r="CW18" i="10"/>
  <c r="CV18" i="10"/>
  <c r="CO18" i="10"/>
  <c r="CN18" i="10"/>
  <c r="CM18" i="10"/>
  <c r="BU18" i="10"/>
  <c r="BS18" i="10"/>
  <c r="BP18" i="10"/>
  <c r="BN18" i="10"/>
  <c r="BM18" i="10"/>
  <c r="BL18" i="10"/>
  <c r="BK18" i="10"/>
  <c r="BJ18" i="10"/>
  <c r="BH18" i="10"/>
  <c r="BF18" i="10"/>
  <c r="BA18" i="10"/>
  <c r="AZ18" i="10"/>
  <c r="AY18" i="10"/>
  <c r="AR18" i="10"/>
  <c r="AQ18" i="10"/>
  <c r="AP18" i="10"/>
  <c r="R18" i="10"/>
  <c r="O18" i="10"/>
  <c r="A18" i="10"/>
  <c r="HK17" i="10"/>
  <c r="GY17" i="10"/>
  <c r="GX17" i="10"/>
  <c r="GW17" i="10"/>
  <c r="GV17" i="10"/>
  <c r="GL17" i="10"/>
  <c r="GJ17" i="10"/>
  <c r="GI17" i="10"/>
  <c r="GH17" i="10"/>
  <c r="GA17" i="10"/>
  <c r="FZ17" i="10"/>
  <c r="FY17" i="10"/>
  <c r="FH17" i="10"/>
  <c r="FG17" i="10"/>
  <c r="FD17" i="10"/>
  <c r="FB17" i="10"/>
  <c r="FA17" i="10"/>
  <c r="EZ17" i="10"/>
  <c r="EY17" i="10"/>
  <c r="EX17" i="10"/>
  <c r="EW17" i="10"/>
  <c r="EV17" i="10"/>
  <c r="EU17" i="10"/>
  <c r="ET17" i="10"/>
  <c r="ES17" i="10"/>
  <c r="EQ17" i="10"/>
  <c r="EP17" i="10"/>
  <c r="EO17" i="10"/>
  <c r="EN17" i="10"/>
  <c r="EM17" i="10"/>
  <c r="EL17" i="10"/>
  <c r="DY17" i="10"/>
  <c r="DM17" i="10"/>
  <c r="DL17" i="10"/>
  <c r="DK17" i="10"/>
  <c r="DJ17" i="10"/>
  <c r="CZ17" i="10"/>
  <c r="CX17" i="10"/>
  <c r="CW17" i="10"/>
  <c r="CV17" i="10"/>
  <c r="CO17" i="10"/>
  <c r="CN17" i="10"/>
  <c r="CM17" i="10"/>
  <c r="BU17" i="10"/>
  <c r="BS17" i="10"/>
  <c r="BP17" i="10"/>
  <c r="BN17" i="10"/>
  <c r="BM17" i="10"/>
  <c r="BL17" i="10"/>
  <c r="BK17" i="10"/>
  <c r="BJ17" i="10"/>
  <c r="BH17" i="10"/>
  <c r="BF17" i="10"/>
  <c r="BA17" i="10"/>
  <c r="AY17" i="10"/>
  <c r="AR17" i="10"/>
  <c r="R17" i="10"/>
  <c r="O17" i="10"/>
  <c r="A17" i="10"/>
  <c r="HK16" i="10"/>
  <c r="GY16" i="10"/>
  <c r="GX16" i="10"/>
  <c r="GW16" i="10"/>
  <c r="GV16" i="10"/>
  <c r="GL16" i="10"/>
  <c r="GJ16" i="10"/>
  <c r="GI16" i="10"/>
  <c r="GH16" i="10"/>
  <c r="GA16" i="10"/>
  <c r="FZ16" i="10"/>
  <c r="FY16" i="10"/>
  <c r="FH16" i="10"/>
  <c r="FG16" i="10"/>
  <c r="FD16" i="10"/>
  <c r="FB16" i="10"/>
  <c r="FA16" i="10"/>
  <c r="EZ16" i="10"/>
  <c r="EY16" i="10"/>
  <c r="EX16" i="10"/>
  <c r="EW16" i="10"/>
  <c r="EV16" i="10"/>
  <c r="EU16" i="10"/>
  <c r="ET16" i="10"/>
  <c r="ES16" i="10"/>
  <c r="EQ16" i="10"/>
  <c r="EP16" i="10"/>
  <c r="EO16" i="10"/>
  <c r="EN16" i="10"/>
  <c r="EM16" i="10"/>
  <c r="EL16" i="10"/>
  <c r="DY16" i="10"/>
  <c r="DM16" i="10"/>
  <c r="DL16" i="10"/>
  <c r="DK16" i="10"/>
  <c r="DJ16" i="10"/>
  <c r="CZ16" i="10"/>
  <c r="CX16" i="10"/>
  <c r="CW16" i="10"/>
  <c r="CV16" i="10"/>
  <c r="CO16" i="10"/>
  <c r="CN16" i="10"/>
  <c r="CM16" i="10"/>
  <c r="BU16" i="10"/>
  <c r="BS16" i="10"/>
  <c r="BP16" i="10"/>
  <c r="BN16" i="10"/>
  <c r="BM16" i="10"/>
  <c r="BL16" i="10"/>
  <c r="BK16" i="10"/>
  <c r="BJ16" i="10"/>
  <c r="BH16" i="10"/>
  <c r="BF16" i="10"/>
  <c r="BA16" i="10"/>
  <c r="AZ16" i="10"/>
  <c r="AY16" i="10"/>
  <c r="AR16" i="10"/>
  <c r="AQ16" i="10"/>
  <c r="AP16" i="10"/>
  <c r="R16" i="10"/>
  <c r="O16" i="10"/>
  <c r="A16" i="10"/>
  <c r="HK15" i="10"/>
  <c r="GY15" i="10"/>
  <c r="GX15" i="10"/>
  <c r="GW15" i="10"/>
  <c r="GV15" i="10"/>
  <c r="GL15" i="10"/>
  <c r="GJ15" i="10"/>
  <c r="GI15" i="10"/>
  <c r="GH15" i="10"/>
  <c r="GA15" i="10"/>
  <c r="FZ15" i="10"/>
  <c r="FY15" i="10"/>
  <c r="FH15" i="10"/>
  <c r="FG15" i="10"/>
  <c r="FD15" i="10"/>
  <c r="FB15" i="10"/>
  <c r="FA15" i="10"/>
  <c r="EZ15" i="10"/>
  <c r="EY15" i="10"/>
  <c r="EX15" i="10"/>
  <c r="EW15" i="10"/>
  <c r="EV15" i="10"/>
  <c r="EU15" i="10"/>
  <c r="ET15" i="10"/>
  <c r="ES15" i="10"/>
  <c r="EQ15" i="10"/>
  <c r="EP15" i="10"/>
  <c r="EO15" i="10"/>
  <c r="EN15" i="10"/>
  <c r="EM15" i="10"/>
  <c r="EL15" i="10"/>
  <c r="DY15" i="10"/>
  <c r="DM15" i="10"/>
  <c r="DL15" i="10"/>
  <c r="DK15" i="10"/>
  <c r="DJ15" i="10"/>
  <c r="CZ15" i="10"/>
  <c r="CX15" i="10"/>
  <c r="CW15" i="10"/>
  <c r="CV15" i="10"/>
  <c r="CO15" i="10"/>
  <c r="CN15" i="10"/>
  <c r="CM15" i="10"/>
  <c r="BU15" i="10"/>
  <c r="BS15" i="10"/>
  <c r="BP15" i="10"/>
  <c r="BN15" i="10"/>
  <c r="BM15" i="10"/>
  <c r="BL15" i="10"/>
  <c r="BK15" i="10"/>
  <c r="BJ15" i="10"/>
  <c r="BH15" i="10"/>
  <c r="BF15" i="10"/>
  <c r="BA15" i="10"/>
  <c r="AZ15" i="10"/>
  <c r="AY15" i="10"/>
  <c r="AR15" i="10"/>
  <c r="AQ15" i="10"/>
  <c r="AP15" i="10"/>
  <c r="R15" i="10"/>
  <c r="O15" i="10"/>
  <c r="A15" i="10"/>
  <c r="HK14" i="10"/>
  <c r="GY14" i="10"/>
  <c r="GX14" i="10"/>
  <c r="GW14" i="10"/>
  <c r="GV14" i="10"/>
  <c r="GL14" i="10"/>
  <c r="GJ14" i="10"/>
  <c r="GI14" i="10"/>
  <c r="GH14" i="10"/>
  <c r="GA14" i="10"/>
  <c r="FZ14" i="10"/>
  <c r="FY14" i="10"/>
  <c r="FH14" i="10"/>
  <c r="FG14" i="10"/>
  <c r="FD14" i="10"/>
  <c r="FB14" i="10"/>
  <c r="FA14" i="10"/>
  <c r="EZ14" i="10"/>
  <c r="EY14" i="10"/>
  <c r="EX14" i="10"/>
  <c r="EW14" i="10"/>
  <c r="EV14" i="10"/>
  <c r="EU14" i="10"/>
  <c r="ET14" i="10"/>
  <c r="ES14" i="10"/>
  <c r="EQ14" i="10"/>
  <c r="EP14" i="10"/>
  <c r="EO14" i="10"/>
  <c r="EN14" i="10"/>
  <c r="EM14" i="10"/>
  <c r="EL14" i="10"/>
  <c r="DY14" i="10"/>
  <c r="DM14" i="10"/>
  <c r="DL14" i="10"/>
  <c r="DK14" i="10"/>
  <c r="DJ14" i="10"/>
  <c r="CZ14" i="10"/>
  <c r="CX14" i="10"/>
  <c r="CW14" i="10"/>
  <c r="CV14" i="10"/>
  <c r="CO14" i="10"/>
  <c r="CN14" i="10"/>
  <c r="CM14" i="10"/>
  <c r="BU14" i="10"/>
  <c r="BS14" i="10"/>
  <c r="BP14" i="10"/>
  <c r="BN14" i="10"/>
  <c r="BM14" i="10"/>
  <c r="BL14" i="10"/>
  <c r="BK14" i="10"/>
  <c r="BJ14" i="10"/>
  <c r="BH14" i="10"/>
  <c r="BF14" i="10"/>
  <c r="BA14" i="10"/>
  <c r="AZ14" i="10"/>
  <c r="AY14" i="10"/>
  <c r="AR14" i="10"/>
  <c r="AQ14" i="10"/>
  <c r="AP14" i="10"/>
  <c r="R14" i="10"/>
  <c r="O14" i="10"/>
  <c r="A14" i="10"/>
  <c r="HK13" i="10"/>
  <c r="GY13" i="10"/>
  <c r="GX13" i="10"/>
  <c r="GW13" i="10"/>
  <c r="GV13" i="10"/>
  <c r="GL13" i="10"/>
  <c r="GJ13" i="10"/>
  <c r="GI13" i="10"/>
  <c r="GH13" i="10"/>
  <c r="GA13" i="10"/>
  <c r="FZ13" i="10"/>
  <c r="FY13" i="10"/>
  <c r="FH13" i="10"/>
  <c r="FG13" i="10"/>
  <c r="FD13" i="10"/>
  <c r="FB13" i="10"/>
  <c r="FA13" i="10"/>
  <c r="EZ13" i="10"/>
  <c r="EY13" i="10"/>
  <c r="EX13" i="10"/>
  <c r="EW13" i="10"/>
  <c r="EV13" i="10"/>
  <c r="EU13" i="10"/>
  <c r="ET13" i="10"/>
  <c r="ES13" i="10"/>
  <c r="EQ13" i="10"/>
  <c r="EP13" i="10"/>
  <c r="EO13" i="10"/>
  <c r="EN13" i="10"/>
  <c r="EM13" i="10"/>
  <c r="EL13" i="10"/>
  <c r="DY13" i="10"/>
  <c r="DM13" i="10"/>
  <c r="DL13" i="10"/>
  <c r="DK13" i="10"/>
  <c r="DJ13" i="10"/>
  <c r="CZ13" i="10"/>
  <c r="CX13" i="10"/>
  <c r="CW13" i="10"/>
  <c r="CV13" i="10"/>
  <c r="CO13" i="10"/>
  <c r="CN13" i="10"/>
  <c r="CM13" i="10"/>
  <c r="BU13" i="10"/>
  <c r="BS13" i="10"/>
  <c r="BP13" i="10"/>
  <c r="BN13" i="10"/>
  <c r="BM13" i="10"/>
  <c r="BL13" i="10"/>
  <c r="BK13" i="10"/>
  <c r="BJ13" i="10"/>
  <c r="BH13" i="10"/>
  <c r="BF13" i="10"/>
  <c r="BA13" i="10"/>
  <c r="AZ13" i="10"/>
  <c r="AY13" i="10"/>
  <c r="AR13" i="10"/>
  <c r="AQ13" i="10"/>
  <c r="AP13" i="10"/>
  <c r="R13" i="10"/>
  <c r="O13" i="10"/>
  <c r="A13" i="10"/>
  <c r="GY12" i="10"/>
  <c r="GX12" i="10"/>
  <c r="GW12" i="10"/>
  <c r="GV12" i="10"/>
  <c r="GL12" i="10"/>
  <c r="GJ12" i="10"/>
  <c r="GI12" i="10"/>
  <c r="GH12" i="10"/>
  <c r="GA12" i="10"/>
  <c r="FZ12" i="10"/>
  <c r="FY12" i="10"/>
  <c r="FH12" i="10"/>
  <c r="FG12" i="10"/>
  <c r="FD12" i="10"/>
  <c r="FB12" i="10"/>
  <c r="FA12" i="10"/>
  <c r="EZ12" i="10"/>
  <c r="EY12" i="10"/>
  <c r="EX12" i="10"/>
  <c r="EW12" i="10"/>
  <c r="EV12" i="10"/>
  <c r="EU12" i="10"/>
  <c r="ET12" i="10"/>
  <c r="ES12" i="10"/>
  <c r="EQ12" i="10"/>
  <c r="EP12" i="10"/>
  <c r="EO12" i="10"/>
  <c r="EN12" i="10"/>
  <c r="EM12" i="10"/>
  <c r="EL12" i="10"/>
  <c r="DY12" i="10"/>
  <c r="DM12" i="10"/>
  <c r="DL12" i="10"/>
  <c r="DK12" i="10"/>
  <c r="DJ12" i="10"/>
  <c r="CZ12" i="10"/>
  <c r="CX12" i="10"/>
  <c r="CW12" i="10"/>
  <c r="CV12" i="10"/>
  <c r="CO12" i="10"/>
  <c r="CN12" i="10"/>
  <c r="CM12" i="10"/>
  <c r="BU12" i="10"/>
  <c r="BS12" i="10"/>
  <c r="BP12" i="10"/>
  <c r="BN12" i="10"/>
  <c r="BM12" i="10"/>
  <c r="BL12" i="10"/>
  <c r="BK12" i="10"/>
  <c r="BJ12" i="10"/>
  <c r="BH12" i="10"/>
  <c r="BF12" i="10"/>
  <c r="BA12" i="10"/>
  <c r="AY12" i="10"/>
  <c r="AR12" i="10"/>
  <c r="R12" i="10"/>
  <c r="O12" i="10"/>
  <c r="A12" i="10"/>
  <c r="GY11" i="10"/>
  <c r="GX11" i="10"/>
  <c r="GW11" i="10"/>
  <c r="GV11" i="10"/>
  <c r="GJ11" i="10"/>
  <c r="GI11" i="10"/>
  <c r="GH11" i="10"/>
  <c r="GA11" i="10"/>
  <c r="FZ11" i="10"/>
  <c r="FY11" i="10"/>
  <c r="FH11" i="10"/>
  <c r="FG11" i="10"/>
  <c r="FD11" i="10"/>
  <c r="FB11" i="10"/>
  <c r="FA11" i="10"/>
  <c r="EZ11" i="10"/>
  <c r="EY11" i="10"/>
  <c r="EX11" i="10"/>
  <c r="EW11" i="10"/>
  <c r="EV11" i="10"/>
  <c r="EU11" i="10"/>
  <c r="ET11" i="10"/>
  <c r="ES11" i="10"/>
  <c r="EQ11" i="10"/>
  <c r="EP11" i="10"/>
  <c r="EO11" i="10"/>
  <c r="EN11" i="10"/>
  <c r="EM11" i="10"/>
  <c r="EL11" i="10"/>
  <c r="DY11" i="10"/>
  <c r="DM11" i="10"/>
  <c r="DL11" i="10"/>
  <c r="DK11" i="10"/>
  <c r="DJ11" i="10"/>
  <c r="CX11" i="10"/>
  <c r="CW11" i="10"/>
  <c r="CV11" i="10"/>
  <c r="CO11" i="10"/>
  <c r="CN11" i="10"/>
  <c r="CM11" i="10"/>
  <c r="BU11" i="10"/>
  <c r="BS11" i="10"/>
  <c r="BP11" i="10"/>
  <c r="BN11" i="10"/>
  <c r="BM11" i="10"/>
  <c r="BL11" i="10"/>
  <c r="BK11" i="10"/>
  <c r="BJ11" i="10"/>
  <c r="BH11" i="10"/>
  <c r="BF11" i="10"/>
  <c r="BA11" i="10"/>
  <c r="AZ11" i="10"/>
  <c r="AY11" i="10"/>
  <c r="AR11" i="10"/>
  <c r="AQ11" i="10"/>
  <c r="AP11" i="10"/>
  <c r="R11" i="10"/>
  <c r="O11" i="10"/>
  <c r="A11" i="10"/>
  <c r="GY10" i="10"/>
  <c r="GX10" i="10"/>
  <c r="GW10" i="10"/>
  <c r="GV10" i="10"/>
  <c r="GJ10" i="10"/>
  <c r="GI10" i="10"/>
  <c r="GH10" i="10"/>
  <c r="GA10" i="10"/>
  <c r="FZ10" i="10"/>
  <c r="FY10" i="10"/>
  <c r="FH10" i="10"/>
  <c r="FG10" i="10"/>
  <c r="FD10" i="10"/>
  <c r="FB10" i="10"/>
  <c r="FA10" i="10"/>
  <c r="EZ10" i="10"/>
  <c r="EY10" i="10"/>
  <c r="EX10" i="10"/>
  <c r="EW10" i="10"/>
  <c r="EV10" i="10"/>
  <c r="EU10" i="10"/>
  <c r="ET10" i="10"/>
  <c r="ES10" i="10"/>
  <c r="EQ10" i="10"/>
  <c r="EP10" i="10"/>
  <c r="EO10" i="10"/>
  <c r="EN10" i="10"/>
  <c r="EM10" i="10"/>
  <c r="EL10" i="10"/>
  <c r="DY10" i="10"/>
  <c r="DM10" i="10"/>
  <c r="DL10" i="10"/>
  <c r="DK10" i="10"/>
  <c r="DJ10" i="10"/>
  <c r="CX10" i="10"/>
  <c r="CW10" i="10"/>
  <c r="CV10" i="10"/>
  <c r="CO10" i="10"/>
  <c r="CN10" i="10"/>
  <c r="CM10" i="10"/>
  <c r="BS10" i="10"/>
  <c r="BP10" i="10"/>
  <c r="BN10" i="10"/>
  <c r="BM10" i="10"/>
  <c r="BL10" i="10"/>
  <c r="BK10" i="10"/>
  <c r="BJ10" i="10"/>
  <c r="BH10" i="10"/>
  <c r="BF10" i="10"/>
  <c r="BA10" i="10"/>
  <c r="AZ10" i="10"/>
  <c r="AY10" i="10"/>
  <c r="AR10" i="10"/>
  <c r="AQ10" i="10"/>
  <c r="AP10" i="10"/>
  <c r="R10" i="10"/>
  <c r="O10" i="10"/>
  <c r="A10" i="10"/>
  <c r="GY9" i="10"/>
  <c r="GX9" i="10"/>
  <c r="GW9" i="10"/>
  <c r="GV9" i="10"/>
  <c r="GJ9" i="10"/>
  <c r="GI9" i="10"/>
  <c r="GH9" i="10"/>
  <c r="GA9" i="10"/>
  <c r="FZ9" i="10"/>
  <c r="FY9" i="10"/>
  <c r="FH9" i="10"/>
  <c r="FG9" i="10"/>
  <c r="FD9" i="10"/>
  <c r="FB9" i="10"/>
  <c r="FA9" i="10"/>
  <c r="EZ9" i="10"/>
  <c r="EY9" i="10"/>
  <c r="EX9" i="10"/>
  <c r="EW9" i="10"/>
  <c r="EV9" i="10"/>
  <c r="EU9" i="10"/>
  <c r="ET9" i="10"/>
  <c r="ES9" i="10"/>
  <c r="EQ9" i="10"/>
  <c r="EP9" i="10"/>
  <c r="EO9" i="10"/>
  <c r="EN9" i="10"/>
  <c r="EM9" i="10"/>
  <c r="EL9" i="10"/>
  <c r="DY9" i="10"/>
  <c r="DM9" i="10"/>
  <c r="DL9" i="10"/>
  <c r="DK9" i="10"/>
  <c r="DJ9" i="10"/>
  <c r="CX9" i="10"/>
  <c r="CW9" i="10"/>
  <c r="CV9" i="10"/>
  <c r="CO9" i="10"/>
  <c r="CN9" i="10"/>
  <c r="CM9" i="10"/>
  <c r="BS9" i="10"/>
  <c r="BP9" i="10"/>
  <c r="BN9" i="10"/>
  <c r="BM9" i="10"/>
  <c r="BL9" i="10"/>
  <c r="BK9" i="10"/>
  <c r="BJ9" i="10"/>
  <c r="BH9" i="10"/>
  <c r="BF9" i="10"/>
  <c r="BA9" i="10"/>
  <c r="AZ9" i="10"/>
  <c r="AY9" i="10"/>
  <c r="AR9" i="10"/>
  <c r="AQ9" i="10"/>
  <c r="AP9" i="10"/>
  <c r="R9" i="10"/>
  <c r="O9" i="10"/>
  <c r="A9" i="10"/>
  <c r="GY8" i="10"/>
  <c r="GX8" i="10"/>
  <c r="GW8" i="10"/>
  <c r="GV8" i="10"/>
  <c r="GJ8" i="10"/>
  <c r="GI8" i="10"/>
  <c r="GH8" i="10"/>
  <c r="GA8" i="10"/>
  <c r="FZ8" i="10"/>
  <c r="FY8" i="10"/>
  <c r="FH8" i="10"/>
  <c r="FG8" i="10"/>
  <c r="FD8" i="10"/>
  <c r="FB8" i="10"/>
  <c r="FA8" i="10"/>
  <c r="EZ8" i="10"/>
  <c r="EY8" i="10"/>
  <c r="EX8" i="10"/>
  <c r="EW8" i="10"/>
  <c r="EV8" i="10"/>
  <c r="EU8" i="10"/>
  <c r="ET8" i="10"/>
  <c r="ES8" i="10"/>
  <c r="EQ8" i="10"/>
  <c r="EP8" i="10"/>
  <c r="EO8" i="10"/>
  <c r="EN8" i="10"/>
  <c r="EM8" i="10"/>
  <c r="EL8" i="10"/>
  <c r="DY8" i="10"/>
  <c r="DM8" i="10"/>
  <c r="DL8" i="10"/>
  <c r="DK8" i="10"/>
  <c r="DJ8" i="10"/>
  <c r="CX8" i="10"/>
  <c r="CW8" i="10"/>
  <c r="CV8" i="10"/>
  <c r="CO8" i="10"/>
  <c r="CN8" i="10"/>
  <c r="CM8" i="10"/>
  <c r="BS8" i="10"/>
  <c r="BP8" i="10"/>
  <c r="BN8" i="10"/>
  <c r="BM8" i="10"/>
  <c r="BL8" i="10"/>
  <c r="BK8" i="10"/>
  <c r="BJ8" i="10"/>
  <c r="BH8" i="10"/>
  <c r="BF8" i="10"/>
  <c r="BA8" i="10"/>
  <c r="AZ8" i="10"/>
  <c r="AY8" i="10"/>
  <c r="AR8" i="10"/>
  <c r="AQ8" i="10"/>
  <c r="AP8" i="10"/>
  <c r="R8" i="10"/>
  <c r="O8" i="10"/>
  <c r="A8" i="10"/>
  <c r="GY7" i="10"/>
  <c r="GX7" i="10"/>
  <c r="GW7" i="10"/>
  <c r="GV7" i="10"/>
  <c r="GJ7" i="10"/>
  <c r="GI7" i="10"/>
  <c r="GH7" i="10"/>
  <c r="GA7" i="10"/>
  <c r="FZ7" i="10"/>
  <c r="FY7" i="10"/>
  <c r="FH7" i="10"/>
  <c r="FG7" i="10"/>
  <c r="FD7" i="10"/>
  <c r="FB7" i="10"/>
  <c r="FA7" i="10"/>
  <c r="EZ7" i="10"/>
  <c r="EY7" i="10"/>
  <c r="EX7" i="10"/>
  <c r="EW7" i="10"/>
  <c r="EV7" i="10"/>
  <c r="EU7" i="10"/>
  <c r="ET7" i="10"/>
  <c r="ES7" i="10"/>
  <c r="EQ7" i="10"/>
  <c r="EP7" i="10"/>
  <c r="EO7" i="10"/>
  <c r="EN7" i="10"/>
  <c r="EM7" i="10"/>
  <c r="EL7" i="10"/>
  <c r="DY7" i="10"/>
  <c r="DM7" i="10"/>
  <c r="DL7" i="10"/>
  <c r="DK7" i="10"/>
  <c r="DJ7" i="10"/>
  <c r="CX7" i="10"/>
  <c r="CW7" i="10"/>
  <c r="CV7" i="10"/>
  <c r="CO7" i="10"/>
  <c r="CN7" i="10"/>
  <c r="CM7" i="10"/>
  <c r="BS7" i="10"/>
  <c r="BP7" i="10"/>
  <c r="BN7" i="10"/>
  <c r="BM7" i="10"/>
  <c r="BL7" i="10"/>
  <c r="BK7" i="10"/>
  <c r="BJ7" i="10"/>
  <c r="BH7" i="10"/>
  <c r="BF7" i="10"/>
  <c r="BA7" i="10"/>
  <c r="AY7" i="10"/>
  <c r="AR7" i="10"/>
  <c r="R7" i="10"/>
  <c r="O7" i="10"/>
  <c r="A7" i="10"/>
  <c r="GY6" i="10"/>
  <c r="GX6" i="10"/>
  <c r="GW6" i="10"/>
  <c r="GV6" i="10"/>
  <c r="GJ6" i="10"/>
  <c r="GI6" i="10"/>
  <c r="GH6" i="10"/>
  <c r="GA6" i="10"/>
  <c r="FZ6" i="10"/>
  <c r="FY6" i="10"/>
  <c r="FH6" i="10"/>
  <c r="FG6" i="10"/>
  <c r="FD6" i="10"/>
  <c r="FB6" i="10"/>
  <c r="FA6" i="10"/>
  <c r="EZ6" i="10"/>
  <c r="EY6" i="10"/>
  <c r="EX6" i="10"/>
  <c r="EW6" i="10"/>
  <c r="EV6" i="10"/>
  <c r="EU6" i="10"/>
  <c r="ET6" i="10"/>
  <c r="ES6" i="10"/>
  <c r="EQ6" i="10"/>
  <c r="EP6" i="10"/>
  <c r="EO6" i="10"/>
  <c r="EN6" i="10"/>
  <c r="EM6" i="10"/>
  <c r="EL6" i="10"/>
  <c r="DY6" i="10"/>
  <c r="DM6" i="10"/>
  <c r="DL6" i="10"/>
  <c r="DK6" i="10"/>
  <c r="DJ6" i="10"/>
  <c r="CX6" i="10"/>
  <c r="CW6" i="10"/>
  <c r="CV6" i="10"/>
  <c r="CO6" i="10"/>
  <c r="CN6" i="10"/>
  <c r="CM6" i="10"/>
  <c r="BS6" i="10"/>
  <c r="BP6" i="10"/>
  <c r="BN6" i="10"/>
  <c r="BM6" i="10"/>
  <c r="BL6" i="10"/>
  <c r="BK6" i="10"/>
  <c r="BJ6" i="10"/>
  <c r="BH6" i="10"/>
  <c r="BF6" i="10"/>
  <c r="BA6" i="10"/>
  <c r="AZ6" i="10"/>
  <c r="AY6" i="10"/>
  <c r="AR6" i="10"/>
  <c r="AQ6" i="10"/>
  <c r="AP6" i="10"/>
  <c r="R6" i="10"/>
  <c r="O6" i="10"/>
  <c r="A6" i="10"/>
  <c r="GY5" i="10"/>
  <c r="GX5" i="10"/>
  <c r="GW5" i="10"/>
  <c r="GV5" i="10"/>
  <c r="GJ5" i="10"/>
  <c r="GI5" i="10"/>
  <c r="GH5" i="10"/>
  <c r="GA5" i="10"/>
  <c r="FZ5" i="10"/>
  <c r="FY5" i="10"/>
  <c r="FH5" i="10"/>
  <c r="FG5" i="10"/>
  <c r="FD5" i="10"/>
  <c r="FB5" i="10"/>
  <c r="FA5" i="10"/>
  <c r="EZ5" i="10"/>
  <c r="EY5" i="10"/>
  <c r="EX5" i="10"/>
  <c r="EW5" i="10"/>
  <c r="EV5" i="10"/>
  <c r="EU5" i="10"/>
  <c r="ET5" i="10"/>
  <c r="ES5" i="10"/>
  <c r="EQ5" i="10"/>
  <c r="EP5" i="10"/>
  <c r="EO5" i="10"/>
  <c r="EN5" i="10"/>
  <c r="EM5" i="10"/>
  <c r="EL5" i="10"/>
  <c r="DM5" i="10"/>
  <c r="DL5" i="10"/>
  <c r="DK5" i="10"/>
  <c r="DJ5" i="10"/>
  <c r="CX5" i="10"/>
  <c r="CW5" i="10"/>
  <c r="CV5" i="10"/>
  <c r="CO5" i="10"/>
  <c r="CN5" i="10"/>
  <c r="CM5" i="10"/>
  <c r="BS5" i="10"/>
  <c r="BP5" i="10"/>
  <c r="BN5" i="10"/>
  <c r="BM5" i="10"/>
  <c r="BL5" i="10"/>
  <c r="BK5" i="10"/>
  <c r="BJ5" i="10"/>
  <c r="BH5" i="10"/>
  <c r="BF5" i="10"/>
  <c r="BA5" i="10"/>
  <c r="AY5" i="10"/>
  <c r="AR5" i="10"/>
  <c r="S5" i="10"/>
  <c r="R5" i="10"/>
  <c r="O5" i="10"/>
  <c r="A5" i="10"/>
  <c r="GY4" i="10"/>
  <c r="GX4" i="10"/>
  <c r="GW4" i="10"/>
  <c r="GV4" i="10"/>
  <c r="GJ4" i="10"/>
  <c r="GI4" i="10"/>
  <c r="GH4" i="10"/>
  <c r="GA4" i="10"/>
  <c r="FZ4" i="10"/>
  <c r="FY4" i="10"/>
  <c r="FH4" i="10"/>
  <c r="FG4" i="10"/>
  <c r="FD4" i="10"/>
  <c r="FB4" i="10"/>
  <c r="FA4" i="10"/>
  <c r="EZ4" i="10"/>
  <c r="EY4" i="10"/>
  <c r="EX4" i="10"/>
  <c r="EW4" i="10"/>
  <c r="EV4" i="10"/>
  <c r="EU4" i="10"/>
  <c r="ET4" i="10"/>
  <c r="ES4" i="10"/>
  <c r="EQ4" i="10"/>
  <c r="EP4" i="10"/>
  <c r="EO4" i="10"/>
  <c r="EN4" i="10"/>
  <c r="EM4" i="10"/>
  <c r="EL4" i="10"/>
  <c r="DM4" i="10"/>
  <c r="DL4" i="10"/>
  <c r="DK4" i="10"/>
  <c r="DJ4" i="10"/>
  <c r="CX4" i="10"/>
  <c r="CW4" i="10"/>
  <c r="CV4" i="10"/>
  <c r="CO4" i="10"/>
  <c r="CN4" i="10"/>
  <c r="CM4" i="10"/>
  <c r="BS4" i="10"/>
  <c r="BP4" i="10"/>
  <c r="BN4" i="10"/>
  <c r="BM4" i="10"/>
  <c r="BL4" i="10"/>
  <c r="BK4" i="10"/>
  <c r="BJ4" i="10"/>
  <c r="BH4" i="10"/>
  <c r="BF4" i="10"/>
  <c r="BA4" i="10"/>
  <c r="AZ4" i="10"/>
  <c r="AY4" i="10"/>
  <c r="AR4" i="10"/>
  <c r="AQ4" i="10"/>
  <c r="AP4" i="10"/>
  <c r="R4" i="10"/>
  <c r="O4" i="10"/>
  <c r="A4" i="10"/>
  <c r="HI3" i="10"/>
  <c r="HI4" i="10" s="1"/>
  <c r="HI5" i="10" s="1"/>
  <c r="HI6" i="10" s="1"/>
  <c r="GY3" i="10"/>
  <c r="GX3" i="10"/>
  <c r="GW3" i="10"/>
  <c r="GV3" i="10"/>
  <c r="GJ3" i="10"/>
  <c r="GI3" i="10"/>
  <c r="GH3" i="10"/>
  <c r="GA3" i="10"/>
  <c r="FZ3" i="10"/>
  <c r="FY3" i="10"/>
  <c r="FH3" i="10"/>
  <c r="FG3" i="10"/>
  <c r="FD3" i="10"/>
  <c r="FB3" i="10"/>
  <c r="FA3" i="10"/>
  <c r="EZ3" i="10"/>
  <c r="EY3" i="10"/>
  <c r="EX3" i="10"/>
  <c r="EW3" i="10"/>
  <c r="EV3" i="10"/>
  <c r="EU3" i="10"/>
  <c r="ET3" i="10"/>
  <c r="ES3" i="10"/>
  <c r="EQ3" i="10"/>
  <c r="EP3" i="10"/>
  <c r="EO3" i="10"/>
  <c r="EN3" i="10"/>
  <c r="EM3" i="10"/>
  <c r="EL3" i="10"/>
  <c r="DM3" i="10"/>
  <c r="DL3" i="10"/>
  <c r="DK3" i="10"/>
  <c r="DJ3" i="10"/>
  <c r="CX3" i="10"/>
  <c r="CW3" i="10"/>
  <c r="CV3" i="10"/>
  <c r="CO3" i="10"/>
  <c r="CN3" i="10"/>
  <c r="CM3" i="10"/>
  <c r="BS3" i="10"/>
  <c r="BP3" i="10"/>
  <c r="BN3" i="10"/>
  <c r="BM3" i="10"/>
  <c r="BL3" i="10"/>
  <c r="BK3" i="10"/>
  <c r="BJ3" i="10"/>
  <c r="BI3" i="10" s="1"/>
  <c r="BH3" i="10"/>
  <c r="BF3" i="10"/>
  <c r="BA3" i="10"/>
  <c r="AZ3" i="10"/>
  <c r="AY3" i="10"/>
  <c r="AR3" i="10"/>
  <c r="AQ3" i="10"/>
  <c r="AP3" i="10"/>
  <c r="R3" i="10"/>
  <c r="O3" i="10"/>
  <c r="A3" i="10"/>
  <c r="HV2" i="10"/>
  <c r="HS3" i="10" s="1"/>
  <c r="HU2" i="10"/>
  <c r="HI2" i="10"/>
  <c r="GY2" i="10"/>
  <c r="GX2" i="10"/>
  <c r="GW2" i="10"/>
  <c r="GV2" i="10"/>
  <c r="GJ2" i="10"/>
  <c r="GH2" i="10"/>
  <c r="GA2" i="10"/>
  <c r="FT2" i="10"/>
  <c r="FQ3" i="10" s="1"/>
  <c r="FS2" i="10"/>
  <c r="FH2" i="10"/>
  <c r="FG2" i="10"/>
  <c r="FD2" i="10"/>
  <c r="FB2" i="10"/>
  <c r="FA2" i="10"/>
  <c r="EZ2" i="10"/>
  <c r="EY2" i="10"/>
  <c r="EX2" i="10"/>
  <c r="EW2" i="10"/>
  <c r="EV2" i="10"/>
  <c r="EU2" i="10"/>
  <c r="ET2" i="10"/>
  <c r="ES2" i="10"/>
  <c r="EQ2" i="10"/>
  <c r="EP2" i="10"/>
  <c r="EO2" i="10"/>
  <c r="EN2" i="10"/>
  <c r="EM2" i="10"/>
  <c r="EL2" i="10"/>
  <c r="EB2" i="10"/>
  <c r="DW2" i="10"/>
  <c r="DW3" i="10" s="1"/>
  <c r="DM2" i="10"/>
  <c r="DL2" i="10"/>
  <c r="DK2" i="10"/>
  <c r="DJ2" i="10"/>
  <c r="CX2" i="10"/>
  <c r="CV2" i="10"/>
  <c r="CO2" i="10"/>
  <c r="BS2" i="10"/>
  <c r="BP2" i="10"/>
  <c r="BN2" i="10"/>
  <c r="BM2" i="10"/>
  <c r="BL2" i="10"/>
  <c r="BI2" i="10" s="1"/>
  <c r="BK2" i="10"/>
  <c r="BJ2" i="10"/>
  <c r="BH2" i="10"/>
  <c r="BF2" i="10"/>
  <c r="BA2" i="10"/>
  <c r="AY2" i="10"/>
  <c r="AR2" i="10"/>
  <c r="AN2" i="10"/>
  <c r="X2" i="10"/>
  <c r="CI2" i="10" s="1"/>
  <c r="S2" i="10"/>
  <c r="S4" i="10" s="1"/>
  <c r="R2" i="10"/>
  <c r="O2" i="10"/>
  <c r="A2" i="10"/>
  <c r="HK52" i="9"/>
  <c r="GY52" i="9"/>
  <c r="GX52" i="9"/>
  <c r="GW52" i="9"/>
  <c r="GV52" i="9"/>
  <c r="GL52" i="9"/>
  <c r="GJ52" i="9"/>
  <c r="GI52" i="9"/>
  <c r="GH52" i="9"/>
  <c r="GA52" i="9"/>
  <c r="FZ52" i="9"/>
  <c r="FY52" i="9"/>
  <c r="FI52" i="9"/>
  <c r="FG52" i="9"/>
  <c r="FD52" i="9"/>
  <c r="FB52" i="9"/>
  <c r="FA52" i="9"/>
  <c r="EZ52" i="9"/>
  <c r="EY52" i="9"/>
  <c r="EX52" i="9"/>
  <c r="EV52" i="9"/>
  <c r="ET52" i="9"/>
  <c r="EQ52" i="9"/>
  <c r="EO52" i="9"/>
  <c r="EN52" i="9"/>
  <c r="EM52" i="9"/>
  <c r="DY52" i="9"/>
  <c r="DX52" i="9"/>
  <c r="DW52" i="9"/>
  <c r="DO52" i="9"/>
  <c r="DN52" i="9"/>
  <c r="DM52" i="9"/>
  <c r="DL52" i="9"/>
  <c r="DK52" i="9"/>
  <c r="DJ52" i="9"/>
  <c r="DI52" i="9"/>
  <c r="DH52" i="9"/>
  <c r="DF52" i="9"/>
  <c r="DC52" i="9"/>
  <c r="DB52" i="9"/>
  <c r="DQ52" i="9" s="1"/>
  <c r="CZ52" i="9"/>
  <c r="CY52" i="9"/>
  <c r="CX52" i="9"/>
  <c r="CW52" i="9"/>
  <c r="CV52" i="9"/>
  <c r="CU52" i="9"/>
  <c r="CT52" i="9"/>
  <c r="CS52" i="9"/>
  <c r="CR52" i="9"/>
  <c r="CQ52" i="9"/>
  <c r="CP52" i="9"/>
  <c r="CO52" i="9"/>
  <c r="CN52" i="9"/>
  <c r="CM52" i="9"/>
  <c r="CJ52" i="9"/>
  <c r="CI52" i="9"/>
  <c r="BU52" i="9"/>
  <c r="BS52" i="9"/>
  <c r="BP52" i="9"/>
  <c r="BN52" i="9"/>
  <c r="BM52" i="9"/>
  <c r="BL52" i="9"/>
  <c r="BK52" i="9"/>
  <c r="BJ52" i="9"/>
  <c r="BH52" i="9"/>
  <c r="BF52" i="9"/>
  <c r="BC52" i="9"/>
  <c r="BA52" i="9"/>
  <c r="AZ52" i="9"/>
  <c r="AY52" i="9"/>
  <c r="AR52" i="9"/>
  <c r="AQ52" i="9"/>
  <c r="AP52" i="9"/>
  <c r="R52" i="9"/>
  <c r="P52" i="9"/>
  <c r="O52" i="9"/>
  <c r="A52" i="9"/>
  <c r="HK51" i="9"/>
  <c r="GY51" i="9"/>
  <c r="GX51" i="9"/>
  <c r="GW51" i="9"/>
  <c r="GV51" i="9"/>
  <c r="GL51" i="9"/>
  <c r="GJ51" i="9"/>
  <c r="GI51" i="9"/>
  <c r="GH51" i="9"/>
  <c r="GA51" i="9"/>
  <c r="FZ51" i="9"/>
  <c r="FY51" i="9"/>
  <c r="FI51" i="9"/>
  <c r="FG51" i="9"/>
  <c r="FD51" i="9"/>
  <c r="FB51" i="9"/>
  <c r="FA51" i="9"/>
  <c r="EZ51" i="9"/>
  <c r="EY51" i="9"/>
  <c r="EX51" i="9"/>
  <c r="EV51" i="9"/>
  <c r="ET51" i="9"/>
  <c r="EQ51" i="9"/>
  <c r="EO51" i="9"/>
  <c r="EN51" i="9"/>
  <c r="EM51" i="9"/>
  <c r="DY51" i="9"/>
  <c r="DX51" i="9"/>
  <c r="DW51" i="9"/>
  <c r="DO51" i="9"/>
  <c r="DN51" i="9"/>
  <c r="DM51" i="9"/>
  <c r="DL51" i="9"/>
  <c r="DK51" i="9"/>
  <c r="DJ51" i="9"/>
  <c r="DI51" i="9"/>
  <c r="DH51" i="9"/>
  <c r="DF51" i="9"/>
  <c r="DC51" i="9"/>
  <c r="DB51" i="9"/>
  <c r="CZ51" i="9"/>
  <c r="CY51" i="9"/>
  <c r="CX51" i="9"/>
  <c r="CW51" i="9"/>
  <c r="CV51" i="9"/>
  <c r="CU51" i="9"/>
  <c r="CT51" i="9"/>
  <c r="CS51" i="9"/>
  <c r="CR51" i="9"/>
  <c r="CQ51" i="9"/>
  <c r="CP51" i="9"/>
  <c r="CO51" i="9"/>
  <c r="CN51" i="9"/>
  <c r="CM51" i="9"/>
  <c r="CJ51" i="9"/>
  <c r="CI51" i="9"/>
  <c r="BU51" i="9"/>
  <c r="BS51" i="9"/>
  <c r="BP51" i="9"/>
  <c r="BN51" i="9"/>
  <c r="BM51" i="9"/>
  <c r="BL51" i="9"/>
  <c r="BK51" i="9"/>
  <c r="BJ51" i="9"/>
  <c r="BH51" i="9"/>
  <c r="BF51" i="9"/>
  <c r="BC51" i="9"/>
  <c r="BA51" i="9"/>
  <c r="AZ51" i="9"/>
  <c r="AY51" i="9"/>
  <c r="AR51" i="9"/>
  <c r="AQ51" i="9"/>
  <c r="AP51" i="9"/>
  <c r="R51" i="9"/>
  <c r="P51" i="9"/>
  <c r="O51" i="9"/>
  <c r="A51" i="9"/>
  <c r="HK50" i="9"/>
  <c r="GY50" i="9"/>
  <c r="GX50" i="9"/>
  <c r="GW50" i="9"/>
  <c r="GV50" i="9"/>
  <c r="GL50" i="9"/>
  <c r="GJ50" i="9"/>
  <c r="GI50" i="9"/>
  <c r="GH50" i="9"/>
  <c r="GA50" i="9"/>
  <c r="FZ50" i="9"/>
  <c r="FY50" i="9"/>
  <c r="FI50" i="9"/>
  <c r="FG50" i="9"/>
  <c r="FD50" i="9"/>
  <c r="FB50" i="9"/>
  <c r="FA50" i="9"/>
  <c r="EZ50" i="9"/>
  <c r="EY50" i="9"/>
  <c r="EX50" i="9"/>
  <c r="EV50" i="9"/>
  <c r="ET50" i="9"/>
  <c r="EQ50" i="9"/>
  <c r="EO50" i="9"/>
  <c r="EN50" i="9"/>
  <c r="EM50" i="9"/>
  <c r="DY50" i="9"/>
  <c r="DX50" i="9"/>
  <c r="DW50" i="9"/>
  <c r="DO50" i="9"/>
  <c r="DN50" i="9"/>
  <c r="DM50" i="9"/>
  <c r="DL50" i="9"/>
  <c r="DK50" i="9"/>
  <c r="DJ50" i="9"/>
  <c r="DI50" i="9"/>
  <c r="DH50" i="9"/>
  <c r="DF50" i="9"/>
  <c r="DC50" i="9"/>
  <c r="DB50" i="9"/>
  <c r="CZ50" i="9"/>
  <c r="CY50" i="9"/>
  <c r="CX50" i="9"/>
  <c r="CW50" i="9"/>
  <c r="CV50" i="9"/>
  <c r="CU50" i="9"/>
  <c r="CT50" i="9"/>
  <c r="CS50" i="9"/>
  <c r="CR50" i="9"/>
  <c r="CQ50" i="9"/>
  <c r="CP50" i="9"/>
  <c r="CO50" i="9"/>
  <c r="CN50" i="9"/>
  <c r="CM50" i="9"/>
  <c r="CJ50" i="9"/>
  <c r="CI50" i="9"/>
  <c r="BU50" i="9"/>
  <c r="BS50" i="9"/>
  <c r="BP50" i="9"/>
  <c r="BN50" i="9"/>
  <c r="BM50" i="9"/>
  <c r="BL50" i="9"/>
  <c r="BK50" i="9"/>
  <c r="BJ50" i="9"/>
  <c r="BH50" i="9"/>
  <c r="BF50" i="9"/>
  <c r="BC50" i="9"/>
  <c r="BA50" i="9"/>
  <c r="AZ50" i="9"/>
  <c r="AY50" i="9"/>
  <c r="AR50" i="9"/>
  <c r="AQ50" i="9"/>
  <c r="AP50" i="9"/>
  <c r="R50" i="9"/>
  <c r="P50" i="9"/>
  <c r="O50" i="9"/>
  <c r="A50" i="9"/>
  <c r="HK49" i="9"/>
  <c r="GY49" i="9"/>
  <c r="GX49" i="9"/>
  <c r="GW49" i="9"/>
  <c r="GV49" i="9"/>
  <c r="GL49" i="9"/>
  <c r="GJ49" i="9"/>
  <c r="GI49" i="9"/>
  <c r="GH49" i="9"/>
  <c r="GA49" i="9"/>
  <c r="FZ49" i="9"/>
  <c r="FY49" i="9"/>
  <c r="FI49" i="9"/>
  <c r="FG49" i="9"/>
  <c r="FD49" i="9"/>
  <c r="FB49" i="9"/>
  <c r="FA49" i="9"/>
  <c r="EZ49" i="9"/>
  <c r="EY49" i="9"/>
  <c r="EX49" i="9"/>
  <c r="EV49" i="9"/>
  <c r="ET49" i="9"/>
  <c r="EQ49" i="9"/>
  <c r="EO49" i="9"/>
  <c r="EN49" i="9"/>
  <c r="EM49" i="9"/>
  <c r="DY49" i="9"/>
  <c r="DX49" i="9"/>
  <c r="DW49" i="9"/>
  <c r="DO49" i="9"/>
  <c r="DN49" i="9"/>
  <c r="DM49" i="9"/>
  <c r="DL49" i="9"/>
  <c r="DK49" i="9"/>
  <c r="DJ49" i="9"/>
  <c r="DI49" i="9"/>
  <c r="DH49" i="9"/>
  <c r="DF49" i="9"/>
  <c r="DC49" i="9"/>
  <c r="DB49" i="9"/>
  <c r="DQ49" i="9" s="1"/>
  <c r="CZ49" i="9"/>
  <c r="CY49" i="9"/>
  <c r="CX49" i="9"/>
  <c r="CW49" i="9"/>
  <c r="CV49" i="9"/>
  <c r="CU49" i="9"/>
  <c r="CT49" i="9"/>
  <c r="CS49" i="9"/>
  <c r="CR49" i="9"/>
  <c r="CQ49" i="9"/>
  <c r="CP49" i="9"/>
  <c r="CO49" i="9"/>
  <c r="CN49" i="9"/>
  <c r="CM49" i="9"/>
  <c r="CJ49" i="9"/>
  <c r="CI49" i="9"/>
  <c r="BU49" i="9"/>
  <c r="BS49" i="9"/>
  <c r="BP49" i="9"/>
  <c r="BN49" i="9"/>
  <c r="BM49" i="9"/>
  <c r="BL49" i="9"/>
  <c r="BK49" i="9"/>
  <c r="BJ49" i="9"/>
  <c r="BH49" i="9"/>
  <c r="BF49" i="9"/>
  <c r="BC49" i="9"/>
  <c r="BA49" i="9"/>
  <c r="AZ49" i="9"/>
  <c r="AY49" i="9"/>
  <c r="AR49" i="9"/>
  <c r="AQ49" i="9"/>
  <c r="AP49" i="9"/>
  <c r="R49" i="9"/>
  <c r="P49" i="9"/>
  <c r="O49" i="9"/>
  <c r="A49" i="9"/>
  <c r="HK48" i="9"/>
  <c r="GY48" i="9"/>
  <c r="GX48" i="9"/>
  <c r="GW48" i="9"/>
  <c r="GV48" i="9"/>
  <c r="GL48" i="9"/>
  <c r="GJ48" i="9"/>
  <c r="GI48" i="9"/>
  <c r="GH48" i="9"/>
  <c r="GA48" i="9"/>
  <c r="FZ48" i="9"/>
  <c r="FY48" i="9"/>
  <c r="FI48" i="9"/>
  <c r="FG48" i="9"/>
  <c r="FD48" i="9"/>
  <c r="FB48" i="9"/>
  <c r="FA48" i="9"/>
  <c r="EZ48" i="9"/>
  <c r="EY48" i="9"/>
  <c r="EX48" i="9"/>
  <c r="EV48" i="9"/>
  <c r="ET48" i="9"/>
  <c r="EQ48" i="9"/>
  <c r="EO48" i="9"/>
  <c r="EN48" i="9"/>
  <c r="EM48" i="9"/>
  <c r="DY48" i="9"/>
  <c r="DX48" i="9"/>
  <c r="DW48" i="9"/>
  <c r="DO48" i="9"/>
  <c r="DN48" i="9"/>
  <c r="DM48" i="9"/>
  <c r="DL48" i="9"/>
  <c r="DK48" i="9"/>
  <c r="DJ48" i="9"/>
  <c r="DI48" i="9"/>
  <c r="DH48" i="9"/>
  <c r="DF48" i="9"/>
  <c r="DC48" i="9"/>
  <c r="DB48" i="9"/>
  <c r="DQ48" i="9" s="1"/>
  <c r="CZ48" i="9"/>
  <c r="CY48" i="9"/>
  <c r="CX48" i="9"/>
  <c r="CW48" i="9"/>
  <c r="CV48" i="9"/>
  <c r="CU48" i="9"/>
  <c r="CT48" i="9"/>
  <c r="CS48" i="9"/>
  <c r="CR48" i="9"/>
  <c r="CQ48" i="9"/>
  <c r="CP48" i="9"/>
  <c r="CO48" i="9"/>
  <c r="CN48" i="9"/>
  <c r="CM48" i="9"/>
  <c r="CJ48" i="9"/>
  <c r="CI48" i="9"/>
  <c r="BU48" i="9"/>
  <c r="BS48" i="9"/>
  <c r="BP48" i="9"/>
  <c r="BN48" i="9"/>
  <c r="BM48" i="9"/>
  <c r="BL48" i="9"/>
  <c r="BK48" i="9"/>
  <c r="BJ48" i="9"/>
  <c r="BH48" i="9"/>
  <c r="BF48" i="9"/>
  <c r="BC48" i="9"/>
  <c r="BA48" i="9"/>
  <c r="AZ48" i="9"/>
  <c r="AY48" i="9"/>
  <c r="AR48" i="9"/>
  <c r="AQ48" i="9"/>
  <c r="AP48" i="9"/>
  <c r="R48" i="9"/>
  <c r="P48" i="9"/>
  <c r="O48" i="9"/>
  <c r="A48" i="9"/>
  <c r="HK47" i="9"/>
  <c r="GY47" i="9"/>
  <c r="GX47" i="9"/>
  <c r="GW47" i="9"/>
  <c r="GV47" i="9"/>
  <c r="GL47" i="9"/>
  <c r="GJ47" i="9"/>
  <c r="GI47" i="9"/>
  <c r="GH47" i="9"/>
  <c r="GA47" i="9"/>
  <c r="FZ47" i="9"/>
  <c r="FY47" i="9"/>
  <c r="FI47" i="9"/>
  <c r="FG47" i="9"/>
  <c r="FD47" i="9"/>
  <c r="FB47" i="9"/>
  <c r="FA47" i="9"/>
  <c r="EZ47" i="9"/>
  <c r="EY47" i="9"/>
  <c r="EX47" i="9"/>
  <c r="EV47" i="9"/>
  <c r="ET47" i="9"/>
  <c r="EO47" i="9"/>
  <c r="EN47" i="9"/>
  <c r="EM47" i="9"/>
  <c r="DY47" i="9"/>
  <c r="DX47" i="9"/>
  <c r="DW47" i="9"/>
  <c r="DO47" i="9"/>
  <c r="DN47" i="9"/>
  <c r="DM47" i="9"/>
  <c r="DL47" i="9"/>
  <c r="DK47" i="9"/>
  <c r="DJ47" i="9"/>
  <c r="DI47" i="9"/>
  <c r="DH47" i="9"/>
  <c r="DF47" i="9"/>
  <c r="DC47" i="9"/>
  <c r="DB47" i="9"/>
  <c r="CZ47" i="9"/>
  <c r="CY47" i="9"/>
  <c r="CX47" i="9"/>
  <c r="CW47" i="9"/>
  <c r="CV47" i="9"/>
  <c r="CU47" i="9"/>
  <c r="CT47" i="9"/>
  <c r="CS47" i="9"/>
  <c r="CR47" i="9"/>
  <c r="CQ47" i="9"/>
  <c r="CP47" i="9"/>
  <c r="CO47" i="9"/>
  <c r="CN47" i="9"/>
  <c r="CM47" i="9"/>
  <c r="CJ47" i="9"/>
  <c r="CI47" i="9"/>
  <c r="BU47" i="9"/>
  <c r="BS47" i="9"/>
  <c r="BP47" i="9"/>
  <c r="BN47" i="9"/>
  <c r="BM47" i="9"/>
  <c r="BL47" i="9"/>
  <c r="BK47" i="9"/>
  <c r="BJ47" i="9"/>
  <c r="BH47" i="9"/>
  <c r="BF47" i="9"/>
  <c r="BC47" i="9"/>
  <c r="BA47" i="9"/>
  <c r="AZ47" i="9"/>
  <c r="AY47" i="9"/>
  <c r="AR47" i="9"/>
  <c r="AQ47" i="9"/>
  <c r="AP47" i="9"/>
  <c r="R47" i="9"/>
  <c r="P47" i="9"/>
  <c r="O47" i="9"/>
  <c r="A47" i="9"/>
  <c r="HK46" i="9"/>
  <c r="GY46" i="9"/>
  <c r="GX46" i="9"/>
  <c r="GW46" i="9"/>
  <c r="GV46" i="9"/>
  <c r="GL46" i="9"/>
  <c r="GJ46" i="9"/>
  <c r="GI46" i="9"/>
  <c r="GH46" i="9"/>
  <c r="GA46" i="9"/>
  <c r="FZ46" i="9"/>
  <c r="FY46" i="9"/>
  <c r="FI46" i="9"/>
  <c r="FG46" i="9"/>
  <c r="FD46" i="9"/>
  <c r="FB46" i="9"/>
  <c r="FA46" i="9"/>
  <c r="EZ46" i="9"/>
  <c r="EY46" i="9"/>
  <c r="EX46" i="9"/>
  <c r="EV46" i="9"/>
  <c r="ET46" i="9"/>
  <c r="EO46" i="9"/>
  <c r="EN46" i="9"/>
  <c r="EM46" i="9"/>
  <c r="DY46" i="9"/>
  <c r="DX46" i="9"/>
  <c r="DW46" i="9"/>
  <c r="DO46" i="9"/>
  <c r="DN46" i="9"/>
  <c r="DM46" i="9"/>
  <c r="DL46" i="9"/>
  <c r="DK46" i="9"/>
  <c r="DJ46" i="9"/>
  <c r="DI46" i="9"/>
  <c r="DH46" i="9"/>
  <c r="DF46" i="9"/>
  <c r="DC46" i="9"/>
  <c r="DB46" i="9"/>
  <c r="CZ46" i="9"/>
  <c r="CY46" i="9"/>
  <c r="CX46" i="9"/>
  <c r="CW46" i="9"/>
  <c r="CV46" i="9"/>
  <c r="CU46" i="9"/>
  <c r="CT46" i="9"/>
  <c r="CS46" i="9"/>
  <c r="CR46" i="9"/>
  <c r="CQ46" i="9"/>
  <c r="CP46" i="9"/>
  <c r="CO46" i="9"/>
  <c r="CN46" i="9"/>
  <c r="CM46" i="9"/>
  <c r="CJ46" i="9"/>
  <c r="CI46" i="9"/>
  <c r="BU46" i="9"/>
  <c r="BS46" i="9"/>
  <c r="BP46" i="9"/>
  <c r="BN46" i="9"/>
  <c r="BM46" i="9"/>
  <c r="BL46" i="9"/>
  <c r="BK46" i="9"/>
  <c r="BJ46" i="9"/>
  <c r="BH46" i="9"/>
  <c r="BF46" i="9"/>
  <c r="BC46" i="9"/>
  <c r="BA46" i="9"/>
  <c r="AZ46" i="9"/>
  <c r="AY46" i="9"/>
  <c r="AR46" i="9"/>
  <c r="AQ46" i="9"/>
  <c r="AP46" i="9"/>
  <c r="R46" i="9"/>
  <c r="P46" i="9"/>
  <c r="O46" i="9"/>
  <c r="A46" i="9"/>
  <c r="HK45" i="9"/>
  <c r="GY45" i="9"/>
  <c r="GX45" i="9"/>
  <c r="GW45" i="9"/>
  <c r="GV45" i="9"/>
  <c r="GL45" i="9"/>
  <c r="GJ45" i="9"/>
  <c r="GI45" i="9"/>
  <c r="GH45" i="9"/>
  <c r="GA45" i="9"/>
  <c r="FZ45" i="9"/>
  <c r="FY45" i="9"/>
  <c r="FI45" i="9"/>
  <c r="FG45" i="9"/>
  <c r="FD45" i="9"/>
  <c r="FB45" i="9"/>
  <c r="FA45" i="9"/>
  <c r="EZ45" i="9"/>
  <c r="EY45" i="9"/>
  <c r="EX45" i="9"/>
  <c r="EV45" i="9"/>
  <c r="ET45" i="9"/>
  <c r="EO45" i="9"/>
  <c r="EN45" i="9"/>
  <c r="EM45" i="9"/>
  <c r="DY45" i="9"/>
  <c r="DX45" i="9"/>
  <c r="DW45" i="9"/>
  <c r="DO45" i="9"/>
  <c r="DN45" i="9"/>
  <c r="DM45" i="9"/>
  <c r="DL45" i="9"/>
  <c r="DK45" i="9"/>
  <c r="DJ45" i="9"/>
  <c r="DI45" i="9"/>
  <c r="DH45" i="9"/>
  <c r="DF45" i="9"/>
  <c r="DC45" i="9"/>
  <c r="DB45" i="9"/>
  <c r="CZ45" i="9"/>
  <c r="CY45" i="9"/>
  <c r="CX45" i="9"/>
  <c r="CW45" i="9"/>
  <c r="CV45" i="9"/>
  <c r="CU45" i="9"/>
  <c r="CT45" i="9"/>
  <c r="CS45" i="9"/>
  <c r="CR45" i="9"/>
  <c r="CQ45" i="9"/>
  <c r="CP45" i="9"/>
  <c r="CO45" i="9"/>
  <c r="CN45" i="9"/>
  <c r="CM45" i="9"/>
  <c r="CJ45" i="9"/>
  <c r="CI45" i="9"/>
  <c r="BU45" i="9"/>
  <c r="BS45" i="9"/>
  <c r="BP45" i="9"/>
  <c r="BN45" i="9"/>
  <c r="BM45" i="9"/>
  <c r="BL45" i="9"/>
  <c r="BK45" i="9"/>
  <c r="BJ45" i="9"/>
  <c r="BH45" i="9"/>
  <c r="BF45" i="9"/>
  <c r="BC45" i="9"/>
  <c r="BA45" i="9"/>
  <c r="AZ45" i="9"/>
  <c r="AY45" i="9"/>
  <c r="AR45" i="9"/>
  <c r="AQ45" i="9"/>
  <c r="AP45" i="9"/>
  <c r="R45" i="9"/>
  <c r="P45" i="9"/>
  <c r="O45" i="9"/>
  <c r="A45" i="9"/>
  <c r="HK44" i="9"/>
  <c r="GY44" i="9"/>
  <c r="GX44" i="9"/>
  <c r="GW44" i="9"/>
  <c r="GV44" i="9"/>
  <c r="GL44" i="9"/>
  <c r="GJ44" i="9"/>
  <c r="GI44" i="9"/>
  <c r="GH44" i="9"/>
  <c r="GA44" i="9"/>
  <c r="FZ44" i="9"/>
  <c r="FY44" i="9"/>
  <c r="FI44" i="9"/>
  <c r="FG44" i="9"/>
  <c r="FD44" i="9"/>
  <c r="FB44" i="9"/>
  <c r="FA44" i="9"/>
  <c r="EZ44" i="9"/>
  <c r="EY44" i="9"/>
  <c r="EX44" i="9"/>
  <c r="EV44" i="9"/>
  <c r="ET44" i="9"/>
  <c r="EO44" i="9"/>
  <c r="EN44" i="9"/>
  <c r="EM44" i="9"/>
  <c r="DY44" i="9"/>
  <c r="DX44" i="9"/>
  <c r="DW44" i="9"/>
  <c r="DO44" i="9"/>
  <c r="DN44" i="9"/>
  <c r="DM44" i="9"/>
  <c r="DL44" i="9"/>
  <c r="DK44" i="9"/>
  <c r="DJ44" i="9"/>
  <c r="DI44" i="9"/>
  <c r="DH44" i="9"/>
  <c r="DF44" i="9"/>
  <c r="DC44" i="9"/>
  <c r="DB44" i="9"/>
  <c r="DQ44" i="9" s="1"/>
  <c r="CZ44" i="9"/>
  <c r="CY44" i="9"/>
  <c r="CX44" i="9"/>
  <c r="CW44" i="9"/>
  <c r="CV44" i="9"/>
  <c r="CU44" i="9"/>
  <c r="CT44" i="9"/>
  <c r="CS44" i="9"/>
  <c r="CR44" i="9"/>
  <c r="CQ44" i="9"/>
  <c r="CP44" i="9"/>
  <c r="CO44" i="9"/>
  <c r="CN44" i="9"/>
  <c r="CM44" i="9"/>
  <c r="CJ44" i="9"/>
  <c r="CI44" i="9"/>
  <c r="BU44" i="9"/>
  <c r="BS44" i="9"/>
  <c r="BP44" i="9"/>
  <c r="BN44" i="9"/>
  <c r="BM44" i="9"/>
  <c r="BL44" i="9"/>
  <c r="BK44" i="9"/>
  <c r="BJ44" i="9"/>
  <c r="BH44" i="9"/>
  <c r="BF44" i="9"/>
  <c r="BC44" i="9"/>
  <c r="BA44" i="9"/>
  <c r="AZ44" i="9"/>
  <c r="AY44" i="9"/>
  <c r="AR44" i="9"/>
  <c r="AQ44" i="9"/>
  <c r="AP44" i="9"/>
  <c r="R44" i="9"/>
  <c r="P44" i="9"/>
  <c r="O44" i="9"/>
  <c r="A44" i="9"/>
  <c r="HK43" i="9"/>
  <c r="GY43" i="9"/>
  <c r="GX43" i="9"/>
  <c r="GW43" i="9"/>
  <c r="GV43" i="9"/>
  <c r="GL43" i="9"/>
  <c r="GJ43" i="9"/>
  <c r="GI43" i="9"/>
  <c r="GH43" i="9"/>
  <c r="GA43" i="9"/>
  <c r="FZ43" i="9"/>
  <c r="FY43" i="9"/>
  <c r="FI43" i="9"/>
  <c r="FG43" i="9"/>
  <c r="FD43" i="9"/>
  <c r="FB43" i="9"/>
  <c r="FA43" i="9"/>
  <c r="EZ43" i="9"/>
  <c r="EY43" i="9"/>
  <c r="EX43" i="9"/>
  <c r="EV43" i="9"/>
  <c r="ET43" i="9"/>
  <c r="EO43" i="9"/>
  <c r="EN43" i="9"/>
  <c r="EM43" i="9"/>
  <c r="DY43" i="9"/>
  <c r="DX43" i="9"/>
  <c r="DW43" i="9"/>
  <c r="DO43" i="9"/>
  <c r="DN43" i="9"/>
  <c r="DM43" i="9"/>
  <c r="DL43" i="9"/>
  <c r="DK43" i="9"/>
  <c r="DJ43" i="9"/>
  <c r="DI43" i="9"/>
  <c r="DH43" i="9"/>
  <c r="DF43" i="9"/>
  <c r="DC43" i="9"/>
  <c r="DB43" i="9"/>
  <c r="DQ43" i="9" s="1"/>
  <c r="CZ43" i="9"/>
  <c r="CY43" i="9"/>
  <c r="CX43" i="9"/>
  <c r="CW43" i="9"/>
  <c r="CV43" i="9"/>
  <c r="CU43" i="9"/>
  <c r="CT43" i="9"/>
  <c r="CS43" i="9"/>
  <c r="CR43" i="9"/>
  <c r="CQ43" i="9"/>
  <c r="CP43" i="9"/>
  <c r="CO43" i="9"/>
  <c r="CN43" i="9"/>
  <c r="CM43" i="9"/>
  <c r="CJ43" i="9"/>
  <c r="CI43" i="9"/>
  <c r="BU43" i="9"/>
  <c r="BS43" i="9"/>
  <c r="BP43" i="9"/>
  <c r="BN43" i="9"/>
  <c r="BM43" i="9"/>
  <c r="BL43" i="9"/>
  <c r="BK43" i="9"/>
  <c r="BJ43" i="9"/>
  <c r="BH43" i="9"/>
  <c r="BF43" i="9"/>
  <c r="BC43" i="9"/>
  <c r="BA43" i="9"/>
  <c r="AZ43" i="9"/>
  <c r="AY43" i="9"/>
  <c r="AR43" i="9"/>
  <c r="AQ43" i="9"/>
  <c r="AP43" i="9"/>
  <c r="R43" i="9"/>
  <c r="P43" i="9"/>
  <c r="O43" i="9"/>
  <c r="A43" i="9"/>
  <c r="HK42" i="9"/>
  <c r="GY42" i="9"/>
  <c r="GX42" i="9"/>
  <c r="GW42" i="9"/>
  <c r="GV42" i="9"/>
  <c r="GL42" i="9"/>
  <c r="GJ42" i="9"/>
  <c r="GI42" i="9"/>
  <c r="GH42" i="9"/>
  <c r="GA42" i="9"/>
  <c r="FZ42" i="9"/>
  <c r="FY42" i="9"/>
  <c r="FI42" i="9"/>
  <c r="FG42" i="9"/>
  <c r="FD42" i="9"/>
  <c r="FB42" i="9"/>
  <c r="FA42" i="9"/>
  <c r="EZ42" i="9"/>
  <c r="EY42" i="9"/>
  <c r="EX42" i="9"/>
  <c r="EV42" i="9"/>
  <c r="ET42" i="9"/>
  <c r="EO42" i="9"/>
  <c r="EN42" i="9"/>
  <c r="EM42" i="9"/>
  <c r="DY42" i="9"/>
  <c r="DX42" i="9"/>
  <c r="DW42" i="9"/>
  <c r="DO42" i="9"/>
  <c r="DN42" i="9"/>
  <c r="DM42" i="9"/>
  <c r="DL42" i="9"/>
  <c r="DK42" i="9"/>
  <c r="DJ42" i="9"/>
  <c r="DI42" i="9"/>
  <c r="DH42" i="9"/>
  <c r="DF42" i="9"/>
  <c r="DC42" i="9"/>
  <c r="DB42" i="9"/>
  <c r="CZ42" i="9"/>
  <c r="CY42" i="9"/>
  <c r="CX42" i="9"/>
  <c r="CW42" i="9"/>
  <c r="CV42" i="9"/>
  <c r="CU42" i="9"/>
  <c r="CT42" i="9"/>
  <c r="CS42" i="9"/>
  <c r="CR42" i="9"/>
  <c r="CQ42" i="9"/>
  <c r="CP42" i="9"/>
  <c r="CO42" i="9"/>
  <c r="CN42" i="9"/>
  <c r="CM42" i="9"/>
  <c r="CJ42" i="9"/>
  <c r="CI42" i="9"/>
  <c r="BU42" i="9"/>
  <c r="BS42" i="9"/>
  <c r="BP42" i="9"/>
  <c r="BN42" i="9"/>
  <c r="BM42" i="9"/>
  <c r="BL42" i="9"/>
  <c r="BK42" i="9"/>
  <c r="BJ42" i="9"/>
  <c r="BH42" i="9"/>
  <c r="BF42" i="9"/>
  <c r="BC42" i="9"/>
  <c r="BA42" i="9"/>
  <c r="AZ42" i="9"/>
  <c r="AY42" i="9"/>
  <c r="AR42" i="9"/>
  <c r="AQ42" i="9"/>
  <c r="AP42" i="9"/>
  <c r="R42" i="9"/>
  <c r="P42" i="9"/>
  <c r="O42" i="9"/>
  <c r="A42" i="9"/>
  <c r="HK41" i="9"/>
  <c r="GY41" i="9"/>
  <c r="GX41" i="9"/>
  <c r="GW41" i="9"/>
  <c r="GV41" i="9"/>
  <c r="GL41" i="9"/>
  <c r="GJ41" i="9"/>
  <c r="GI41" i="9"/>
  <c r="GH41" i="9"/>
  <c r="GA41" i="9"/>
  <c r="FZ41" i="9"/>
  <c r="FY41" i="9"/>
  <c r="FG41" i="9"/>
  <c r="FD41" i="9"/>
  <c r="FB41" i="9"/>
  <c r="FA41" i="9"/>
  <c r="EZ41" i="9"/>
  <c r="EY41" i="9"/>
  <c r="EX41" i="9"/>
  <c r="EV41" i="9"/>
  <c r="ET41" i="9"/>
  <c r="EO41" i="9"/>
  <c r="EN41" i="9"/>
  <c r="EM41" i="9"/>
  <c r="DY41" i="9"/>
  <c r="DX41" i="9"/>
  <c r="DW41" i="9"/>
  <c r="DO41" i="9"/>
  <c r="DN41" i="9"/>
  <c r="DM41" i="9"/>
  <c r="DL41" i="9"/>
  <c r="DK41" i="9"/>
  <c r="DJ41" i="9"/>
  <c r="DI41" i="9"/>
  <c r="DH41" i="9"/>
  <c r="DF41" i="9"/>
  <c r="DC41" i="9"/>
  <c r="DB41" i="9"/>
  <c r="DQ41" i="9" s="1"/>
  <c r="CZ41" i="9"/>
  <c r="CY41" i="9"/>
  <c r="CX41" i="9"/>
  <c r="CW41" i="9"/>
  <c r="CV41" i="9"/>
  <c r="CU41" i="9"/>
  <c r="CT41" i="9"/>
  <c r="CS41" i="9"/>
  <c r="CR41" i="9"/>
  <c r="CQ41" i="9"/>
  <c r="CP41" i="9"/>
  <c r="CO41" i="9"/>
  <c r="CN41" i="9"/>
  <c r="CM41" i="9"/>
  <c r="CJ41" i="9"/>
  <c r="CI41" i="9"/>
  <c r="BU41" i="9"/>
  <c r="BS41" i="9"/>
  <c r="BP41" i="9"/>
  <c r="BN41" i="9"/>
  <c r="BM41" i="9"/>
  <c r="BL41" i="9"/>
  <c r="BK41" i="9"/>
  <c r="BJ41" i="9"/>
  <c r="BH41" i="9"/>
  <c r="BF41" i="9"/>
  <c r="BC41" i="9"/>
  <c r="BA41" i="9"/>
  <c r="AZ41" i="9"/>
  <c r="AY41" i="9"/>
  <c r="AR41" i="9"/>
  <c r="AQ41" i="9"/>
  <c r="AP41" i="9"/>
  <c r="R41" i="9"/>
  <c r="P41" i="9"/>
  <c r="O41" i="9"/>
  <c r="A41" i="9"/>
  <c r="HK40" i="9"/>
  <c r="GY40" i="9"/>
  <c r="GX40" i="9"/>
  <c r="GW40" i="9"/>
  <c r="GV40" i="9"/>
  <c r="GL40" i="9"/>
  <c r="GJ40" i="9"/>
  <c r="GI40" i="9"/>
  <c r="GH40" i="9"/>
  <c r="GA40" i="9"/>
  <c r="FZ40" i="9"/>
  <c r="FY40" i="9"/>
  <c r="FG40" i="9"/>
  <c r="FD40" i="9"/>
  <c r="FB40" i="9"/>
  <c r="FA40" i="9"/>
  <c r="EZ40" i="9"/>
  <c r="EY40" i="9"/>
  <c r="EX40" i="9"/>
  <c r="EV40" i="9"/>
  <c r="ET40" i="9"/>
  <c r="EO40" i="9"/>
  <c r="EN40" i="9"/>
  <c r="EM40" i="9"/>
  <c r="DY40" i="9"/>
  <c r="DX40" i="9"/>
  <c r="DW40" i="9"/>
  <c r="DO40" i="9"/>
  <c r="DN40" i="9"/>
  <c r="DM40" i="9"/>
  <c r="DL40" i="9"/>
  <c r="DK40" i="9"/>
  <c r="DJ40" i="9"/>
  <c r="DI40" i="9"/>
  <c r="DH40" i="9"/>
  <c r="DF40" i="9"/>
  <c r="DC40" i="9"/>
  <c r="DB40" i="9"/>
  <c r="DQ40" i="9" s="1"/>
  <c r="CZ40" i="9"/>
  <c r="CY40" i="9"/>
  <c r="CX40" i="9"/>
  <c r="CW40" i="9"/>
  <c r="CV40" i="9"/>
  <c r="CU40" i="9"/>
  <c r="CT40" i="9"/>
  <c r="CS40" i="9"/>
  <c r="CR40" i="9"/>
  <c r="CQ40" i="9"/>
  <c r="CP40" i="9"/>
  <c r="CO40" i="9"/>
  <c r="CN40" i="9"/>
  <c r="CM40" i="9"/>
  <c r="CJ40" i="9"/>
  <c r="CI40" i="9"/>
  <c r="BU40" i="9"/>
  <c r="BS40" i="9"/>
  <c r="BP40" i="9"/>
  <c r="BN40" i="9"/>
  <c r="BM40" i="9"/>
  <c r="BL40" i="9"/>
  <c r="BK40" i="9"/>
  <c r="BJ40" i="9"/>
  <c r="BH40" i="9"/>
  <c r="BF40" i="9"/>
  <c r="BC40" i="9"/>
  <c r="BA40" i="9"/>
  <c r="AZ40" i="9"/>
  <c r="AY40" i="9"/>
  <c r="AR40" i="9"/>
  <c r="AQ40" i="9"/>
  <c r="AP40" i="9"/>
  <c r="R40" i="9"/>
  <c r="P40" i="9"/>
  <c r="O40" i="9"/>
  <c r="A40" i="9"/>
  <c r="HK39" i="9"/>
  <c r="GY39" i="9"/>
  <c r="GX39" i="9"/>
  <c r="GW39" i="9"/>
  <c r="GV39" i="9"/>
  <c r="GL39" i="9"/>
  <c r="GJ39" i="9"/>
  <c r="GI39" i="9"/>
  <c r="GH39" i="9"/>
  <c r="GA39" i="9"/>
  <c r="FZ39" i="9"/>
  <c r="FY39" i="9"/>
  <c r="FG39" i="9"/>
  <c r="FD39" i="9"/>
  <c r="FB39" i="9"/>
  <c r="FA39" i="9"/>
  <c r="EZ39" i="9"/>
  <c r="EY39" i="9"/>
  <c r="EX39" i="9"/>
  <c r="EV39" i="9"/>
  <c r="ET39" i="9"/>
  <c r="EO39" i="9"/>
  <c r="EN39" i="9"/>
  <c r="EM39" i="9"/>
  <c r="DY39" i="9"/>
  <c r="DX39" i="9"/>
  <c r="DW39" i="9"/>
  <c r="DO39" i="9"/>
  <c r="DN39" i="9"/>
  <c r="DM39" i="9"/>
  <c r="DL39" i="9"/>
  <c r="DK39" i="9"/>
  <c r="DJ39" i="9"/>
  <c r="DI39" i="9"/>
  <c r="DH39" i="9"/>
  <c r="DF39" i="9"/>
  <c r="DC39" i="9"/>
  <c r="DB39" i="9"/>
  <c r="CZ39" i="9"/>
  <c r="CY39" i="9"/>
  <c r="CX39" i="9"/>
  <c r="CW39" i="9"/>
  <c r="CV39" i="9"/>
  <c r="CU39" i="9"/>
  <c r="CT39" i="9"/>
  <c r="CS39" i="9"/>
  <c r="CR39" i="9"/>
  <c r="CQ39" i="9"/>
  <c r="CP39" i="9"/>
  <c r="CO39" i="9"/>
  <c r="CN39" i="9"/>
  <c r="CM39" i="9"/>
  <c r="CJ39" i="9"/>
  <c r="CI39" i="9"/>
  <c r="BU39" i="9"/>
  <c r="BS39" i="9"/>
  <c r="BP39" i="9"/>
  <c r="BN39" i="9"/>
  <c r="BM39" i="9"/>
  <c r="BL39" i="9"/>
  <c r="BK39" i="9"/>
  <c r="BJ39" i="9"/>
  <c r="BH39" i="9"/>
  <c r="BF39" i="9"/>
  <c r="BC39" i="9"/>
  <c r="BA39" i="9"/>
  <c r="AZ39" i="9"/>
  <c r="AY39" i="9"/>
  <c r="AR39" i="9"/>
  <c r="AQ39" i="9"/>
  <c r="AP39" i="9"/>
  <c r="R39" i="9"/>
  <c r="P39" i="9"/>
  <c r="O39" i="9"/>
  <c r="A39" i="9"/>
  <c r="HK38" i="9"/>
  <c r="GY38" i="9"/>
  <c r="GX38" i="9"/>
  <c r="GW38" i="9"/>
  <c r="GV38" i="9"/>
  <c r="GL38" i="9"/>
  <c r="GJ38" i="9"/>
  <c r="GI38" i="9"/>
  <c r="GH38" i="9"/>
  <c r="GA38" i="9"/>
  <c r="FZ38" i="9"/>
  <c r="FY38" i="9"/>
  <c r="FG38" i="9"/>
  <c r="FD38" i="9"/>
  <c r="FB38" i="9"/>
  <c r="FA38" i="9"/>
  <c r="EZ38" i="9"/>
  <c r="EY38" i="9"/>
  <c r="EX38" i="9"/>
  <c r="EV38" i="9"/>
  <c r="ET38" i="9"/>
  <c r="EO38" i="9"/>
  <c r="EM38" i="9"/>
  <c r="DY38" i="9"/>
  <c r="DX38" i="9"/>
  <c r="DW38" i="9"/>
  <c r="DO38" i="9"/>
  <c r="DN38" i="9"/>
  <c r="DM38" i="9"/>
  <c r="DL38" i="9"/>
  <c r="DK38" i="9"/>
  <c r="DJ38" i="9"/>
  <c r="DI38" i="9"/>
  <c r="DH38" i="9"/>
  <c r="DF38" i="9"/>
  <c r="DC38" i="9"/>
  <c r="DB38" i="9"/>
  <c r="DQ38" i="9" s="1"/>
  <c r="CZ38" i="9"/>
  <c r="CY38" i="9"/>
  <c r="CX38" i="9"/>
  <c r="CW38" i="9"/>
  <c r="CV38" i="9"/>
  <c r="CU38" i="9"/>
  <c r="CT38" i="9"/>
  <c r="CS38" i="9"/>
  <c r="CR38" i="9"/>
  <c r="CQ38" i="9"/>
  <c r="CP38" i="9"/>
  <c r="CO38" i="9"/>
  <c r="CN38" i="9"/>
  <c r="CM38" i="9"/>
  <c r="CJ38" i="9"/>
  <c r="CI38" i="9"/>
  <c r="BU38" i="9"/>
  <c r="BS38" i="9"/>
  <c r="BP38" i="9"/>
  <c r="BN38" i="9"/>
  <c r="BM38" i="9"/>
  <c r="BL38" i="9"/>
  <c r="BK38" i="9"/>
  <c r="BJ38" i="9"/>
  <c r="BH38" i="9"/>
  <c r="BF38" i="9"/>
  <c r="BC38" i="9"/>
  <c r="BA38" i="9"/>
  <c r="AZ38" i="9"/>
  <c r="AY38" i="9"/>
  <c r="AR38" i="9"/>
  <c r="AQ38" i="9"/>
  <c r="AP38" i="9"/>
  <c r="R38" i="9"/>
  <c r="P38" i="9"/>
  <c r="O38" i="9"/>
  <c r="A38" i="9"/>
  <c r="HK37" i="9"/>
  <c r="GY37" i="9"/>
  <c r="GX37" i="9"/>
  <c r="GW37" i="9"/>
  <c r="GV37" i="9"/>
  <c r="GL37" i="9"/>
  <c r="GJ37" i="9"/>
  <c r="GI37" i="9"/>
  <c r="GH37" i="9"/>
  <c r="GA37" i="9"/>
  <c r="FZ37" i="9"/>
  <c r="FY37" i="9"/>
  <c r="FG37" i="9"/>
  <c r="FD37" i="9"/>
  <c r="FB37" i="9"/>
  <c r="FA37" i="9"/>
  <c r="EZ37" i="9"/>
  <c r="EY37" i="9"/>
  <c r="EX37" i="9"/>
  <c r="EV37" i="9"/>
  <c r="ET37" i="9"/>
  <c r="EO37" i="9"/>
  <c r="EM37" i="9"/>
  <c r="DY37" i="9"/>
  <c r="DX37" i="9"/>
  <c r="DW37" i="9"/>
  <c r="DO37" i="9"/>
  <c r="DN37" i="9"/>
  <c r="DM37" i="9"/>
  <c r="DL37" i="9"/>
  <c r="DK37" i="9"/>
  <c r="DJ37" i="9"/>
  <c r="DI37" i="9"/>
  <c r="DH37" i="9"/>
  <c r="DF37" i="9"/>
  <c r="DC37" i="9"/>
  <c r="DB37" i="9"/>
  <c r="DQ37" i="9" s="1"/>
  <c r="CZ37" i="9"/>
  <c r="CY37" i="9"/>
  <c r="CX37" i="9"/>
  <c r="CW37" i="9"/>
  <c r="CV37" i="9"/>
  <c r="CU37" i="9"/>
  <c r="CT37" i="9"/>
  <c r="CS37" i="9"/>
  <c r="CR37" i="9"/>
  <c r="CQ37" i="9"/>
  <c r="CP37" i="9"/>
  <c r="CO37" i="9"/>
  <c r="CN37" i="9"/>
  <c r="CM37" i="9"/>
  <c r="BU37" i="9"/>
  <c r="BS37" i="9"/>
  <c r="BP37" i="9"/>
  <c r="BN37" i="9"/>
  <c r="BM37" i="9"/>
  <c r="BL37" i="9"/>
  <c r="BK37" i="9"/>
  <c r="BJ37" i="9"/>
  <c r="BH37" i="9"/>
  <c r="BF37" i="9"/>
  <c r="BC37" i="9"/>
  <c r="BA37" i="9"/>
  <c r="AZ37" i="9"/>
  <c r="AY37" i="9"/>
  <c r="AR37" i="9"/>
  <c r="AQ37" i="9"/>
  <c r="AP37" i="9"/>
  <c r="T37" i="9"/>
  <c r="R37" i="9"/>
  <c r="P37" i="9"/>
  <c r="O37" i="9"/>
  <c r="A37" i="9"/>
  <c r="HK36" i="9"/>
  <c r="GY36" i="9"/>
  <c r="GX36" i="9"/>
  <c r="GW36" i="9"/>
  <c r="GV36" i="9"/>
  <c r="GL36" i="9"/>
  <c r="GJ36" i="9"/>
  <c r="GI36" i="9"/>
  <c r="GH36" i="9"/>
  <c r="GA36" i="9"/>
  <c r="FZ36" i="9"/>
  <c r="FY36" i="9"/>
  <c r="FH36" i="9"/>
  <c r="FG36" i="9"/>
  <c r="FD36" i="9"/>
  <c r="FB36" i="9"/>
  <c r="FA36" i="9"/>
  <c r="EZ36" i="9"/>
  <c r="EY36" i="9"/>
  <c r="EX36" i="9"/>
  <c r="EW36" i="9"/>
  <c r="EV36" i="9"/>
  <c r="EU36" i="9"/>
  <c r="ET36" i="9"/>
  <c r="ES36" i="9"/>
  <c r="EQ36" i="9"/>
  <c r="EP36" i="9"/>
  <c r="EO36" i="9"/>
  <c r="EN36" i="9"/>
  <c r="EM36" i="9"/>
  <c r="EL36" i="9"/>
  <c r="DY36" i="9"/>
  <c r="DM36" i="9"/>
  <c r="DL36" i="9"/>
  <c r="DK36" i="9"/>
  <c r="DJ36" i="9"/>
  <c r="CZ36" i="9"/>
  <c r="CX36" i="9"/>
  <c r="CW36" i="9"/>
  <c r="CV36" i="9"/>
  <c r="CO36" i="9"/>
  <c r="CN36" i="9"/>
  <c r="CM36" i="9"/>
  <c r="BU36" i="9"/>
  <c r="BS36" i="9"/>
  <c r="BP36" i="9"/>
  <c r="BN36" i="9"/>
  <c r="BM36" i="9"/>
  <c r="BL36" i="9"/>
  <c r="BK36" i="9"/>
  <c r="BJ36" i="9"/>
  <c r="BH36" i="9"/>
  <c r="BF36" i="9"/>
  <c r="BC36" i="9"/>
  <c r="BA36" i="9"/>
  <c r="AZ36" i="9"/>
  <c r="AY36" i="9"/>
  <c r="AR36" i="9"/>
  <c r="AQ36" i="9"/>
  <c r="AP36" i="9"/>
  <c r="R36" i="9"/>
  <c r="P36" i="9"/>
  <c r="O36" i="9"/>
  <c r="A36" i="9"/>
  <c r="HK35" i="9"/>
  <c r="GY35" i="9"/>
  <c r="GX35" i="9"/>
  <c r="GW35" i="9"/>
  <c r="GV35" i="9"/>
  <c r="GL35" i="9"/>
  <c r="GJ35" i="9"/>
  <c r="GI35" i="9"/>
  <c r="GH35" i="9"/>
  <c r="GA35" i="9"/>
  <c r="FZ35" i="9"/>
  <c r="FY35" i="9"/>
  <c r="FH35" i="9"/>
  <c r="FG35" i="9"/>
  <c r="FD35" i="9"/>
  <c r="FB35" i="9"/>
  <c r="FA35" i="9"/>
  <c r="EZ35" i="9"/>
  <c r="EY35" i="9"/>
  <c r="EX35" i="9"/>
  <c r="EW35" i="9"/>
  <c r="EV35" i="9"/>
  <c r="EU35" i="9"/>
  <c r="ET35" i="9"/>
  <c r="ES35" i="9"/>
  <c r="EQ35" i="9"/>
  <c r="EP35" i="9"/>
  <c r="EO35" i="9"/>
  <c r="EN35" i="9"/>
  <c r="EM35" i="9"/>
  <c r="EL35" i="9"/>
  <c r="DY35" i="9"/>
  <c r="DM35" i="9"/>
  <c r="DL35" i="9"/>
  <c r="DK35" i="9"/>
  <c r="DJ35" i="9"/>
  <c r="CZ35" i="9"/>
  <c r="CX35" i="9"/>
  <c r="CW35" i="9"/>
  <c r="CV35" i="9"/>
  <c r="CO35" i="9"/>
  <c r="CN35" i="9"/>
  <c r="CM35" i="9"/>
  <c r="BU35" i="9"/>
  <c r="BS35" i="9"/>
  <c r="BP35" i="9"/>
  <c r="BN35" i="9"/>
  <c r="BM35" i="9"/>
  <c r="BL35" i="9"/>
  <c r="BK35" i="9"/>
  <c r="BJ35" i="9"/>
  <c r="BH35" i="9"/>
  <c r="BF35" i="9"/>
  <c r="BC35" i="9"/>
  <c r="BA35" i="9"/>
  <c r="AZ35" i="9"/>
  <c r="AY35" i="9"/>
  <c r="AR35" i="9"/>
  <c r="AQ35" i="9"/>
  <c r="AP35" i="9"/>
  <c r="R35" i="9"/>
  <c r="P35" i="9"/>
  <c r="O35" i="9"/>
  <c r="A35" i="9"/>
  <c r="HK34" i="9"/>
  <c r="GY34" i="9"/>
  <c r="GX34" i="9"/>
  <c r="GW34" i="9"/>
  <c r="GV34" i="9"/>
  <c r="GL34" i="9"/>
  <c r="GJ34" i="9"/>
  <c r="GI34" i="9"/>
  <c r="GH34" i="9"/>
  <c r="GA34" i="9"/>
  <c r="FZ34" i="9"/>
  <c r="FY34" i="9"/>
  <c r="FH34" i="9"/>
  <c r="FG34" i="9"/>
  <c r="FD34" i="9"/>
  <c r="FB34" i="9"/>
  <c r="FA34" i="9"/>
  <c r="EZ34" i="9"/>
  <c r="EY34" i="9"/>
  <c r="EX34" i="9"/>
  <c r="EW34" i="9"/>
  <c r="EV34" i="9"/>
  <c r="EU34" i="9"/>
  <c r="ET34" i="9"/>
  <c r="ES34" i="9"/>
  <c r="EQ34" i="9"/>
  <c r="EP34" i="9"/>
  <c r="EO34" i="9"/>
  <c r="EN34" i="9"/>
  <c r="EM34" i="9"/>
  <c r="EL34" i="9"/>
  <c r="DY34" i="9"/>
  <c r="DM34" i="9"/>
  <c r="DL34" i="9"/>
  <c r="DK34" i="9"/>
  <c r="DJ34" i="9"/>
  <c r="CZ34" i="9"/>
  <c r="CX34" i="9"/>
  <c r="CW34" i="9"/>
  <c r="CV34" i="9"/>
  <c r="CO34" i="9"/>
  <c r="CN34" i="9"/>
  <c r="CM34" i="9"/>
  <c r="BU34" i="9"/>
  <c r="BS34" i="9"/>
  <c r="BP34" i="9"/>
  <c r="BN34" i="9"/>
  <c r="BM34" i="9"/>
  <c r="BL34" i="9"/>
  <c r="BK34" i="9"/>
  <c r="BJ34" i="9"/>
  <c r="BH34" i="9"/>
  <c r="BF34" i="9"/>
  <c r="BC34" i="9"/>
  <c r="BA34" i="9"/>
  <c r="AZ34" i="9"/>
  <c r="AY34" i="9"/>
  <c r="AR34" i="9"/>
  <c r="AQ34" i="9"/>
  <c r="AP34" i="9"/>
  <c r="R34" i="9"/>
  <c r="P34" i="9"/>
  <c r="O34" i="9"/>
  <c r="A34" i="9"/>
  <c r="HK33" i="9"/>
  <c r="GY33" i="9"/>
  <c r="GX33" i="9"/>
  <c r="GW33" i="9"/>
  <c r="GV33" i="9"/>
  <c r="GL33" i="9"/>
  <c r="GJ33" i="9"/>
  <c r="GI33" i="9"/>
  <c r="GH33" i="9"/>
  <c r="GA33" i="9"/>
  <c r="FZ33" i="9"/>
  <c r="FY33" i="9"/>
  <c r="FH33" i="9"/>
  <c r="FG33" i="9"/>
  <c r="FD33" i="9"/>
  <c r="FB33" i="9"/>
  <c r="FA33" i="9"/>
  <c r="EZ33" i="9"/>
  <c r="EY33" i="9"/>
  <c r="EX33" i="9"/>
  <c r="EW33" i="9"/>
  <c r="EV33" i="9"/>
  <c r="EU33" i="9"/>
  <c r="ET33" i="9"/>
  <c r="ES33" i="9"/>
  <c r="EQ33" i="9"/>
  <c r="EP33" i="9"/>
  <c r="EO33" i="9"/>
  <c r="EN33" i="9"/>
  <c r="EM33" i="9"/>
  <c r="EL33" i="9"/>
  <c r="DY33" i="9"/>
  <c r="DM33" i="9"/>
  <c r="DL33" i="9"/>
  <c r="DK33" i="9"/>
  <c r="DJ33" i="9"/>
  <c r="CZ33" i="9"/>
  <c r="CX33" i="9"/>
  <c r="CW33" i="9"/>
  <c r="CV33" i="9"/>
  <c r="CO33" i="9"/>
  <c r="CN33" i="9"/>
  <c r="CM33" i="9"/>
  <c r="BU33" i="9"/>
  <c r="BS33" i="9"/>
  <c r="BP33" i="9"/>
  <c r="BN33" i="9"/>
  <c r="BM33" i="9"/>
  <c r="BL33" i="9"/>
  <c r="BK33" i="9"/>
  <c r="BJ33" i="9"/>
  <c r="BH33" i="9"/>
  <c r="BF33" i="9"/>
  <c r="BC33" i="9"/>
  <c r="BA33" i="9"/>
  <c r="AZ33" i="9"/>
  <c r="AY33" i="9"/>
  <c r="AR33" i="9"/>
  <c r="AQ33" i="9"/>
  <c r="AP33" i="9"/>
  <c r="R33" i="9"/>
  <c r="P33" i="9"/>
  <c r="O33" i="9"/>
  <c r="A33" i="9"/>
  <c r="HK32" i="9"/>
  <c r="GY32" i="9"/>
  <c r="GX32" i="9"/>
  <c r="GW32" i="9"/>
  <c r="GV32" i="9"/>
  <c r="GL32" i="9"/>
  <c r="GJ32" i="9"/>
  <c r="GI32" i="9"/>
  <c r="GH32" i="9"/>
  <c r="GA32" i="9"/>
  <c r="FZ32" i="9"/>
  <c r="FY32" i="9"/>
  <c r="FH32" i="9"/>
  <c r="FG32" i="9"/>
  <c r="FD32" i="9"/>
  <c r="FB32" i="9"/>
  <c r="FA32" i="9"/>
  <c r="EZ32" i="9"/>
  <c r="EY32" i="9"/>
  <c r="EX32" i="9"/>
  <c r="EW32" i="9"/>
  <c r="EV32" i="9"/>
  <c r="EU32" i="9"/>
  <c r="ET32" i="9"/>
  <c r="ES32" i="9"/>
  <c r="EQ32" i="9"/>
  <c r="EP32" i="9"/>
  <c r="EO32" i="9"/>
  <c r="EN32" i="9"/>
  <c r="EM32" i="9"/>
  <c r="EL32" i="9"/>
  <c r="DY32" i="9"/>
  <c r="DM32" i="9"/>
  <c r="DL32" i="9"/>
  <c r="DK32" i="9"/>
  <c r="DJ32" i="9"/>
  <c r="CZ32" i="9"/>
  <c r="CX32" i="9"/>
  <c r="CW32" i="9"/>
  <c r="CV32" i="9"/>
  <c r="CO32" i="9"/>
  <c r="CN32" i="9"/>
  <c r="CM32" i="9"/>
  <c r="BU32" i="9"/>
  <c r="BS32" i="9"/>
  <c r="BP32" i="9"/>
  <c r="BN32" i="9"/>
  <c r="BM32" i="9"/>
  <c r="BL32" i="9"/>
  <c r="BK32" i="9"/>
  <c r="BJ32" i="9"/>
  <c r="BH32" i="9"/>
  <c r="BF32" i="9"/>
  <c r="BC32" i="9"/>
  <c r="BA32" i="9"/>
  <c r="AZ32" i="9"/>
  <c r="AY32" i="9"/>
  <c r="AR32" i="9"/>
  <c r="AQ32" i="9"/>
  <c r="AP32" i="9"/>
  <c r="R32" i="9"/>
  <c r="P32" i="9"/>
  <c r="O32" i="9"/>
  <c r="A32" i="9"/>
  <c r="HK31" i="9"/>
  <c r="GY31" i="9"/>
  <c r="GX31" i="9"/>
  <c r="GW31" i="9"/>
  <c r="GV31" i="9"/>
  <c r="GL31" i="9"/>
  <c r="GJ31" i="9"/>
  <c r="GI31" i="9"/>
  <c r="GH31" i="9"/>
  <c r="GA31" i="9"/>
  <c r="FZ31" i="9"/>
  <c r="FY31" i="9"/>
  <c r="FH31" i="9"/>
  <c r="FG31" i="9"/>
  <c r="FD31" i="9"/>
  <c r="FB31" i="9"/>
  <c r="FA31" i="9"/>
  <c r="EZ31" i="9"/>
  <c r="EY31" i="9"/>
  <c r="EX31" i="9"/>
  <c r="EW31" i="9"/>
  <c r="EV31" i="9"/>
  <c r="EU31" i="9"/>
  <c r="ET31" i="9"/>
  <c r="ES31" i="9"/>
  <c r="EQ31" i="9"/>
  <c r="EP31" i="9"/>
  <c r="EO31" i="9"/>
  <c r="EN31" i="9"/>
  <c r="EM31" i="9"/>
  <c r="EL31" i="9"/>
  <c r="DY31" i="9"/>
  <c r="DM31" i="9"/>
  <c r="DL31" i="9"/>
  <c r="DK31" i="9"/>
  <c r="DJ31" i="9"/>
  <c r="CZ31" i="9"/>
  <c r="CX31" i="9"/>
  <c r="CW31" i="9"/>
  <c r="CV31" i="9"/>
  <c r="CO31" i="9"/>
  <c r="CN31" i="9"/>
  <c r="CM31" i="9"/>
  <c r="BU31" i="9"/>
  <c r="BS31" i="9"/>
  <c r="BP31" i="9"/>
  <c r="BN31" i="9"/>
  <c r="BM31" i="9"/>
  <c r="BL31" i="9"/>
  <c r="BK31" i="9"/>
  <c r="BJ31" i="9"/>
  <c r="BH31" i="9"/>
  <c r="BF31" i="9"/>
  <c r="BA31" i="9"/>
  <c r="AZ31" i="9"/>
  <c r="AY31" i="9"/>
  <c r="AR31" i="9"/>
  <c r="AQ31" i="9"/>
  <c r="AP31" i="9"/>
  <c r="R31" i="9"/>
  <c r="P31" i="9"/>
  <c r="O31" i="9"/>
  <c r="A31" i="9"/>
  <c r="HK30" i="9"/>
  <c r="GY30" i="9"/>
  <c r="GX30" i="9"/>
  <c r="GW30" i="9"/>
  <c r="GV30" i="9"/>
  <c r="GL30" i="9"/>
  <c r="GJ30" i="9"/>
  <c r="GI30" i="9"/>
  <c r="GH30" i="9"/>
  <c r="GA30" i="9"/>
  <c r="FZ30" i="9"/>
  <c r="FY30" i="9"/>
  <c r="FH30" i="9"/>
  <c r="FG30" i="9"/>
  <c r="FD30" i="9"/>
  <c r="FB30" i="9"/>
  <c r="FA30" i="9"/>
  <c r="EZ30" i="9"/>
  <c r="EY30" i="9"/>
  <c r="EX30" i="9"/>
  <c r="EW30" i="9"/>
  <c r="EV30" i="9"/>
  <c r="EU30" i="9"/>
  <c r="ET30" i="9"/>
  <c r="ES30" i="9"/>
  <c r="EQ30" i="9"/>
  <c r="EP30" i="9"/>
  <c r="EO30" i="9"/>
  <c r="EN30" i="9"/>
  <c r="EM30" i="9"/>
  <c r="EL30" i="9"/>
  <c r="DY30" i="9"/>
  <c r="DM30" i="9"/>
  <c r="DL30" i="9"/>
  <c r="DK30" i="9"/>
  <c r="DJ30" i="9"/>
  <c r="CZ30" i="9"/>
  <c r="CX30" i="9"/>
  <c r="CW30" i="9"/>
  <c r="CV30" i="9"/>
  <c r="CO30" i="9"/>
  <c r="CN30" i="9"/>
  <c r="CM30" i="9"/>
  <c r="BU30" i="9"/>
  <c r="BS30" i="9"/>
  <c r="BP30" i="9"/>
  <c r="BN30" i="9"/>
  <c r="BM30" i="9"/>
  <c r="BL30" i="9"/>
  <c r="BK30" i="9"/>
  <c r="BJ30" i="9"/>
  <c r="BH30" i="9"/>
  <c r="BF30" i="9"/>
  <c r="BA30" i="9"/>
  <c r="AZ30" i="9"/>
  <c r="AY30" i="9"/>
  <c r="AR30" i="9"/>
  <c r="AQ30" i="9"/>
  <c r="AP30" i="9"/>
  <c r="R30" i="9"/>
  <c r="P30" i="9"/>
  <c r="O30" i="9"/>
  <c r="A30" i="9"/>
  <c r="HK29" i="9"/>
  <c r="GY29" i="9"/>
  <c r="GX29" i="9"/>
  <c r="GW29" i="9"/>
  <c r="GV29" i="9"/>
  <c r="GL29" i="9"/>
  <c r="GJ29" i="9"/>
  <c r="GI29" i="9"/>
  <c r="GH29" i="9"/>
  <c r="GA29" i="9"/>
  <c r="FZ29" i="9"/>
  <c r="FY29" i="9"/>
  <c r="FH29" i="9"/>
  <c r="FG29" i="9"/>
  <c r="FD29" i="9"/>
  <c r="FB29" i="9"/>
  <c r="FA29" i="9"/>
  <c r="EZ29" i="9"/>
  <c r="EY29" i="9"/>
  <c r="EX29" i="9"/>
  <c r="EW29" i="9"/>
  <c r="EV29" i="9"/>
  <c r="EU29" i="9"/>
  <c r="ET29" i="9"/>
  <c r="ES29" i="9"/>
  <c r="EQ29" i="9"/>
  <c r="EP29" i="9"/>
  <c r="EO29" i="9"/>
  <c r="EN29" i="9"/>
  <c r="EM29" i="9"/>
  <c r="EL29" i="9"/>
  <c r="DY29" i="9"/>
  <c r="DM29" i="9"/>
  <c r="DL29" i="9"/>
  <c r="DK29" i="9"/>
  <c r="DJ29" i="9"/>
  <c r="CZ29" i="9"/>
  <c r="CX29" i="9"/>
  <c r="CW29" i="9"/>
  <c r="CV29" i="9"/>
  <c r="CO29" i="9"/>
  <c r="CN29" i="9"/>
  <c r="CM29" i="9"/>
  <c r="BU29" i="9"/>
  <c r="BS29" i="9"/>
  <c r="BP29" i="9"/>
  <c r="BN29" i="9"/>
  <c r="BM29" i="9"/>
  <c r="BL29" i="9"/>
  <c r="BK29" i="9"/>
  <c r="BJ29" i="9"/>
  <c r="BH29" i="9"/>
  <c r="BF29" i="9"/>
  <c r="BA29" i="9"/>
  <c r="AZ29" i="9"/>
  <c r="AY29" i="9"/>
  <c r="AR29" i="9"/>
  <c r="AQ29" i="9"/>
  <c r="AP29" i="9"/>
  <c r="R29" i="9"/>
  <c r="O29" i="9"/>
  <c r="A29" i="9"/>
  <c r="HK28" i="9"/>
  <c r="GY28" i="9"/>
  <c r="GX28" i="9"/>
  <c r="GW28" i="9"/>
  <c r="GV28" i="9"/>
  <c r="GL28" i="9"/>
  <c r="GJ28" i="9"/>
  <c r="GI28" i="9"/>
  <c r="GH28" i="9"/>
  <c r="GA28" i="9"/>
  <c r="FZ28" i="9"/>
  <c r="FY28" i="9"/>
  <c r="FH28" i="9"/>
  <c r="FG28" i="9"/>
  <c r="FD28" i="9"/>
  <c r="FB28" i="9"/>
  <c r="FA28" i="9"/>
  <c r="EZ28" i="9"/>
  <c r="EY28" i="9"/>
  <c r="EX28" i="9"/>
  <c r="EW28" i="9"/>
  <c r="EV28" i="9"/>
  <c r="EU28" i="9"/>
  <c r="ET28" i="9"/>
  <c r="ES28" i="9"/>
  <c r="EQ28" i="9"/>
  <c r="EP28" i="9"/>
  <c r="EO28" i="9"/>
  <c r="EN28" i="9"/>
  <c r="EM28" i="9"/>
  <c r="EL28" i="9"/>
  <c r="DY28" i="9"/>
  <c r="DM28" i="9"/>
  <c r="DL28" i="9"/>
  <c r="DK28" i="9"/>
  <c r="DJ28" i="9"/>
  <c r="CZ28" i="9"/>
  <c r="CX28" i="9"/>
  <c r="CW28" i="9"/>
  <c r="CV28" i="9"/>
  <c r="CO28" i="9"/>
  <c r="CN28" i="9"/>
  <c r="CM28" i="9"/>
  <c r="BU28" i="9"/>
  <c r="BS28" i="9"/>
  <c r="BP28" i="9"/>
  <c r="BN28" i="9"/>
  <c r="BM28" i="9"/>
  <c r="BL28" i="9"/>
  <c r="BK28" i="9"/>
  <c r="BJ28" i="9"/>
  <c r="BH28" i="9"/>
  <c r="BF28" i="9"/>
  <c r="BA28" i="9"/>
  <c r="AZ28" i="9"/>
  <c r="AY28" i="9"/>
  <c r="AR28" i="9"/>
  <c r="AQ28" i="9"/>
  <c r="AP28" i="9"/>
  <c r="R28" i="9"/>
  <c r="O28" i="9"/>
  <c r="A28" i="9"/>
  <c r="HK27" i="9"/>
  <c r="GY27" i="9"/>
  <c r="GX27" i="9"/>
  <c r="GW27" i="9"/>
  <c r="GV27" i="9"/>
  <c r="GL27" i="9"/>
  <c r="GJ27" i="9"/>
  <c r="GI27" i="9"/>
  <c r="GH27" i="9"/>
  <c r="GA27" i="9"/>
  <c r="FZ27" i="9"/>
  <c r="FY27" i="9"/>
  <c r="FH27" i="9"/>
  <c r="FG27" i="9"/>
  <c r="FD27" i="9"/>
  <c r="FB27" i="9"/>
  <c r="FA27" i="9"/>
  <c r="EZ27" i="9"/>
  <c r="EY27" i="9"/>
  <c r="EX27" i="9"/>
  <c r="EW27" i="9"/>
  <c r="EV27" i="9"/>
  <c r="EU27" i="9"/>
  <c r="ET27" i="9"/>
  <c r="ES27" i="9"/>
  <c r="EQ27" i="9"/>
  <c r="EP27" i="9"/>
  <c r="EO27" i="9"/>
  <c r="EN27" i="9"/>
  <c r="EM27" i="9"/>
  <c r="EL27" i="9"/>
  <c r="DY27" i="9"/>
  <c r="DM27" i="9"/>
  <c r="DL27" i="9"/>
  <c r="DK27" i="9"/>
  <c r="DJ27" i="9"/>
  <c r="CZ27" i="9"/>
  <c r="CX27" i="9"/>
  <c r="CW27" i="9"/>
  <c r="CV27" i="9"/>
  <c r="CO27" i="9"/>
  <c r="CN27" i="9"/>
  <c r="CM27" i="9"/>
  <c r="BU27" i="9"/>
  <c r="BS27" i="9"/>
  <c r="BP27" i="9"/>
  <c r="BN27" i="9"/>
  <c r="BM27" i="9"/>
  <c r="BL27" i="9"/>
  <c r="BK27" i="9"/>
  <c r="BJ27" i="9"/>
  <c r="BH27" i="9"/>
  <c r="BF27" i="9"/>
  <c r="BA27" i="9"/>
  <c r="AZ27" i="9"/>
  <c r="AY27" i="9"/>
  <c r="AR27" i="9"/>
  <c r="AQ27" i="9"/>
  <c r="AP27" i="9"/>
  <c r="R27" i="9"/>
  <c r="O27" i="9"/>
  <c r="A27" i="9"/>
  <c r="HK26" i="9"/>
  <c r="GY26" i="9"/>
  <c r="GX26" i="9"/>
  <c r="GW26" i="9"/>
  <c r="GV26" i="9"/>
  <c r="GL26" i="9"/>
  <c r="GJ26" i="9"/>
  <c r="GI26" i="9"/>
  <c r="GH26" i="9"/>
  <c r="GA26" i="9"/>
  <c r="FZ26" i="9"/>
  <c r="FY26" i="9"/>
  <c r="FH26" i="9"/>
  <c r="FG26" i="9"/>
  <c r="FD26" i="9"/>
  <c r="FB26" i="9"/>
  <c r="FA26" i="9"/>
  <c r="EZ26" i="9"/>
  <c r="EY26" i="9"/>
  <c r="EX26" i="9"/>
  <c r="EW26" i="9"/>
  <c r="EV26" i="9"/>
  <c r="EU26" i="9"/>
  <c r="ET26" i="9"/>
  <c r="ES26" i="9"/>
  <c r="EQ26" i="9"/>
  <c r="EP26" i="9"/>
  <c r="EO26" i="9"/>
  <c r="EN26" i="9"/>
  <c r="EM26" i="9"/>
  <c r="EL26" i="9"/>
  <c r="DY26" i="9"/>
  <c r="DM26" i="9"/>
  <c r="DL26" i="9"/>
  <c r="DK26" i="9"/>
  <c r="DJ26" i="9"/>
  <c r="CZ26" i="9"/>
  <c r="CX26" i="9"/>
  <c r="CW26" i="9"/>
  <c r="CV26" i="9"/>
  <c r="CO26" i="9"/>
  <c r="CN26" i="9"/>
  <c r="CM26" i="9"/>
  <c r="BU26" i="9"/>
  <c r="BS26" i="9"/>
  <c r="BP26" i="9"/>
  <c r="BN26" i="9"/>
  <c r="BM26" i="9"/>
  <c r="BL26" i="9"/>
  <c r="BK26" i="9"/>
  <c r="BJ26" i="9"/>
  <c r="BH26" i="9"/>
  <c r="BF26" i="9"/>
  <c r="BA26" i="9"/>
  <c r="AZ26" i="9"/>
  <c r="AY26" i="9"/>
  <c r="AR26" i="9"/>
  <c r="AQ26" i="9"/>
  <c r="AP26" i="9"/>
  <c r="R26" i="9"/>
  <c r="O26" i="9"/>
  <c r="A26" i="9"/>
  <c r="HK25" i="9"/>
  <c r="GY25" i="9"/>
  <c r="GX25" i="9"/>
  <c r="GW25" i="9"/>
  <c r="GV25" i="9"/>
  <c r="GL25" i="9"/>
  <c r="GJ25" i="9"/>
  <c r="GI25" i="9"/>
  <c r="GH25" i="9"/>
  <c r="GA25" i="9"/>
  <c r="FZ25" i="9"/>
  <c r="FY25" i="9"/>
  <c r="FH25" i="9"/>
  <c r="FG25" i="9"/>
  <c r="FD25" i="9"/>
  <c r="FB25" i="9"/>
  <c r="FA25" i="9"/>
  <c r="EZ25" i="9"/>
  <c r="EY25" i="9"/>
  <c r="EX25" i="9"/>
  <c r="EW25" i="9"/>
  <c r="EV25" i="9"/>
  <c r="EU25" i="9"/>
  <c r="ET25" i="9"/>
  <c r="ES25" i="9"/>
  <c r="EQ25" i="9"/>
  <c r="EP25" i="9"/>
  <c r="EO25" i="9"/>
  <c r="EN25" i="9"/>
  <c r="EM25" i="9"/>
  <c r="EL25" i="9"/>
  <c r="DY25" i="9"/>
  <c r="DM25" i="9"/>
  <c r="DL25" i="9"/>
  <c r="DK25" i="9"/>
  <c r="DJ25" i="9"/>
  <c r="CZ25" i="9"/>
  <c r="CX25" i="9"/>
  <c r="CW25" i="9"/>
  <c r="CV25" i="9"/>
  <c r="CO25" i="9"/>
  <c r="CN25" i="9"/>
  <c r="CM25" i="9"/>
  <c r="BU25" i="9"/>
  <c r="BS25" i="9"/>
  <c r="BP25" i="9"/>
  <c r="BN25" i="9"/>
  <c r="BM25" i="9"/>
  <c r="BL25" i="9"/>
  <c r="BK25" i="9"/>
  <c r="BJ25" i="9"/>
  <c r="BH25" i="9"/>
  <c r="BF25" i="9"/>
  <c r="BA25" i="9"/>
  <c r="AZ25" i="9"/>
  <c r="AY25" i="9"/>
  <c r="AR25" i="9"/>
  <c r="AQ25" i="9"/>
  <c r="AP25" i="9"/>
  <c r="R25" i="9"/>
  <c r="O25" i="9"/>
  <c r="A25" i="9"/>
  <c r="HK24" i="9"/>
  <c r="GY24" i="9"/>
  <c r="GX24" i="9"/>
  <c r="GW24" i="9"/>
  <c r="GV24" i="9"/>
  <c r="GL24" i="9"/>
  <c r="GJ24" i="9"/>
  <c r="GI24" i="9"/>
  <c r="GH24" i="9"/>
  <c r="GA24" i="9"/>
  <c r="FZ24" i="9"/>
  <c r="FY24" i="9"/>
  <c r="FH24" i="9"/>
  <c r="FG24" i="9"/>
  <c r="FD24" i="9"/>
  <c r="FB24" i="9"/>
  <c r="FA24" i="9"/>
  <c r="EZ24" i="9"/>
  <c r="EY24" i="9"/>
  <c r="EX24" i="9"/>
  <c r="EW24" i="9"/>
  <c r="EV24" i="9"/>
  <c r="EU24" i="9"/>
  <c r="ET24" i="9"/>
  <c r="ES24" i="9"/>
  <c r="EQ24" i="9"/>
  <c r="EP24" i="9"/>
  <c r="EO24" i="9"/>
  <c r="EN24" i="9"/>
  <c r="EM24" i="9"/>
  <c r="EL24" i="9"/>
  <c r="DY24" i="9"/>
  <c r="DM24" i="9"/>
  <c r="DL24" i="9"/>
  <c r="DK24" i="9"/>
  <c r="DJ24" i="9"/>
  <c r="CZ24" i="9"/>
  <c r="CX24" i="9"/>
  <c r="CW24" i="9"/>
  <c r="CV24" i="9"/>
  <c r="CO24" i="9"/>
  <c r="CN24" i="9"/>
  <c r="CM24" i="9"/>
  <c r="BU24" i="9"/>
  <c r="BS24" i="9"/>
  <c r="BP24" i="9"/>
  <c r="BN24" i="9"/>
  <c r="BM24" i="9"/>
  <c r="BL24" i="9"/>
  <c r="BK24" i="9"/>
  <c r="BJ24" i="9"/>
  <c r="BH24" i="9"/>
  <c r="BF24" i="9"/>
  <c r="BA24" i="9"/>
  <c r="AZ24" i="9"/>
  <c r="AY24" i="9"/>
  <c r="AR24" i="9"/>
  <c r="AQ24" i="9"/>
  <c r="AP24" i="9"/>
  <c r="R24" i="9"/>
  <c r="O24" i="9"/>
  <c r="A24" i="9"/>
  <c r="HK23" i="9"/>
  <c r="GY23" i="9"/>
  <c r="GX23" i="9"/>
  <c r="GW23" i="9"/>
  <c r="GV23" i="9"/>
  <c r="GL23" i="9"/>
  <c r="GJ23" i="9"/>
  <c r="GI23" i="9"/>
  <c r="GH23" i="9"/>
  <c r="GA23" i="9"/>
  <c r="FZ23" i="9"/>
  <c r="FY23" i="9"/>
  <c r="FH23" i="9"/>
  <c r="FG23" i="9"/>
  <c r="FD23" i="9"/>
  <c r="FB23" i="9"/>
  <c r="FA23" i="9"/>
  <c r="EZ23" i="9"/>
  <c r="EY23" i="9"/>
  <c r="EX23" i="9"/>
  <c r="EW23" i="9"/>
  <c r="EV23" i="9"/>
  <c r="EU23" i="9"/>
  <c r="ET23" i="9"/>
  <c r="ES23" i="9"/>
  <c r="EQ23" i="9"/>
  <c r="EP23" i="9"/>
  <c r="EO23" i="9"/>
  <c r="EN23" i="9"/>
  <c r="EM23" i="9"/>
  <c r="EL23" i="9"/>
  <c r="DY23" i="9"/>
  <c r="DM23" i="9"/>
  <c r="DL23" i="9"/>
  <c r="DK23" i="9"/>
  <c r="DJ23" i="9"/>
  <c r="CZ23" i="9"/>
  <c r="CX23" i="9"/>
  <c r="CW23" i="9"/>
  <c r="CV23" i="9"/>
  <c r="CO23" i="9"/>
  <c r="CN23" i="9"/>
  <c r="CM23" i="9"/>
  <c r="BU23" i="9"/>
  <c r="BS23" i="9"/>
  <c r="BP23" i="9"/>
  <c r="BN23" i="9"/>
  <c r="BM23" i="9"/>
  <c r="BL23" i="9"/>
  <c r="BK23" i="9"/>
  <c r="BJ23" i="9"/>
  <c r="BH23" i="9"/>
  <c r="BF23" i="9"/>
  <c r="BA23" i="9"/>
  <c r="AZ23" i="9"/>
  <c r="AY23" i="9"/>
  <c r="AR23" i="9"/>
  <c r="AQ23" i="9"/>
  <c r="AP23" i="9"/>
  <c r="R23" i="9"/>
  <c r="O23" i="9"/>
  <c r="A23" i="9"/>
  <c r="HK22" i="9"/>
  <c r="GY22" i="9"/>
  <c r="GX22" i="9"/>
  <c r="GW22" i="9"/>
  <c r="GV22" i="9"/>
  <c r="GL22" i="9"/>
  <c r="GJ22" i="9"/>
  <c r="GI22" i="9"/>
  <c r="GH22" i="9"/>
  <c r="GA22" i="9"/>
  <c r="FZ22" i="9"/>
  <c r="FY22" i="9"/>
  <c r="FH22" i="9"/>
  <c r="FG22" i="9"/>
  <c r="FD22" i="9"/>
  <c r="FB22" i="9"/>
  <c r="FA22" i="9"/>
  <c r="EZ22" i="9"/>
  <c r="EY22" i="9"/>
  <c r="EX22" i="9"/>
  <c r="EW22" i="9"/>
  <c r="EV22" i="9"/>
  <c r="EU22" i="9"/>
  <c r="ET22" i="9"/>
  <c r="ES22" i="9"/>
  <c r="EQ22" i="9"/>
  <c r="EP22" i="9"/>
  <c r="EO22" i="9"/>
  <c r="EN22" i="9"/>
  <c r="EM22" i="9"/>
  <c r="EL22" i="9"/>
  <c r="DY22" i="9"/>
  <c r="DM22" i="9"/>
  <c r="DL22" i="9"/>
  <c r="DK22" i="9"/>
  <c r="DJ22" i="9"/>
  <c r="CZ22" i="9"/>
  <c r="CX22" i="9"/>
  <c r="CW22" i="9"/>
  <c r="CV22" i="9"/>
  <c r="CO22" i="9"/>
  <c r="CN22" i="9"/>
  <c r="CM22" i="9"/>
  <c r="BU22" i="9"/>
  <c r="BS22" i="9"/>
  <c r="BP22" i="9"/>
  <c r="BN22" i="9"/>
  <c r="BM22" i="9"/>
  <c r="BL22" i="9"/>
  <c r="BK22" i="9"/>
  <c r="BJ22" i="9"/>
  <c r="BH22" i="9"/>
  <c r="BF22" i="9"/>
  <c r="BA22" i="9"/>
  <c r="AY22" i="9"/>
  <c r="AR22" i="9"/>
  <c r="R22" i="9"/>
  <c r="O22" i="9"/>
  <c r="A22" i="9"/>
  <c r="HK21" i="9"/>
  <c r="GY21" i="9"/>
  <c r="GX21" i="9"/>
  <c r="GW21" i="9"/>
  <c r="GV21" i="9"/>
  <c r="GL21" i="9"/>
  <c r="GJ21" i="9"/>
  <c r="GI21" i="9"/>
  <c r="GH21" i="9"/>
  <c r="GA21" i="9"/>
  <c r="FZ21" i="9"/>
  <c r="FY21" i="9"/>
  <c r="FH21" i="9"/>
  <c r="FG21" i="9"/>
  <c r="FD21" i="9"/>
  <c r="FB21" i="9"/>
  <c r="FA21" i="9"/>
  <c r="EZ21" i="9"/>
  <c r="EY21" i="9"/>
  <c r="EX21" i="9"/>
  <c r="EW21" i="9"/>
  <c r="EV21" i="9"/>
  <c r="EU21" i="9"/>
  <c r="ET21" i="9"/>
  <c r="ES21" i="9"/>
  <c r="EQ21" i="9"/>
  <c r="EP21" i="9"/>
  <c r="EO21" i="9"/>
  <c r="EN21" i="9"/>
  <c r="EM21" i="9"/>
  <c r="EL21" i="9"/>
  <c r="DY21" i="9"/>
  <c r="DM21" i="9"/>
  <c r="DL21" i="9"/>
  <c r="DK21" i="9"/>
  <c r="DJ21" i="9"/>
  <c r="CZ21" i="9"/>
  <c r="CY21" i="9"/>
  <c r="CX21" i="9"/>
  <c r="CW21" i="9"/>
  <c r="CV21" i="9"/>
  <c r="CO21" i="9"/>
  <c r="CN21" i="9"/>
  <c r="CM21" i="9"/>
  <c r="BU21" i="9"/>
  <c r="BS21" i="9"/>
  <c r="BP21" i="9"/>
  <c r="BN21" i="9"/>
  <c r="BM21" i="9"/>
  <c r="BL21" i="9"/>
  <c r="BK21" i="9"/>
  <c r="BJ21" i="9"/>
  <c r="BH21" i="9"/>
  <c r="BF21" i="9"/>
  <c r="BA21" i="9"/>
  <c r="AZ21" i="9"/>
  <c r="AY21" i="9"/>
  <c r="AR21" i="9"/>
  <c r="AQ21" i="9"/>
  <c r="AP21" i="9"/>
  <c r="R21" i="9"/>
  <c r="O21" i="9"/>
  <c r="A21" i="9"/>
  <c r="HK20" i="9"/>
  <c r="GY20" i="9"/>
  <c r="GX20" i="9"/>
  <c r="GW20" i="9"/>
  <c r="GV20" i="9"/>
  <c r="GL20" i="9"/>
  <c r="GJ20" i="9"/>
  <c r="GI20" i="9"/>
  <c r="GH20" i="9"/>
  <c r="GA20" i="9"/>
  <c r="FZ20" i="9"/>
  <c r="FY20" i="9"/>
  <c r="FH20" i="9"/>
  <c r="FG20" i="9"/>
  <c r="FD20" i="9"/>
  <c r="FB20" i="9"/>
  <c r="FA20" i="9"/>
  <c r="EZ20" i="9"/>
  <c r="EY20" i="9"/>
  <c r="EX20" i="9"/>
  <c r="EW20" i="9"/>
  <c r="EV20" i="9"/>
  <c r="EU20" i="9"/>
  <c r="ET20" i="9"/>
  <c r="ES20" i="9"/>
  <c r="EQ20" i="9"/>
  <c r="EP20" i="9"/>
  <c r="EO20" i="9"/>
  <c r="EN20" i="9"/>
  <c r="EM20" i="9"/>
  <c r="EL20" i="9"/>
  <c r="DY20" i="9"/>
  <c r="DM20" i="9"/>
  <c r="DL20" i="9"/>
  <c r="DK20" i="9"/>
  <c r="DJ20" i="9"/>
  <c r="CZ20" i="9"/>
  <c r="CX20" i="9"/>
  <c r="CW20" i="9"/>
  <c r="CV20" i="9"/>
  <c r="CO20" i="9"/>
  <c r="CN20" i="9"/>
  <c r="CM20" i="9"/>
  <c r="BU20" i="9"/>
  <c r="BS20" i="9"/>
  <c r="BP20" i="9"/>
  <c r="BN20" i="9"/>
  <c r="BM20" i="9"/>
  <c r="BL20" i="9"/>
  <c r="BK20" i="9"/>
  <c r="BJ20" i="9"/>
  <c r="BH20" i="9"/>
  <c r="BF20" i="9"/>
  <c r="BA20" i="9"/>
  <c r="AZ20" i="9"/>
  <c r="AY20" i="9"/>
  <c r="AR20" i="9"/>
  <c r="AQ20" i="9"/>
  <c r="AP20" i="9"/>
  <c r="R20" i="9"/>
  <c r="O20" i="9"/>
  <c r="A20" i="9"/>
  <c r="HK19" i="9"/>
  <c r="GY19" i="9"/>
  <c r="GX19" i="9"/>
  <c r="GW19" i="9"/>
  <c r="GV19" i="9"/>
  <c r="GL19" i="9"/>
  <c r="GJ19" i="9"/>
  <c r="GI19" i="9"/>
  <c r="GH19" i="9"/>
  <c r="GA19" i="9"/>
  <c r="FZ19" i="9"/>
  <c r="FY19" i="9"/>
  <c r="FH19" i="9"/>
  <c r="FG19" i="9"/>
  <c r="FD19" i="9"/>
  <c r="FB19" i="9"/>
  <c r="FA19" i="9"/>
  <c r="EZ19" i="9"/>
  <c r="EY19" i="9"/>
  <c r="EX19" i="9"/>
  <c r="EW19" i="9"/>
  <c r="EV19" i="9"/>
  <c r="EU19" i="9"/>
  <c r="ET19" i="9"/>
  <c r="ES19" i="9"/>
  <c r="EQ19" i="9"/>
  <c r="EP19" i="9"/>
  <c r="EO19" i="9"/>
  <c r="EN19" i="9"/>
  <c r="EM19" i="9"/>
  <c r="EL19" i="9"/>
  <c r="DY19" i="9"/>
  <c r="DM19" i="9"/>
  <c r="DL19" i="9"/>
  <c r="DK19" i="9"/>
  <c r="DJ19" i="9"/>
  <c r="CZ19" i="9"/>
  <c r="CX19" i="9"/>
  <c r="CW19" i="9"/>
  <c r="CV19" i="9"/>
  <c r="CO19" i="9"/>
  <c r="CN19" i="9"/>
  <c r="CM19" i="9"/>
  <c r="BU19" i="9"/>
  <c r="BS19" i="9"/>
  <c r="BP19" i="9"/>
  <c r="BN19" i="9"/>
  <c r="BM19" i="9"/>
  <c r="BL19" i="9"/>
  <c r="BK19" i="9"/>
  <c r="BJ19" i="9"/>
  <c r="BH19" i="9"/>
  <c r="BF19" i="9"/>
  <c r="BA19" i="9"/>
  <c r="AZ19" i="9"/>
  <c r="AY19" i="9"/>
  <c r="AR19" i="9"/>
  <c r="AQ19" i="9"/>
  <c r="AP19" i="9"/>
  <c r="R19" i="9"/>
  <c r="O19" i="9"/>
  <c r="A19" i="9"/>
  <c r="HK18" i="9"/>
  <c r="GY18" i="9"/>
  <c r="GX18" i="9"/>
  <c r="GW18" i="9"/>
  <c r="GV18" i="9"/>
  <c r="GL18" i="9"/>
  <c r="GJ18" i="9"/>
  <c r="GI18" i="9"/>
  <c r="GH18" i="9"/>
  <c r="GA18" i="9"/>
  <c r="FZ18" i="9"/>
  <c r="FY18" i="9"/>
  <c r="FH18" i="9"/>
  <c r="FG18" i="9"/>
  <c r="FD18" i="9"/>
  <c r="FB18" i="9"/>
  <c r="FA18" i="9"/>
  <c r="EZ18" i="9"/>
  <c r="EY18" i="9"/>
  <c r="EX18" i="9"/>
  <c r="EW18" i="9"/>
  <c r="EV18" i="9"/>
  <c r="EU18" i="9"/>
  <c r="ET18" i="9"/>
  <c r="ES18" i="9"/>
  <c r="EQ18" i="9"/>
  <c r="EP18" i="9"/>
  <c r="EO18" i="9"/>
  <c r="EN18" i="9"/>
  <c r="EM18" i="9"/>
  <c r="EL18" i="9"/>
  <c r="DY18" i="9"/>
  <c r="DM18" i="9"/>
  <c r="DL18" i="9"/>
  <c r="DK18" i="9"/>
  <c r="DJ18" i="9"/>
  <c r="CZ18" i="9"/>
  <c r="CX18" i="9"/>
  <c r="CW18" i="9"/>
  <c r="CV18" i="9"/>
  <c r="CO18" i="9"/>
  <c r="CN18" i="9"/>
  <c r="CM18" i="9"/>
  <c r="BU18" i="9"/>
  <c r="BS18" i="9"/>
  <c r="BP18" i="9"/>
  <c r="BN18" i="9"/>
  <c r="BM18" i="9"/>
  <c r="BL18" i="9"/>
  <c r="BK18" i="9"/>
  <c r="BJ18" i="9"/>
  <c r="BH18" i="9"/>
  <c r="BF18" i="9"/>
  <c r="BA18" i="9"/>
  <c r="AZ18" i="9"/>
  <c r="AY18" i="9"/>
  <c r="AR18" i="9"/>
  <c r="AQ18" i="9"/>
  <c r="AP18" i="9"/>
  <c r="R18" i="9"/>
  <c r="O18" i="9"/>
  <c r="A18" i="9"/>
  <c r="HK17" i="9"/>
  <c r="GY17" i="9"/>
  <c r="GX17" i="9"/>
  <c r="GW17" i="9"/>
  <c r="GV17" i="9"/>
  <c r="GL17" i="9"/>
  <c r="GJ17" i="9"/>
  <c r="GI17" i="9"/>
  <c r="GH17" i="9"/>
  <c r="GA17" i="9"/>
  <c r="FZ17" i="9"/>
  <c r="FY17" i="9"/>
  <c r="FH17" i="9"/>
  <c r="FG17" i="9"/>
  <c r="FD17" i="9"/>
  <c r="FB17" i="9"/>
  <c r="FA17" i="9"/>
  <c r="EZ17" i="9"/>
  <c r="EY17" i="9"/>
  <c r="EX17" i="9"/>
  <c r="EW17" i="9"/>
  <c r="EV17" i="9"/>
  <c r="EU17" i="9"/>
  <c r="ET17" i="9"/>
  <c r="ES17" i="9"/>
  <c r="EQ17" i="9"/>
  <c r="EP17" i="9"/>
  <c r="EO17" i="9"/>
  <c r="EN17" i="9"/>
  <c r="EM17" i="9"/>
  <c r="EL17" i="9"/>
  <c r="DY17" i="9"/>
  <c r="DM17" i="9"/>
  <c r="DL17" i="9"/>
  <c r="DK17" i="9"/>
  <c r="DJ17" i="9"/>
  <c r="CZ17" i="9"/>
  <c r="CX17" i="9"/>
  <c r="CW17" i="9"/>
  <c r="CV17" i="9"/>
  <c r="CO17" i="9"/>
  <c r="CN17" i="9"/>
  <c r="CM17" i="9"/>
  <c r="BU17" i="9"/>
  <c r="BS17" i="9"/>
  <c r="BP17" i="9"/>
  <c r="BN17" i="9"/>
  <c r="BM17" i="9"/>
  <c r="BL17" i="9"/>
  <c r="BK17" i="9"/>
  <c r="BJ17" i="9"/>
  <c r="BH17" i="9"/>
  <c r="BF17" i="9"/>
  <c r="BA17" i="9"/>
  <c r="AY17" i="9"/>
  <c r="AR17" i="9"/>
  <c r="R17" i="9"/>
  <c r="O17" i="9"/>
  <c r="A17" i="9"/>
  <c r="HK16" i="9"/>
  <c r="GY16" i="9"/>
  <c r="GX16" i="9"/>
  <c r="GW16" i="9"/>
  <c r="GV16" i="9"/>
  <c r="GL16" i="9"/>
  <c r="GJ16" i="9"/>
  <c r="GI16" i="9"/>
  <c r="GH16" i="9"/>
  <c r="GA16" i="9"/>
  <c r="FZ16" i="9"/>
  <c r="FY16" i="9"/>
  <c r="FH16" i="9"/>
  <c r="FG16" i="9"/>
  <c r="FD16" i="9"/>
  <c r="FB16" i="9"/>
  <c r="FA16" i="9"/>
  <c r="EZ16" i="9"/>
  <c r="EY16" i="9"/>
  <c r="EX16" i="9"/>
  <c r="EW16" i="9"/>
  <c r="EV16" i="9"/>
  <c r="EU16" i="9"/>
  <c r="ET16" i="9"/>
  <c r="ES16" i="9"/>
  <c r="EQ16" i="9"/>
  <c r="EP16" i="9"/>
  <c r="EO16" i="9"/>
  <c r="EN16" i="9"/>
  <c r="EM16" i="9"/>
  <c r="EL16" i="9"/>
  <c r="DY16" i="9"/>
  <c r="DM16" i="9"/>
  <c r="DL16" i="9"/>
  <c r="DK16" i="9"/>
  <c r="DJ16" i="9"/>
  <c r="CZ16" i="9"/>
  <c r="CX16" i="9"/>
  <c r="CW16" i="9"/>
  <c r="CV16" i="9"/>
  <c r="CO16" i="9"/>
  <c r="CN16" i="9"/>
  <c r="CM16" i="9"/>
  <c r="BU16" i="9"/>
  <c r="BS16" i="9"/>
  <c r="BP16" i="9"/>
  <c r="BN16" i="9"/>
  <c r="BM16" i="9"/>
  <c r="BL16" i="9"/>
  <c r="BK16" i="9"/>
  <c r="BJ16" i="9"/>
  <c r="BH16" i="9"/>
  <c r="BF16" i="9"/>
  <c r="BA16" i="9"/>
  <c r="AZ16" i="9"/>
  <c r="AY16" i="9"/>
  <c r="AR16" i="9"/>
  <c r="AQ16" i="9"/>
  <c r="AP16" i="9"/>
  <c r="R16" i="9"/>
  <c r="O16" i="9"/>
  <c r="A16" i="9"/>
  <c r="HK15" i="9"/>
  <c r="GY15" i="9"/>
  <c r="GX15" i="9"/>
  <c r="GW15" i="9"/>
  <c r="GV15" i="9"/>
  <c r="GL15" i="9"/>
  <c r="GJ15" i="9"/>
  <c r="GI15" i="9"/>
  <c r="GH15" i="9"/>
  <c r="GA15" i="9"/>
  <c r="FZ15" i="9"/>
  <c r="FY15" i="9"/>
  <c r="FH15" i="9"/>
  <c r="FG15" i="9"/>
  <c r="FD15" i="9"/>
  <c r="FB15" i="9"/>
  <c r="FA15" i="9"/>
  <c r="EZ15" i="9"/>
  <c r="EY15" i="9"/>
  <c r="EX15" i="9"/>
  <c r="EW15" i="9"/>
  <c r="EV15" i="9"/>
  <c r="EU15" i="9"/>
  <c r="ET15" i="9"/>
  <c r="ES15" i="9"/>
  <c r="EQ15" i="9"/>
  <c r="EP15" i="9"/>
  <c r="EO15" i="9"/>
  <c r="EN15" i="9"/>
  <c r="EM15" i="9"/>
  <c r="EL15" i="9"/>
  <c r="DY15" i="9"/>
  <c r="DM15" i="9"/>
  <c r="DL15" i="9"/>
  <c r="DK15" i="9"/>
  <c r="DJ15" i="9"/>
  <c r="CZ15" i="9"/>
  <c r="CX15" i="9"/>
  <c r="CW15" i="9"/>
  <c r="CV15" i="9"/>
  <c r="CO15" i="9"/>
  <c r="CN15" i="9"/>
  <c r="CM15" i="9"/>
  <c r="BU15" i="9"/>
  <c r="BS15" i="9"/>
  <c r="BP15" i="9"/>
  <c r="BN15" i="9"/>
  <c r="BM15" i="9"/>
  <c r="BL15" i="9"/>
  <c r="BK15" i="9"/>
  <c r="BJ15" i="9"/>
  <c r="BH15" i="9"/>
  <c r="BF15" i="9"/>
  <c r="BA15" i="9"/>
  <c r="AZ15" i="9"/>
  <c r="AY15" i="9"/>
  <c r="AR15" i="9"/>
  <c r="AQ15" i="9"/>
  <c r="AP15" i="9"/>
  <c r="R15" i="9"/>
  <c r="O15" i="9"/>
  <c r="A15" i="9"/>
  <c r="HK14" i="9"/>
  <c r="GY14" i="9"/>
  <c r="GX14" i="9"/>
  <c r="GW14" i="9"/>
  <c r="GV14" i="9"/>
  <c r="GL14" i="9"/>
  <c r="GJ14" i="9"/>
  <c r="GI14" i="9"/>
  <c r="GH14" i="9"/>
  <c r="GA14" i="9"/>
  <c r="FZ14" i="9"/>
  <c r="FY14" i="9"/>
  <c r="FH14" i="9"/>
  <c r="FG14" i="9"/>
  <c r="FD14" i="9"/>
  <c r="FB14" i="9"/>
  <c r="FA14" i="9"/>
  <c r="EZ14" i="9"/>
  <c r="EY14" i="9"/>
  <c r="EX14" i="9"/>
  <c r="EW14" i="9"/>
  <c r="EV14" i="9"/>
  <c r="EU14" i="9"/>
  <c r="ET14" i="9"/>
  <c r="ES14" i="9"/>
  <c r="EQ14" i="9"/>
  <c r="EP14" i="9"/>
  <c r="EO14" i="9"/>
  <c r="EN14" i="9"/>
  <c r="EM14" i="9"/>
  <c r="EL14" i="9"/>
  <c r="DY14" i="9"/>
  <c r="DM14" i="9"/>
  <c r="DL14" i="9"/>
  <c r="DK14" i="9"/>
  <c r="DJ14" i="9"/>
  <c r="CZ14" i="9"/>
  <c r="CX14" i="9"/>
  <c r="CW14" i="9"/>
  <c r="CV14" i="9"/>
  <c r="CO14" i="9"/>
  <c r="CN14" i="9"/>
  <c r="CM14" i="9"/>
  <c r="BU14" i="9"/>
  <c r="BS14" i="9"/>
  <c r="BP14" i="9"/>
  <c r="BN14" i="9"/>
  <c r="BM14" i="9"/>
  <c r="BL14" i="9"/>
  <c r="BK14" i="9"/>
  <c r="BJ14" i="9"/>
  <c r="BH14" i="9"/>
  <c r="BF14" i="9"/>
  <c r="BA14" i="9"/>
  <c r="AZ14" i="9"/>
  <c r="AY14" i="9"/>
  <c r="AR14" i="9"/>
  <c r="AQ14" i="9"/>
  <c r="AP14" i="9"/>
  <c r="R14" i="9"/>
  <c r="O14" i="9"/>
  <c r="A14" i="9"/>
  <c r="HK13" i="9"/>
  <c r="GY13" i="9"/>
  <c r="GX13" i="9"/>
  <c r="GW13" i="9"/>
  <c r="GV13" i="9"/>
  <c r="GL13" i="9"/>
  <c r="GJ13" i="9"/>
  <c r="GI13" i="9"/>
  <c r="GH13" i="9"/>
  <c r="GA13" i="9"/>
  <c r="FZ13" i="9"/>
  <c r="FY13" i="9"/>
  <c r="FH13" i="9"/>
  <c r="FG13" i="9"/>
  <c r="FD13" i="9"/>
  <c r="FB13" i="9"/>
  <c r="FA13" i="9"/>
  <c r="EZ13" i="9"/>
  <c r="EY13" i="9"/>
  <c r="EX13" i="9"/>
  <c r="EW13" i="9"/>
  <c r="EV13" i="9"/>
  <c r="EU13" i="9"/>
  <c r="ET13" i="9"/>
  <c r="ES13" i="9"/>
  <c r="EQ13" i="9"/>
  <c r="EP13" i="9"/>
  <c r="EO13" i="9"/>
  <c r="EN13" i="9"/>
  <c r="EM13" i="9"/>
  <c r="EL13" i="9"/>
  <c r="DY13" i="9"/>
  <c r="DM13" i="9"/>
  <c r="DL13" i="9"/>
  <c r="DK13" i="9"/>
  <c r="DJ13" i="9"/>
  <c r="CZ13" i="9"/>
  <c r="CX13" i="9"/>
  <c r="CW13" i="9"/>
  <c r="CV13" i="9"/>
  <c r="CO13" i="9"/>
  <c r="CN13" i="9"/>
  <c r="CM13" i="9"/>
  <c r="BU13" i="9"/>
  <c r="BS13" i="9"/>
  <c r="BP13" i="9"/>
  <c r="BN13" i="9"/>
  <c r="BM13" i="9"/>
  <c r="BL13" i="9"/>
  <c r="BK13" i="9"/>
  <c r="BJ13" i="9"/>
  <c r="BH13" i="9"/>
  <c r="BF13" i="9"/>
  <c r="BA13" i="9"/>
  <c r="AZ13" i="9"/>
  <c r="AY13" i="9"/>
  <c r="AR13" i="9"/>
  <c r="AQ13" i="9"/>
  <c r="AP13" i="9"/>
  <c r="R13" i="9"/>
  <c r="O13" i="9"/>
  <c r="A13" i="9"/>
  <c r="GY12" i="9"/>
  <c r="GX12" i="9"/>
  <c r="GW12" i="9"/>
  <c r="GV12" i="9"/>
  <c r="GL12" i="9"/>
  <c r="GJ12" i="9"/>
  <c r="GI12" i="9"/>
  <c r="GH12" i="9"/>
  <c r="GA12" i="9"/>
  <c r="FZ12" i="9"/>
  <c r="FY12" i="9"/>
  <c r="FH12" i="9"/>
  <c r="FG12" i="9"/>
  <c r="FD12" i="9"/>
  <c r="FB12" i="9"/>
  <c r="FA12" i="9"/>
  <c r="EZ12" i="9"/>
  <c r="EY12" i="9"/>
  <c r="EX12" i="9"/>
  <c r="EW12" i="9"/>
  <c r="EV12" i="9"/>
  <c r="EU12" i="9"/>
  <c r="ET12" i="9"/>
  <c r="ES12" i="9"/>
  <c r="EQ12" i="9"/>
  <c r="EP12" i="9"/>
  <c r="EO12" i="9"/>
  <c r="EN12" i="9"/>
  <c r="EM12" i="9"/>
  <c r="EL12" i="9"/>
  <c r="DY12" i="9"/>
  <c r="DM12" i="9"/>
  <c r="DL12" i="9"/>
  <c r="DK12" i="9"/>
  <c r="DJ12" i="9"/>
  <c r="CZ12" i="9"/>
  <c r="CX12" i="9"/>
  <c r="CW12" i="9"/>
  <c r="CV12" i="9"/>
  <c r="CO12" i="9"/>
  <c r="CN12" i="9"/>
  <c r="CM12" i="9"/>
  <c r="BU12" i="9"/>
  <c r="BS12" i="9"/>
  <c r="BP12" i="9"/>
  <c r="BN12" i="9"/>
  <c r="BM12" i="9"/>
  <c r="BL12" i="9"/>
  <c r="BK12" i="9"/>
  <c r="BJ12" i="9"/>
  <c r="BH12" i="9"/>
  <c r="BF12" i="9"/>
  <c r="BA12" i="9"/>
  <c r="AY12" i="9"/>
  <c r="AR12" i="9"/>
  <c r="R12" i="9"/>
  <c r="O12" i="9"/>
  <c r="A12" i="9"/>
  <c r="GY11" i="9"/>
  <c r="GX11" i="9"/>
  <c r="GW11" i="9"/>
  <c r="GV11" i="9"/>
  <c r="GJ11" i="9"/>
  <c r="GI11" i="9"/>
  <c r="GH11" i="9"/>
  <c r="GA11" i="9"/>
  <c r="FZ11" i="9"/>
  <c r="FY11" i="9"/>
  <c r="FH11" i="9"/>
  <c r="FG11" i="9"/>
  <c r="FD11" i="9"/>
  <c r="FB11" i="9"/>
  <c r="FA11" i="9"/>
  <c r="EZ11" i="9"/>
  <c r="EY11" i="9"/>
  <c r="EX11" i="9"/>
  <c r="EW11" i="9"/>
  <c r="EV11" i="9"/>
  <c r="EU11" i="9"/>
  <c r="ET11" i="9"/>
  <c r="ES11" i="9"/>
  <c r="EQ11" i="9"/>
  <c r="EP11" i="9"/>
  <c r="EO11" i="9"/>
  <c r="EN11" i="9"/>
  <c r="EM11" i="9"/>
  <c r="EL11" i="9"/>
  <c r="DY11" i="9"/>
  <c r="DM11" i="9"/>
  <c r="DL11" i="9"/>
  <c r="DK11" i="9"/>
  <c r="DJ11" i="9"/>
  <c r="CX11" i="9"/>
  <c r="CW11" i="9"/>
  <c r="CV11" i="9"/>
  <c r="CO11" i="9"/>
  <c r="CN11" i="9"/>
  <c r="CM11" i="9"/>
  <c r="BU11" i="9"/>
  <c r="BS11" i="9"/>
  <c r="BP11" i="9"/>
  <c r="BN11" i="9"/>
  <c r="BM11" i="9"/>
  <c r="BL11" i="9"/>
  <c r="BK11" i="9"/>
  <c r="BJ11" i="9"/>
  <c r="BH11" i="9"/>
  <c r="BF11" i="9"/>
  <c r="BA11" i="9"/>
  <c r="AZ11" i="9"/>
  <c r="AY11" i="9"/>
  <c r="AR11" i="9"/>
  <c r="AQ11" i="9"/>
  <c r="AP11" i="9"/>
  <c r="R11" i="9"/>
  <c r="O11" i="9"/>
  <c r="A11" i="9"/>
  <c r="GY10" i="9"/>
  <c r="GX10" i="9"/>
  <c r="GW10" i="9"/>
  <c r="GV10" i="9"/>
  <c r="GJ10" i="9"/>
  <c r="GI10" i="9"/>
  <c r="GH10" i="9"/>
  <c r="GA10" i="9"/>
  <c r="FZ10" i="9"/>
  <c r="FY10" i="9"/>
  <c r="FH10" i="9"/>
  <c r="FG10" i="9"/>
  <c r="FD10" i="9"/>
  <c r="FB10" i="9"/>
  <c r="FA10" i="9"/>
  <c r="EZ10" i="9"/>
  <c r="EY10" i="9"/>
  <c r="EX10" i="9"/>
  <c r="EW10" i="9"/>
  <c r="EV10" i="9"/>
  <c r="EU10" i="9"/>
  <c r="ET10" i="9"/>
  <c r="ES10" i="9"/>
  <c r="EQ10" i="9"/>
  <c r="EP10" i="9"/>
  <c r="EO10" i="9"/>
  <c r="EN10" i="9"/>
  <c r="EM10" i="9"/>
  <c r="EL10" i="9"/>
  <c r="DY10" i="9"/>
  <c r="DM10" i="9"/>
  <c r="DL10" i="9"/>
  <c r="DK10" i="9"/>
  <c r="DJ10" i="9"/>
  <c r="CX10" i="9"/>
  <c r="CW10" i="9"/>
  <c r="CV10" i="9"/>
  <c r="CO10" i="9"/>
  <c r="CN10" i="9"/>
  <c r="CM10" i="9"/>
  <c r="BS10" i="9"/>
  <c r="BP10" i="9"/>
  <c r="BN10" i="9"/>
  <c r="BM10" i="9"/>
  <c r="BL10" i="9"/>
  <c r="BK10" i="9"/>
  <c r="BJ10" i="9"/>
  <c r="BH10" i="9"/>
  <c r="BF10" i="9"/>
  <c r="BA10" i="9"/>
  <c r="AZ10" i="9"/>
  <c r="AY10" i="9"/>
  <c r="AR10" i="9"/>
  <c r="AQ10" i="9"/>
  <c r="AP10" i="9"/>
  <c r="R10" i="9"/>
  <c r="O10" i="9"/>
  <c r="A10" i="9"/>
  <c r="GY9" i="9"/>
  <c r="GX9" i="9"/>
  <c r="GW9" i="9"/>
  <c r="GV9" i="9"/>
  <c r="GJ9" i="9"/>
  <c r="GI9" i="9"/>
  <c r="GH9" i="9"/>
  <c r="GA9" i="9"/>
  <c r="FZ9" i="9"/>
  <c r="FY9" i="9"/>
  <c r="FH9" i="9"/>
  <c r="FG9" i="9"/>
  <c r="FD9" i="9"/>
  <c r="FB9" i="9"/>
  <c r="FA9" i="9"/>
  <c r="EZ9" i="9"/>
  <c r="EY9" i="9"/>
  <c r="EX9" i="9"/>
  <c r="EW9" i="9"/>
  <c r="EV9" i="9"/>
  <c r="EU9" i="9"/>
  <c r="ET9" i="9"/>
  <c r="ES9" i="9"/>
  <c r="EQ9" i="9"/>
  <c r="EP9" i="9"/>
  <c r="EO9" i="9"/>
  <c r="EN9" i="9"/>
  <c r="EM9" i="9"/>
  <c r="EL9" i="9"/>
  <c r="DY9" i="9"/>
  <c r="DM9" i="9"/>
  <c r="DL9" i="9"/>
  <c r="DK9" i="9"/>
  <c r="DJ9" i="9"/>
  <c r="CX9" i="9"/>
  <c r="CW9" i="9"/>
  <c r="CV9" i="9"/>
  <c r="CO9" i="9"/>
  <c r="CN9" i="9"/>
  <c r="CM9" i="9"/>
  <c r="BS9" i="9"/>
  <c r="BP9" i="9"/>
  <c r="BN9" i="9"/>
  <c r="BM9" i="9"/>
  <c r="BL9" i="9"/>
  <c r="BK9" i="9"/>
  <c r="BJ9" i="9"/>
  <c r="BH9" i="9"/>
  <c r="BF9" i="9"/>
  <c r="BA9" i="9"/>
  <c r="AZ9" i="9"/>
  <c r="AY9" i="9"/>
  <c r="AR9" i="9"/>
  <c r="AQ9" i="9"/>
  <c r="AP9" i="9"/>
  <c r="R9" i="9"/>
  <c r="O9" i="9"/>
  <c r="A9" i="9"/>
  <c r="GY8" i="9"/>
  <c r="GX8" i="9"/>
  <c r="GW8" i="9"/>
  <c r="GV8" i="9"/>
  <c r="GJ8" i="9"/>
  <c r="GI8" i="9"/>
  <c r="GH8" i="9"/>
  <c r="GA8" i="9"/>
  <c r="FZ8" i="9"/>
  <c r="FY8" i="9"/>
  <c r="FH8" i="9"/>
  <c r="FG8" i="9"/>
  <c r="FD8" i="9"/>
  <c r="FB8" i="9"/>
  <c r="FA8" i="9"/>
  <c r="EZ8" i="9"/>
  <c r="EY8" i="9"/>
  <c r="EX8" i="9"/>
  <c r="EW8" i="9"/>
  <c r="EV8" i="9"/>
  <c r="EU8" i="9"/>
  <c r="ET8" i="9"/>
  <c r="ES8" i="9"/>
  <c r="EQ8" i="9"/>
  <c r="EP8" i="9"/>
  <c r="EO8" i="9"/>
  <c r="EN8" i="9"/>
  <c r="EM8" i="9"/>
  <c r="EL8" i="9"/>
  <c r="DY8" i="9"/>
  <c r="DM8" i="9"/>
  <c r="DL8" i="9"/>
  <c r="DK8" i="9"/>
  <c r="DJ8" i="9"/>
  <c r="CX8" i="9"/>
  <c r="CW8" i="9"/>
  <c r="CV8" i="9"/>
  <c r="CO8" i="9"/>
  <c r="CN8" i="9"/>
  <c r="CM8" i="9"/>
  <c r="BS8" i="9"/>
  <c r="BP8" i="9"/>
  <c r="BN8" i="9"/>
  <c r="BM8" i="9"/>
  <c r="BL8" i="9"/>
  <c r="BK8" i="9"/>
  <c r="BJ8" i="9"/>
  <c r="BH8" i="9"/>
  <c r="BF8" i="9"/>
  <c r="BA8" i="9"/>
  <c r="AZ8" i="9"/>
  <c r="AY8" i="9"/>
  <c r="AR8" i="9"/>
  <c r="AQ8" i="9"/>
  <c r="AP8" i="9"/>
  <c r="R8" i="9"/>
  <c r="O8" i="9"/>
  <c r="A8" i="9"/>
  <c r="GY7" i="9"/>
  <c r="GX7" i="9"/>
  <c r="GW7" i="9"/>
  <c r="GV7" i="9"/>
  <c r="GJ7" i="9"/>
  <c r="GI7" i="9"/>
  <c r="GH7" i="9"/>
  <c r="GA7" i="9"/>
  <c r="FZ7" i="9"/>
  <c r="FY7" i="9"/>
  <c r="FH7" i="9"/>
  <c r="FG7" i="9"/>
  <c r="FD7" i="9"/>
  <c r="FB7" i="9"/>
  <c r="FA7" i="9"/>
  <c r="EZ7" i="9"/>
  <c r="EY7" i="9"/>
  <c r="EX7" i="9"/>
  <c r="EW7" i="9"/>
  <c r="EV7" i="9"/>
  <c r="EU7" i="9"/>
  <c r="ET7" i="9"/>
  <c r="ES7" i="9"/>
  <c r="EQ7" i="9"/>
  <c r="EP7" i="9"/>
  <c r="EO7" i="9"/>
  <c r="EN7" i="9"/>
  <c r="EM7" i="9"/>
  <c r="EL7" i="9"/>
  <c r="DY7" i="9"/>
  <c r="DM7" i="9"/>
  <c r="DL7" i="9"/>
  <c r="DK7" i="9"/>
  <c r="DJ7" i="9"/>
  <c r="CX7" i="9"/>
  <c r="CW7" i="9"/>
  <c r="CV7" i="9"/>
  <c r="CO7" i="9"/>
  <c r="CN7" i="9"/>
  <c r="CM7" i="9"/>
  <c r="BS7" i="9"/>
  <c r="BP7" i="9"/>
  <c r="BN7" i="9"/>
  <c r="BM7" i="9"/>
  <c r="BL7" i="9"/>
  <c r="BK7" i="9"/>
  <c r="BJ7" i="9"/>
  <c r="BH7" i="9"/>
  <c r="BF7" i="9"/>
  <c r="BA7" i="9"/>
  <c r="AY7" i="9"/>
  <c r="AR7" i="9"/>
  <c r="S7" i="9"/>
  <c r="T7" i="9" s="1"/>
  <c r="R7" i="9"/>
  <c r="O7" i="9"/>
  <c r="A7" i="9"/>
  <c r="GY6" i="9"/>
  <c r="GX6" i="9"/>
  <c r="GW6" i="9"/>
  <c r="GV6" i="9"/>
  <c r="GJ6" i="9"/>
  <c r="GI6" i="9"/>
  <c r="GH6" i="9"/>
  <c r="GA6" i="9"/>
  <c r="FZ6" i="9"/>
  <c r="FY6" i="9"/>
  <c r="FH6" i="9"/>
  <c r="FG6" i="9"/>
  <c r="FD6" i="9"/>
  <c r="FB6" i="9"/>
  <c r="FA6" i="9"/>
  <c r="EZ6" i="9"/>
  <c r="EY6" i="9"/>
  <c r="EX6" i="9"/>
  <c r="EW6" i="9"/>
  <c r="EV6" i="9"/>
  <c r="EU6" i="9"/>
  <c r="ET6" i="9"/>
  <c r="ES6" i="9"/>
  <c r="EQ6" i="9"/>
  <c r="EP6" i="9"/>
  <c r="EO6" i="9"/>
  <c r="EN6" i="9"/>
  <c r="EM6" i="9"/>
  <c r="EL6" i="9"/>
  <c r="DY6" i="9"/>
  <c r="DM6" i="9"/>
  <c r="DL6" i="9"/>
  <c r="DK6" i="9"/>
  <c r="DJ6" i="9"/>
  <c r="CX6" i="9"/>
  <c r="CW6" i="9"/>
  <c r="CV6" i="9"/>
  <c r="CO6" i="9"/>
  <c r="CN6" i="9"/>
  <c r="CM6" i="9"/>
  <c r="BS6" i="9"/>
  <c r="BP6" i="9"/>
  <c r="BN6" i="9"/>
  <c r="BM6" i="9"/>
  <c r="BL6" i="9"/>
  <c r="BK6" i="9"/>
  <c r="BJ6" i="9"/>
  <c r="BH6" i="9"/>
  <c r="BF6" i="9"/>
  <c r="BA6" i="9"/>
  <c r="AZ6" i="9"/>
  <c r="AY6" i="9"/>
  <c r="AR6" i="9"/>
  <c r="AQ6" i="9"/>
  <c r="AP6" i="9"/>
  <c r="R6" i="9"/>
  <c r="O6" i="9"/>
  <c r="A6" i="9"/>
  <c r="GY5" i="9"/>
  <c r="GX5" i="9"/>
  <c r="GW5" i="9"/>
  <c r="GV5" i="9"/>
  <c r="GJ5" i="9"/>
  <c r="GI5" i="9"/>
  <c r="GH5" i="9"/>
  <c r="GA5" i="9"/>
  <c r="FZ5" i="9"/>
  <c r="FY5" i="9"/>
  <c r="FH5" i="9"/>
  <c r="FG5" i="9"/>
  <c r="FD5" i="9"/>
  <c r="FB5" i="9"/>
  <c r="FA5" i="9"/>
  <c r="EZ5" i="9"/>
  <c r="EY5" i="9"/>
  <c r="EX5" i="9"/>
  <c r="EW5" i="9"/>
  <c r="EV5" i="9"/>
  <c r="EU5" i="9"/>
  <c r="ET5" i="9"/>
  <c r="ES5" i="9"/>
  <c r="EQ5" i="9"/>
  <c r="EP5" i="9"/>
  <c r="EO5" i="9"/>
  <c r="EN5" i="9"/>
  <c r="EM5" i="9"/>
  <c r="EL5" i="9"/>
  <c r="DM5" i="9"/>
  <c r="DL5" i="9"/>
  <c r="DK5" i="9"/>
  <c r="DJ5" i="9"/>
  <c r="CX5" i="9"/>
  <c r="CW5" i="9"/>
  <c r="CV5" i="9"/>
  <c r="CO5" i="9"/>
  <c r="CN5" i="9"/>
  <c r="CM5" i="9"/>
  <c r="BS5" i="9"/>
  <c r="BP5" i="9"/>
  <c r="BN5" i="9"/>
  <c r="BM5" i="9"/>
  <c r="BL5" i="9"/>
  <c r="BK5" i="9"/>
  <c r="BJ5" i="9"/>
  <c r="BH5" i="9"/>
  <c r="BF5" i="9"/>
  <c r="BA5" i="9"/>
  <c r="AY5" i="9"/>
  <c r="AR5" i="9"/>
  <c r="S5" i="9"/>
  <c r="R5" i="9"/>
  <c r="O5" i="9"/>
  <c r="A5" i="9"/>
  <c r="GY4" i="9"/>
  <c r="GX4" i="9"/>
  <c r="GW4" i="9"/>
  <c r="GV4" i="9"/>
  <c r="GJ4" i="9"/>
  <c r="GI4" i="9"/>
  <c r="GH4" i="9"/>
  <c r="GA4" i="9"/>
  <c r="FZ4" i="9"/>
  <c r="FY4" i="9"/>
  <c r="FH4" i="9"/>
  <c r="FG4" i="9"/>
  <c r="FD4" i="9"/>
  <c r="FB4" i="9"/>
  <c r="FA4" i="9"/>
  <c r="EZ4" i="9"/>
  <c r="EY4" i="9"/>
  <c r="EX4" i="9"/>
  <c r="EW4" i="9"/>
  <c r="EV4" i="9"/>
  <c r="EU4" i="9"/>
  <c r="ET4" i="9"/>
  <c r="ES4" i="9"/>
  <c r="EQ4" i="9"/>
  <c r="EP4" i="9"/>
  <c r="EO4" i="9"/>
  <c r="EN4" i="9"/>
  <c r="EM4" i="9"/>
  <c r="EL4" i="9"/>
  <c r="DM4" i="9"/>
  <c r="DL4" i="9"/>
  <c r="DK4" i="9"/>
  <c r="DJ4" i="9"/>
  <c r="CX4" i="9"/>
  <c r="CW4" i="9"/>
  <c r="CV4" i="9"/>
  <c r="CO4" i="9"/>
  <c r="CN4" i="9"/>
  <c r="CM4" i="9"/>
  <c r="BS4" i="9"/>
  <c r="BP4" i="9"/>
  <c r="BN4" i="9"/>
  <c r="BM4" i="9"/>
  <c r="BL4" i="9"/>
  <c r="BK4" i="9"/>
  <c r="BJ4" i="9"/>
  <c r="BH4" i="9"/>
  <c r="BF4" i="9"/>
  <c r="BA4" i="9"/>
  <c r="AZ4" i="9"/>
  <c r="AY4" i="9"/>
  <c r="AR4" i="9"/>
  <c r="AQ4" i="9"/>
  <c r="AP4" i="9"/>
  <c r="S4" i="9"/>
  <c r="R4" i="9"/>
  <c r="O4" i="9"/>
  <c r="A4" i="9"/>
  <c r="GY3" i="9"/>
  <c r="GX3" i="9"/>
  <c r="GW3" i="9"/>
  <c r="GV3" i="9"/>
  <c r="GJ3" i="9"/>
  <c r="GI3" i="9"/>
  <c r="GH3" i="9"/>
  <c r="GA3" i="9"/>
  <c r="FZ3" i="9"/>
  <c r="FY3" i="9"/>
  <c r="FH3" i="9"/>
  <c r="FG3" i="9"/>
  <c r="FD3" i="9"/>
  <c r="FB3" i="9"/>
  <c r="FA3" i="9"/>
  <c r="EZ3" i="9"/>
  <c r="EY3" i="9"/>
  <c r="EX3" i="9"/>
  <c r="EW3" i="9"/>
  <c r="EV3" i="9"/>
  <c r="EU3" i="9"/>
  <c r="ET3" i="9"/>
  <c r="ES3" i="9"/>
  <c r="EQ3" i="9"/>
  <c r="EP3" i="9"/>
  <c r="EO3" i="9"/>
  <c r="EN3" i="9"/>
  <c r="EM3" i="9"/>
  <c r="EL3" i="9"/>
  <c r="DM3" i="9"/>
  <c r="DL3" i="9"/>
  <c r="DK3" i="9"/>
  <c r="DJ3" i="9"/>
  <c r="CX3" i="9"/>
  <c r="CW3" i="9"/>
  <c r="CV3" i="9"/>
  <c r="CO3" i="9"/>
  <c r="CN3" i="9"/>
  <c r="CM3" i="9"/>
  <c r="BS3" i="9"/>
  <c r="BP3" i="9"/>
  <c r="BN3" i="9"/>
  <c r="BM3" i="9"/>
  <c r="BL3" i="9"/>
  <c r="BK3" i="9"/>
  <c r="BJ3" i="9"/>
  <c r="BH3" i="9"/>
  <c r="BF3" i="9"/>
  <c r="BA3" i="9"/>
  <c r="AZ3" i="9"/>
  <c r="AY3" i="9"/>
  <c r="AR3" i="9"/>
  <c r="AQ3" i="9"/>
  <c r="AP3" i="9"/>
  <c r="S3" i="9"/>
  <c r="T3" i="9" s="1"/>
  <c r="R3" i="9"/>
  <c r="O3" i="9"/>
  <c r="A3" i="9"/>
  <c r="HV2" i="9"/>
  <c r="HS3" i="9" s="1"/>
  <c r="HU2" i="9"/>
  <c r="HI2" i="9"/>
  <c r="GY2" i="9"/>
  <c r="GX2" i="9"/>
  <c r="GW2" i="9"/>
  <c r="GV2" i="9"/>
  <c r="GJ2" i="9"/>
  <c r="GH2" i="9"/>
  <c r="GA2" i="9"/>
  <c r="FT2" i="9"/>
  <c r="FQ3" i="9" s="1"/>
  <c r="FS2" i="9"/>
  <c r="FH2" i="9"/>
  <c r="FG2" i="9"/>
  <c r="FD2" i="9"/>
  <c r="FB2" i="9"/>
  <c r="FA2" i="9"/>
  <c r="EZ2" i="9"/>
  <c r="EY2" i="9"/>
  <c r="EX2" i="9"/>
  <c r="EW2" i="9"/>
  <c r="EV2" i="9"/>
  <c r="EU2" i="9"/>
  <c r="ET2" i="9"/>
  <c r="ES2" i="9"/>
  <c r="EQ2" i="9"/>
  <c r="EP2" i="9"/>
  <c r="EO2" i="9"/>
  <c r="EN2" i="9"/>
  <c r="EM2" i="9"/>
  <c r="EL2" i="9"/>
  <c r="EB2" i="9"/>
  <c r="DW2" i="9"/>
  <c r="DW3" i="9" s="1"/>
  <c r="DW4" i="9" s="1"/>
  <c r="DM2" i="9"/>
  <c r="DL2" i="9"/>
  <c r="DK2" i="9"/>
  <c r="DJ2" i="9"/>
  <c r="CX2" i="9"/>
  <c r="CY15" i="9" s="1"/>
  <c r="CV2" i="9"/>
  <c r="CO2" i="9"/>
  <c r="CI2" i="9"/>
  <c r="BS2" i="9"/>
  <c r="BP2" i="9"/>
  <c r="BN2" i="9"/>
  <c r="BM2" i="9"/>
  <c r="BL2" i="9"/>
  <c r="BK2" i="9"/>
  <c r="BJ2" i="9"/>
  <c r="BH2" i="9"/>
  <c r="BF2" i="9"/>
  <c r="BA2" i="9"/>
  <c r="AY2" i="9"/>
  <c r="AR2" i="9"/>
  <c r="AN2" i="9"/>
  <c r="X2" i="9"/>
  <c r="T2" i="9"/>
  <c r="S2" i="9"/>
  <c r="S10" i="9" s="1"/>
  <c r="R2" i="9"/>
  <c r="O2" i="9"/>
  <c r="A2" i="9"/>
  <c r="HK52" i="8"/>
  <c r="GY52" i="8"/>
  <c r="GX52" i="8"/>
  <c r="GW52" i="8"/>
  <c r="GV52" i="8"/>
  <c r="GL52" i="8"/>
  <c r="GJ52" i="8"/>
  <c r="GI52" i="8"/>
  <c r="GH52" i="8"/>
  <c r="GA52" i="8"/>
  <c r="FZ52" i="8"/>
  <c r="FY52" i="8"/>
  <c r="FI52" i="8"/>
  <c r="FG52" i="8"/>
  <c r="FD52" i="8"/>
  <c r="FB52" i="8"/>
  <c r="FA52" i="8"/>
  <c r="EZ52" i="8"/>
  <c r="EY52" i="8"/>
  <c r="EX52" i="8"/>
  <c r="EV52" i="8"/>
  <c r="ET52" i="8"/>
  <c r="EQ52" i="8"/>
  <c r="EO52" i="8"/>
  <c r="EN52" i="8"/>
  <c r="EM52" i="8"/>
  <c r="DY52" i="8"/>
  <c r="DX52" i="8"/>
  <c r="DW52" i="8"/>
  <c r="DO52" i="8"/>
  <c r="DN52" i="8"/>
  <c r="DM52" i="8"/>
  <c r="DL52" i="8"/>
  <c r="DK52" i="8"/>
  <c r="DJ52" i="8"/>
  <c r="DI52" i="8"/>
  <c r="DH52" i="8"/>
  <c r="DF52" i="8"/>
  <c r="DB52" i="8"/>
  <c r="DQ52" i="8" s="1"/>
  <c r="CZ52" i="8"/>
  <c r="CY52" i="8"/>
  <c r="CX52" i="8"/>
  <c r="CW52" i="8"/>
  <c r="CV52" i="8"/>
  <c r="CU52" i="8"/>
  <c r="CT52" i="8"/>
  <c r="CS52" i="8"/>
  <c r="CR52" i="8"/>
  <c r="CQ52" i="8"/>
  <c r="CP52" i="8"/>
  <c r="CO52" i="8"/>
  <c r="CN52" i="8"/>
  <c r="CM52" i="8"/>
  <c r="CJ52" i="8"/>
  <c r="CI52" i="8"/>
  <c r="BU52" i="8"/>
  <c r="BS52" i="8"/>
  <c r="BP52" i="8"/>
  <c r="BN52" i="8"/>
  <c r="BM52" i="8"/>
  <c r="BL52" i="8"/>
  <c r="BK52" i="8"/>
  <c r="BJ52" i="8"/>
  <c r="BH52" i="8"/>
  <c r="BF52" i="8"/>
  <c r="BC52" i="8"/>
  <c r="BA52" i="8"/>
  <c r="AZ52" i="8"/>
  <c r="AY52" i="8"/>
  <c r="AR52" i="8"/>
  <c r="AQ52" i="8"/>
  <c r="AP52" i="8"/>
  <c r="R52" i="8"/>
  <c r="P52" i="8"/>
  <c r="O52" i="8"/>
  <c r="A52" i="8"/>
  <c r="HK51" i="8"/>
  <c r="GY51" i="8"/>
  <c r="GX51" i="8"/>
  <c r="GW51" i="8"/>
  <c r="GV51" i="8"/>
  <c r="GL51" i="8"/>
  <c r="GJ51" i="8"/>
  <c r="GI51" i="8"/>
  <c r="GH51" i="8"/>
  <c r="GA51" i="8"/>
  <c r="FZ51" i="8"/>
  <c r="FY51" i="8"/>
  <c r="FI51" i="8"/>
  <c r="FG51" i="8"/>
  <c r="FD51" i="8"/>
  <c r="FB51" i="8"/>
  <c r="FA51" i="8"/>
  <c r="EZ51" i="8"/>
  <c r="EY51" i="8"/>
  <c r="EX51" i="8"/>
  <c r="EV51" i="8"/>
  <c r="ET51" i="8"/>
  <c r="EQ51" i="8"/>
  <c r="EO51" i="8"/>
  <c r="EN51" i="8"/>
  <c r="EM51" i="8"/>
  <c r="DY51" i="8"/>
  <c r="DX51" i="8"/>
  <c r="DW51" i="8"/>
  <c r="DO51" i="8"/>
  <c r="DN51" i="8"/>
  <c r="DM51" i="8"/>
  <c r="DL51" i="8"/>
  <c r="DK51" i="8"/>
  <c r="DJ51" i="8"/>
  <c r="DI51" i="8"/>
  <c r="DH51" i="8"/>
  <c r="DF51" i="8"/>
  <c r="DB51" i="8"/>
  <c r="CZ51" i="8"/>
  <c r="CY51" i="8"/>
  <c r="CX51" i="8"/>
  <c r="CW51" i="8"/>
  <c r="CV51" i="8"/>
  <c r="CU51" i="8"/>
  <c r="CT51" i="8"/>
  <c r="CS51" i="8"/>
  <c r="CR51" i="8"/>
  <c r="CQ51" i="8"/>
  <c r="CP51" i="8"/>
  <c r="CO51" i="8"/>
  <c r="CN51" i="8"/>
  <c r="CM51" i="8"/>
  <c r="CJ51" i="8"/>
  <c r="CI51" i="8"/>
  <c r="BU51" i="8"/>
  <c r="BS51" i="8"/>
  <c r="BP51" i="8"/>
  <c r="BN51" i="8"/>
  <c r="BM51" i="8"/>
  <c r="BL51" i="8"/>
  <c r="BK51" i="8"/>
  <c r="BJ51" i="8"/>
  <c r="BH51" i="8"/>
  <c r="BF51" i="8"/>
  <c r="BC51" i="8"/>
  <c r="BA51" i="8"/>
  <c r="AZ51" i="8"/>
  <c r="AY51" i="8"/>
  <c r="AR51" i="8"/>
  <c r="AQ51" i="8"/>
  <c r="AP51" i="8"/>
  <c r="R51" i="8"/>
  <c r="P51" i="8"/>
  <c r="O51" i="8"/>
  <c r="A51" i="8"/>
  <c r="HK50" i="8"/>
  <c r="GY50" i="8"/>
  <c r="GX50" i="8"/>
  <c r="GW50" i="8"/>
  <c r="GV50" i="8"/>
  <c r="GL50" i="8"/>
  <c r="GJ50" i="8"/>
  <c r="GI50" i="8"/>
  <c r="GH50" i="8"/>
  <c r="GA50" i="8"/>
  <c r="FZ50" i="8"/>
  <c r="FY50" i="8"/>
  <c r="FI50" i="8"/>
  <c r="FG50" i="8"/>
  <c r="FD50" i="8"/>
  <c r="FB50" i="8"/>
  <c r="FA50" i="8"/>
  <c r="EZ50" i="8"/>
  <c r="EY50" i="8"/>
  <c r="EX50" i="8"/>
  <c r="EV50" i="8"/>
  <c r="ET50" i="8"/>
  <c r="EQ50" i="8"/>
  <c r="EO50" i="8"/>
  <c r="EN50" i="8"/>
  <c r="EM50" i="8"/>
  <c r="DY50" i="8"/>
  <c r="DX50" i="8"/>
  <c r="DW50" i="8"/>
  <c r="DO50" i="8"/>
  <c r="DN50" i="8"/>
  <c r="DM50" i="8"/>
  <c r="DL50" i="8"/>
  <c r="DK50" i="8"/>
  <c r="DJ50" i="8"/>
  <c r="DI50" i="8"/>
  <c r="DH50" i="8"/>
  <c r="DF50" i="8"/>
  <c r="DB50" i="8"/>
  <c r="DQ50" i="8" s="1"/>
  <c r="CZ50" i="8"/>
  <c r="CY50" i="8"/>
  <c r="CX50" i="8"/>
  <c r="CW50" i="8"/>
  <c r="CV50" i="8"/>
  <c r="CU50" i="8"/>
  <c r="CT50" i="8"/>
  <c r="CS50" i="8"/>
  <c r="CR50" i="8"/>
  <c r="CQ50" i="8"/>
  <c r="CP50" i="8"/>
  <c r="CO50" i="8"/>
  <c r="CN50" i="8"/>
  <c r="CM50" i="8"/>
  <c r="CJ50" i="8"/>
  <c r="CI50" i="8"/>
  <c r="BU50" i="8"/>
  <c r="BS50" i="8"/>
  <c r="BP50" i="8"/>
  <c r="BN50" i="8"/>
  <c r="BM50" i="8"/>
  <c r="BL50" i="8"/>
  <c r="BK50" i="8"/>
  <c r="BJ50" i="8"/>
  <c r="BH50" i="8"/>
  <c r="BF50" i="8"/>
  <c r="BC50" i="8"/>
  <c r="BA50" i="8"/>
  <c r="AZ50" i="8"/>
  <c r="AY50" i="8"/>
  <c r="AR50" i="8"/>
  <c r="AQ50" i="8"/>
  <c r="AP50" i="8"/>
  <c r="R50" i="8"/>
  <c r="P50" i="8"/>
  <c r="O50" i="8"/>
  <c r="A50" i="8"/>
  <c r="HK49" i="8"/>
  <c r="GY49" i="8"/>
  <c r="GX49" i="8"/>
  <c r="GW49" i="8"/>
  <c r="GV49" i="8"/>
  <c r="GL49" i="8"/>
  <c r="GJ49" i="8"/>
  <c r="GI49" i="8"/>
  <c r="GH49" i="8"/>
  <c r="GA49" i="8"/>
  <c r="FZ49" i="8"/>
  <c r="FY49" i="8"/>
  <c r="FI49" i="8"/>
  <c r="FG49" i="8"/>
  <c r="FD49" i="8"/>
  <c r="FB49" i="8"/>
  <c r="FA49" i="8"/>
  <c r="EZ49" i="8"/>
  <c r="EY49" i="8"/>
  <c r="EX49" i="8"/>
  <c r="EV49" i="8"/>
  <c r="ET49" i="8"/>
  <c r="EQ49" i="8"/>
  <c r="EO49" i="8"/>
  <c r="EN49" i="8"/>
  <c r="EM49" i="8"/>
  <c r="DY49" i="8"/>
  <c r="DX49" i="8"/>
  <c r="DW49" i="8"/>
  <c r="DO49" i="8"/>
  <c r="DN49" i="8"/>
  <c r="DM49" i="8"/>
  <c r="DL49" i="8"/>
  <c r="DK49" i="8"/>
  <c r="DJ49" i="8"/>
  <c r="DI49" i="8"/>
  <c r="DH49" i="8"/>
  <c r="DF49" i="8"/>
  <c r="DB49" i="8"/>
  <c r="DQ49" i="8" s="1"/>
  <c r="CZ49" i="8"/>
  <c r="CY49" i="8"/>
  <c r="CX49" i="8"/>
  <c r="CW49" i="8"/>
  <c r="CV49" i="8"/>
  <c r="CU49" i="8"/>
  <c r="CT49" i="8"/>
  <c r="CS49" i="8"/>
  <c r="CR49" i="8"/>
  <c r="CQ49" i="8"/>
  <c r="CP49" i="8"/>
  <c r="CO49" i="8"/>
  <c r="CN49" i="8"/>
  <c r="CM49" i="8"/>
  <c r="CJ49" i="8"/>
  <c r="CI49" i="8"/>
  <c r="BU49" i="8"/>
  <c r="BS49" i="8"/>
  <c r="BP49" i="8"/>
  <c r="BN49" i="8"/>
  <c r="BM49" i="8"/>
  <c r="BL49" i="8"/>
  <c r="BK49" i="8"/>
  <c r="BJ49" i="8"/>
  <c r="BH49" i="8"/>
  <c r="BF49" i="8"/>
  <c r="BC49" i="8"/>
  <c r="BA49" i="8"/>
  <c r="AZ49" i="8"/>
  <c r="AY49" i="8"/>
  <c r="AR49" i="8"/>
  <c r="AQ49" i="8"/>
  <c r="AP49" i="8"/>
  <c r="R49" i="8"/>
  <c r="P49" i="8"/>
  <c r="O49" i="8"/>
  <c r="A49" i="8"/>
  <c r="HK48" i="8"/>
  <c r="GY48" i="8"/>
  <c r="GX48" i="8"/>
  <c r="GW48" i="8"/>
  <c r="GV48" i="8"/>
  <c r="GL48" i="8"/>
  <c r="GJ48" i="8"/>
  <c r="GI48" i="8"/>
  <c r="GH48" i="8"/>
  <c r="GA48" i="8"/>
  <c r="FZ48" i="8"/>
  <c r="FY48" i="8"/>
  <c r="FI48" i="8"/>
  <c r="FG48" i="8"/>
  <c r="FD48" i="8"/>
  <c r="FB48" i="8"/>
  <c r="FA48" i="8"/>
  <c r="EZ48" i="8"/>
  <c r="EY48" i="8"/>
  <c r="EX48" i="8"/>
  <c r="EV48" i="8"/>
  <c r="ET48" i="8"/>
  <c r="EQ48" i="8"/>
  <c r="EO48" i="8"/>
  <c r="EN48" i="8"/>
  <c r="EM48" i="8"/>
  <c r="DY48" i="8"/>
  <c r="DX48" i="8"/>
  <c r="DW48" i="8"/>
  <c r="DO48" i="8"/>
  <c r="DN48" i="8"/>
  <c r="DM48" i="8"/>
  <c r="DL48" i="8"/>
  <c r="DK48" i="8"/>
  <c r="DJ48" i="8"/>
  <c r="DI48" i="8"/>
  <c r="DH48" i="8"/>
  <c r="DF48" i="8"/>
  <c r="DB48" i="8"/>
  <c r="DQ48" i="8" s="1"/>
  <c r="CZ48" i="8"/>
  <c r="CY48" i="8"/>
  <c r="CX48" i="8"/>
  <c r="CW48" i="8"/>
  <c r="CV48" i="8"/>
  <c r="CU48" i="8"/>
  <c r="CT48" i="8"/>
  <c r="CS48" i="8"/>
  <c r="CR48" i="8"/>
  <c r="CQ48" i="8"/>
  <c r="CP48" i="8"/>
  <c r="CO48" i="8"/>
  <c r="CN48" i="8"/>
  <c r="CM48" i="8"/>
  <c r="CJ48" i="8"/>
  <c r="CI48" i="8"/>
  <c r="BU48" i="8"/>
  <c r="BS48" i="8"/>
  <c r="BP48" i="8"/>
  <c r="BN48" i="8"/>
  <c r="BM48" i="8"/>
  <c r="BL48" i="8"/>
  <c r="BK48" i="8"/>
  <c r="BJ48" i="8"/>
  <c r="BH48" i="8"/>
  <c r="BF48" i="8"/>
  <c r="BC48" i="8"/>
  <c r="BA48" i="8"/>
  <c r="AZ48" i="8"/>
  <c r="AY48" i="8"/>
  <c r="AR48" i="8"/>
  <c r="AQ48" i="8"/>
  <c r="AP48" i="8"/>
  <c r="R48" i="8"/>
  <c r="P48" i="8"/>
  <c r="O48" i="8"/>
  <c r="A48" i="8"/>
  <c r="HK47" i="8"/>
  <c r="GY47" i="8"/>
  <c r="GX47" i="8"/>
  <c r="GW47" i="8"/>
  <c r="GV47" i="8"/>
  <c r="GL47" i="8"/>
  <c r="GJ47" i="8"/>
  <c r="GI47" i="8"/>
  <c r="GH47" i="8"/>
  <c r="GA47" i="8"/>
  <c r="FZ47" i="8"/>
  <c r="FY47" i="8"/>
  <c r="FI47" i="8"/>
  <c r="FG47" i="8"/>
  <c r="FD47" i="8"/>
  <c r="FB47" i="8"/>
  <c r="FA47" i="8"/>
  <c r="EZ47" i="8"/>
  <c r="EY47" i="8"/>
  <c r="EX47" i="8"/>
  <c r="EV47" i="8"/>
  <c r="ET47" i="8"/>
  <c r="EO47" i="8"/>
  <c r="EN47" i="8"/>
  <c r="EM47" i="8"/>
  <c r="DY47" i="8"/>
  <c r="DX47" i="8"/>
  <c r="DW47" i="8"/>
  <c r="DO47" i="8"/>
  <c r="DN47" i="8"/>
  <c r="DM47" i="8"/>
  <c r="DL47" i="8"/>
  <c r="DK47" i="8"/>
  <c r="DJ47" i="8"/>
  <c r="DI47" i="8"/>
  <c r="DH47" i="8"/>
  <c r="DF47" i="8"/>
  <c r="DB47" i="8"/>
  <c r="DQ47" i="8" s="1"/>
  <c r="CZ47" i="8"/>
  <c r="CY47" i="8"/>
  <c r="CX47" i="8"/>
  <c r="CW47" i="8"/>
  <c r="CV47" i="8"/>
  <c r="CU47" i="8"/>
  <c r="CT47" i="8"/>
  <c r="CS47" i="8"/>
  <c r="CR47" i="8"/>
  <c r="CQ47" i="8"/>
  <c r="CP47" i="8"/>
  <c r="CO47" i="8"/>
  <c r="CN47" i="8"/>
  <c r="CM47" i="8"/>
  <c r="CJ47" i="8"/>
  <c r="CI47" i="8"/>
  <c r="BU47" i="8"/>
  <c r="BS47" i="8"/>
  <c r="BP47" i="8"/>
  <c r="BN47" i="8"/>
  <c r="BM47" i="8"/>
  <c r="BL47" i="8"/>
  <c r="BK47" i="8"/>
  <c r="BJ47" i="8"/>
  <c r="BH47" i="8"/>
  <c r="BF47" i="8"/>
  <c r="BC47" i="8"/>
  <c r="BA47" i="8"/>
  <c r="AZ47" i="8"/>
  <c r="AY47" i="8"/>
  <c r="AR47" i="8"/>
  <c r="AQ47" i="8"/>
  <c r="AP47" i="8"/>
  <c r="R47" i="8"/>
  <c r="P47" i="8"/>
  <c r="O47" i="8"/>
  <c r="A47" i="8"/>
  <c r="HK46" i="8"/>
  <c r="GY46" i="8"/>
  <c r="GX46" i="8"/>
  <c r="GW46" i="8"/>
  <c r="GV46" i="8"/>
  <c r="GL46" i="8"/>
  <c r="GJ46" i="8"/>
  <c r="GI46" i="8"/>
  <c r="GH46" i="8"/>
  <c r="GA46" i="8"/>
  <c r="FZ46" i="8"/>
  <c r="FY46" i="8"/>
  <c r="FI46" i="8"/>
  <c r="FG46" i="8"/>
  <c r="FD46" i="8"/>
  <c r="FB46" i="8"/>
  <c r="FA46" i="8"/>
  <c r="EZ46" i="8"/>
  <c r="EY46" i="8"/>
  <c r="EX46" i="8"/>
  <c r="EV46" i="8"/>
  <c r="ET46" i="8"/>
  <c r="EO46" i="8"/>
  <c r="EN46" i="8"/>
  <c r="EM46" i="8"/>
  <c r="DY46" i="8"/>
  <c r="DX46" i="8"/>
  <c r="DW46" i="8"/>
  <c r="DO46" i="8"/>
  <c r="DN46" i="8"/>
  <c r="DM46" i="8"/>
  <c r="DL46" i="8"/>
  <c r="DK46" i="8"/>
  <c r="DJ46" i="8"/>
  <c r="DI46" i="8"/>
  <c r="DH46" i="8"/>
  <c r="DF46" i="8"/>
  <c r="DB46" i="8"/>
  <c r="DQ46" i="8" s="1"/>
  <c r="CZ46" i="8"/>
  <c r="CY46" i="8"/>
  <c r="CX46" i="8"/>
  <c r="CW46" i="8"/>
  <c r="CV46" i="8"/>
  <c r="CU46" i="8"/>
  <c r="CT46" i="8"/>
  <c r="CS46" i="8"/>
  <c r="CR46" i="8"/>
  <c r="CQ46" i="8"/>
  <c r="CP46" i="8"/>
  <c r="CO46" i="8"/>
  <c r="CN46" i="8"/>
  <c r="CM46" i="8"/>
  <c r="CJ46" i="8"/>
  <c r="CI46" i="8"/>
  <c r="BU46" i="8"/>
  <c r="BS46" i="8"/>
  <c r="BP46" i="8"/>
  <c r="BN46" i="8"/>
  <c r="BM46" i="8"/>
  <c r="BL46" i="8"/>
  <c r="BK46" i="8"/>
  <c r="BJ46" i="8"/>
  <c r="BH46" i="8"/>
  <c r="BF46" i="8"/>
  <c r="BC46" i="8"/>
  <c r="BA46" i="8"/>
  <c r="AZ46" i="8"/>
  <c r="AY46" i="8"/>
  <c r="AR46" i="8"/>
  <c r="AQ46" i="8"/>
  <c r="AP46" i="8"/>
  <c r="R46" i="8"/>
  <c r="P46" i="8"/>
  <c r="O46" i="8"/>
  <c r="A46" i="8"/>
  <c r="HK45" i="8"/>
  <c r="GY45" i="8"/>
  <c r="GX45" i="8"/>
  <c r="GW45" i="8"/>
  <c r="GV45" i="8"/>
  <c r="GL45" i="8"/>
  <c r="GJ45" i="8"/>
  <c r="GI45" i="8"/>
  <c r="GH45" i="8"/>
  <c r="GA45" i="8"/>
  <c r="FZ45" i="8"/>
  <c r="FY45" i="8"/>
  <c r="FI45" i="8"/>
  <c r="FG45" i="8"/>
  <c r="FD45" i="8"/>
  <c r="FB45" i="8"/>
  <c r="FA45" i="8"/>
  <c r="EZ45" i="8"/>
  <c r="EY45" i="8"/>
  <c r="EX45" i="8"/>
  <c r="EV45" i="8"/>
  <c r="ET45" i="8"/>
  <c r="EO45" i="8"/>
  <c r="EN45" i="8"/>
  <c r="EM45" i="8"/>
  <c r="DY45" i="8"/>
  <c r="DX45" i="8"/>
  <c r="DW45" i="8"/>
  <c r="DO45" i="8"/>
  <c r="DN45" i="8"/>
  <c r="DM45" i="8"/>
  <c r="DL45" i="8"/>
  <c r="DK45" i="8"/>
  <c r="DJ45" i="8"/>
  <c r="DI45" i="8"/>
  <c r="DH45" i="8"/>
  <c r="DF45" i="8"/>
  <c r="DB45" i="8"/>
  <c r="DQ45" i="8" s="1"/>
  <c r="CZ45" i="8"/>
  <c r="CY45" i="8"/>
  <c r="CX45" i="8"/>
  <c r="CW45" i="8"/>
  <c r="CV45" i="8"/>
  <c r="CU45" i="8"/>
  <c r="CT45" i="8"/>
  <c r="CS45" i="8"/>
  <c r="CR45" i="8"/>
  <c r="CQ45" i="8"/>
  <c r="CP45" i="8"/>
  <c r="CO45" i="8"/>
  <c r="CN45" i="8"/>
  <c r="CM45" i="8"/>
  <c r="CJ45" i="8"/>
  <c r="CI45" i="8"/>
  <c r="BU45" i="8"/>
  <c r="BS45" i="8"/>
  <c r="BP45" i="8"/>
  <c r="BN45" i="8"/>
  <c r="BM45" i="8"/>
  <c r="BL45" i="8"/>
  <c r="BK45" i="8"/>
  <c r="BJ45" i="8"/>
  <c r="BH45" i="8"/>
  <c r="BF45" i="8"/>
  <c r="BC45" i="8"/>
  <c r="BA45" i="8"/>
  <c r="AZ45" i="8"/>
  <c r="AY45" i="8"/>
  <c r="AR45" i="8"/>
  <c r="AQ45" i="8"/>
  <c r="AP45" i="8"/>
  <c r="R45" i="8"/>
  <c r="P45" i="8"/>
  <c r="O45" i="8"/>
  <c r="A45" i="8"/>
  <c r="HK44" i="8"/>
  <c r="GY44" i="8"/>
  <c r="GX44" i="8"/>
  <c r="GW44" i="8"/>
  <c r="GV44" i="8"/>
  <c r="GL44" i="8"/>
  <c r="GJ44" i="8"/>
  <c r="GI44" i="8"/>
  <c r="GH44" i="8"/>
  <c r="GA44" i="8"/>
  <c r="FZ44" i="8"/>
  <c r="FY44" i="8"/>
  <c r="FI44" i="8"/>
  <c r="FG44" i="8"/>
  <c r="FD44" i="8"/>
  <c r="FB44" i="8"/>
  <c r="FA44" i="8"/>
  <c r="EZ44" i="8"/>
  <c r="EY44" i="8"/>
  <c r="EX44" i="8"/>
  <c r="EV44" i="8"/>
  <c r="ET44" i="8"/>
  <c r="EO44" i="8"/>
  <c r="EN44" i="8"/>
  <c r="EM44" i="8"/>
  <c r="DY44" i="8"/>
  <c r="DX44" i="8"/>
  <c r="DW44" i="8"/>
  <c r="DO44" i="8"/>
  <c r="DN44" i="8"/>
  <c r="DM44" i="8"/>
  <c r="DL44" i="8"/>
  <c r="DK44" i="8"/>
  <c r="DJ44" i="8"/>
  <c r="DI44" i="8"/>
  <c r="DH44" i="8"/>
  <c r="DF44" i="8"/>
  <c r="DB44" i="8"/>
  <c r="CZ44" i="8"/>
  <c r="CY44" i="8"/>
  <c r="CX44" i="8"/>
  <c r="CW44" i="8"/>
  <c r="CV44" i="8"/>
  <c r="CU44" i="8"/>
  <c r="CT44" i="8"/>
  <c r="CS44" i="8"/>
  <c r="CR44" i="8"/>
  <c r="CQ44" i="8"/>
  <c r="CP44" i="8"/>
  <c r="CO44" i="8"/>
  <c r="CN44" i="8"/>
  <c r="CM44" i="8"/>
  <c r="CJ44" i="8"/>
  <c r="CI44" i="8"/>
  <c r="BU44" i="8"/>
  <c r="BS44" i="8"/>
  <c r="BP44" i="8"/>
  <c r="BN44" i="8"/>
  <c r="BM44" i="8"/>
  <c r="BL44" i="8"/>
  <c r="BK44" i="8"/>
  <c r="BJ44" i="8"/>
  <c r="BH44" i="8"/>
  <c r="BF44" i="8"/>
  <c r="BC44" i="8"/>
  <c r="BA44" i="8"/>
  <c r="AZ44" i="8"/>
  <c r="AY44" i="8"/>
  <c r="AR44" i="8"/>
  <c r="AQ44" i="8"/>
  <c r="AP44" i="8"/>
  <c r="R44" i="8"/>
  <c r="P44" i="8"/>
  <c r="O44" i="8"/>
  <c r="A44" i="8"/>
  <c r="HK43" i="8"/>
  <c r="GY43" i="8"/>
  <c r="GX43" i="8"/>
  <c r="GW43" i="8"/>
  <c r="GV43" i="8"/>
  <c r="GL43" i="8"/>
  <c r="GJ43" i="8"/>
  <c r="GI43" i="8"/>
  <c r="GH43" i="8"/>
  <c r="GA43" i="8"/>
  <c r="FZ43" i="8"/>
  <c r="FY43" i="8"/>
  <c r="FI43" i="8"/>
  <c r="FG43" i="8"/>
  <c r="FD43" i="8"/>
  <c r="FB43" i="8"/>
  <c r="FA43" i="8"/>
  <c r="EZ43" i="8"/>
  <c r="EY43" i="8"/>
  <c r="EX43" i="8"/>
  <c r="EV43" i="8"/>
  <c r="ET43" i="8"/>
  <c r="EO43" i="8"/>
  <c r="EN43" i="8"/>
  <c r="EM43" i="8"/>
  <c r="DY43" i="8"/>
  <c r="DX43" i="8"/>
  <c r="DW43" i="8"/>
  <c r="DO43" i="8"/>
  <c r="DN43" i="8"/>
  <c r="DM43" i="8"/>
  <c r="DL43" i="8"/>
  <c r="DK43" i="8"/>
  <c r="DJ43" i="8"/>
  <c r="DI43" i="8"/>
  <c r="DH43" i="8"/>
  <c r="DF43" i="8"/>
  <c r="DB43" i="8"/>
  <c r="DQ43" i="8" s="1"/>
  <c r="CZ43" i="8"/>
  <c r="CY43" i="8"/>
  <c r="CX43" i="8"/>
  <c r="CW43" i="8"/>
  <c r="CV43" i="8"/>
  <c r="CU43" i="8"/>
  <c r="CT43" i="8"/>
  <c r="CS43" i="8"/>
  <c r="CR43" i="8"/>
  <c r="CQ43" i="8"/>
  <c r="CP43" i="8"/>
  <c r="CO43" i="8"/>
  <c r="CN43" i="8"/>
  <c r="CM43" i="8"/>
  <c r="CJ43" i="8"/>
  <c r="CI43" i="8"/>
  <c r="BU43" i="8"/>
  <c r="BS43" i="8"/>
  <c r="BP43" i="8"/>
  <c r="BN43" i="8"/>
  <c r="BM43" i="8"/>
  <c r="BL43" i="8"/>
  <c r="BK43" i="8"/>
  <c r="BJ43" i="8"/>
  <c r="BH43" i="8"/>
  <c r="BF43" i="8"/>
  <c r="BC43" i="8"/>
  <c r="BA43" i="8"/>
  <c r="AZ43" i="8"/>
  <c r="AY43" i="8"/>
  <c r="AR43" i="8"/>
  <c r="AQ43" i="8"/>
  <c r="AP43" i="8"/>
  <c r="R43" i="8"/>
  <c r="P43" i="8"/>
  <c r="O43" i="8"/>
  <c r="N43" i="8" s="1"/>
  <c r="A43" i="8"/>
  <c r="HK42" i="8"/>
  <c r="GY42" i="8"/>
  <c r="GX42" i="8"/>
  <c r="GW42" i="8"/>
  <c r="GV42" i="8"/>
  <c r="GL42" i="8"/>
  <c r="GJ42" i="8"/>
  <c r="GI42" i="8"/>
  <c r="GH42" i="8"/>
  <c r="GA42" i="8"/>
  <c r="FZ42" i="8"/>
  <c r="FY42" i="8"/>
  <c r="FI42" i="8"/>
  <c r="FG42" i="8"/>
  <c r="FD42" i="8"/>
  <c r="FB42" i="8"/>
  <c r="FA42" i="8"/>
  <c r="EZ42" i="8"/>
  <c r="EY42" i="8"/>
  <c r="EX42" i="8"/>
  <c r="EV42" i="8"/>
  <c r="ET42" i="8"/>
  <c r="EO42" i="8"/>
  <c r="EN42" i="8"/>
  <c r="EM42" i="8"/>
  <c r="DY42" i="8"/>
  <c r="DX42" i="8"/>
  <c r="DW42" i="8"/>
  <c r="DO42" i="8"/>
  <c r="DN42" i="8"/>
  <c r="DM42" i="8"/>
  <c r="DL42" i="8"/>
  <c r="DK42" i="8"/>
  <c r="DJ42" i="8"/>
  <c r="DI42" i="8"/>
  <c r="DH42" i="8"/>
  <c r="DF42" i="8"/>
  <c r="DB42" i="8"/>
  <c r="DQ42" i="8" s="1"/>
  <c r="CZ42" i="8"/>
  <c r="CY42" i="8"/>
  <c r="CX42" i="8"/>
  <c r="CW42" i="8"/>
  <c r="CV42" i="8"/>
  <c r="CU42" i="8"/>
  <c r="CT42" i="8"/>
  <c r="CS42" i="8"/>
  <c r="CR42" i="8"/>
  <c r="CQ42" i="8"/>
  <c r="CP42" i="8"/>
  <c r="CO42" i="8"/>
  <c r="CN42" i="8"/>
  <c r="CM42" i="8"/>
  <c r="CJ42" i="8"/>
  <c r="CI42" i="8"/>
  <c r="BU42" i="8"/>
  <c r="BS42" i="8"/>
  <c r="BP42" i="8"/>
  <c r="BN42" i="8"/>
  <c r="BM42" i="8"/>
  <c r="BL42" i="8"/>
  <c r="BK42" i="8"/>
  <c r="BJ42" i="8"/>
  <c r="BH42" i="8"/>
  <c r="BF42" i="8"/>
  <c r="BC42" i="8"/>
  <c r="BA42" i="8"/>
  <c r="AZ42" i="8"/>
  <c r="AY42" i="8"/>
  <c r="AR42" i="8"/>
  <c r="AQ42" i="8"/>
  <c r="AP42" i="8"/>
  <c r="R42" i="8"/>
  <c r="P42" i="8"/>
  <c r="O42" i="8"/>
  <c r="A42" i="8"/>
  <c r="HK41" i="8"/>
  <c r="GY41" i="8"/>
  <c r="GX41" i="8"/>
  <c r="GW41" i="8"/>
  <c r="GV41" i="8"/>
  <c r="GL41" i="8"/>
  <c r="GJ41" i="8"/>
  <c r="GI41" i="8"/>
  <c r="GH41" i="8"/>
  <c r="GA41" i="8"/>
  <c r="FZ41" i="8"/>
  <c r="FY41" i="8"/>
  <c r="FG41" i="8"/>
  <c r="FD41" i="8"/>
  <c r="FB41" i="8"/>
  <c r="FA41" i="8"/>
  <c r="EZ41" i="8"/>
  <c r="EY41" i="8"/>
  <c r="EX41" i="8"/>
  <c r="EV41" i="8"/>
  <c r="ET41" i="8"/>
  <c r="EO41" i="8"/>
  <c r="EN41" i="8"/>
  <c r="EM41" i="8"/>
  <c r="DY41" i="8"/>
  <c r="DX41" i="8"/>
  <c r="DW41" i="8"/>
  <c r="DO41" i="8"/>
  <c r="DN41" i="8"/>
  <c r="DM41" i="8"/>
  <c r="DL41" i="8"/>
  <c r="DK41" i="8"/>
  <c r="DJ41" i="8"/>
  <c r="DI41" i="8"/>
  <c r="DH41" i="8"/>
  <c r="DF41" i="8"/>
  <c r="DB41" i="8"/>
  <c r="DQ41" i="8" s="1"/>
  <c r="CZ41" i="8"/>
  <c r="CY41" i="8"/>
  <c r="CX41" i="8"/>
  <c r="CW41" i="8"/>
  <c r="CV41" i="8"/>
  <c r="CU41" i="8"/>
  <c r="CT41" i="8"/>
  <c r="CS41" i="8"/>
  <c r="CR41" i="8"/>
  <c r="CQ41" i="8"/>
  <c r="CP41" i="8"/>
  <c r="CO41" i="8"/>
  <c r="CN41" i="8"/>
  <c r="CM41" i="8"/>
  <c r="CJ41" i="8"/>
  <c r="CI41" i="8"/>
  <c r="BU41" i="8"/>
  <c r="BS41" i="8"/>
  <c r="BP41" i="8"/>
  <c r="BN41" i="8"/>
  <c r="BM41" i="8"/>
  <c r="BL41" i="8"/>
  <c r="BK41" i="8"/>
  <c r="BJ41" i="8"/>
  <c r="BH41" i="8"/>
  <c r="BF41" i="8"/>
  <c r="BC41" i="8"/>
  <c r="BA41" i="8"/>
  <c r="AZ41" i="8"/>
  <c r="AY41" i="8"/>
  <c r="AR41" i="8"/>
  <c r="AQ41" i="8"/>
  <c r="AP41" i="8"/>
  <c r="R41" i="8"/>
  <c r="P41" i="8"/>
  <c r="O41" i="8"/>
  <c r="A41" i="8"/>
  <c r="HK40" i="8"/>
  <c r="GY40" i="8"/>
  <c r="GX40" i="8"/>
  <c r="GW40" i="8"/>
  <c r="GV40" i="8"/>
  <c r="GL40" i="8"/>
  <c r="GJ40" i="8"/>
  <c r="GI40" i="8"/>
  <c r="GH40" i="8"/>
  <c r="GA40" i="8"/>
  <c r="FZ40" i="8"/>
  <c r="FY40" i="8"/>
  <c r="FG40" i="8"/>
  <c r="FD40" i="8"/>
  <c r="FB40" i="8"/>
  <c r="FA40" i="8"/>
  <c r="EZ40" i="8"/>
  <c r="EY40" i="8"/>
  <c r="EX40" i="8"/>
  <c r="EV40" i="8"/>
  <c r="ET40" i="8"/>
  <c r="EO40" i="8"/>
  <c r="EN40" i="8"/>
  <c r="EM40" i="8"/>
  <c r="DY40" i="8"/>
  <c r="DX40" i="8"/>
  <c r="DW40" i="8"/>
  <c r="DO40" i="8"/>
  <c r="DN40" i="8"/>
  <c r="DM40" i="8"/>
  <c r="DL40" i="8"/>
  <c r="DK40" i="8"/>
  <c r="DJ40" i="8"/>
  <c r="DI40" i="8"/>
  <c r="DH40" i="8"/>
  <c r="DF40" i="8"/>
  <c r="DB40" i="8"/>
  <c r="CZ40" i="8"/>
  <c r="CY40" i="8"/>
  <c r="CX40" i="8"/>
  <c r="CW40" i="8"/>
  <c r="CV40" i="8"/>
  <c r="CU40" i="8"/>
  <c r="CT40" i="8"/>
  <c r="CS40" i="8"/>
  <c r="CR40" i="8"/>
  <c r="CQ40" i="8"/>
  <c r="CP40" i="8"/>
  <c r="CO40" i="8"/>
  <c r="CN40" i="8"/>
  <c r="CM40" i="8"/>
  <c r="CJ40" i="8"/>
  <c r="CI40" i="8"/>
  <c r="BU40" i="8"/>
  <c r="BS40" i="8"/>
  <c r="BP40" i="8"/>
  <c r="BN40" i="8"/>
  <c r="BM40" i="8"/>
  <c r="BL40" i="8"/>
  <c r="BK40" i="8"/>
  <c r="BJ40" i="8"/>
  <c r="BH40" i="8"/>
  <c r="BF40" i="8"/>
  <c r="BC40" i="8"/>
  <c r="BA40" i="8"/>
  <c r="AZ40" i="8"/>
  <c r="AY40" i="8"/>
  <c r="AR40" i="8"/>
  <c r="AQ40" i="8"/>
  <c r="AP40" i="8"/>
  <c r="R40" i="8"/>
  <c r="P40" i="8"/>
  <c r="O40" i="8"/>
  <c r="A40" i="8"/>
  <c r="HK39" i="8"/>
  <c r="GY39" i="8"/>
  <c r="GX39" i="8"/>
  <c r="GW39" i="8"/>
  <c r="GV39" i="8"/>
  <c r="GL39" i="8"/>
  <c r="GJ39" i="8"/>
  <c r="GI39" i="8"/>
  <c r="GH39" i="8"/>
  <c r="GA39" i="8"/>
  <c r="FZ39" i="8"/>
  <c r="FY39" i="8"/>
  <c r="FG39" i="8"/>
  <c r="FD39" i="8"/>
  <c r="FB39" i="8"/>
  <c r="FA39" i="8"/>
  <c r="EZ39" i="8"/>
  <c r="EY39" i="8"/>
  <c r="EX39" i="8"/>
  <c r="EV39" i="8"/>
  <c r="ET39" i="8"/>
  <c r="EO39" i="8"/>
  <c r="EN39" i="8"/>
  <c r="EM39" i="8"/>
  <c r="DY39" i="8"/>
  <c r="DX39" i="8"/>
  <c r="DW39" i="8"/>
  <c r="DO39" i="8"/>
  <c r="DN39" i="8"/>
  <c r="DM39" i="8"/>
  <c r="DL39" i="8"/>
  <c r="DK39" i="8"/>
  <c r="DJ39" i="8"/>
  <c r="DI39" i="8"/>
  <c r="DH39" i="8"/>
  <c r="DF39" i="8"/>
  <c r="DB39" i="8"/>
  <c r="DQ39" i="8" s="1"/>
  <c r="CZ39" i="8"/>
  <c r="CY39" i="8"/>
  <c r="CX39" i="8"/>
  <c r="CW39" i="8"/>
  <c r="CV39" i="8"/>
  <c r="CU39" i="8"/>
  <c r="CT39" i="8"/>
  <c r="CS39" i="8"/>
  <c r="CR39" i="8"/>
  <c r="CQ39" i="8"/>
  <c r="CP39" i="8"/>
  <c r="CO39" i="8"/>
  <c r="CN39" i="8"/>
  <c r="CM39" i="8"/>
  <c r="CJ39" i="8"/>
  <c r="CI39" i="8"/>
  <c r="BU39" i="8"/>
  <c r="BS39" i="8"/>
  <c r="BP39" i="8"/>
  <c r="BN39" i="8"/>
  <c r="BM39" i="8"/>
  <c r="BL39" i="8"/>
  <c r="BK39" i="8"/>
  <c r="BJ39" i="8"/>
  <c r="BH39" i="8"/>
  <c r="BF39" i="8"/>
  <c r="BC39" i="8"/>
  <c r="BA39" i="8"/>
  <c r="AZ39" i="8"/>
  <c r="AY39" i="8"/>
  <c r="AR39" i="8"/>
  <c r="AQ39" i="8"/>
  <c r="AP39" i="8"/>
  <c r="R39" i="8"/>
  <c r="P39" i="8"/>
  <c r="O39" i="8"/>
  <c r="A39" i="8"/>
  <c r="HK38" i="8"/>
  <c r="GY38" i="8"/>
  <c r="GX38" i="8"/>
  <c r="GW38" i="8"/>
  <c r="GV38" i="8"/>
  <c r="GL38" i="8"/>
  <c r="GJ38" i="8"/>
  <c r="GI38" i="8"/>
  <c r="GH38" i="8"/>
  <c r="GA38" i="8"/>
  <c r="FZ38" i="8"/>
  <c r="FY38" i="8"/>
  <c r="FG38" i="8"/>
  <c r="FD38" i="8"/>
  <c r="FB38" i="8"/>
  <c r="FA38" i="8"/>
  <c r="EZ38" i="8"/>
  <c r="EY38" i="8"/>
  <c r="EX38" i="8"/>
  <c r="EV38" i="8"/>
  <c r="ET38" i="8"/>
  <c r="EO38" i="8"/>
  <c r="EM38" i="8"/>
  <c r="DY38" i="8"/>
  <c r="DX38" i="8"/>
  <c r="DW38" i="8"/>
  <c r="DO38" i="8"/>
  <c r="DN38" i="8"/>
  <c r="DM38" i="8"/>
  <c r="DL38" i="8"/>
  <c r="DK38" i="8"/>
  <c r="DJ38" i="8"/>
  <c r="DI38" i="8"/>
  <c r="DH38" i="8"/>
  <c r="DF38" i="8"/>
  <c r="DB38" i="8"/>
  <c r="DQ38" i="8" s="1"/>
  <c r="CZ38" i="8"/>
  <c r="CY38" i="8"/>
  <c r="CX38" i="8"/>
  <c r="CW38" i="8"/>
  <c r="CV38" i="8"/>
  <c r="CU38" i="8"/>
  <c r="CT38" i="8"/>
  <c r="CS38" i="8"/>
  <c r="CR38" i="8"/>
  <c r="CQ38" i="8"/>
  <c r="CP38" i="8"/>
  <c r="CO38" i="8"/>
  <c r="CN38" i="8"/>
  <c r="CM38" i="8"/>
  <c r="CJ38" i="8"/>
  <c r="CI38" i="8"/>
  <c r="BU38" i="8"/>
  <c r="BS38" i="8"/>
  <c r="BP38" i="8"/>
  <c r="BN38" i="8"/>
  <c r="BM38" i="8"/>
  <c r="BL38" i="8"/>
  <c r="BK38" i="8"/>
  <c r="BJ38" i="8"/>
  <c r="BH38" i="8"/>
  <c r="BF38" i="8"/>
  <c r="BC38" i="8"/>
  <c r="BA38" i="8"/>
  <c r="AZ38" i="8"/>
  <c r="AY38" i="8"/>
  <c r="AR38" i="8"/>
  <c r="AQ38" i="8"/>
  <c r="AP38" i="8"/>
  <c r="R38" i="8"/>
  <c r="P38" i="8"/>
  <c r="O38" i="8"/>
  <c r="A38" i="8"/>
  <c r="HK37" i="8"/>
  <c r="GY37" i="8"/>
  <c r="GX37" i="8"/>
  <c r="GW37" i="8"/>
  <c r="GV37" i="8"/>
  <c r="GL37" i="8"/>
  <c r="GJ37" i="8"/>
  <c r="GI37" i="8"/>
  <c r="GH37" i="8"/>
  <c r="GA37" i="8"/>
  <c r="FZ37" i="8"/>
  <c r="FY37" i="8"/>
  <c r="FG37" i="8"/>
  <c r="FD37" i="8"/>
  <c r="FB37" i="8"/>
  <c r="FA37" i="8"/>
  <c r="EZ37" i="8"/>
  <c r="EY37" i="8"/>
  <c r="EX37" i="8"/>
  <c r="EV37" i="8"/>
  <c r="ET37" i="8"/>
  <c r="EO37" i="8"/>
  <c r="EM37" i="8"/>
  <c r="DY37" i="8"/>
  <c r="DX37" i="8"/>
  <c r="DW37" i="8"/>
  <c r="DO37" i="8"/>
  <c r="DN37" i="8"/>
  <c r="DM37" i="8"/>
  <c r="DL37" i="8"/>
  <c r="DK37" i="8"/>
  <c r="DJ37" i="8"/>
  <c r="DI37" i="8"/>
  <c r="DH37" i="8"/>
  <c r="DF37" i="8"/>
  <c r="DB37" i="8"/>
  <c r="CZ37" i="8"/>
  <c r="CY37" i="8"/>
  <c r="CX37" i="8"/>
  <c r="CW37" i="8"/>
  <c r="CV37" i="8"/>
  <c r="CU37" i="8"/>
  <c r="CT37" i="8"/>
  <c r="CS37" i="8"/>
  <c r="CR37" i="8"/>
  <c r="CQ37" i="8"/>
  <c r="CP37" i="8"/>
  <c r="CO37" i="8"/>
  <c r="CN37" i="8"/>
  <c r="CM37" i="8"/>
  <c r="BU37" i="8"/>
  <c r="BS37" i="8"/>
  <c r="BP37" i="8"/>
  <c r="BN37" i="8"/>
  <c r="BM37" i="8"/>
  <c r="BL37" i="8"/>
  <c r="BK37" i="8"/>
  <c r="BJ37" i="8"/>
  <c r="BH37" i="8"/>
  <c r="BF37" i="8"/>
  <c r="BC37" i="8"/>
  <c r="BA37" i="8"/>
  <c r="AZ37" i="8"/>
  <c r="AY37" i="8"/>
  <c r="AR37" i="8"/>
  <c r="AQ37" i="8"/>
  <c r="AP37" i="8"/>
  <c r="T37" i="8"/>
  <c r="R37" i="8"/>
  <c r="P37" i="8"/>
  <c r="O37" i="8"/>
  <c r="A37" i="8"/>
  <c r="HK36" i="8"/>
  <c r="GY36" i="8"/>
  <c r="GX36" i="8"/>
  <c r="GW36" i="8"/>
  <c r="GV36" i="8"/>
  <c r="GL36" i="8"/>
  <c r="GJ36" i="8"/>
  <c r="GI36" i="8"/>
  <c r="GH36" i="8"/>
  <c r="GA36" i="8"/>
  <c r="FZ36" i="8"/>
  <c r="FY36" i="8"/>
  <c r="FH36" i="8"/>
  <c r="FG36" i="8"/>
  <c r="FD36" i="8"/>
  <c r="FB36" i="8"/>
  <c r="FA36" i="8"/>
  <c r="EZ36" i="8"/>
  <c r="EY36" i="8"/>
  <c r="EX36" i="8"/>
  <c r="EW36" i="8"/>
  <c r="EV36" i="8"/>
  <c r="EU36" i="8"/>
  <c r="ET36" i="8"/>
  <c r="ES36" i="8"/>
  <c r="EQ36" i="8"/>
  <c r="EP36" i="8"/>
  <c r="EO36" i="8"/>
  <c r="EN36" i="8"/>
  <c r="EM36" i="8"/>
  <c r="EL36" i="8"/>
  <c r="DY36" i="8"/>
  <c r="DM36" i="8"/>
  <c r="DL36" i="8"/>
  <c r="DK36" i="8"/>
  <c r="DJ36" i="8"/>
  <c r="CZ36" i="8"/>
  <c r="CX36" i="8"/>
  <c r="CW36" i="8"/>
  <c r="CV36" i="8"/>
  <c r="CO36" i="8"/>
  <c r="CN36" i="8"/>
  <c r="CM36" i="8"/>
  <c r="BU36" i="8"/>
  <c r="BS36" i="8"/>
  <c r="BP36" i="8"/>
  <c r="BN36" i="8"/>
  <c r="BM36" i="8"/>
  <c r="BL36" i="8"/>
  <c r="BK36" i="8"/>
  <c r="BJ36" i="8"/>
  <c r="BH36" i="8"/>
  <c r="BF36" i="8"/>
  <c r="BC36" i="8"/>
  <c r="BA36" i="8"/>
  <c r="AZ36" i="8"/>
  <c r="AY36" i="8"/>
  <c r="AR36" i="8"/>
  <c r="AQ36" i="8"/>
  <c r="AP36" i="8"/>
  <c r="R36" i="8"/>
  <c r="P36" i="8"/>
  <c r="O36" i="8"/>
  <c r="A36" i="8"/>
  <c r="HK35" i="8"/>
  <c r="GY35" i="8"/>
  <c r="GX35" i="8"/>
  <c r="GW35" i="8"/>
  <c r="GV35" i="8"/>
  <c r="GL35" i="8"/>
  <c r="GJ35" i="8"/>
  <c r="GI35" i="8"/>
  <c r="GH35" i="8"/>
  <c r="GA35" i="8"/>
  <c r="FZ35" i="8"/>
  <c r="FY35" i="8"/>
  <c r="FH35" i="8"/>
  <c r="FG35" i="8"/>
  <c r="FD35" i="8"/>
  <c r="FB35" i="8"/>
  <c r="FA35" i="8"/>
  <c r="EZ35" i="8"/>
  <c r="EY35" i="8"/>
  <c r="EX35" i="8"/>
  <c r="EW35" i="8"/>
  <c r="EV35" i="8"/>
  <c r="EU35" i="8"/>
  <c r="ET35" i="8"/>
  <c r="ES35" i="8"/>
  <c r="EQ35" i="8"/>
  <c r="EP35" i="8"/>
  <c r="EO35" i="8"/>
  <c r="EN35" i="8"/>
  <c r="EM35" i="8"/>
  <c r="EL35" i="8"/>
  <c r="DY35" i="8"/>
  <c r="DM35" i="8"/>
  <c r="DL35" i="8"/>
  <c r="DK35" i="8"/>
  <c r="DJ35" i="8"/>
  <c r="CZ35" i="8"/>
  <c r="CX35" i="8"/>
  <c r="CW35" i="8"/>
  <c r="CV35" i="8"/>
  <c r="CO35" i="8"/>
  <c r="CN35" i="8"/>
  <c r="CM35" i="8"/>
  <c r="BU35" i="8"/>
  <c r="BS35" i="8"/>
  <c r="BP35" i="8"/>
  <c r="BN35" i="8"/>
  <c r="BM35" i="8"/>
  <c r="BL35" i="8"/>
  <c r="BK35" i="8"/>
  <c r="BJ35" i="8"/>
  <c r="BH35" i="8"/>
  <c r="BF35" i="8"/>
  <c r="BC35" i="8"/>
  <c r="BA35" i="8"/>
  <c r="AZ35" i="8"/>
  <c r="AY35" i="8"/>
  <c r="AR35" i="8"/>
  <c r="AQ35" i="8"/>
  <c r="AP35" i="8"/>
  <c r="R35" i="8"/>
  <c r="P35" i="8"/>
  <c r="O35" i="8"/>
  <c r="A35" i="8"/>
  <c r="HK34" i="8"/>
  <c r="GY34" i="8"/>
  <c r="GX34" i="8"/>
  <c r="GW34" i="8"/>
  <c r="GV34" i="8"/>
  <c r="GL34" i="8"/>
  <c r="GJ34" i="8"/>
  <c r="GI34" i="8"/>
  <c r="GH34" i="8"/>
  <c r="GA34" i="8"/>
  <c r="FZ34" i="8"/>
  <c r="FY34" i="8"/>
  <c r="FH34" i="8"/>
  <c r="FG34" i="8"/>
  <c r="FD34" i="8"/>
  <c r="FB34" i="8"/>
  <c r="FA34" i="8"/>
  <c r="EZ34" i="8"/>
  <c r="EY34" i="8"/>
  <c r="EX34" i="8"/>
  <c r="EW34" i="8"/>
  <c r="EV34" i="8"/>
  <c r="EU34" i="8"/>
  <c r="ET34" i="8"/>
  <c r="ES34" i="8"/>
  <c r="EQ34" i="8"/>
  <c r="EP34" i="8"/>
  <c r="EO34" i="8"/>
  <c r="EN34" i="8"/>
  <c r="EM34" i="8"/>
  <c r="EL34" i="8"/>
  <c r="DY34" i="8"/>
  <c r="DM34" i="8"/>
  <c r="DL34" i="8"/>
  <c r="DK34" i="8"/>
  <c r="DJ34" i="8"/>
  <c r="CZ34" i="8"/>
  <c r="CX34" i="8"/>
  <c r="CW34" i="8"/>
  <c r="CV34" i="8"/>
  <c r="CO34" i="8"/>
  <c r="CN34" i="8"/>
  <c r="CM34" i="8"/>
  <c r="BU34" i="8"/>
  <c r="BS34" i="8"/>
  <c r="BP34" i="8"/>
  <c r="BN34" i="8"/>
  <c r="BM34" i="8"/>
  <c r="BL34" i="8"/>
  <c r="BK34" i="8"/>
  <c r="BJ34" i="8"/>
  <c r="BH34" i="8"/>
  <c r="BF34" i="8"/>
  <c r="BC34" i="8"/>
  <c r="BA34" i="8"/>
  <c r="AZ34" i="8"/>
  <c r="AY34" i="8"/>
  <c r="AR34" i="8"/>
  <c r="AQ34" i="8"/>
  <c r="AP34" i="8"/>
  <c r="R34" i="8"/>
  <c r="P34" i="8"/>
  <c r="O34" i="8"/>
  <c r="A34" i="8"/>
  <c r="HK33" i="8"/>
  <c r="GY33" i="8"/>
  <c r="GX33" i="8"/>
  <c r="GW33" i="8"/>
  <c r="GV33" i="8"/>
  <c r="GL33" i="8"/>
  <c r="GJ33" i="8"/>
  <c r="GI33" i="8"/>
  <c r="GH33" i="8"/>
  <c r="GA33" i="8"/>
  <c r="FZ33" i="8"/>
  <c r="FY33" i="8"/>
  <c r="FH33" i="8"/>
  <c r="FG33" i="8"/>
  <c r="FD33" i="8"/>
  <c r="FB33" i="8"/>
  <c r="FA33" i="8"/>
  <c r="EZ33" i="8"/>
  <c r="EY33" i="8"/>
  <c r="EX33" i="8"/>
  <c r="EW33" i="8"/>
  <c r="EV33" i="8"/>
  <c r="EU33" i="8"/>
  <c r="ET33" i="8"/>
  <c r="ES33" i="8"/>
  <c r="EQ33" i="8"/>
  <c r="EP33" i="8"/>
  <c r="EO33" i="8"/>
  <c r="EN33" i="8"/>
  <c r="EM33" i="8"/>
  <c r="EL33" i="8"/>
  <c r="DY33" i="8"/>
  <c r="DM33" i="8"/>
  <c r="DL33" i="8"/>
  <c r="DK33" i="8"/>
  <c r="DJ33" i="8"/>
  <c r="CZ33" i="8"/>
  <c r="CX33" i="8"/>
  <c r="CW33" i="8"/>
  <c r="CV33" i="8"/>
  <c r="CO33" i="8"/>
  <c r="CN33" i="8"/>
  <c r="CM33" i="8"/>
  <c r="BU33" i="8"/>
  <c r="BS33" i="8"/>
  <c r="BP33" i="8"/>
  <c r="BN33" i="8"/>
  <c r="BM33" i="8"/>
  <c r="BL33" i="8"/>
  <c r="BK33" i="8"/>
  <c r="BJ33" i="8"/>
  <c r="BH33" i="8"/>
  <c r="BF33" i="8"/>
  <c r="BC33" i="8"/>
  <c r="BA33" i="8"/>
  <c r="AZ33" i="8"/>
  <c r="AY33" i="8"/>
  <c r="AR33" i="8"/>
  <c r="AQ33" i="8"/>
  <c r="AP33" i="8"/>
  <c r="R33" i="8"/>
  <c r="P33" i="8"/>
  <c r="O33" i="8"/>
  <c r="A33" i="8"/>
  <c r="HK32" i="8"/>
  <c r="GY32" i="8"/>
  <c r="GX32" i="8"/>
  <c r="GW32" i="8"/>
  <c r="GV32" i="8"/>
  <c r="GL32" i="8"/>
  <c r="GJ32" i="8"/>
  <c r="GI32" i="8"/>
  <c r="GH32" i="8"/>
  <c r="GA32" i="8"/>
  <c r="FZ32" i="8"/>
  <c r="FY32" i="8"/>
  <c r="FH32" i="8"/>
  <c r="FG32" i="8"/>
  <c r="FD32" i="8"/>
  <c r="FB32" i="8"/>
  <c r="FA32" i="8"/>
  <c r="EZ32" i="8"/>
  <c r="EY32" i="8"/>
  <c r="EX32" i="8"/>
  <c r="EW32" i="8"/>
  <c r="EV32" i="8"/>
  <c r="EU32" i="8"/>
  <c r="ET32" i="8"/>
  <c r="ES32" i="8"/>
  <c r="EQ32" i="8"/>
  <c r="EP32" i="8"/>
  <c r="EO32" i="8"/>
  <c r="EN32" i="8"/>
  <c r="EM32" i="8"/>
  <c r="EL32" i="8"/>
  <c r="DY32" i="8"/>
  <c r="DM32" i="8"/>
  <c r="DL32" i="8"/>
  <c r="DK32" i="8"/>
  <c r="DJ32" i="8"/>
  <c r="CZ32" i="8"/>
  <c r="CX32" i="8"/>
  <c r="CW32" i="8"/>
  <c r="CV32" i="8"/>
  <c r="CO32" i="8"/>
  <c r="CN32" i="8"/>
  <c r="CM32" i="8"/>
  <c r="BU32" i="8"/>
  <c r="BS32" i="8"/>
  <c r="BP32" i="8"/>
  <c r="BN32" i="8"/>
  <c r="BM32" i="8"/>
  <c r="BL32" i="8"/>
  <c r="BK32" i="8"/>
  <c r="BJ32" i="8"/>
  <c r="BH32" i="8"/>
  <c r="BF32" i="8"/>
  <c r="BC32" i="8"/>
  <c r="BA32" i="8"/>
  <c r="AZ32" i="8"/>
  <c r="AY32" i="8"/>
  <c r="AR32" i="8"/>
  <c r="AQ32" i="8"/>
  <c r="AP32" i="8"/>
  <c r="R32" i="8"/>
  <c r="P32" i="8"/>
  <c r="O32" i="8"/>
  <c r="A32" i="8"/>
  <c r="HK31" i="8"/>
  <c r="GY31" i="8"/>
  <c r="GX31" i="8"/>
  <c r="GW31" i="8"/>
  <c r="GV31" i="8"/>
  <c r="GL31" i="8"/>
  <c r="GJ31" i="8"/>
  <c r="GI31" i="8"/>
  <c r="GH31" i="8"/>
  <c r="GA31" i="8"/>
  <c r="FZ31" i="8"/>
  <c r="FY31" i="8"/>
  <c r="FH31" i="8"/>
  <c r="FG31" i="8"/>
  <c r="FD31" i="8"/>
  <c r="FB31" i="8"/>
  <c r="FA31" i="8"/>
  <c r="EZ31" i="8"/>
  <c r="EY31" i="8"/>
  <c r="EX31" i="8"/>
  <c r="EW31" i="8"/>
  <c r="EV31" i="8"/>
  <c r="EU31" i="8"/>
  <c r="ET31" i="8"/>
  <c r="ES31" i="8"/>
  <c r="EQ31" i="8"/>
  <c r="EP31" i="8"/>
  <c r="EO31" i="8"/>
  <c r="EN31" i="8"/>
  <c r="EM31" i="8"/>
  <c r="EL31" i="8"/>
  <c r="DY31" i="8"/>
  <c r="DM31" i="8"/>
  <c r="DL31" i="8"/>
  <c r="DK31" i="8"/>
  <c r="DJ31" i="8"/>
  <c r="CZ31" i="8"/>
  <c r="CX31" i="8"/>
  <c r="CW31" i="8"/>
  <c r="CV31" i="8"/>
  <c r="CO31" i="8"/>
  <c r="CN31" i="8"/>
  <c r="CM31" i="8"/>
  <c r="BU31" i="8"/>
  <c r="BS31" i="8"/>
  <c r="BP31" i="8"/>
  <c r="BN31" i="8"/>
  <c r="BM31" i="8"/>
  <c r="BL31" i="8"/>
  <c r="BK31" i="8"/>
  <c r="BJ31" i="8"/>
  <c r="BH31" i="8"/>
  <c r="BF31" i="8"/>
  <c r="BA31" i="8"/>
  <c r="AZ31" i="8"/>
  <c r="AY31" i="8"/>
  <c r="AR31" i="8"/>
  <c r="AQ31" i="8"/>
  <c r="AP31" i="8"/>
  <c r="R31" i="8"/>
  <c r="P31" i="8"/>
  <c r="O31" i="8"/>
  <c r="A31" i="8"/>
  <c r="HK30" i="8"/>
  <c r="GY30" i="8"/>
  <c r="GX30" i="8"/>
  <c r="GW30" i="8"/>
  <c r="GV30" i="8"/>
  <c r="GL30" i="8"/>
  <c r="GJ30" i="8"/>
  <c r="GI30" i="8"/>
  <c r="GH30" i="8"/>
  <c r="GA30" i="8"/>
  <c r="FZ30" i="8"/>
  <c r="FY30" i="8"/>
  <c r="FH30" i="8"/>
  <c r="FG30" i="8"/>
  <c r="FD30" i="8"/>
  <c r="FB30" i="8"/>
  <c r="FA30" i="8"/>
  <c r="EZ30" i="8"/>
  <c r="EY30" i="8"/>
  <c r="EX30" i="8"/>
  <c r="EW30" i="8"/>
  <c r="EV30" i="8"/>
  <c r="EU30" i="8"/>
  <c r="ET30" i="8"/>
  <c r="ES30" i="8"/>
  <c r="EQ30" i="8"/>
  <c r="EP30" i="8"/>
  <c r="EO30" i="8"/>
  <c r="EN30" i="8"/>
  <c r="EM30" i="8"/>
  <c r="EL30" i="8"/>
  <c r="DY30" i="8"/>
  <c r="DM30" i="8"/>
  <c r="DL30" i="8"/>
  <c r="DK30" i="8"/>
  <c r="DJ30" i="8"/>
  <c r="CZ30" i="8"/>
  <c r="CX30" i="8"/>
  <c r="CW30" i="8"/>
  <c r="CV30" i="8"/>
  <c r="CO30" i="8"/>
  <c r="CN30" i="8"/>
  <c r="CM30" i="8"/>
  <c r="BU30" i="8"/>
  <c r="BS30" i="8"/>
  <c r="BP30" i="8"/>
  <c r="BN30" i="8"/>
  <c r="BM30" i="8"/>
  <c r="BL30" i="8"/>
  <c r="BK30" i="8"/>
  <c r="BJ30" i="8"/>
  <c r="BH30" i="8"/>
  <c r="BF30" i="8"/>
  <c r="BA30" i="8"/>
  <c r="AZ30" i="8"/>
  <c r="AY30" i="8"/>
  <c r="AR30" i="8"/>
  <c r="AQ30" i="8"/>
  <c r="AP30" i="8"/>
  <c r="R30" i="8"/>
  <c r="P30" i="8"/>
  <c r="O30" i="8"/>
  <c r="A30" i="8"/>
  <c r="HK29" i="8"/>
  <c r="GY29" i="8"/>
  <c r="GX29" i="8"/>
  <c r="GW29" i="8"/>
  <c r="GV29" i="8"/>
  <c r="GL29" i="8"/>
  <c r="GJ29" i="8"/>
  <c r="GI29" i="8"/>
  <c r="GH29" i="8"/>
  <c r="GA29" i="8"/>
  <c r="FZ29" i="8"/>
  <c r="FY29" i="8"/>
  <c r="FH29" i="8"/>
  <c r="FG29" i="8"/>
  <c r="FD29" i="8"/>
  <c r="FB29" i="8"/>
  <c r="FA29" i="8"/>
  <c r="EZ29" i="8"/>
  <c r="EY29" i="8"/>
  <c r="EX29" i="8"/>
  <c r="EW29" i="8"/>
  <c r="EV29" i="8"/>
  <c r="EU29" i="8"/>
  <c r="ET29" i="8"/>
  <c r="ES29" i="8"/>
  <c r="EQ29" i="8"/>
  <c r="EP29" i="8"/>
  <c r="EO29" i="8"/>
  <c r="EN29" i="8"/>
  <c r="EM29" i="8"/>
  <c r="EL29" i="8"/>
  <c r="DY29" i="8"/>
  <c r="DM29" i="8"/>
  <c r="DL29" i="8"/>
  <c r="DK29" i="8"/>
  <c r="DJ29" i="8"/>
  <c r="CZ29" i="8"/>
  <c r="CX29" i="8"/>
  <c r="CW29" i="8"/>
  <c r="CV29" i="8"/>
  <c r="CO29" i="8"/>
  <c r="CN29" i="8"/>
  <c r="CM29" i="8"/>
  <c r="BU29" i="8"/>
  <c r="BS29" i="8"/>
  <c r="BP29" i="8"/>
  <c r="BN29" i="8"/>
  <c r="BM29" i="8"/>
  <c r="BL29" i="8"/>
  <c r="BK29" i="8"/>
  <c r="BJ29" i="8"/>
  <c r="BH29" i="8"/>
  <c r="BF29" i="8"/>
  <c r="BA29" i="8"/>
  <c r="AZ29" i="8"/>
  <c r="AY29" i="8"/>
  <c r="AR29" i="8"/>
  <c r="AQ29" i="8"/>
  <c r="AP29" i="8"/>
  <c r="R29" i="8"/>
  <c r="O29" i="8"/>
  <c r="A29" i="8"/>
  <c r="HK28" i="8"/>
  <c r="GY28" i="8"/>
  <c r="GX28" i="8"/>
  <c r="GW28" i="8"/>
  <c r="GV28" i="8"/>
  <c r="GL28" i="8"/>
  <c r="GJ28" i="8"/>
  <c r="GI28" i="8"/>
  <c r="GH28" i="8"/>
  <c r="GA28" i="8"/>
  <c r="FZ28" i="8"/>
  <c r="FY28" i="8"/>
  <c r="FH28" i="8"/>
  <c r="FG28" i="8"/>
  <c r="FD28" i="8"/>
  <c r="FB28" i="8"/>
  <c r="FA28" i="8"/>
  <c r="EZ28" i="8"/>
  <c r="EY28" i="8"/>
  <c r="EX28" i="8"/>
  <c r="EW28" i="8"/>
  <c r="EV28" i="8"/>
  <c r="EU28" i="8"/>
  <c r="ET28" i="8"/>
  <c r="ES28" i="8"/>
  <c r="EQ28" i="8"/>
  <c r="EP28" i="8"/>
  <c r="EO28" i="8"/>
  <c r="EN28" i="8"/>
  <c r="EM28" i="8"/>
  <c r="EL28" i="8"/>
  <c r="DY28" i="8"/>
  <c r="DM28" i="8"/>
  <c r="DL28" i="8"/>
  <c r="DK28" i="8"/>
  <c r="DJ28" i="8"/>
  <c r="CZ28" i="8"/>
  <c r="CX28" i="8"/>
  <c r="CW28" i="8"/>
  <c r="CV28" i="8"/>
  <c r="CO28" i="8"/>
  <c r="CN28" i="8"/>
  <c r="CM28" i="8"/>
  <c r="BU28" i="8"/>
  <c r="BS28" i="8"/>
  <c r="BP28" i="8"/>
  <c r="BN28" i="8"/>
  <c r="BM28" i="8"/>
  <c r="BL28" i="8"/>
  <c r="BK28" i="8"/>
  <c r="BJ28" i="8"/>
  <c r="BH28" i="8"/>
  <c r="BF28" i="8"/>
  <c r="BA28" i="8"/>
  <c r="AZ28" i="8"/>
  <c r="AY28" i="8"/>
  <c r="AR28" i="8"/>
  <c r="AQ28" i="8"/>
  <c r="AP28" i="8"/>
  <c r="R28" i="8"/>
  <c r="O28" i="8"/>
  <c r="A28" i="8"/>
  <c r="HK27" i="8"/>
  <c r="GY27" i="8"/>
  <c r="GX27" i="8"/>
  <c r="GW27" i="8"/>
  <c r="GV27" i="8"/>
  <c r="GL27" i="8"/>
  <c r="GJ27" i="8"/>
  <c r="GI27" i="8"/>
  <c r="GH27" i="8"/>
  <c r="GA27" i="8"/>
  <c r="FZ27" i="8"/>
  <c r="FY27" i="8"/>
  <c r="FH27" i="8"/>
  <c r="FG27" i="8"/>
  <c r="FD27" i="8"/>
  <c r="FB27" i="8"/>
  <c r="FA27" i="8"/>
  <c r="EZ27" i="8"/>
  <c r="EY27" i="8"/>
  <c r="EX27" i="8"/>
  <c r="EW27" i="8"/>
  <c r="EV27" i="8"/>
  <c r="EU27" i="8"/>
  <c r="ET27" i="8"/>
  <c r="ES27" i="8"/>
  <c r="EQ27" i="8"/>
  <c r="EP27" i="8"/>
  <c r="EO27" i="8"/>
  <c r="EN27" i="8"/>
  <c r="EM27" i="8"/>
  <c r="EL27" i="8"/>
  <c r="DY27" i="8"/>
  <c r="DM27" i="8"/>
  <c r="DL27" i="8"/>
  <c r="DK27" i="8"/>
  <c r="DJ27" i="8"/>
  <c r="CZ27" i="8"/>
  <c r="CX27" i="8"/>
  <c r="CW27" i="8"/>
  <c r="CV27" i="8"/>
  <c r="CO27" i="8"/>
  <c r="CN27" i="8"/>
  <c r="CM27" i="8"/>
  <c r="BU27" i="8"/>
  <c r="BS27" i="8"/>
  <c r="BP27" i="8"/>
  <c r="BN27" i="8"/>
  <c r="BM27" i="8"/>
  <c r="BL27" i="8"/>
  <c r="BK27" i="8"/>
  <c r="BJ27" i="8"/>
  <c r="BH27" i="8"/>
  <c r="BF27" i="8"/>
  <c r="BA27" i="8"/>
  <c r="AZ27" i="8"/>
  <c r="AY27" i="8"/>
  <c r="AR27" i="8"/>
  <c r="AQ27" i="8"/>
  <c r="AP27" i="8"/>
  <c r="R27" i="8"/>
  <c r="O27" i="8"/>
  <c r="A27" i="8"/>
  <c r="HK26" i="8"/>
  <c r="GY26" i="8"/>
  <c r="GX26" i="8"/>
  <c r="GW26" i="8"/>
  <c r="GV26" i="8"/>
  <c r="GL26" i="8"/>
  <c r="GJ26" i="8"/>
  <c r="GI26" i="8"/>
  <c r="GH26" i="8"/>
  <c r="GA26" i="8"/>
  <c r="FZ26" i="8"/>
  <c r="FY26" i="8"/>
  <c r="FH26" i="8"/>
  <c r="FG26" i="8"/>
  <c r="FD26" i="8"/>
  <c r="FB26" i="8"/>
  <c r="FA26" i="8"/>
  <c r="EZ26" i="8"/>
  <c r="EY26" i="8"/>
  <c r="EX26" i="8"/>
  <c r="EW26" i="8"/>
  <c r="EV26" i="8"/>
  <c r="EU26" i="8"/>
  <c r="ET26" i="8"/>
  <c r="ES26" i="8"/>
  <c r="EQ26" i="8"/>
  <c r="EP26" i="8"/>
  <c r="EO26" i="8"/>
  <c r="EN26" i="8"/>
  <c r="EM26" i="8"/>
  <c r="EL26" i="8"/>
  <c r="DY26" i="8"/>
  <c r="DM26" i="8"/>
  <c r="DL26" i="8"/>
  <c r="DK26" i="8"/>
  <c r="DJ26" i="8"/>
  <c r="CZ26" i="8"/>
  <c r="CX26" i="8"/>
  <c r="CW26" i="8"/>
  <c r="CV26" i="8"/>
  <c r="CO26" i="8"/>
  <c r="CN26" i="8"/>
  <c r="CM26" i="8"/>
  <c r="BU26" i="8"/>
  <c r="BS26" i="8"/>
  <c r="BP26" i="8"/>
  <c r="BN26" i="8"/>
  <c r="BM26" i="8"/>
  <c r="BL26" i="8"/>
  <c r="BK26" i="8"/>
  <c r="BJ26" i="8"/>
  <c r="BH26" i="8"/>
  <c r="BF26" i="8"/>
  <c r="BA26" i="8"/>
  <c r="AZ26" i="8"/>
  <c r="AY26" i="8"/>
  <c r="AR26" i="8"/>
  <c r="AQ26" i="8"/>
  <c r="AP26" i="8"/>
  <c r="R26" i="8"/>
  <c r="O26" i="8"/>
  <c r="A26" i="8"/>
  <c r="HK25" i="8"/>
  <c r="GY25" i="8"/>
  <c r="GX25" i="8"/>
  <c r="GW25" i="8"/>
  <c r="GV25" i="8"/>
  <c r="GL25" i="8"/>
  <c r="GJ25" i="8"/>
  <c r="GI25" i="8"/>
  <c r="GH25" i="8"/>
  <c r="GA25" i="8"/>
  <c r="FZ25" i="8"/>
  <c r="FY25" i="8"/>
  <c r="FH25" i="8"/>
  <c r="FG25" i="8"/>
  <c r="FD25" i="8"/>
  <c r="FB25" i="8"/>
  <c r="FA25" i="8"/>
  <c r="EZ25" i="8"/>
  <c r="EY25" i="8"/>
  <c r="EX25" i="8"/>
  <c r="EW25" i="8"/>
  <c r="EV25" i="8"/>
  <c r="EU25" i="8"/>
  <c r="ET25" i="8"/>
  <c r="ES25" i="8"/>
  <c r="EQ25" i="8"/>
  <c r="EP25" i="8"/>
  <c r="EO25" i="8"/>
  <c r="EN25" i="8"/>
  <c r="EM25" i="8"/>
  <c r="EL25" i="8"/>
  <c r="DY25" i="8"/>
  <c r="DM25" i="8"/>
  <c r="DL25" i="8"/>
  <c r="DK25" i="8"/>
  <c r="DJ25" i="8"/>
  <c r="CZ25" i="8"/>
  <c r="CX25" i="8"/>
  <c r="CW25" i="8"/>
  <c r="CV25" i="8"/>
  <c r="CO25" i="8"/>
  <c r="CN25" i="8"/>
  <c r="CM25" i="8"/>
  <c r="BU25" i="8"/>
  <c r="BS25" i="8"/>
  <c r="BP25" i="8"/>
  <c r="BN25" i="8"/>
  <c r="BM25" i="8"/>
  <c r="BL25" i="8"/>
  <c r="BK25" i="8"/>
  <c r="BJ25" i="8"/>
  <c r="BH25" i="8"/>
  <c r="BF25" i="8"/>
  <c r="BA25" i="8"/>
  <c r="AZ25" i="8"/>
  <c r="AY25" i="8"/>
  <c r="AR25" i="8"/>
  <c r="AQ25" i="8"/>
  <c r="AP25" i="8"/>
  <c r="R25" i="8"/>
  <c r="O25" i="8"/>
  <c r="A25" i="8"/>
  <c r="HK24" i="8"/>
  <c r="GY24" i="8"/>
  <c r="GX24" i="8"/>
  <c r="GW24" i="8"/>
  <c r="GV24" i="8"/>
  <c r="GL24" i="8"/>
  <c r="GJ24" i="8"/>
  <c r="GI24" i="8"/>
  <c r="GH24" i="8"/>
  <c r="GA24" i="8"/>
  <c r="FZ24" i="8"/>
  <c r="FY24" i="8"/>
  <c r="FH24" i="8"/>
  <c r="FG24" i="8"/>
  <c r="FD24" i="8"/>
  <c r="FB24" i="8"/>
  <c r="FA24" i="8"/>
  <c r="EZ24" i="8"/>
  <c r="EY24" i="8"/>
  <c r="EX24" i="8"/>
  <c r="EW24" i="8"/>
  <c r="EV24" i="8"/>
  <c r="EU24" i="8"/>
  <c r="ET24" i="8"/>
  <c r="ES24" i="8"/>
  <c r="EQ24" i="8"/>
  <c r="EP24" i="8"/>
  <c r="EO24" i="8"/>
  <c r="EN24" i="8"/>
  <c r="EM24" i="8"/>
  <c r="EL24" i="8"/>
  <c r="DY24" i="8"/>
  <c r="DM24" i="8"/>
  <c r="DL24" i="8"/>
  <c r="DK24" i="8"/>
  <c r="DJ24" i="8"/>
  <c r="CZ24" i="8"/>
  <c r="CX24" i="8"/>
  <c r="CW24" i="8"/>
  <c r="CV24" i="8"/>
  <c r="CO24" i="8"/>
  <c r="CN24" i="8"/>
  <c r="CM24" i="8"/>
  <c r="BU24" i="8"/>
  <c r="BS24" i="8"/>
  <c r="BP24" i="8"/>
  <c r="BN24" i="8"/>
  <c r="BM24" i="8"/>
  <c r="BL24" i="8"/>
  <c r="BK24" i="8"/>
  <c r="BJ24" i="8"/>
  <c r="BH24" i="8"/>
  <c r="BF24" i="8"/>
  <c r="BA24" i="8"/>
  <c r="AZ24" i="8"/>
  <c r="AY24" i="8"/>
  <c r="AR24" i="8"/>
  <c r="AQ24" i="8"/>
  <c r="AP24" i="8"/>
  <c r="R24" i="8"/>
  <c r="O24" i="8"/>
  <c r="A24" i="8"/>
  <c r="HK23" i="8"/>
  <c r="GY23" i="8"/>
  <c r="GX23" i="8"/>
  <c r="GW23" i="8"/>
  <c r="GV23" i="8"/>
  <c r="GL23" i="8"/>
  <c r="GJ23" i="8"/>
  <c r="GI23" i="8"/>
  <c r="GH23" i="8"/>
  <c r="GA23" i="8"/>
  <c r="FZ23" i="8"/>
  <c r="FY23" i="8"/>
  <c r="FH23" i="8"/>
  <c r="FG23" i="8"/>
  <c r="FD23" i="8"/>
  <c r="FB23" i="8"/>
  <c r="FA23" i="8"/>
  <c r="EZ23" i="8"/>
  <c r="EY23" i="8"/>
  <c r="EX23" i="8"/>
  <c r="EW23" i="8"/>
  <c r="EV23" i="8"/>
  <c r="EU23" i="8"/>
  <c r="ET23" i="8"/>
  <c r="ES23" i="8"/>
  <c r="EQ23" i="8"/>
  <c r="EP23" i="8"/>
  <c r="EO23" i="8"/>
  <c r="EN23" i="8"/>
  <c r="EM23" i="8"/>
  <c r="EL23" i="8"/>
  <c r="DY23" i="8"/>
  <c r="DM23" i="8"/>
  <c r="DL23" i="8"/>
  <c r="DK23" i="8"/>
  <c r="DJ23" i="8"/>
  <c r="CZ23" i="8"/>
  <c r="CX23" i="8"/>
  <c r="CW23" i="8"/>
  <c r="CV23" i="8"/>
  <c r="CO23" i="8"/>
  <c r="CN23" i="8"/>
  <c r="CM23" i="8"/>
  <c r="BU23" i="8"/>
  <c r="BS23" i="8"/>
  <c r="BP23" i="8"/>
  <c r="BN23" i="8"/>
  <c r="BM23" i="8"/>
  <c r="BL23" i="8"/>
  <c r="BK23" i="8"/>
  <c r="BJ23" i="8"/>
  <c r="BH23" i="8"/>
  <c r="BF23" i="8"/>
  <c r="BA23" i="8"/>
  <c r="AZ23" i="8"/>
  <c r="AY23" i="8"/>
  <c r="AR23" i="8"/>
  <c r="AQ23" i="8"/>
  <c r="AP23" i="8"/>
  <c r="R23" i="8"/>
  <c r="O23" i="8"/>
  <c r="A23" i="8"/>
  <c r="HK22" i="8"/>
  <c r="GY22" i="8"/>
  <c r="GX22" i="8"/>
  <c r="GW22" i="8"/>
  <c r="GV22" i="8"/>
  <c r="GL22" i="8"/>
  <c r="GJ22" i="8"/>
  <c r="GI22" i="8"/>
  <c r="GH22" i="8"/>
  <c r="GA22" i="8"/>
  <c r="FZ22" i="8"/>
  <c r="FY22" i="8"/>
  <c r="FH22" i="8"/>
  <c r="FG22" i="8"/>
  <c r="FD22" i="8"/>
  <c r="FB22" i="8"/>
  <c r="FA22" i="8"/>
  <c r="EZ22" i="8"/>
  <c r="EY22" i="8"/>
  <c r="EX22" i="8"/>
  <c r="EW22" i="8"/>
  <c r="EV22" i="8"/>
  <c r="EU22" i="8"/>
  <c r="ET22" i="8"/>
  <c r="ES22" i="8"/>
  <c r="EQ22" i="8"/>
  <c r="EP22" i="8"/>
  <c r="EO22" i="8"/>
  <c r="EN22" i="8"/>
  <c r="EM22" i="8"/>
  <c r="EL22" i="8"/>
  <c r="DY22" i="8"/>
  <c r="DM22" i="8"/>
  <c r="DL22" i="8"/>
  <c r="DK22" i="8"/>
  <c r="DJ22" i="8"/>
  <c r="CZ22" i="8"/>
  <c r="CX22" i="8"/>
  <c r="CW22" i="8"/>
  <c r="CV22" i="8"/>
  <c r="CO22" i="8"/>
  <c r="CN22" i="8"/>
  <c r="CM22" i="8"/>
  <c r="BU22" i="8"/>
  <c r="BS22" i="8"/>
  <c r="BP22" i="8"/>
  <c r="BN22" i="8"/>
  <c r="BM22" i="8"/>
  <c r="BL22" i="8"/>
  <c r="BK22" i="8"/>
  <c r="BJ22" i="8"/>
  <c r="BH22" i="8"/>
  <c r="BF22" i="8"/>
  <c r="BA22" i="8"/>
  <c r="AY22" i="8"/>
  <c r="AR22" i="8"/>
  <c r="R22" i="8"/>
  <c r="O22" i="8"/>
  <c r="A22" i="8"/>
  <c r="HK21" i="8"/>
  <c r="GY21" i="8"/>
  <c r="GX21" i="8"/>
  <c r="GW21" i="8"/>
  <c r="GV21" i="8"/>
  <c r="GL21" i="8"/>
  <c r="GJ21" i="8"/>
  <c r="GI21" i="8"/>
  <c r="GH21" i="8"/>
  <c r="GA21" i="8"/>
  <c r="FZ21" i="8"/>
  <c r="FY21" i="8"/>
  <c r="FH21" i="8"/>
  <c r="FG21" i="8"/>
  <c r="FD21" i="8"/>
  <c r="FB21" i="8"/>
  <c r="FA21" i="8"/>
  <c r="EZ21" i="8"/>
  <c r="EY21" i="8"/>
  <c r="EX21" i="8"/>
  <c r="EW21" i="8"/>
  <c r="EV21" i="8"/>
  <c r="EU21" i="8"/>
  <c r="ET21" i="8"/>
  <c r="ES21" i="8"/>
  <c r="EQ21" i="8"/>
  <c r="EP21" i="8"/>
  <c r="EO21" i="8"/>
  <c r="EN21" i="8"/>
  <c r="EM21" i="8"/>
  <c r="EL21" i="8"/>
  <c r="DY21" i="8"/>
  <c r="DM21" i="8"/>
  <c r="DL21" i="8"/>
  <c r="DK21" i="8"/>
  <c r="DJ21" i="8"/>
  <c r="CZ21" i="8"/>
  <c r="CX21" i="8"/>
  <c r="CW21" i="8"/>
  <c r="CV21" i="8"/>
  <c r="CO21" i="8"/>
  <c r="CN21" i="8"/>
  <c r="CM21" i="8"/>
  <c r="BU21" i="8"/>
  <c r="BS21" i="8"/>
  <c r="BP21" i="8"/>
  <c r="BN21" i="8"/>
  <c r="BM21" i="8"/>
  <c r="BL21" i="8"/>
  <c r="BK21" i="8"/>
  <c r="BJ21" i="8"/>
  <c r="BH21" i="8"/>
  <c r="BF21" i="8"/>
  <c r="BA21" i="8"/>
  <c r="AZ21" i="8"/>
  <c r="AY21" i="8"/>
  <c r="AR21" i="8"/>
  <c r="AQ21" i="8"/>
  <c r="AP21" i="8"/>
  <c r="R21" i="8"/>
  <c r="O21" i="8"/>
  <c r="A21" i="8"/>
  <c r="HK20" i="8"/>
  <c r="GY20" i="8"/>
  <c r="GX20" i="8"/>
  <c r="GW20" i="8"/>
  <c r="GV20" i="8"/>
  <c r="GL20" i="8"/>
  <c r="GJ20" i="8"/>
  <c r="GI20" i="8"/>
  <c r="GH20" i="8"/>
  <c r="GA20" i="8"/>
  <c r="FZ20" i="8"/>
  <c r="FY20" i="8"/>
  <c r="FH20" i="8"/>
  <c r="FG20" i="8"/>
  <c r="FD20" i="8"/>
  <c r="FB20" i="8"/>
  <c r="FA20" i="8"/>
  <c r="EZ20" i="8"/>
  <c r="EY20" i="8"/>
  <c r="EX20" i="8"/>
  <c r="EW20" i="8"/>
  <c r="EV20" i="8"/>
  <c r="EU20" i="8"/>
  <c r="ET20" i="8"/>
  <c r="ES20" i="8"/>
  <c r="EQ20" i="8"/>
  <c r="EP20" i="8"/>
  <c r="EO20" i="8"/>
  <c r="EN20" i="8"/>
  <c r="EM20" i="8"/>
  <c r="EL20" i="8"/>
  <c r="DY20" i="8"/>
  <c r="DM20" i="8"/>
  <c r="DL20" i="8"/>
  <c r="DK20" i="8"/>
  <c r="DJ20" i="8"/>
  <c r="CZ20" i="8"/>
  <c r="CX20" i="8"/>
  <c r="CW20" i="8"/>
  <c r="CV20" i="8"/>
  <c r="CO20" i="8"/>
  <c r="CN20" i="8"/>
  <c r="CM20" i="8"/>
  <c r="BU20" i="8"/>
  <c r="BS20" i="8"/>
  <c r="BP20" i="8"/>
  <c r="BN20" i="8"/>
  <c r="BM20" i="8"/>
  <c r="BL20" i="8"/>
  <c r="BK20" i="8"/>
  <c r="BJ20" i="8"/>
  <c r="BH20" i="8"/>
  <c r="BF20" i="8"/>
  <c r="BA20" i="8"/>
  <c r="AZ20" i="8"/>
  <c r="AY20" i="8"/>
  <c r="AR20" i="8"/>
  <c r="AQ20" i="8"/>
  <c r="AP20" i="8"/>
  <c r="R20" i="8"/>
  <c r="O20" i="8"/>
  <c r="A20" i="8"/>
  <c r="HK19" i="8"/>
  <c r="GY19" i="8"/>
  <c r="GX19" i="8"/>
  <c r="GW19" i="8"/>
  <c r="GV19" i="8"/>
  <c r="GL19" i="8"/>
  <c r="GJ19" i="8"/>
  <c r="GI19" i="8"/>
  <c r="GH19" i="8"/>
  <c r="GA19" i="8"/>
  <c r="FZ19" i="8"/>
  <c r="FY19" i="8"/>
  <c r="FH19" i="8"/>
  <c r="FG19" i="8"/>
  <c r="FD19" i="8"/>
  <c r="FB19" i="8"/>
  <c r="FA19" i="8"/>
  <c r="EZ19" i="8"/>
  <c r="EY19" i="8"/>
  <c r="EX19" i="8"/>
  <c r="EW19" i="8"/>
  <c r="EV19" i="8"/>
  <c r="EU19" i="8"/>
  <c r="ET19" i="8"/>
  <c r="ES19" i="8"/>
  <c r="EQ19" i="8"/>
  <c r="EP19" i="8"/>
  <c r="EO19" i="8"/>
  <c r="EN19" i="8"/>
  <c r="EM19" i="8"/>
  <c r="EL19" i="8"/>
  <c r="DY19" i="8"/>
  <c r="DM19" i="8"/>
  <c r="DL19" i="8"/>
  <c r="DK19" i="8"/>
  <c r="DJ19" i="8"/>
  <c r="CZ19" i="8"/>
  <c r="CX19" i="8"/>
  <c r="CW19" i="8"/>
  <c r="CV19" i="8"/>
  <c r="CO19" i="8"/>
  <c r="CN19" i="8"/>
  <c r="CM19" i="8"/>
  <c r="BU19" i="8"/>
  <c r="BS19" i="8"/>
  <c r="BP19" i="8"/>
  <c r="BN19" i="8"/>
  <c r="BM19" i="8"/>
  <c r="BL19" i="8"/>
  <c r="BK19" i="8"/>
  <c r="BJ19" i="8"/>
  <c r="BH19" i="8"/>
  <c r="BF19" i="8"/>
  <c r="BA19" i="8"/>
  <c r="AZ19" i="8"/>
  <c r="AY19" i="8"/>
  <c r="AR19" i="8"/>
  <c r="AQ19" i="8"/>
  <c r="AP19" i="8"/>
  <c r="R19" i="8"/>
  <c r="O19" i="8"/>
  <c r="A19" i="8"/>
  <c r="HK18" i="8"/>
  <c r="GY18" i="8"/>
  <c r="GX18" i="8"/>
  <c r="GW18" i="8"/>
  <c r="GV18" i="8"/>
  <c r="GL18" i="8"/>
  <c r="GJ18" i="8"/>
  <c r="GI18" i="8"/>
  <c r="GH18" i="8"/>
  <c r="GA18" i="8"/>
  <c r="FZ18" i="8"/>
  <c r="FY18" i="8"/>
  <c r="FH18" i="8"/>
  <c r="FG18" i="8"/>
  <c r="FD18" i="8"/>
  <c r="FB18" i="8"/>
  <c r="FA18" i="8"/>
  <c r="EZ18" i="8"/>
  <c r="EY18" i="8"/>
  <c r="EX18" i="8"/>
  <c r="EW18" i="8"/>
  <c r="EV18" i="8"/>
  <c r="EU18" i="8"/>
  <c r="ET18" i="8"/>
  <c r="ES18" i="8"/>
  <c r="EQ18" i="8"/>
  <c r="EP18" i="8"/>
  <c r="EO18" i="8"/>
  <c r="EN18" i="8"/>
  <c r="EM18" i="8"/>
  <c r="EL18" i="8"/>
  <c r="DY18" i="8"/>
  <c r="DM18" i="8"/>
  <c r="DL18" i="8"/>
  <c r="DK18" i="8"/>
  <c r="DJ18" i="8"/>
  <c r="CZ18" i="8"/>
  <c r="CX18" i="8"/>
  <c r="CW18" i="8"/>
  <c r="CV18" i="8"/>
  <c r="CO18" i="8"/>
  <c r="CN18" i="8"/>
  <c r="CM18" i="8"/>
  <c r="BU18" i="8"/>
  <c r="BS18" i="8"/>
  <c r="BP18" i="8"/>
  <c r="BN18" i="8"/>
  <c r="BM18" i="8"/>
  <c r="BL18" i="8"/>
  <c r="BK18" i="8"/>
  <c r="BJ18" i="8"/>
  <c r="BH18" i="8"/>
  <c r="BF18" i="8"/>
  <c r="BA18" i="8"/>
  <c r="AZ18" i="8"/>
  <c r="AY18" i="8"/>
  <c r="AR18" i="8"/>
  <c r="AQ18" i="8"/>
  <c r="AP18" i="8"/>
  <c r="R18" i="8"/>
  <c r="O18" i="8"/>
  <c r="A18" i="8"/>
  <c r="HK17" i="8"/>
  <c r="GY17" i="8"/>
  <c r="GX17" i="8"/>
  <c r="GW17" i="8"/>
  <c r="GV17" i="8"/>
  <c r="GL17" i="8"/>
  <c r="GJ17" i="8"/>
  <c r="GI17" i="8"/>
  <c r="GH17" i="8"/>
  <c r="GA17" i="8"/>
  <c r="FZ17" i="8"/>
  <c r="FY17" i="8"/>
  <c r="FH17" i="8"/>
  <c r="FG17" i="8"/>
  <c r="FD17" i="8"/>
  <c r="FB17" i="8"/>
  <c r="FA17" i="8"/>
  <c r="EZ17" i="8"/>
  <c r="EY17" i="8"/>
  <c r="EX17" i="8"/>
  <c r="EW17" i="8"/>
  <c r="EV17" i="8"/>
  <c r="EU17" i="8"/>
  <c r="ET17" i="8"/>
  <c r="ES17" i="8"/>
  <c r="EQ17" i="8"/>
  <c r="EP17" i="8"/>
  <c r="EO17" i="8"/>
  <c r="EN17" i="8"/>
  <c r="EM17" i="8"/>
  <c r="EL17" i="8"/>
  <c r="DY17" i="8"/>
  <c r="DM17" i="8"/>
  <c r="DL17" i="8"/>
  <c r="DK17" i="8"/>
  <c r="DJ17" i="8"/>
  <c r="CZ17" i="8"/>
  <c r="CX17" i="8"/>
  <c r="CW17" i="8"/>
  <c r="CV17" i="8"/>
  <c r="CO17" i="8"/>
  <c r="CN17" i="8"/>
  <c r="CM17" i="8"/>
  <c r="BU17" i="8"/>
  <c r="BS17" i="8"/>
  <c r="BP17" i="8"/>
  <c r="BN17" i="8"/>
  <c r="BM17" i="8"/>
  <c r="BL17" i="8"/>
  <c r="BK17" i="8"/>
  <c r="BJ17" i="8"/>
  <c r="BH17" i="8"/>
  <c r="BF17" i="8"/>
  <c r="BA17" i="8"/>
  <c r="AY17" i="8"/>
  <c r="AR17" i="8"/>
  <c r="R17" i="8"/>
  <c r="O17" i="8"/>
  <c r="A17" i="8"/>
  <c r="HK16" i="8"/>
  <c r="GY16" i="8"/>
  <c r="GX16" i="8"/>
  <c r="GW16" i="8"/>
  <c r="GV16" i="8"/>
  <c r="GL16" i="8"/>
  <c r="GJ16" i="8"/>
  <c r="GI16" i="8"/>
  <c r="GH16" i="8"/>
  <c r="GA16" i="8"/>
  <c r="FZ16" i="8"/>
  <c r="FY16" i="8"/>
  <c r="FH16" i="8"/>
  <c r="FG16" i="8"/>
  <c r="FD16" i="8"/>
  <c r="FB16" i="8"/>
  <c r="FA16" i="8"/>
  <c r="EZ16" i="8"/>
  <c r="EY16" i="8"/>
  <c r="EX16" i="8"/>
  <c r="EW16" i="8"/>
  <c r="EV16" i="8"/>
  <c r="EU16" i="8"/>
  <c r="ET16" i="8"/>
  <c r="ES16" i="8"/>
  <c r="EQ16" i="8"/>
  <c r="EP16" i="8"/>
  <c r="EO16" i="8"/>
  <c r="EN16" i="8"/>
  <c r="EM16" i="8"/>
  <c r="EL16" i="8"/>
  <c r="DY16" i="8"/>
  <c r="DM16" i="8"/>
  <c r="DL16" i="8"/>
  <c r="DK16" i="8"/>
  <c r="DJ16" i="8"/>
  <c r="CZ16" i="8"/>
  <c r="CX16" i="8"/>
  <c r="CW16" i="8"/>
  <c r="CV16" i="8"/>
  <c r="CO16" i="8"/>
  <c r="CN16" i="8"/>
  <c r="CM16" i="8"/>
  <c r="BU16" i="8"/>
  <c r="BS16" i="8"/>
  <c r="BP16" i="8"/>
  <c r="BN16" i="8"/>
  <c r="BM16" i="8"/>
  <c r="BL16" i="8"/>
  <c r="BK16" i="8"/>
  <c r="BJ16" i="8"/>
  <c r="BH16" i="8"/>
  <c r="BF16" i="8"/>
  <c r="BA16" i="8"/>
  <c r="AZ16" i="8"/>
  <c r="AY16" i="8"/>
  <c r="AR16" i="8"/>
  <c r="AQ16" i="8"/>
  <c r="AP16" i="8"/>
  <c r="R16" i="8"/>
  <c r="O16" i="8"/>
  <c r="A16" i="8"/>
  <c r="HK15" i="8"/>
  <c r="GY15" i="8"/>
  <c r="GX15" i="8"/>
  <c r="GW15" i="8"/>
  <c r="GV15" i="8"/>
  <c r="GL15" i="8"/>
  <c r="GJ15" i="8"/>
  <c r="GI15" i="8"/>
  <c r="GH15" i="8"/>
  <c r="GA15" i="8"/>
  <c r="FZ15" i="8"/>
  <c r="FY15" i="8"/>
  <c r="FH15" i="8"/>
  <c r="FG15" i="8"/>
  <c r="FD15" i="8"/>
  <c r="FB15" i="8"/>
  <c r="FA15" i="8"/>
  <c r="EZ15" i="8"/>
  <c r="EY15" i="8"/>
  <c r="EX15" i="8"/>
  <c r="EW15" i="8"/>
  <c r="EV15" i="8"/>
  <c r="EU15" i="8"/>
  <c r="ET15" i="8"/>
  <c r="ES15" i="8"/>
  <c r="EQ15" i="8"/>
  <c r="EP15" i="8"/>
  <c r="EO15" i="8"/>
  <c r="EN15" i="8"/>
  <c r="EM15" i="8"/>
  <c r="EL15" i="8"/>
  <c r="DY15" i="8"/>
  <c r="DM15" i="8"/>
  <c r="DL15" i="8"/>
  <c r="DK15" i="8"/>
  <c r="DJ15" i="8"/>
  <c r="CZ15" i="8"/>
  <c r="CX15" i="8"/>
  <c r="CW15" i="8"/>
  <c r="CV15" i="8"/>
  <c r="CO15" i="8"/>
  <c r="CN15" i="8"/>
  <c r="CM15" i="8"/>
  <c r="BU15" i="8"/>
  <c r="BS15" i="8"/>
  <c r="BP15" i="8"/>
  <c r="BN15" i="8"/>
  <c r="BM15" i="8"/>
  <c r="BL15" i="8"/>
  <c r="BK15" i="8"/>
  <c r="BJ15" i="8"/>
  <c r="BH15" i="8"/>
  <c r="BF15" i="8"/>
  <c r="BA15" i="8"/>
  <c r="AZ15" i="8"/>
  <c r="AY15" i="8"/>
  <c r="AR15" i="8"/>
  <c r="AQ15" i="8"/>
  <c r="AP15" i="8"/>
  <c r="R15" i="8"/>
  <c r="O15" i="8"/>
  <c r="A15" i="8"/>
  <c r="HK14" i="8"/>
  <c r="GY14" i="8"/>
  <c r="GX14" i="8"/>
  <c r="GW14" i="8"/>
  <c r="GV14" i="8"/>
  <c r="GL14" i="8"/>
  <c r="GJ14" i="8"/>
  <c r="GI14" i="8"/>
  <c r="GH14" i="8"/>
  <c r="GA14" i="8"/>
  <c r="FZ14" i="8"/>
  <c r="FY14" i="8"/>
  <c r="FH14" i="8"/>
  <c r="FG14" i="8"/>
  <c r="FD14" i="8"/>
  <c r="FB14" i="8"/>
  <c r="FA14" i="8"/>
  <c r="EZ14" i="8"/>
  <c r="EY14" i="8"/>
  <c r="EX14" i="8"/>
  <c r="EW14" i="8"/>
  <c r="EV14" i="8"/>
  <c r="EU14" i="8"/>
  <c r="ET14" i="8"/>
  <c r="ES14" i="8"/>
  <c r="EQ14" i="8"/>
  <c r="EP14" i="8"/>
  <c r="EO14" i="8"/>
  <c r="EN14" i="8"/>
  <c r="EM14" i="8"/>
  <c r="EL14" i="8"/>
  <c r="DY14" i="8"/>
  <c r="DM14" i="8"/>
  <c r="DL14" i="8"/>
  <c r="DK14" i="8"/>
  <c r="DJ14" i="8"/>
  <c r="CZ14" i="8"/>
  <c r="CX14" i="8"/>
  <c r="CW14" i="8"/>
  <c r="CV14" i="8"/>
  <c r="CO14" i="8"/>
  <c r="CN14" i="8"/>
  <c r="CM14" i="8"/>
  <c r="BU14" i="8"/>
  <c r="BS14" i="8"/>
  <c r="BP14" i="8"/>
  <c r="BN14" i="8"/>
  <c r="BM14" i="8"/>
  <c r="BL14" i="8"/>
  <c r="BK14" i="8"/>
  <c r="BJ14" i="8"/>
  <c r="BH14" i="8"/>
  <c r="BF14" i="8"/>
  <c r="BA14" i="8"/>
  <c r="AZ14" i="8"/>
  <c r="AY14" i="8"/>
  <c r="AR14" i="8"/>
  <c r="AQ14" i="8"/>
  <c r="AP14" i="8"/>
  <c r="R14" i="8"/>
  <c r="O14" i="8"/>
  <c r="A14" i="8"/>
  <c r="HK13" i="8"/>
  <c r="GY13" i="8"/>
  <c r="GX13" i="8"/>
  <c r="GW13" i="8"/>
  <c r="GV13" i="8"/>
  <c r="GL13" i="8"/>
  <c r="GJ13" i="8"/>
  <c r="GI13" i="8"/>
  <c r="GH13" i="8"/>
  <c r="GA13" i="8"/>
  <c r="FZ13" i="8"/>
  <c r="FY13" i="8"/>
  <c r="FH13" i="8"/>
  <c r="FG13" i="8"/>
  <c r="FD13" i="8"/>
  <c r="FB13" i="8"/>
  <c r="FA13" i="8"/>
  <c r="EZ13" i="8"/>
  <c r="EY13" i="8"/>
  <c r="EX13" i="8"/>
  <c r="EW13" i="8"/>
  <c r="EV13" i="8"/>
  <c r="EU13" i="8"/>
  <c r="ET13" i="8"/>
  <c r="ES13" i="8"/>
  <c r="EQ13" i="8"/>
  <c r="EP13" i="8"/>
  <c r="EO13" i="8"/>
  <c r="EN13" i="8"/>
  <c r="EM13" i="8"/>
  <c r="EL13" i="8"/>
  <c r="DY13" i="8"/>
  <c r="DM13" i="8"/>
  <c r="DL13" i="8"/>
  <c r="DK13" i="8"/>
  <c r="DJ13" i="8"/>
  <c r="CZ13" i="8"/>
  <c r="CX13" i="8"/>
  <c r="CW13" i="8"/>
  <c r="CV13" i="8"/>
  <c r="CO13" i="8"/>
  <c r="CN13" i="8"/>
  <c r="CM13" i="8"/>
  <c r="BU13" i="8"/>
  <c r="BS13" i="8"/>
  <c r="BP13" i="8"/>
  <c r="BN13" i="8"/>
  <c r="BM13" i="8"/>
  <c r="BL13" i="8"/>
  <c r="BK13" i="8"/>
  <c r="BJ13" i="8"/>
  <c r="BH13" i="8"/>
  <c r="BF13" i="8"/>
  <c r="BA13" i="8"/>
  <c r="AZ13" i="8"/>
  <c r="AY13" i="8"/>
  <c r="AR13" i="8"/>
  <c r="AQ13" i="8"/>
  <c r="AP13" i="8"/>
  <c r="R13" i="8"/>
  <c r="O13" i="8"/>
  <c r="A13" i="8"/>
  <c r="GY12" i="8"/>
  <c r="GX12" i="8"/>
  <c r="GW12" i="8"/>
  <c r="GV12" i="8"/>
  <c r="GL12" i="8"/>
  <c r="GJ12" i="8"/>
  <c r="GI12" i="8"/>
  <c r="GH12" i="8"/>
  <c r="GA12" i="8"/>
  <c r="FZ12" i="8"/>
  <c r="FY12" i="8"/>
  <c r="FH12" i="8"/>
  <c r="FG12" i="8"/>
  <c r="FD12" i="8"/>
  <c r="FB12" i="8"/>
  <c r="FA12" i="8"/>
  <c r="EZ12" i="8"/>
  <c r="EY12" i="8"/>
  <c r="EX12" i="8"/>
  <c r="EW12" i="8"/>
  <c r="EV12" i="8"/>
  <c r="EU12" i="8"/>
  <c r="ET12" i="8"/>
  <c r="ES12" i="8"/>
  <c r="EQ12" i="8"/>
  <c r="EP12" i="8"/>
  <c r="EO12" i="8"/>
  <c r="EN12" i="8"/>
  <c r="EM12" i="8"/>
  <c r="EL12" i="8"/>
  <c r="DY12" i="8"/>
  <c r="DM12" i="8"/>
  <c r="DL12" i="8"/>
  <c r="DK12" i="8"/>
  <c r="DJ12" i="8"/>
  <c r="CZ12" i="8"/>
  <c r="CX12" i="8"/>
  <c r="CW12" i="8"/>
  <c r="CV12" i="8"/>
  <c r="CO12" i="8"/>
  <c r="CN12" i="8"/>
  <c r="CM12" i="8"/>
  <c r="BU12" i="8"/>
  <c r="BS12" i="8"/>
  <c r="BP12" i="8"/>
  <c r="BN12" i="8"/>
  <c r="BM12" i="8"/>
  <c r="BL12" i="8"/>
  <c r="BK12" i="8"/>
  <c r="BJ12" i="8"/>
  <c r="BH12" i="8"/>
  <c r="BF12" i="8"/>
  <c r="BA12" i="8"/>
  <c r="AY12" i="8"/>
  <c r="AR12" i="8"/>
  <c r="R12" i="8"/>
  <c r="O12" i="8"/>
  <c r="A12" i="8"/>
  <c r="GY11" i="8"/>
  <c r="GX11" i="8"/>
  <c r="GW11" i="8"/>
  <c r="GV11" i="8"/>
  <c r="GJ11" i="8"/>
  <c r="GI11" i="8"/>
  <c r="GH11" i="8"/>
  <c r="GA11" i="8"/>
  <c r="FZ11" i="8"/>
  <c r="FY11" i="8"/>
  <c r="FH11" i="8"/>
  <c r="FG11" i="8"/>
  <c r="FD11" i="8"/>
  <c r="FB11" i="8"/>
  <c r="FA11" i="8"/>
  <c r="EZ11" i="8"/>
  <c r="EY11" i="8"/>
  <c r="EX11" i="8"/>
  <c r="EW11" i="8"/>
  <c r="EV11" i="8"/>
  <c r="EU11" i="8"/>
  <c r="ET11" i="8"/>
  <c r="ES11" i="8"/>
  <c r="EQ11" i="8"/>
  <c r="EP11" i="8"/>
  <c r="EO11" i="8"/>
  <c r="EN11" i="8"/>
  <c r="EM11" i="8"/>
  <c r="EL11" i="8"/>
  <c r="DY11" i="8"/>
  <c r="DM11" i="8"/>
  <c r="DL11" i="8"/>
  <c r="DK11" i="8"/>
  <c r="DJ11" i="8"/>
  <c r="CX11" i="8"/>
  <c r="CW11" i="8"/>
  <c r="CV11" i="8"/>
  <c r="CO11" i="8"/>
  <c r="CN11" i="8"/>
  <c r="CM11" i="8"/>
  <c r="BU11" i="8"/>
  <c r="BS11" i="8"/>
  <c r="BP11" i="8"/>
  <c r="BN11" i="8"/>
  <c r="BM11" i="8"/>
  <c r="BL11" i="8"/>
  <c r="BK11" i="8"/>
  <c r="BJ11" i="8"/>
  <c r="BH11" i="8"/>
  <c r="BF11" i="8"/>
  <c r="BA11" i="8"/>
  <c r="AZ11" i="8"/>
  <c r="AY11" i="8"/>
  <c r="AR11" i="8"/>
  <c r="AQ11" i="8"/>
  <c r="AP11" i="8"/>
  <c r="R11" i="8"/>
  <c r="O11" i="8"/>
  <c r="A11" i="8"/>
  <c r="GY10" i="8"/>
  <c r="GX10" i="8"/>
  <c r="GW10" i="8"/>
  <c r="GV10" i="8"/>
  <c r="GJ10" i="8"/>
  <c r="GI10" i="8"/>
  <c r="GH10" i="8"/>
  <c r="GA10" i="8"/>
  <c r="FZ10" i="8"/>
  <c r="FY10" i="8"/>
  <c r="FH10" i="8"/>
  <c r="FG10" i="8"/>
  <c r="FD10" i="8"/>
  <c r="FB10" i="8"/>
  <c r="FA10" i="8"/>
  <c r="EZ10" i="8"/>
  <c r="EY10" i="8"/>
  <c r="EX10" i="8"/>
  <c r="EW10" i="8"/>
  <c r="EV10" i="8"/>
  <c r="EU10" i="8"/>
  <c r="ET10" i="8"/>
  <c r="ES10" i="8"/>
  <c r="EQ10" i="8"/>
  <c r="EP10" i="8"/>
  <c r="EO10" i="8"/>
  <c r="EN10" i="8"/>
  <c r="EM10" i="8"/>
  <c r="EL10" i="8"/>
  <c r="DY10" i="8"/>
  <c r="DM10" i="8"/>
  <c r="DL10" i="8"/>
  <c r="DK10" i="8"/>
  <c r="DJ10" i="8"/>
  <c r="CX10" i="8"/>
  <c r="CW10" i="8"/>
  <c r="CV10" i="8"/>
  <c r="CO10" i="8"/>
  <c r="CN10" i="8"/>
  <c r="CM10" i="8"/>
  <c r="BS10" i="8"/>
  <c r="BP10" i="8"/>
  <c r="BN10" i="8"/>
  <c r="BM10" i="8"/>
  <c r="BL10" i="8"/>
  <c r="BK10" i="8"/>
  <c r="BJ10" i="8"/>
  <c r="BH10" i="8"/>
  <c r="BF10" i="8"/>
  <c r="BA10" i="8"/>
  <c r="AZ10" i="8"/>
  <c r="AY10" i="8"/>
  <c r="AR10" i="8"/>
  <c r="AQ10" i="8"/>
  <c r="AP10" i="8"/>
  <c r="R10" i="8"/>
  <c r="O10" i="8"/>
  <c r="A10" i="8"/>
  <c r="GY9" i="8"/>
  <c r="GX9" i="8"/>
  <c r="GW9" i="8"/>
  <c r="GV9" i="8"/>
  <c r="GJ9" i="8"/>
  <c r="GI9" i="8"/>
  <c r="GH9" i="8"/>
  <c r="GA9" i="8"/>
  <c r="FZ9" i="8"/>
  <c r="FY9" i="8"/>
  <c r="FH9" i="8"/>
  <c r="FG9" i="8"/>
  <c r="FD9" i="8"/>
  <c r="FB9" i="8"/>
  <c r="FA9" i="8"/>
  <c r="EZ9" i="8"/>
  <c r="EY9" i="8"/>
  <c r="EX9" i="8"/>
  <c r="EW9" i="8"/>
  <c r="EV9" i="8"/>
  <c r="EU9" i="8"/>
  <c r="ET9" i="8"/>
  <c r="ES9" i="8"/>
  <c r="EQ9" i="8"/>
  <c r="EP9" i="8"/>
  <c r="EO9" i="8"/>
  <c r="EN9" i="8"/>
  <c r="EM9" i="8"/>
  <c r="EL9" i="8"/>
  <c r="DY9" i="8"/>
  <c r="DM9" i="8"/>
  <c r="DL9" i="8"/>
  <c r="DK9" i="8"/>
  <c r="DJ9" i="8"/>
  <c r="CX9" i="8"/>
  <c r="CW9" i="8"/>
  <c r="CV9" i="8"/>
  <c r="CO9" i="8"/>
  <c r="CN9" i="8"/>
  <c r="CM9" i="8"/>
  <c r="BS9" i="8"/>
  <c r="BP9" i="8"/>
  <c r="BN9" i="8"/>
  <c r="BM9" i="8"/>
  <c r="BL9" i="8"/>
  <c r="BK9" i="8"/>
  <c r="BJ9" i="8"/>
  <c r="BH9" i="8"/>
  <c r="BF9" i="8"/>
  <c r="BA9" i="8"/>
  <c r="AZ9" i="8"/>
  <c r="AY9" i="8"/>
  <c r="AR9" i="8"/>
  <c r="AQ9" i="8"/>
  <c r="AP9" i="8"/>
  <c r="R9" i="8"/>
  <c r="O9" i="8"/>
  <c r="A9" i="8"/>
  <c r="GY8" i="8"/>
  <c r="GX8" i="8"/>
  <c r="GW8" i="8"/>
  <c r="GV8" i="8"/>
  <c r="GJ8" i="8"/>
  <c r="GI8" i="8"/>
  <c r="GH8" i="8"/>
  <c r="GA8" i="8"/>
  <c r="FZ8" i="8"/>
  <c r="FY8" i="8"/>
  <c r="FH8" i="8"/>
  <c r="FG8" i="8"/>
  <c r="FD8" i="8"/>
  <c r="FB8" i="8"/>
  <c r="FA8" i="8"/>
  <c r="EZ8" i="8"/>
  <c r="EY8" i="8"/>
  <c r="EX8" i="8"/>
  <c r="EW8" i="8"/>
  <c r="EV8" i="8"/>
  <c r="EU8" i="8"/>
  <c r="ET8" i="8"/>
  <c r="ES8" i="8"/>
  <c r="EQ8" i="8"/>
  <c r="EP8" i="8"/>
  <c r="EO8" i="8"/>
  <c r="EN8" i="8"/>
  <c r="EM8" i="8"/>
  <c r="EL8" i="8"/>
  <c r="DY8" i="8"/>
  <c r="DM8" i="8"/>
  <c r="DL8" i="8"/>
  <c r="DK8" i="8"/>
  <c r="DJ8" i="8"/>
  <c r="CX8" i="8"/>
  <c r="CW8" i="8"/>
  <c r="CV8" i="8"/>
  <c r="CO8" i="8"/>
  <c r="CN8" i="8"/>
  <c r="CM8" i="8"/>
  <c r="BS8" i="8"/>
  <c r="BP8" i="8"/>
  <c r="BN8" i="8"/>
  <c r="BM8" i="8"/>
  <c r="BL8" i="8"/>
  <c r="BK8" i="8"/>
  <c r="BJ8" i="8"/>
  <c r="BH8" i="8"/>
  <c r="BF8" i="8"/>
  <c r="BA8" i="8"/>
  <c r="AZ8" i="8"/>
  <c r="AY8" i="8"/>
  <c r="AR8" i="8"/>
  <c r="AQ8" i="8"/>
  <c r="AP8" i="8"/>
  <c r="R8" i="8"/>
  <c r="O8" i="8"/>
  <c r="A8" i="8"/>
  <c r="GY7" i="8"/>
  <c r="GX7" i="8"/>
  <c r="GW7" i="8"/>
  <c r="GV7" i="8"/>
  <c r="GJ7" i="8"/>
  <c r="GI7" i="8"/>
  <c r="GH7" i="8"/>
  <c r="GA7" i="8"/>
  <c r="FZ7" i="8"/>
  <c r="FY7" i="8"/>
  <c r="FH7" i="8"/>
  <c r="FG7" i="8"/>
  <c r="FD7" i="8"/>
  <c r="FB7" i="8"/>
  <c r="FA7" i="8"/>
  <c r="EZ7" i="8"/>
  <c r="EY7" i="8"/>
  <c r="EX7" i="8"/>
  <c r="EW7" i="8"/>
  <c r="EV7" i="8"/>
  <c r="EU7" i="8"/>
  <c r="ET7" i="8"/>
  <c r="ES7" i="8"/>
  <c r="EQ7" i="8"/>
  <c r="EP7" i="8"/>
  <c r="EO7" i="8"/>
  <c r="EN7" i="8"/>
  <c r="EM7" i="8"/>
  <c r="EL7" i="8"/>
  <c r="DY7" i="8"/>
  <c r="DM7" i="8"/>
  <c r="DL7" i="8"/>
  <c r="DK7" i="8"/>
  <c r="DJ7" i="8"/>
  <c r="CX7" i="8"/>
  <c r="CW7" i="8"/>
  <c r="CV7" i="8"/>
  <c r="CO7" i="8"/>
  <c r="CN7" i="8"/>
  <c r="CM7" i="8"/>
  <c r="BS7" i="8"/>
  <c r="BP7" i="8"/>
  <c r="BN7" i="8"/>
  <c r="BM7" i="8"/>
  <c r="BL7" i="8"/>
  <c r="BK7" i="8"/>
  <c r="BJ7" i="8"/>
  <c r="BH7" i="8"/>
  <c r="BF7" i="8"/>
  <c r="BA7" i="8"/>
  <c r="AY7" i="8"/>
  <c r="AR7" i="8"/>
  <c r="R7" i="8"/>
  <c r="O7" i="8"/>
  <c r="A7" i="8"/>
  <c r="GY6" i="8"/>
  <c r="GX6" i="8"/>
  <c r="GW6" i="8"/>
  <c r="GV6" i="8"/>
  <c r="GJ6" i="8"/>
  <c r="GI6" i="8"/>
  <c r="GH6" i="8"/>
  <c r="GA6" i="8"/>
  <c r="FZ6" i="8"/>
  <c r="FY6" i="8"/>
  <c r="FH6" i="8"/>
  <c r="FG6" i="8"/>
  <c r="FD6" i="8"/>
  <c r="FB6" i="8"/>
  <c r="FA6" i="8"/>
  <c r="EZ6" i="8"/>
  <c r="EY6" i="8"/>
  <c r="EX6" i="8"/>
  <c r="EW6" i="8"/>
  <c r="EV6" i="8"/>
  <c r="EU6" i="8"/>
  <c r="ET6" i="8"/>
  <c r="ES6" i="8"/>
  <c r="EQ6" i="8"/>
  <c r="EP6" i="8"/>
  <c r="EO6" i="8"/>
  <c r="EN6" i="8"/>
  <c r="EM6" i="8"/>
  <c r="EL6" i="8"/>
  <c r="DY6" i="8"/>
  <c r="DM6" i="8"/>
  <c r="DL6" i="8"/>
  <c r="DK6" i="8"/>
  <c r="DJ6" i="8"/>
  <c r="CX6" i="8"/>
  <c r="CW6" i="8"/>
  <c r="CV6" i="8"/>
  <c r="CO6" i="8"/>
  <c r="CN6" i="8"/>
  <c r="CM6" i="8"/>
  <c r="BS6" i="8"/>
  <c r="BP6" i="8"/>
  <c r="BN6" i="8"/>
  <c r="BM6" i="8"/>
  <c r="BL6" i="8"/>
  <c r="BK6" i="8"/>
  <c r="BJ6" i="8"/>
  <c r="BH6" i="8"/>
  <c r="BF6" i="8"/>
  <c r="BA6" i="8"/>
  <c r="AZ6" i="8"/>
  <c r="AY6" i="8"/>
  <c r="AR6" i="8"/>
  <c r="AQ6" i="8"/>
  <c r="AP6" i="8"/>
  <c r="R6" i="8"/>
  <c r="O6" i="8"/>
  <c r="A6" i="8"/>
  <c r="GY5" i="8"/>
  <c r="GX5" i="8"/>
  <c r="GW5" i="8"/>
  <c r="GV5" i="8"/>
  <c r="GJ5" i="8"/>
  <c r="GI5" i="8"/>
  <c r="GH5" i="8"/>
  <c r="GA5" i="8"/>
  <c r="FZ5" i="8"/>
  <c r="FY5" i="8"/>
  <c r="FH5" i="8"/>
  <c r="FG5" i="8"/>
  <c r="FD5" i="8"/>
  <c r="FB5" i="8"/>
  <c r="FA5" i="8"/>
  <c r="EZ5" i="8"/>
  <c r="EY5" i="8"/>
  <c r="EX5" i="8"/>
  <c r="EW5" i="8"/>
  <c r="EV5" i="8"/>
  <c r="EU5" i="8"/>
  <c r="ET5" i="8"/>
  <c r="ES5" i="8"/>
  <c r="EQ5" i="8"/>
  <c r="EP5" i="8"/>
  <c r="EO5" i="8"/>
  <c r="EN5" i="8"/>
  <c r="EM5" i="8"/>
  <c r="EL5" i="8"/>
  <c r="DM5" i="8"/>
  <c r="DL5" i="8"/>
  <c r="DK5" i="8"/>
  <c r="DJ5" i="8"/>
  <c r="CX5" i="8"/>
  <c r="CW5" i="8"/>
  <c r="CV5" i="8"/>
  <c r="CO5" i="8"/>
  <c r="CN5" i="8"/>
  <c r="CM5" i="8"/>
  <c r="BS5" i="8"/>
  <c r="BP5" i="8"/>
  <c r="BN5" i="8"/>
  <c r="BM5" i="8"/>
  <c r="BL5" i="8"/>
  <c r="BK5" i="8"/>
  <c r="BJ5" i="8"/>
  <c r="BH5" i="8"/>
  <c r="BF5" i="8"/>
  <c r="BA5" i="8"/>
  <c r="AY5" i="8"/>
  <c r="AR5" i="8"/>
  <c r="R5" i="8"/>
  <c r="O5" i="8"/>
  <c r="A5" i="8"/>
  <c r="GY4" i="8"/>
  <c r="GX4" i="8"/>
  <c r="GW4" i="8"/>
  <c r="GV4" i="8"/>
  <c r="GJ4" i="8"/>
  <c r="GI4" i="8"/>
  <c r="GH4" i="8"/>
  <c r="GA4" i="8"/>
  <c r="FZ4" i="8"/>
  <c r="FY4" i="8"/>
  <c r="FH4" i="8"/>
  <c r="FG4" i="8"/>
  <c r="FD4" i="8"/>
  <c r="FB4" i="8"/>
  <c r="FA4" i="8"/>
  <c r="EZ4" i="8"/>
  <c r="EY4" i="8"/>
  <c r="EX4" i="8"/>
  <c r="EW4" i="8"/>
  <c r="EV4" i="8"/>
  <c r="EU4" i="8"/>
  <c r="ET4" i="8"/>
  <c r="ES4" i="8"/>
  <c r="EQ4" i="8"/>
  <c r="EP4" i="8"/>
  <c r="EO4" i="8"/>
  <c r="EN4" i="8"/>
  <c r="EM4" i="8"/>
  <c r="EL4" i="8"/>
  <c r="DM4" i="8"/>
  <c r="DL4" i="8"/>
  <c r="DK4" i="8"/>
  <c r="DJ4" i="8"/>
  <c r="CX4" i="8"/>
  <c r="CW4" i="8"/>
  <c r="CV4" i="8"/>
  <c r="CO4" i="8"/>
  <c r="CN4" i="8"/>
  <c r="CM4" i="8"/>
  <c r="BS4" i="8"/>
  <c r="BP4" i="8"/>
  <c r="BN4" i="8"/>
  <c r="BM4" i="8"/>
  <c r="BL4" i="8"/>
  <c r="BK4" i="8"/>
  <c r="BJ4" i="8"/>
  <c r="BH4" i="8"/>
  <c r="BF4" i="8"/>
  <c r="BA4" i="8"/>
  <c r="AZ4" i="8"/>
  <c r="AY4" i="8"/>
  <c r="AR4" i="8"/>
  <c r="AQ4" i="8"/>
  <c r="AP4" i="8"/>
  <c r="R4" i="8"/>
  <c r="O4" i="8"/>
  <c r="A4" i="8"/>
  <c r="GY3" i="8"/>
  <c r="GX3" i="8"/>
  <c r="GW3" i="8"/>
  <c r="GV3" i="8"/>
  <c r="GJ3" i="8"/>
  <c r="GI3" i="8"/>
  <c r="GH3" i="8"/>
  <c r="GA3" i="8"/>
  <c r="FZ3" i="8"/>
  <c r="FY3" i="8"/>
  <c r="FH3" i="8"/>
  <c r="FG3" i="8"/>
  <c r="FD3" i="8"/>
  <c r="FB3" i="8"/>
  <c r="FA3" i="8"/>
  <c r="EZ3" i="8"/>
  <c r="EY3" i="8"/>
  <c r="EX3" i="8"/>
  <c r="EW3" i="8"/>
  <c r="EV3" i="8"/>
  <c r="EU3" i="8"/>
  <c r="ET3" i="8"/>
  <c r="ES3" i="8"/>
  <c r="EQ3" i="8"/>
  <c r="EP3" i="8"/>
  <c r="EO3" i="8"/>
  <c r="EN3" i="8"/>
  <c r="EM3" i="8"/>
  <c r="EL3" i="8"/>
  <c r="DM3" i="8"/>
  <c r="DL3" i="8"/>
  <c r="DK3" i="8"/>
  <c r="DJ3" i="8"/>
  <c r="CX3" i="8"/>
  <c r="CW3" i="8"/>
  <c r="CV3" i="8"/>
  <c r="CO3" i="8"/>
  <c r="CN3" i="8"/>
  <c r="CM3" i="8"/>
  <c r="BS3" i="8"/>
  <c r="BP3" i="8"/>
  <c r="BN3" i="8"/>
  <c r="BM3" i="8"/>
  <c r="BL3" i="8"/>
  <c r="BK3" i="8"/>
  <c r="BJ3" i="8"/>
  <c r="BH3" i="8"/>
  <c r="BF3" i="8"/>
  <c r="BA3" i="8"/>
  <c r="AZ3" i="8"/>
  <c r="AY3" i="8"/>
  <c r="AR3" i="8"/>
  <c r="AQ3" i="8"/>
  <c r="AP3" i="8"/>
  <c r="R3" i="8"/>
  <c r="O3" i="8"/>
  <c r="A3" i="8"/>
  <c r="HV2" i="8"/>
  <c r="HS3" i="8" s="1"/>
  <c r="HU2" i="8"/>
  <c r="HI2" i="8"/>
  <c r="GY2" i="8"/>
  <c r="GX2" i="8"/>
  <c r="GW2" i="8"/>
  <c r="GV2" i="8"/>
  <c r="GJ2" i="8"/>
  <c r="GH2" i="8"/>
  <c r="GA2" i="8"/>
  <c r="FT2" i="8"/>
  <c r="FS2" i="8"/>
  <c r="FH2" i="8"/>
  <c r="FG2" i="8"/>
  <c r="FD2" i="8"/>
  <c r="FB2" i="8"/>
  <c r="FA2" i="8"/>
  <c r="EZ2" i="8"/>
  <c r="EY2" i="8"/>
  <c r="EX2" i="8"/>
  <c r="EW2" i="8"/>
  <c r="EV2" i="8"/>
  <c r="EU2" i="8"/>
  <c r="ET2" i="8"/>
  <c r="ES2" i="8"/>
  <c r="EQ2" i="8"/>
  <c r="EP2" i="8"/>
  <c r="EO2" i="8"/>
  <c r="EN2" i="8"/>
  <c r="EM2" i="8"/>
  <c r="EL2" i="8"/>
  <c r="EB2" i="8"/>
  <c r="DW2" i="8"/>
  <c r="DW3" i="8" s="1"/>
  <c r="DM2" i="8"/>
  <c r="DL2" i="8"/>
  <c r="DK2" i="8"/>
  <c r="DJ2" i="8"/>
  <c r="CX2" i="8"/>
  <c r="CV2" i="8"/>
  <c r="CO2" i="8"/>
  <c r="BS2" i="8"/>
  <c r="BP2" i="8"/>
  <c r="BN2" i="8"/>
  <c r="BM2" i="8"/>
  <c r="BL2" i="8"/>
  <c r="BK2" i="8"/>
  <c r="BJ2" i="8"/>
  <c r="BH2" i="8"/>
  <c r="BF2" i="8"/>
  <c r="BA2" i="8"/>
  <c r="AY2" i="8"/>
  <c r="AU2" i="8"/>
  <c r="AR2" i="8"/>
  <c r="AN2" i="8"/>
  <c r="X2" i="8"/>
  <c r="CI2" i="8" s="1"/>
  <c r="S2" i="8"/>
  <c r="R2" i="8"/>
  <c r="O2" i="8"/>
  <c r="A2" i="8"/>
  <c r="HK52" i="7"/>
  <c r="GY52" i="7"/>
  <c r="GX52" i="7"/>
  <c r="GW52" i="7"/>
  <c r="GV52" i="7"/>
  <c r="GL52" i="7"/>
  <c r="GJ52" i="7"/>
  <c r="GI52" i="7"/>
  <c r="GH52" i="7"/>
  <c r="GA52" i="7"/>
  <c r="FZ52" i="7"/>
  <c r="FY52" i="7"/>
  <c r="FI52" i="7"/>
  <c r="FG52" i="7"/>
  <c r="FD52" i="7"/>
  <c r="FB52" i="7"/>
  <c r="FA52" i="7"/>
  <c r="EZ52" i="7"/>
  <c r="EY52" i="7"/>
  <c r="EX52" i="7"/>
  <c r="EV52" i="7"/>
  <c r="ET52" i="7"/>
  <c r="EQ52" i="7"/>
  <c r="EO52" i="7"/>
  <c r="EN52" i="7"/>
  <c r="EM52" i="7"/>
  <c r="EF52" i="7"/>
  <c r="DY52" i="7"/>
  <c r="DX52" i="7"/>
  <c r="DW52" i="7"/>
  <c r="DO52" i="7"/>
  <c r="DN52" i="7"/>
  <c r="DM52" i="7"/>
  <c r="DL52" i="7"/>
  <c r="DK52" i="7"/>
  <c r="DJ52" i="7"/>
  <c r="DI52" i="7"/>
  <c r="DH52" i="7"/>
  <c r="DF52" i="7"/>
  <c r="DB52" i="7"/>
  <c r="DQ52" i="7" s="1"/>
  <c r="CZ52" i="7"/>
  <c r="CY52" i="7"/>
  <c r="CX52" i="7"/>
  <c r="CW52" i="7"/>
  <c r="CV52" i="7"/>
  <c r="CU52" i="7"/>
  <c r="CT52" i="7"/>
  <c r="CS52" i="7"/>
  <c r="CR52" i="7"/>
  <c r="CQ52" i="7"/>
  <c r="CP52" i="7"/>
  <c r="CO52" i="7"/>
  <c r="CN52" i="7"/>
  <c r="CM52" i="7"/>
  <c r="CJ52" i="7"/>
  <c r="CI52" i="7"/>
  <c r="BU52" i="7"/>
  <c r="BS52" i="7"/>
  <c r="BP52" i="7"/>
  <c r="BN52" i="7"/>
  <c r="BM52" i="7"/>
  <c r="BL52" i="7"/>
  <c r="BK52" i="7"/>
  <c r="BJ52" i="7"/>
  <c r="BH52" i="7"/>
  <c r="BF52" i="7"/>
  <c r="BC52" i="7"/>
  <c r="BA52" i="7"/>
  <c r="AZ52" i="7"/>
  <c r="AY52" i="7"/>
  <c r="AR52" i="7"/>
  <c r="AQ52" i="7"/>
  <c r="AP52" i="7"/>
  <c r="R52" i="7"/>
  <c r="P52" i="7"/>
  <c r="O52" i="7"/>
  <c r="A52" i="7"/>
  <c r="HK51" i="7"/>
  <c r="GY51" i="7"/>
  <c r="GX51" i="7"/>
  <c r="GW51" i="7"/>
  <c r="GV51" i="7"/>
  <c r="GL51" i="7"/>
  <c r="GJ51" i="7"/>
  <c r="GI51" i="7"/>
  <c r="GH51" i="7"/>
  <c r="GA51" i="7"/>
  <c r="FZ51" i="7"/>
  <c r="FY51" i="7"/>
  <c r="FI51" i="7"/>
  <c r="FG51" i="7"/>
  <c r="FD51" i="7"/>
  <c r="FB51" i="7"/>
  <c r="FA51" i="7"/>
  <c r="EZ51" i="7"/>
  <c r="EY51" i="7"/>
  <c r="EX51" i="7"/>
  <c r="EV51" i="7"/>
  <c r="ET51" i="7"/>
  <c r="EQ51" i="7"/>
  <c r="EO51" i="7"/>
  <c r="EN51" i="7"/>
  <c r="EM51" i="7"/>
  <c r="EF51" i="7"/>
  <c r="DY51" i="7"/>
  <c r="DX51" i="7"/>
  <c r="DW51" i="7"/>
  <c r="DO51" i="7"/>
  <c r="DN51" i="7"/>
  <c r="DM51" i="7"/>
  <c r="DL51" i="7"/>
  <c r="DK51" i="7"/>
  <c r="DJ51" i="7"/>
  <c r="DI51" i="7"/>
  <c r="DH51" i="7"/>
  <c r="DF51" i="7"/>
  <c r="DB51" i="7"/>
  <c r="CZ51" i="7"/>
  <c r="CY51" i="7"/>
  <c r="CX51" i="7"/>
  <c r="CW51" i="7"/>
  <c r="CV51" i="7"/>
  <c r="CU51" i="7"/>
  <c r="CT51" i="7"/>
  <c r="CS51" i="7"/>
  <c r="CR51" i="7"/>
  <c r="CQ51" i="7"/>
  <c r="CP51" i="7"/>
  <c r="CO51" i="7"/>
  <c r="CN51" i="7"/>
  <c r="CM51" i="7"/>
  <c r="CJ51" i="7"/>
  <c r="CI51" i="7"/>
  <c r="BU51" i="7"/>
  <c r="BS51" i="7"/>
  <c r="BP51" i="7"/>
  <c r="BN51" i="7"/>
  <c r="BM51" i="7"/>
  <c r="BL51" i="7"/>
  <c r="BK51" i="7"/>
  <c r="BJ51" i="7"/>
  <c r="BH51" i="7"/>
  <c r="BF51" i="7"/>
  <c r="BC51" i="7"/>
  <c r="BA51" i="7"/>
  <c r="AZ51" i="7"/>
  <c r="AY51" i="7"/>
  <c r="AR51" i="7"/>
  <c r="AQ51" i="7"/>
  <c r="AP51" i="7"/>
  <c r="R51" i="7"/>
  <c r="P51" i="7"/>
  <c r="O51" i="7"/>
  <c r="A51" i="7"/>
  <c r="HK50" i="7"/>
  <c r="GY50" i="7"/>
  <c r="GX50" i="7"/>
  <c r="GW50" i="7"/>
  <c r="GV50" i="7"/>
  <c r="GL50" i="7"/>
  <c r="GJ50" i="7"/>
  <c r="GI50" i="7"/>
  <c r="GH50" i="7"/>
  <c r="GA50" i="7"/>
  <c r="FZ50" i="7"/>
  <c r="FY50" i="7"/>
  <c r="FI50" i="7"/>
  <c r="FG50" i="7"/>
  <c r="FD50" i="7"/>
  <c r="FB50" i="7"/>
  <c r="FA50" i="7"/>
  <c r="EZ50" i="7"/>
  <c r="EY50" i="7"/>
  <c r="EX50" i="7"/>
  <c r="EV50" i="7"/>
  <c r="ET50" i="7"/>
  <c r="EQ50" i="7"/>
  <c r="EO50" i="7"/>
  <c r="EN50" i="7"/>
  <c r="EM50" i="7"/>
  <c r="EF50" i="7"/>
  <c r="DY50" i="7"/>
  <c r="DX50" i="7"/>
  <c r="DW50" i="7"/>
  <c r="DO50" i="7"/>
  <c r="DN50" i="7"/>
  <c r="DM50" i="7"/>
  <c r="DL50" i="7"/>
  <c r="DK50" i="7"/>
  <c r="DJ50" i="7"/>
  <c r="DI50" i="7"/>
  <c r="DH50" i="7"/>
  <c r="DF50" i="7"/>
  <c r="DB50" i="7"/>
  <c r="DQ50" i="7" s="1"/>
  <c r="CZ50" i="7"/>
  <c r="CY50" i="7"/>
  <c r="CX50" i="7"/>
  <c r="CW50" i="7"/>
  <c r="CV50" i="7"/>
  <c r="CU50" i="7"/>
  <c r="CT50" i="7"/>
  <c r="CS50" i="7"/>
  <c r="CR50" i="7"/>
  <c r="CQ50" i="7"/>
  <c r="CP50" i="7"/>
  <c r="CO50" i="7"/>
  <c r="CN50" i="7"/>
  <c r="CM50" i="7"/>
  <c r="CJ50" i="7"/>
  <c r="CI50" i="7"/>
  <c r="BU50" i="7"/>
  <c r="BS50" i="7"/>
  <c r="BP50" i="7"/>
  <c r="BN50" i="7"/>
  <c r="BM50" i="7"/>
  <c r="BL50" i="7"/>
  <c r="BK50" i="7"/>
  <c r="BJ50" i="7"/>
  <c r="BH50" i="7"/>
  <c r="BF50" i="7"/>
  <c r="BC50" i="7"/>
  <c r="BA50" i="7"/>
  <c r="AZ50" i="7"/>
  <c r="AY50" i="7"/>
  <c r="AR50" i="7"/>
  <c r="AQ50" i="7"/>
  <c r="AP50" i="7"/>
  <c r="R50" i="7"/>
  <c r="P50" i="7"/>
  <c r="O50" i="7"/>
  <c r="A50" i="7"/>
  <c r="HK49" i="7"/>
  <c r="GY49" i="7"/>
  <c r="GX49" i="7"/>
  <c r="GW49" i="7"/>
  <c r="GV49" i="7"/>
  <c r="GL49" i="7"/>
  <c r="GJ49" i="7"/>
  <c r="GI49" i="7"/>
  <c r="GH49" i="7"/>
  <c r="GA49" i="7"/>
  <c r="FZ49" i="7"/>
  <c r="FY49" i="7"/>
  <c r="FI49" i="7"/>
  <c r="FG49" i="7"/>
  <c r="FD49" i="7"/>
  <c r="FB49" i="7"/>
  <c r="FA49" i="7"/>
  <c r="EZ49" i="7"/>
  <c r="EY49" i="7"/>
  <c r="EX49" i="7"/>
  <c r="EV49" i="7"/>
  <c r="ET49" i="7"/>
  <c r="EQ49" i="7"/>
  <c r="EO49" i="7"/>
  <c r="EN49" i="7"/>
  <c r="EM49" i="7"/>
  <c r="EF49" i="7"/>
  <c r="DY49" i="7"/>
  <c r="DX49" i="7"/>
  <c r="DW49" i="7"/>
  <c r="DO49" i="7"/>
  <c r="DN49" i="7"/>
  <c r="DM49" i="7"/>
  <c r="DL49" i="7"/>
  <c r="DK49" i="7"/>
  <c r="DJ49" i="7"/>
  <c r="DI49" i="7"/>
  <c r="DH49" i="7"/>
  <c r="DF49" i="7"/>
  <c r="DB49" i="7"/>
  <c r="DQ49" i="7" s="1"/>
  <c r="CZ49" i="7"/>
  <c r="CY49" i="7"/>
  <c r="CX49" i="7"/>
  <c r="CW49" i="7"/>
  <c r="CV49" i="7"/>
  <c r="CU49" i="7"/>
  <c r="CT49" i="7"/>
  <c r="CS49" i="7"/>
  <c r="CR49" i="7"/>
  <c r="CQ49" i="7"/>
  <c r="CP49" i="7"/>
  <c r="CO49" i="7"/>
  <c r="CN49" i="7"/>
  <c r="CM49" i="7"/>
  <c r="CJ49" i="7"/>
  <c r="CI49" i="7"/>
  <c r="BU49" i="7"/>
  <c r="BS49" i="7"/>
  <c r="BP49" i="7"/>
  <c r="BN49" i="7"/>
  <c r="BM49" i="7"/>
  <c r="BL49" i="7"/>
  <c r="BK49" i="7"/>
  <c r="BJ49" i="7"/>
  <c r="BH49" i="7"/>
  <c r="BF49" i="7"/>
  <c r="BC49" i="7"/>
  <c r="BA49" i="7"/>
  <c r="AZ49" i="7"/>
  <c r="AY49" i="7"/>
  <c r="AR49" i="7"/>
  <c r="AQ49" i="7"/>
  <c r="AP49" i="7"/>
  <c r="R49" i="7"/>
  <c r="P49" i="7"/>
  <c r="O49" i="7"/>
  <c r="A49" i="7"/>
  <c r="HK48" i="7"/>
  <c r="GY48" i="7"/>
  <c r="GX48" i="7"/>
  <c r="GW48" i="7"/>
  <c r="GV48" i="7"/>
  <c r="GL48" i="7"/>
  <c r="GJ48" i="7"/>
  <c r="GI48" i="7"/>
  <c r="GH48" i="7"/>
  <c r="GA48" i="7"/>
  <c r="FZ48" i="7"/>
  <c r="FY48" i="7"/>
  <c r="FI48" i="7"/>
  <c r="FG48" i="7"/>
  <c r="FD48" i="7"/>
  <c r="FB48" i="7"/>
  <c r="FA48" i="7"/>
  <c r="EZ48" i="7"/>
  <c r="EY48" i="7"/>
  <c r="EX48" i="7"/>
  <c r="EV48" i="7"/>
  <c r="ET48" i="7"/>
  <c r="EQ48" i="7"/>
  <c r="EO48" i="7"/>
  <c r="EN48" i="7"/>
  <c r="EM48" i="7"/>
  <c r="EF48" i="7"/>
  <c r="DY48" i="7"/>
  <c r="DX48" i="7"/>
  <c r="DW48" i="7"/>
  <c r="DO48" i="7"/>
  <c r="DN48" i="7"/>
  <c r="DM48" i="7"/>
  <c r="DL48" i="7"/>
  <c r="DK48" i="7"/>
  <c r="DJ48" i="7"/>
  <c r="DI48" i="7"/>
  <c r="DH48" i="7"/>
  <c r="DF48" i="7"/>
  <c r="DB48" i="7"/>
  <c r="DQ48" i="7" s="1"/>
  <c r="CZ48" i="7"/>
  <c r="CY48" i="7"/>
  <c r="CX48" i="7"/>
  <c r="CW48" i="7"/>
  <c r="CV48" i="7"/>
  <c r="CU48" i="7"/>
  <c r="CT48" i="7"/>
  <c r="CS48" i="7"/>
  <c r="CR48" i="7"/>
  <c r="CQ48" i="7"/>
  <c r="CP48" i="7"/>
  <c r="CO48" i="7"/>
  <c r="CN48" i="7"/>
  <c r="CM48" i="7"/>
  <c r="CJ48" i="7"/>
  <c r="CI48" i="7"/>
  <c r="BU48" i="7"/>
  <c r="BS48" i="7"/>
  <c r="BP48" i="7"/>
  <c r="BN48" i="7"/>
  <c r="BM48" i="7"/>
  <c r="BL48" i="7"/>
  <c r="BK48" i="7"/>
  <c r="BJ48" i="7"/>
  <c r="BH48" i="7"/>
  <c r="BF48" i="7"/>
  <c r="BC48" i="7"/>
  <c r="BA48" i="7"/>
  <c r="AZ48" i="7"/>
  <c r="AY48" i="7"/>
  <c r="AR48" i="7"/>
  <c r="AQ48" i="7"/>
  <c r="AP48" i="7"/>
  <c r="R48" i="7"/>
  <c r="P48" i="7"/>
  <c r="O48" i="7"/>
  <c r="A48" i="7"/>
  <c r="HK47" i="7"/>
  <c r="GY47" i="7"/>
  <c r="GX47" i="7"/>
  <c r="GW47" i="7"/>
  <c r="GV47" i="7"/>
  <c r="GL47" i="7"/>
  <c r="GJ47" i="7"/>
  <c r="GI47" i="7"/>
  <c r="GH47" i="7"/>
  <c r="GA47" i="7"/>
  <c r="FZ47" i="7"/>
  <c r="FY47" i="7"/>
  <c r="FI47" i="7"/>
  <c r="FG47" i="7"/>
  <c r="FD47" i="7"/>
  <c r="FB47" i="7"/>
  <c r="FA47" i="7"/>
  <c r="EZ47" i="7"/>
  <c r="EY47" i="7"/>
  <c r="EX47" i="7"/>
  <c r="EV47" i="7"/>
  <c r="ET47" i="7"/>
  <c r="EO47" i="7"/>
  <c r="EN47" i="7"/>
  <c r="EM47" i="7"/>
  <c r="EF47" i="7"/>
  <c r="DY47" i="7"/>
  <c r="DX47" i="7"/>
  <c r="DW47" i="7"/>
  <c r="DO47" i="7"/>
  <c r="DN47" i="7"/>
  <c r="DM47" i="7"/>
  <c r="DL47" i="7"/>
  <c r="DK47" i="7"/>
  <c r="DJ47" i="7"/>
  <c r="DI47" i="7"/>
  <c r="DH47" i="7"/>
  <c r="DF47" i="7"/>
  <c r="DB47" i="7"/>
  <c r="DQ47" i="7" s="1"/>
  <c r="CZ47" i="7"/>
  <c r="CY47" i="7"/>
  <c r="CX47" i="7"/>
  <c r="CW47" i="7"/>
  <c r="CV47" i="7"/>
  <c r="CU47" i="7"/>
  <c r="CT47" i="7"/>
  <c r="CS47" i="7"/>
  <c r="CR47" i="7"/>
  <c r="CQ47" i="7"/>
  <c r="CP47" i="7"/>
  <c r="CO47" i="7"/>
  <c r="CN47" i="7"/>
  <c r="CM47" i="7"/>
  <c r="CJ47" i="7"/>
  <c r="CI47" i="7"/>
  <c r="BU47" i="7"/>
  <c r="BS47" i="7"/>
  <c r="BP47" i="7"/>
  <c r="BN47" i="7"/>
  <c r="BM47" i="7"/>
  <c r="BL47" i="7"/>
  <c r="BK47" i="7"/>
  <c r="BJ47" i="7"/>
  <c r="BH47" i="7"/>
  <c r="BF47" i="7"/>
  <c r="BC47" i="7"/>
  <c r="BA47" i="7"/>
  <c r="AZ47" i="7"/>
  <c r="AY47" i="7"/>
  <c r="AR47" i="7"/>
  <c r="AQ47" i="7"/>
  <c r="AP47" i="7"/>
  <c r="R47" i="7"/>
  <c r="P47" i="7"/>
  <c r="O47" i="7"/>
  <c r="A47" i="7"/>
  <c r="HK46" i="7"/>
  <c r="GY46" i="7"/>
  <c r="GX46" i="7"/>
  <c r="GW46" i="7"/>
  <c r="GV46" i="7"/>
  <c r="GL46" i="7"/>
  <c r="GJ46" i="7"/>
  <c r="GI46" i="7"/>
  <c r="GH46" i="7"/>
  <c r="GA46" i="7"/>
  <c r="FZ46" i="7"/>
  <c r="FY46" i="7"/>
  <c r="FI46" i="7"/>
  <c r="FG46" i="7"/>
  <c r="FD46" i="7"/>
  <c r="FB46" i="7"/>
  <c r="FA46" i="7"/>
  <c r="EZ46" i="7"/>
  <c r="EY46" i="7"/>
  <c r="EX46" i="7"/>
  <c r="EV46" i="7"/>
  <c r="ET46" i="7"/>
  <c r="EO46" i="7"/>
  <c r="EN46" i="7"/>
  <c r="EM46" i="7"/>
  <c r="EF46" i="7"/>
  <c r="DY46" i="7"/>
  <c r="DX46" i="7"/>
  <c r="DW46" i="7"/>
  <c r="DO46" i="7"/>
  <c r="DN46" i="7"/>
  <c r="DM46" i="7"/>
  <c r="DL46" i="7"/>
  <c r="DK46" i="7"/>
  <c r="DJ46" i="7"/>
  <c r="DI46" i="7"/>
  <c r="DH46" i="7"/>
  <c r="DF46" i="7"/>
  <c r="DB46" i="7"/>
  <c r="DQ46" i="7" s="1"/>
  <c r="CZ46" i="7"/>
  <c r="CY46" i="7"/>
  <c r="CX46" i="7"/>
  <c r="CW46" i="7"/>
  <c r="CV46" i="7"/>
  <c r="CU46" i="7"/>
  <c r="CT46" i="7"/>
  <c r="CS46" i="7"/>
  <c r="CR46" i="7"/>
  <c r="CQ46" i="7"/>
  <c r="CP46" i="7"/>
  <c r="CO46" i="7"/>
  <c r="CN46" i="7"/>
  <c r="CM46" i="7"/>
  <c r="CJ46" i="7"/>
  <c r="CI46" i="7"/>
  <c r="BU46" i="7"/>
  <c r="BS46" i="7"/>
  <c r="BP46" i="7"/>
  <c r="BN46" i="7"/>
  <c r="BM46" i="7"/>
  <c r="BL46" i="7"/>
  <c r="BK46" i="7"/>
  <c r="BJ46" i="7"/>
  <c r="BH46" i="7"/>
  <c r="BF46" i="7"/>
  <c r="BC46" i="7"/>
  <c r="BA46" i="7"/>
  <c r="AZ46" i="7"/>
  <c r="AY46" i="7"/>
  <c r="AR46" i="7"/>
  <c r="AQ46" i="7"/>
  <c r="AP46" i="7"/>
  <c r="R46" i="7"/>
  <c r="P46" i="7"/>
  <c r="O46" i="7"/>
  <c r="A46" i="7"/>
  <c r="HK45" i="7"/>
  <c r="GY45" i="7"/>
  <c r="GX45" i="7"/>
  <c r="GW45" i="7"/>
  <c r="GV45" i="7"/>
  <c r="GL45" i="7"/>
  <c r="GJ45" i="7"/>
  <c r="GI45" i="7"/>
  <c r="GH45" i="7"/>
  <c r="GA45" i="7"/>
  <c r="FZ45" i="7"/>
  <c r="FY45" i="7"/>
  <c r="FI45" i="7"/>
  <c r="FG45" i="7"/>
  <c r="FD45" i="7"/>
  <c r="FB45" i="7"/>
  <c r="FA45" i="7"/>
  <c r="EZ45" i="7"/>
  <c r="EY45" i="7"/>
  <c r="EX45" i="7"/>
  <c r="EV45" i="7"/>
  <c r="ET45" i="7"/>
  <c r="EO45" i="7"/>
  <c r="EN45" i="7"/>
  <c r="EM45" i="7"/>
  <c r="EF45" i="7"/>
  <c r="DY45" i="7"/>
  <c r="DX45" i="7"/>
  <c r="DW45" i="7"/>
  <c r="DO45" i="7"/>
  <c r="DN45" i="7"/>
  <c r="DM45" i="7"/>
  <c r="DL45" i="7"/>
  <c r="DK45" i="7"/>
  <c r="DJ45" i="7"/>
  <c r="DI45" i="7"/>
  <c r="DH45" i="7"/>
  <c r="DF45" i="7"/>
  <c r="DB45" i="7"/>
  <c r="DQ45" i="7" s="1"/>
  <c r="CZ45" i="7"/>
  <c r="CY45" i="7"/>
  <c r="CX45" i="7"/>
  <c r="CW45" i="7"/>
  <c r="CV45" i="7"/>
  <c r="CU45" i="7"/>
  <c r="CT45" i="7"/>
  <c r="CS45" i="7"/>
  <c r="CR45" i="7"/>
  <c r="CQ45" i="7"/>
  <c r="CP45" i="7"/>
  <c r="CO45" i="7"/>
  <c r="CN45" i="7"/>
  <c r="CM45" i="7"/>
  <c r="CJ45" i="7"/>
  <c r="CI45" i="7"/>
  <c r="BU45" i="7"/>
  <c r="BS45" i="7"/>
  <c r="BP45" i="7"/>
  <c r="BN45" i="7"/>
  <c r="BM45" i="7"/>
  <c r="BL45" i="7"/>
  <c r="BK45" i="7"/>
  <c r="BJ45" i="7"/>
  <c r="BH45" i="7"/>
  <c r="BF45" i="7"/>
  <c r="BC45" i="7"/>
  <c r="BA45" i="7"/>
  <c r="AZ45" i="7"/>
  <c r="AY45" i="7"/>
  <c r="AR45" i="7"/>
  <c r="AQ45" i="7"/>
  <c r="AP45" i="7"/>
  <c r="R45" i="7"/>
  <c r="P45" i="7"/>
  <c r="O45" i="7"/>
  <c r="A45" i="7"/>
  <c r="HK44" i="7"/>
  <c r="GY44" i="7"/>
  <c r="GX44" i="7"/>
  <c r="GW44" i="7"/>
  <c r="GV44" i="7"/>
  <c r="GL44" i="7"/>
  <c r="GJ44" i="7"/>
  <c r="GI44" i="7"/>
  <c r="GH44" i="7"/>
  <c r="GA44" i="7"/>
  <c r="FZ44" i="7"/>
  <c r="FY44" i="7"/>
  <c r="FI44" i="7"/>
  <c r="FG44" i="7"/>
  <c r="FD44" i="7"/>
  <c r="FB44" i="7"/>
  <c r="FA44" i="7"/>
  <c r="EZ44" i="7"/>
  <c r="EY44" i="7"/>
  <c r="EX44" i="7"/>
  <c r="EV44" i="7"/>
  <c r="ET44" i="7"/>
  <c r="EO44" i="7"/>
  <c r="EN44" i="7"/>
  <c r="EM44" i="7"/>
  <c r="EF44" i="7"/>
  <c r="DY44" i="7"/>
  <c r="DX44" i="7"/>
  <c r="DW44" i="7"/>
  <c r="DO44" i="7"/>
  <c r="DN44" i="7"/>
  <c r="DM44" i="7"/>
  <c r="DL44" i="7"/>
  <c r="DK44" i="7"/>
  <c r="DJ44" i="7"/>
  <c r="DI44" i="7"/>
  <c r="DH44" i="7"/>
  <c r="DF44" i="7"/>
  <c r="DB44" i="7"/>
  <c r="DQ44" i="7" s="1"/>
  <c r="CZ44" i="7"/>
  <c r="CY44" i="7"/>
  <c r="CX44" i="7"/>
  <c r="CW44" i="7"/>
  <c r="CV44" i="7"/>
  <c r="CU44" i="7"/>
  <c r="CT44" i="7"/>
  <c r="CS44" i="7"/>
  <c r="CR44" i="7"/>
  <c r="CQ44" i="7"/>
  <c r="CP44" i="7"/>
  <c r="CO44" i="7"/>
  <c r="CN44" i="7"/>
  <c r="CM44" i="7"/>
  <c r="CJ44" i="7"/>
  <c r="CI44" i="7"/>
  <c r="BU44" i="7"/>
  <c r="BS44" i="7"/>
  <c r="BP44" i="7"/>
  <c r="BN44" i="7"/>
  <c r="BM44" i="7"/>
  <c r="BL44" i="7"/>
  <c r="BK44" i="7"/>
  <c r="BJ44" i="7"/>
  <c r="BH44" i="7"/>
  <c r="BF44" i="7"/>
  <c r="BC44" i="7"/>
  <c r="BA44" i="7"/>
  <c r="AZ44" i="7"/>
  <c r="AY44" i="7"/>
  <c r="AR44" i="7"/>
  <c r="AQ44" i="7"/>
  <c r="AP44" i="7"/>
  <c r="R44" i="7"/>
  <c r="P44" i="7"/>
  <c r="O44" i="7"/>
  <c r="A44" i="7"/>
  <c r="HK43" i="7"/>
  <c r="GY43" i="7"/>
  <c r="GX43" i="7"/>
  <c r="GW43" i="7"/>
  <c r="GV43" i="7"/>
  <c r="GL43" i="7"/>
  <c r="GJ43" i="7"/>
  <c r="GI43" i="7"/>
  <c r="GH43" i="7"/>
  <c r="GA43" i="7"/>
  <c r="FZ43" i="7"/>
  <c r="FY43" i="7"/>
  <c r="FI43" i="7"/>
  <c r="FG43" i="7"/>
  <c r="FD43" i="7"/>
  <c r="FB43" i="7"/>
  <c r="FA43" i="7"/>
  <c r="EZ43" i="7"/>
  <c r="EY43" i="7"/>
  <c r="EX43" i="7"/>
  <c r="EV43" i="7"/>
  <c r="ET43" i="7"/>
  <c r="EO43" i="7"/>
  <c r="EN43" i="7"/>
  <c r="EM43" i="7"/>
  <c r="EF43" i="7"/>
  <c r="DY43" i="7"/>
  <c r="DX43" i="7"/>
  <c r="DW43" i="7"/>
  <c r="DO43" i="7"/>
  <c r="DN43" i="7"/>
  <c r="DM43" i="7"/>
  <c r="DL43" i="7"/>
  <c r="DK43" i="7"/>
  <c r="DJ43" i="7"/>
  <c r="DI43" i="7"/>
  <c r="DH43" i="7"/>
  <c r="DF43" i="7"/>
  <c r="DB43" i="7"/>
  <c r="DQ43" i="7" s="1"/>
  <c r="CZ43" i="7"/>
  <c r="CY43" i="7"/>
  <c r="CX43" i="7"/>
  <c r="CW43" i="7"/>
  <c r="CV43" i="7"/>
  <c r="CU43" i="7"/>
  <c r="CT43" i="7"/>
  <c r="CS43" i="7"/>
  <c r="CR43" i="7"/>
  <c r="CQ43" i="7"/>
  <c r="CP43" i="7"/>
  <c r="CO43" i="7"/>
  <c r="CN43" i="7"/>
  <c r="CM43" i="7"/>
  <c r="CJ43" i="7"/>
  <c r="CI43" i="7"/>
  <c r="BU43" i="7"/>
  <c r="BS43" i="7"/>
  <c r="BP43" i="7"/>
  <c r="BN43" i="7"/>
  <c r="BM43" i="7"/>
  <c r="BL43" i="7"/>
  <c r="BK43" i="7"/>
  <c r="BJ43" i="7"/>
  <c r="BH43" i="7"/>
  <c r="BF43" i="7"/>
  <c r="BC43" i="7"/>
  <c r="BA43" i="7"/>
  <c r="AZ43" i="7"/>
  <c r="AY43" i="7"/>
  <c r="AR43" i="7"/>
  <c r="AQ43" i="7"/>
  <c r="AP43" i="7"/>
  <c r="R43" i="7"/>
  <c r="P43" i="7"/>
  <c r="O43" i="7"/>
  <c r="A43" i="7"/>
  <c r="HK42" i="7"/>
  <c r="GY42" i="7"/>
  <c r="GX42" i="7"/>
  <c r="GW42" i="7"/>
  <c r="GV42" i="7"/>
  <c r="GL42" i="7"/>
  <c r="GJ42" i="7"/>
  <c r="GI42" i="7"/>
  <c r="GH42" i="7"/>
  <c r="GA42" i="7"/>
  <c r="FZ42" i="7"/>
  <c r="FY42" i="7"/>
  <c r="FI42" i="7"/>
  <c r="FG42" i="7"/>
  <c r="FD42" i="7"/>
  <c r="FB42" i="7"/>
  <c r="FA42" i="7"/>
  <c r="EZ42" i="7"/>
  <c r="EY42" i="7"/>
  <c r="EX42" i="7"/>
  <c r="EV42" i="7"/>
  <c r="ET42" i="7"/>
  <c r="EO42" i="7"/>
  <c r="EN42" i="7"/>
  <c r="EM42" i="7"/>
  <c r="EF42" i="7"/>
  <c r="DY42" i="7"/>
  <c r="DX42" i="7"/>
  <c r="DW42" i="7"/>
  <c r="DO42" i="7"/>
  <c r="DN42" i="7"/>
  <c r="DM42" i="7"/>
  <c r="DL42" i="7"/>
  <c r="DK42" i="7"/>
  <c r="DJ42" i="7"/>
  <c r="DI42" i="7"/>
  <c r="DH42" i="7"/>
  <c r="DF42" i="7"/>
  <c r="DB42" i="7"/>
  <c r="CZ42" i="7"/>
  <c r="CY42" i="7"/>
  <c r="CX42" i="7"/>
  <c r="CW42" i="7"/>
  <c r="CV42" i="7"/>
  <c r="CU42" i="7"/>
  <c r="CT42" i="7"/>
  <c r="CS42" i="7"/>
  <c r="CR42" i="7"/>
  <c r="CQ42" i="7"/>
  <c r="CP42" i="7"/>
  <c r="CO42" i="7"/>
  <c r="CN42" i="7"/>
  <c r="CM42" i="7"/>
  <c r="CJ42" i="7"/>
  <c r="CI42" i="7"/>
  <c r="BU42" i="7"/>
  <c r="BS42" i="7"/>
  <c r="BP42" i="7"/>
  <c r="BN42" i="7"/>
  <c r="BM42" i="7"/>
  <c r="BL42" i="7"/>
  <c r="BK42" i="7"/>
  <c r="BJ42" i="7"/>
  <c r="BH42" i="7"/>
  <c r="BF42" i="7"/>
  <c r="BC42" i="7"/>
  <c r="BA42" i="7"/>
  <c r="AZ42" i="7"/>
  <c r="AY42" i="7"/>
  <c r="AR42" i="7"/>
  <c r="AQ42" i="7"/>
  <c r="AP42" i="7"/>
  <c r="R42" i="7"/>
  <c r="P42" i="7"/>
  <c r="O42" i="7"/>
  <c r="A42" i="7"/>
  <c r="HK41" i="7"/>
  <c r="GY41" i="7"/>
  <c r="GX41" i="7"/>
  <c r="GW41" i="7"/>
  <c r="GV41" i="7"/>
  <c r="GL41" i="7"/>
  <c r="GJ41" i="7"/>
  <c r="GI41" i="7"/>
  <c r="GH41" i="7"/>
  <c r="GA41" i="7"/>
  <c r="FZ41" i="7"/>
  <c r="FY41" i="7"/>
  <c r="FG41" i="7"/>
  <c r="FD41" i="7"/>
  <c r="FB41" i="7"/>
  <c r="FA41" i="7"/>
  <c r="EZ41" i="7"/>
  <c r="EY41" i="7"/>
  <c r="EX41" i="7"/>
  <c r="EV41" i="7"/>
  <c r="ET41" i="7"/>
  <c r="EO41" i="7"/>
  <c r="EN41" i="7"/>
  <c r="EM41" i="7"/>
  <c r="EF41" i="7"/>
  <c r="DY41" i="7"/>
  <c r="DX41" i="7"/>
  <c r="DW41" i="7"/>
  <c r="DO41" i="7"/>
  <c r="DN41" i="7"/>
  <c r="DM41" i="7"/>
  <c r="DL41" i="7"/>
  <c r="DK41" i="7"/>
  <c r="DJ41" i="7"/>
  <c r="DI41" i="7"/>
  <c r="DH41" i="7"/>
  <c r="DF41" i="7"/>
  <c r="DB41" i="7"/>
  <c r="DQ41" i="7" s="1"/>
  <c r="CZ41" i="7"/>
  <c r="CY41" i="7"/>
  <c r="CX41" i="7"/>
  <c r="CW41" i="7"/>
  <c r="CV41" i="7"/>
  <c r="CU41" i="7"/>
  <c r="CT41" i="7"/>
  <c r="CS41" i="7"/>
  <c r="CR41" i="7"/>
  <c r="CQ41" i="7"/>
  <c r="CP41" i="7"/>
  <c r="CO41" i="7"/>
  <c r="CN41" i="7"/>
  <c r="CM41" i="7"/>
  <c r="CJ41" i="7"/>
  <c r="CI41" i="7"/>
  <c r="BU41" i="7"/>
  <c r="BS41" i="7"/>
  <c r="BP41" i="7"/>
  <c r="BN41" i="7"/>
  <c r="BM41" i="7"/>
  <c r="BL41" i="7"/>
  <c r="BK41" i="7"/>
  <c r="BJ41" i="7"/>
  <c r="BH41" i="7"/>
  <c r="BF41" i="7"/>
  <c r="BC41" i="7"/>
  <c r="BA41" i="7"/>
  <c r="AZ41" i="7"/>
  <c r="AY41" i="7"/>
  <c r="AR41" i="7"/>
  <c r="AQ41" i="7"/>
  <c r="AP41" i="7"/>
  <c r="R41" i="7"/>
  <c r="P41" i="7"/>
  <c r="O41" i="7"/>
  <c r="A41" i="7"/>
  <c r="HK40" i="7"/>
  <c r="GY40" i="7"/>
  <c r="GX40" i="7"/>
  <c r="GW40" i="7"/>
  <c r="GV40" i="7"/>
  <c r="GL40" i="7"/>
  <c r="GJ40" i="7"/>
  <c r="GI40" i="7"/>
  <c r="GH40" i="7"/>
  <c r="GA40" i="7"/>
  <c r="FZ40" i="7"/>
  <c r="FY40" i="7"/>
  <c r="FG40" i="7"/>
  <c r="FD40" i="7"/>
  <c r="FB40" i="7"/>
  <c r="FA40" i="7"/>
  <c r="EZ40" i="7"/>
  <c r="EY40" i="7"/>
  <c r="EX40" i="7"/>
  <c r="EV40" i="7"/>
  <c r="ET40" i="7"/>
  <c r="EO40" i="7"/>
  <c r="EN40" i="7"/>
  <c r="EM40" i="7"/>
  <c r="EF40" i="7"/>
  <c r="DY40" i="7"/>
  <c r="DX40" i="7"/>
  <c r="DW40" i="7"/>
  <c r="DO40" i="7"/>
  <c r="DN40" i="7"/>
  <c r="DM40" i="7"/>
  <c r="DL40" i="7"/>
  <c r="DK40" i="7"/>
  <c r="DJ40" i="7"/>
  <c r="DI40" i="7"/>
  <c r="DH40" i="7"/>
  <c r="DF40" i="7"/>
  <c r="DB40" i="7"/>
  <c r="DQ40" i="7" s="1"/>
  <c r="CZ40" i="7"/>
  <c r="CY40" i="7"/>
  <c r="CX40" i="7"/>
  <c r="CW40" i="7"/>
  <c r="CV40" i="7"/>
  <c r="CU40" i="7"/>
  <c r="CT40" i="7"/>
  <c r="CS40" i="7"/>
  <c r="CR40" i="7"/>
  <c r="CQ40" i="7"/>
  <c r="CP40" i="7"/>
  <c r="CO40" i="7"/>
  <c r="CN40" i="7"/>
  <c r="CM40" i="7"/>
  <c r="CJ40" i="7"/>
  <c r="CI40" i="7"/>
  <c r="BU40" i="7"/>
  <c r="BS40" i="7"/>
  <c r="BP40" i="7"/>
  <c r="BN40" i="7"/>
  <c r="BM40" i="7"/>
  <c r="BL40" i="7"/>
  <c r="BK40" i="7"/>
  <c r="BJ40" i="7"/>
  <c r="BH40" i="7"/>
  <c r="BF40" i="7"/>
  <c r="BC40" i="7"/>
  <c r="BA40" i="7"/>
  <c r="AZ40" i="7"/>
  <c r="AY40" i="7"/>
  <c r="AR40" i="7"/>
  <c r="AQ40" i="7"/>
  <c r="AP40" i="7"/>
  <c r="R40" i="7"/>
  <c r="P40" i="7"/>
  <c r="O40" i="7"/>
  <c r="A40" i="7"/>
  <c r="HK39" i="7"/>
  <c r="GY39" i="7"/>
  <c r="GX39" i="7"/>
  <c r="GW39" i="7"/>
  <c r="GV39" i="7"/>
  <c r="GL39" i="7"/>
  <c r="GJ39" i="7"/>
  <c r="GI39" i="7"/>
  <c r="GH39" i="7"/>
  <c r="GA39" i="7"/>
  <c r="FZ39" i="7"/>
  <c r="FY39" i="7"/>
  <c r="FG39" i="7"/>
  <c r="FD39" i="7"/>
  <c r="FB39" i="7"/>
  <c r="FA39" i="7"/>
  <c r="EZ39" i="7"/>
  <c r="EY39" i="7"/>
  <c r="EX39" i="7"/>
  <c r="EV39" i="7"/>
  <c r="ET39" i="7"/>
  <c r="EO39" i="7"/>
  <c r="EN39" i="7"/>
  <c r="EM39" i="7"/>
  <c r="EF39" i="7"/>
  <c r="DY39" i="7"/>
  <c r="DX39" i="7"/>
  <c r="DW39" i="7"/>
  <c r="DO39" i="7"/>
  <c r="DN39" i="7"/>
  <c r="DM39" i="7"/>
  <c r="DL39" i="7"/>
  <c r="DK39" i="7"/>
  <c r="DJ39" i="7"/>
  <c r="DI39" i="7"/>
  <c r="DH39" i="7"/>
  <c r="DF39" i="7"/>
  <c r="DB39" i="7"/>
  <c r="DQ39" i="7" s="1"/>
  <c r="CZ39" i="7"/>
  <c r="CY39" i="7"/>
  <c r="CX39" i="7"/>
  <c r="CW39" i="7"/>
  <c r="CV39" i="7"/>
  <c r="CU39" i="7"/>
  <c r="CT39" i="7"/>
  <c r="CS39" i="7"/>
  <c r="CR39" i="7"/>
  <c r="CQ39" i="7"/>
  <c r="CP39" i="7"/>
  <c r="CO39" i="7"/>
  <c r="CN39" i="7"/>
  <c r="CM39" i="7"/>
  <c r="CJ39" i="7"/>
  <c r="CI39" i="7"/>
  <c r="BU39" i="7"/>
  <c r="BS39" i="7"/>
  <c r="BP39" i="7"/>
  <c r="BN39" i="7"/>
  <c r="BM39" i="7"/>
  <c r="BL39" i="7"/>
  <c r="BK39" i="7"/>
  <c r="BJ39" i="7"/>
  <c r="BH39" i="7"/>
  <c r="BF39" i="7"/>
  <c r="BC39" i="7"/>
  <c r="BA39" i="7"/>
  <c r="AZ39" i="7"/>
  <c r="AY39" i="7"/>
  <c r="AR39" i="7"/>
  <c r="AQ39" i="7"/>
  <c r="AP39" i="7"/>
  <c r="R39" i="7"/>
  <c r="P39" i="7"/>
  <c r="O39" i="7"/>
  <c r="A39" i="7"/>
  <c r="HK38" i="7"/>
  <c r="GY38" i="7"/>
  <c r="GX38" i="7"/>
  <c r="GW38" i="7"/>
  <c r="GV38" i="7"/>
  <c r="GL38" i="7"/>
  <c r="GJ38" i="7"/>
  <c r="GI38" i="7"/>
  <c r="GH38" i="7"/>
  <c r="GA38" i="7"/>
  <c r="FZ38" i="7"/>
  <c r="FY38" i="7"/>
  <c r="FG38" i="7"/>
  <c r="FD38" i="7"/>
  <c r="FB38" i="7"/>
  <c r="FA38" i="7"/>
  <c r="EZ38" i="7"/>
  <c r="EY38" i="7"/>
  <c r="EX38" i="7"/>
  <c r="EV38" i="7"/>
  <c r="ET38" i="7"/>
  <c r="EO38" i="7"/>
  <c r="EM38" i="7"/>
  <c r="EF38" i="7"/>
  <c r="DY38" i="7"/>
  <c r="DX38" i="7"/>
  <c r="DW38" i="7"/>
  <c r="DO38" i="7"/>
  <c r="DN38" i="7"/>
  <c r="DM38" i="7"/>
  <c r="DL38" i="7"/>
  <c r="DK38" i="7"/>
  <c r="DJ38" i="7"/>
  <c r="DI38" i="7"/>
  <c r="DH38" i="7"/>
  <c r="DF38" i="7"/>
  <c r="DB38" i="7"/>
  <c r="DQ38" i="7" s="1"/>
  <c r="CZ38" i="7"/>
  <c r="CY38" i="7"/>
  <c r="CX38" i="7"/>
  <c r="CW38" i="7"/>
  <c r="CV38" i="7"/>
  <c r="CU38" i="7"/>
  <c r="CT38" i="7"/>
  <c r="CS38" i="7"/>
  <c r="CR38" i="7"/>
  <c r="CQ38" i="7"/>
  <c r="CP38" i="7"/>
  <c r="CO38" i="7"/>
  <c r="CN38" i="7"/>
  <c r="CM38" i="7"/>
  <c r="CJ38" i="7"/>
  <c r="CI38" i="7"/>
  <c r="BU38" i="7"/>
  <c r="BS38" i="7"/>
  <c r="BP38" i="7"/>
  <c r="BN38" i="7"/>
  <c r="BM38" i="7"/>
  <c r="BL38" i="7"/>
  <c r="BK38" i="7"/>
  <c r="BJ38" i="7"/>
  <c r="BH38" i="7"/>
  <c r="BF38" i="7"/>
  <c r="BC38" i="7"/>
  <c r="BA38" i="7"/>
  <c r="AZ38" i="7"/>
  <c r="AY38" i="7"/>
  <c r="AR38" i="7"/>
  <c r="AQ38" i="7"/>
  <c r="AP38" i="7"/>
  <c r="R38" i="7"/>
  <c r="P38" i="7"/>
  <c r="O38" i="7"/>
  <c r="A38" i="7"/>
  <c r="HK37" i="7"/>
  <c r="GY37" i="7"/>
  <c r="GX37" i="7"/>
  <c r="GW37" i="7"/>
  <c r="GV37" i="7"/>
  <c r="GR37" i="7"/>
  <c r="GL37" i="7"/>
  <c r="GJ37" i="7"/>
  <c r="GI37" i="7"/>
  <c r="GH37" i="7"/>
  <c r="GA37" i="7"/>
  <c r="FZ37" i="7"/>
  <c r="FY37" i="7"/>
  <c r="FG37" i="7"/>
  <c r="FD37" i="7"/>
  <c r="FB37" i="7"/>
  <c r="FA37" i="7"/>
  <c r="EZ37" i="7"/>
  <c r="EY37" i="7"/>
  <c r="EX37" i="7"/>
  <c r="EV37" i="7"/>
  <c r="ET37" i="7"/>
  <c r="EO37" i="7"/>
  <c r="EM37" i="7"/>
  <c r="EF37" i="7"/>
  <c r="DY37" i="7"/>
  <c r="DX37" i="7"/>
  <c r="DW37" i="7"/>
  <c r="DO37" i="7"/>
  <c r="DN37" i="7"/>
  <c r="DM37" i="7"/>
  <c r="DL37" i="7"/>
  <c r="DK37" i="7"/>
  <c r="DJ37" i="7"/>
  <c r="DI37" i="7"/>
  <c r="DH37" i="7"/>
  <c r="DF37" i="7"/>
  <c r="DB37" i="7"/>
  <c r="DQ37" i="7" s="1"/>
  <c r="CZ37" i="7"/>
  <c r="CY37" i="7"/>
  <c r="CX37" i="7"/>
  <c r="CW37" i="7"/>
  <c r="CV37" i="7"/>
  <c r="CU37" i="7"/>
  <c r="CT37" i="7"/>
  <c r="CS37" i="7"/>
  <c r="CR37" i="7"/>
  <c r="CQ37" i="7"/>
  <c r="CP37" i="7"/>
  <c r="CO37" i="7"/>
  <c r="CN37" i="7"/>
  <c r="CM37" i="7"/>
  <c r="BU37" i="7"/>
  <c r="BS37" i="7"/>
  <c r="BP37" i="7"/>
  <c r="BN37" i="7"/>
  <c r="BM37" i="7"/>
  <c r="BL37" i="7"/>
  <c r="BK37" i="7"/>
  <c r="BJ37" i="7"/>
  <c r="BH37" i="7"/>
  <c r="BF37" i="7"/>
  <c r="BC37" i="7"/>
  <c r="BA37" i="7"/>
  <c r="AZ37" i="7"/>
  <c r="AY37" i="7"/>
  <c r="AR37" i="7"/>
  <c r="AQ37" i="7"/>
  <c r="AP37" i="7"/>
  <c r="T37" i="7"/>
  <c r="R37" i="7"/>
  <c r="P37" i="7"/>
  <c r="O37" i="7"/>
  <c r="A37" i="7"/>
  <c r="HK36" i="7"/>
  <c r="GY36" i="7"/>
  <c r="GX36" i="7"/>
  <c r="GW36" i="7"/>
  <c r="GV36" i="7"/>
  <c r="GL36" i="7"/>
  <c r="GJ36" i="7"/>
  <c r="GI36" i="7"/>
  <c r="GH36" i="7"/>
  <c r="GA36" i="7"/>
  <c r="FZ36" i="7"/>
  <c r="FY36" i="7"/>
  <c r="FH36" i="7"/>
  <c r="FG36" i="7"/>
  <c r="FD36" i="7"/>
  <c r="FB36" i="7"/>
  <c r="FA36" i="7"/>
  <c r="EZ36" i="7"/>
  <c r="EY36" i="7"/>
  <c r="EX36" i="7"/>
  <c r="EW36" i="7"/>
  <c r="EV36" i="7"/>
  <c r="EU36" i="7"/>
  <c r="ET36" i="7"/>
  <c r="ES36" i="7"/>
  <c r="EQ36" i="7"/>
  <c r="EP36" i="7"/>
  <c r="EO36" i="7"/>
  <c r="EN36" i="7"/>
  <c r="EM36" i="7"/>
  <c r="EL36" i="7"/>
  <c r="EJ36" i="7"/>
  <c r="EI36" i="7"/>
  <c r="EH36" i="7"/>
  <c r="EG36" i="7"/>
  <c r="EF36" i="7"/>
  <c r="DY36" i="7"/>
  <c r="DM36" i="7"/>
  <c r="DL36" i="7"/>
  <c r="DK36" i="7"/>
  <c r="DJ36" i="7"/>
  <c r="CZ36" i="7"/>
  <c r="CX36" i="7"/>
  <c r="CW36" i="7"/>
  <c r="CV36" i="7"/>
  <c r="CO36" i="7"/>
  <c r="CN36" i="7"/>
  <c r="CM36" i="7"/>
  <c r="BU36" i="7"/>
  <c r="BS36" i="7"/>
  <c r="BP36" i="7"/>
  <c r="BN36" i="7"/>
  <c r="BM36" i="7"/>
  <c r="BL36" i="7"/>
  <c r="BK36" i="7"/>
  <c r="BJ36" i="7"/>
  <c r="BH36" i="7"/>
  <c r="BF36" i="7"/>
  <c r="BC36" i="7"/>
  <c r="BA36" i="7"/>
  <c r="AZ36" i="7"/>
  <c r="AY36" i="7"/>
  <c r="AR36" i="7"/>
  <c r="AQ36" i="7"/>
  <c r="AP36" i="7"/>
  <c r="R36" i="7"/>
  <c r="P36" i="7"/>
  <c r="O36" i="7"/>
  <c r="A36" i="7"/>
  <c r="HK35" i="7"/>
  <c r="GY35" i="7"/>
  <c r="GX35" i="7"/>
  <c r="GW35" i="7"/>
  <c r="GV35" i="7"/>
  <c r="GL35" i="7"/>
  <c r="GJ35" i="7"/>
  <c r="GI35" i="7"/>
  <c r="GH35" i="7"/>
  <c r="GA35" i="7"/>
  <c r="FZ35" i="7"/>
  <c r="FY35" i="7"/>
  <c r="FH35" i="7"/>
  <c r="FG35" i="7"/>
  <c r="FD35" i="7"/>
  <c r="FB35" i="7"/>
  <c r="FA35" i="7"/>
  <c r="EZ35" i="7"/>
  <c r="EY35" i="7"/>
  <c r="EX35" i="7"/>
  <c r="EW35" i="7"/>
  <c r="EV35" i="7"/>
  <c r="EU35" i="7"/>
  <c r="ET35" i="7"/>
  <c r="ES35" i="7"/>
  <c r="EQ35" i="7"/>
  <c r="EP35" i="7"/>
  <c r="EO35" i="7"/>
  <c r="EN35" i="7"/>
  <c r="EM35" i="7"/>
  <c r="EL35" i="7"/>
  <c r="EJ35" i="7"/>
  <c r="EI35" i="7"/>
  <c r="EH35" i="7"/>
  <c r="EG35" i="7"/>
  <c r="EF35" i="7"/>
  <c r="DY35" i="7"/>
  <c r="DM35" i="7"/>
  <c r="DL35" i="7"/>
  <c r="DK35" i="7"/>
  <c r="DJ35" i="7"/>
  <c r="CZ35" i="7"/>
  <c r="CX35" i="7"/>
  <c r="CW35" i="7"/>
  <c r="CV35" i="7"/>
  <c r="CO35" i="7"/>
  <c r="CN35" i="7"/>
  <c r="CM35" i="7"/>
  <c r="BU35" i="7"/>
  <c r="BS35" i="7"/>
  <c r="BP35" i="7"/>
  <c r="BN35" i="7"/>
  <c r="BM35" i="7"/>
  <c r="BL35" i="7"/>
  <c r="BK35" i="7"/>
  <c r="BJ35" i="7"/>
  <c r="BH35" i="7"/>
  <c r="BF35" i="7"/>
  <c r="BC35" i="7"/>
  <c r="BA35" i="7"/>
  <c r="AZ35" i="7"/>
  <c r="AY35" i="7"/>
  <c r="AR35" i="7"/>
  <c r="AQ35" i="7"/>
  <c r="AP35" i="7"/>
  <c r="R35" i="7"/>
  <c r="P35" i="7"/>
  <c r="O35" i="7"/>
  <c r="A35" i="7"/>
  <c r="HK34" i="7"/>
  <c r="GY34" i="7"/>
  <c r="GX34" i="7"/>
  <c r="GW34" i="7"/>
  <c r="GV34" i="7"/>
  <c r="GL34" i="7"/>
  <c r="GJ34" i="7"/>
  <c r="GI34" i="7"/>
  <c r="GH34" i="7"/>
  <c r="GA34" i="7"/>
  <c r="FZ34" i="7"/>
  <c r="FY34" i="7"/>
  <c r="FH34" i="7"/>
  <c r="FG34" i="7"/>
  <c r="FD34" i="7"/>
  <c r="FB34" i="7"/>
  <c r="FA34" i="7"/>
  <c r="EZ34" i="7"/>
  <c r="EY34" i="7"/>
  <c r="EX34" i="7"/>
  <c r="EW34" i="7"/>
  <c r="EV34" i="7"/>
  <c r="EU34" i="7"/>
  <c r="ET34" i="7"/>
  <c r="ES34" i="7"/>
  <c r="EQ34" i="7"/>
  <c r="EP34" i="7"/>
  <c r="EO34" i="7"/>
  <c r="EN34" i="7"/>
  <c r="EM34" i="7"/>
  <c r="EL34" i="7"/>
  <c r="EJ34" i="7"/>
  <c r="EI34" i="7"/>
  <c r="EH34" i="7"/>
  <c r="EG34" i="7"/>
  <c r="EF34" i="7"/>
  <c r="DY34" i="7"/>
  <c r="DM34" i="7"/>
  <c r="DL34" i="7"/>
  <c r="DK34" i="7"/>
  <c r="DJ34" i="7"/>
  <c r="CZ34" i="7"/>
  <c r="CX34" i="7"/>
  <c r="CW34" i="7"/>
  <c r="CV34" i="7"/>
  <c r="CO34" i="7"/>
  <c r="CN34" i="7"/>
  <c r="CM34" i="7"/>
  <c r="BU34" i="7"/>
  <c r="BS34" i="7"/>
  <c r="BP34" i="7"/>
  <c r="BN34" i="7"/>
  <c r="BM34" i="7"/>
  <c r="BL34" i="7"/>
  <c r="BK34" i="7"/>
  <c r="BJ34" i="7"/>
  <c r="BH34" i="7"/>
  <c r="BF34" i="7"/>
  <c r="BC34" i="7"/>
  <c r="BA34" i="7"/>
  <c r="AZ34" i="7"/>
  <c r="AY34" i="7"/>
  <c r="AR34" i="7"/>
  <c r="AQ34" i="7"/>
  <c r="AP34" i="7"/>
  <c r="R34" i="7"/>
  <c r="P34" i="7"/>
  <c r="O34" i="7"/>
  <c r="A34" i="7"/>
  <c r="HK33" i="7"/>
  <c r="GY33" i="7"/>
  <c r="GX33" i="7"/>
  <c r="GW33" i="7"/>
  <c r="GV33" i="7"/>
  <c r="GL33" i="7"/>
  <c r="GJ33" i="7"/>
  <c r="GI33" i="7"/>
  <c r="GH33" i="7"/>
  <c r="GA33" i="7"/>
  <c r="FZ33" i="7"/>
  <c r="FY33" i="7"/>
  <c r="FH33" i="7"/>
  <c r="FG33" i="7"/>
  <c r="FD33" i="7"/>
  <c r="FB33" i="7"/>
  <c r="FA33" i="7"/>
  <c r="EZ33" i="7"/>
  <c r="EY33" i="7"/>
  <c r="EX33" i="7"/>
  <c r="EW33" i="7"/>
  <c r="EV33" i="7"/>
  <c r="EU33" i="7"/>
  <c r="ET33" i="7"/>
  <c r="ES33" i="7"/>
  <c r="EQ33" i="7"/>
  <c r="EP33" i="7"/>
  <c r="EO33" i="7"/>
  <c r="EN33" i="7"/>
  <c r="EM33" i="7"/>
  <c r="EL33" i="7"/>
  <c r="EJ33" i="7"/>
  <c r="EI33" i="7"/>
  <c r="EH33" i="7"/>
  <c r="EG33" i="7"/>
  <c r="EF33" i="7"/>
  <c r="DY33" i="7"/>
  <c r="DM33" i="7"/>
  <c r="DL33" i="7"/>
  <c r="DK33" i="7"/>
  <c r="DJ33" i="7"/>
  <c r="CZ33" i="7"/>
  <c r="CX33" i="7"/>
  <c r="CW33" i="7"/>
  <c r="CV33" i="7"/>
  <c r="CO33" i="7"/>
  <c r="CN33" i="7"/>
  <c r="CM33" i="7"/>
  <c r="BU33" i="7"/>
  <c r="BS33" i="7"/>
  <c r="BP33" i="7"/>
  <c r="BN33" i="7"/>
  <c r="BM33" i="7"/>
  <c r="BL33" i="7"/>
  <c r="BK33" i="7"/>
  <c r="BJ33" i="7"/>
  <c r="BH33" i="7"/>
  <c r="BF33" i="7"/>
  <c r="BC33" i="7"/>
  <c r="BA33" i="7"/>
  <c r="AZ33" i="7"/>
  <c r="AY33" i="7"/>
  <c r="AR33" i="7"/>
  <c r="AQ33" i="7"/>
  <c r="AP33" i="7"/>
  <c r="R33" i="7"/>
  <c r="P33" i="7"/>
  <c r="O33" i="7"/>
  <c r="A33" i="7"/>
  <c r="HK32" i="7"/>
  <c r="GY32" i="7"/>
  <c r="GX32" i="7"/>
  <c r="GW32" i="7"/>
  <c r="GV32" i="7"/>
  <c r="GL32" i="7"/>
  <c r="GJ32" i="7"/>
  <c r="GI32" i="7"/>
  <c r="GH32" i="7"/>
  <c r="GA32" i="7"/>
  <c r="FZ32" i="7"/>
  <c r="FY32" i="7"/>
  <c r="FH32" i="7"/>
  <c r="FG32" i="7"/>
  <c r="FD32" i="7"/>
  <c r="FB32" i="7"/>
  <c r="FA32" i="7"/>
  <c r="EZ32" i="7"/>
  <c r="EY32" i="7"/>
  <c r="EX32" i="7"/>
  <c r="EW32" i="7"/>
  <c r="EV32" i="7"/>
  <c r="EU32" i="7"/>
  <c r="ET32" i="7"/>
  <c r="ES32" i="7"/>
  <c r="EQ32" i="7"/>
  <c r="EP32" i="7"/>
  <c r="EO32" i="7"/>
  <c r="EN32" i="7"/>
  <c r="EM32" i="7"/>
  <c r="EL32" i="7"/>
  <c r="EJ32" i="7"/>
  <c r="EI32" i="7"/>
  <c r="EH32" i="7"/>
  <c r="EG32" i="7"/>
  <c r="EF32" i="7"/>
  <c r="DY32" i="7"/>
  <c r="DM32" i="7"/>
  <c r="DL32" i="7"/>
  <c r="DK32" i="7"/>
  <c r="DJ32" i="7"/>
  <c r="CZ32" i="7"/>
  <c r="CX32" i="7"/>
  <c r="CW32" i="7"/>
  <c r="CV32" i="7"/>
  <c r="CO32" i="7"/>
  <c r="CN32" i="7"/>
  <c r="CM32" i="7"/>
  <c r="BU32" i="7"/>
  <c r="BS32" i="7"/>
  <c r="BP32" i="7"/>
  <c r="BN32" i="7"/>
  <c r="BM32" i="7"/>
  <c r="BL32" i="7"/>
  <c r="BK32" i="7"/>
  <c r="BJ32" i="7"/>
  <c r="BH32" i="7"/>
  <c r="BF32" i="7"/>
  <c r="BC32" i="7"/>
  <c r="BA32" i="7"/>
  <c r="AZ32" i="7"/>
  <c r="AY32" i="7"/>
  <c r="AR32" i="7"/>
  <c r="AQ32" i="7"/>
  <c r="AP32" i="7"/>
  <c r="R32" i="7"/>
  <c r="P32" i="7"/>
  <c r="O32" i="7"/>
  <c r="A32" i="7"/>
  <c r="HK31" i="7"/>
  <c r="GY31" i="7"/>
  <c r="GX31" i="7"/>
  <c r="GW31" i="7"/>
  <c r="GV31" i="7"/>
  <c r="GL31" i="7"/>
  <c r="GJ31" i="7"/>
  <c r="GI31" i="7"/>
  <c r="GH31" i="7"/>
  <c r="GA31" i="7"/>
  <c r="FZ31" i="7"/>
  <c r="FY31" i="7"/>
  <c r="FH31" i="7"/>
  <c r="FG31" i="7"/>
  <c r="FD31" i="7"/>
  <c r="FB31" i="7"/>
  <c r="FA31" i="7"/>
  <c r="EZ31" i="7"/>
  <c r="EY31" i="7"/>
  <c r="EX31" i="7"/>
  <c r="EW31" i="7"/>
  <c r="EV31" i="7"/>
  <c r="EU31" i="7"/>
  <c r="ET31" i="7"/>
  <c r="ES31" i="7"/>
  <c r="EQ31" i="7"/>
  <c r="EP31" i="7"/>
  <c r="EO31" i="7"/>
  <c r="EN31" i="7"/>
  <c r="EM31" i="7"/>
  <c r="EL31" i="7"/>
  <c r="EJ31" i="7"/>
  <c r="EI31" i="7"/>
  <c r="EH31" i="7"/>
  <c r="EG31" i="7"/>
  <c r="EF31" i="7"/>
  <c r="DY31" i="7"/>
  <c r="DM31" i="7"/>
  <c r="DL31" i="7"/>
  <c r="DK31" i="7"/>
  <c r="DJ31" i="7"/>
  <c r="CZ31" i="7"/>
  <c r="CX31" i="7"/>
  <c r="CW31" i="7"/>
  <c r="CV31" i="7"/>
  <c r="CO31" i="7"/>
  <c r="CN31" i="7"/>
  <c r="CM31" i="7"/>
  <c r="BU31" i="7"/>
  <c r="BS31" i="7"/>
  <c r="BP31" i="7"/>
  <c r="BN31" i="7"/>
  <c r="BM31" i="7"/>
  <c r="BL31" i="7"/>
  <c r="BK31" i="7"/>
  <c r="BJ31" i="7"/>
  <c r="BH31" i="7"/>
  <c r="BF31" i="7"/>
  <c r="BA31" i="7"/>
  <c r="AZ31" i="7"/>
  <c r="AY31" i="7"/>
  <c r="AR31" i="7"/>
  <c r="AQ31" i="7"/>
  <c r="AP31" i="7"/>
  <c r="R31" i="7"/>
  <c r="P31" i="7"/>
  <c r="O31" i="7"/>
  <c r="A31" i="7"/>
  <c r="HK30" i="7"/>
  <c r="GY30" i="7"/>
  <c r="GX30" i="7"/>
  <c r="GW30" i="7"/>
  <c r="GV30" i="7"/>
  <c r="GL30" i="7"/>
  <c r="GJ30" i="7"/>
  <c r="GI30" i="7"/>
  <c r="GH30" i="7"/>
  <c r="GA30" i="7"/>
  <c r="FZ30" i="7"/>
  <c r="FY30" i="7"/>
  <c r="FH30" i="7"/>
  <c r="FG30" i="7"/>
  <c r="FD30" i="7"/>
  <c r="FB30" i="7"/>
  <c r="FA30" i="7"/>
  <c r="EZ30" i="7"/>
  <c r="EY30" i="7"/>
  <c r="EX30" i="7"/>
  <c r="EW30" i="7"/>
  <c r="EV30" i="7"/>
  <c r="EU30" i="7"/>
  <c r="ET30" i="7"/>
  <c r="ES30" i="7"/>
  <c r="EQ30" i="7"/>
  <c r="EP30" i="7"/>
  <c r="EO30" i="7"/>
  <c r="EN30" i="7"/>
  <c r="EM30" i="7"/>
  <c r="EL30" i="7"/>
  <c r="EJ30" i="7"/>
  <c r="EI30" i="7"/>
  <c r="EH30" i="7"/>
  <c r="EG30" i="7"/>
  <c r="EF30" i="7"/>
  <c r="DY30" i="7"/>
  <c r="DM30" i="7"/>
  <c r="DL30" i="7"/>
  <c r="DK30" i="7"/>
  <c r="DJ30" i="7"/>
  <c r="CZ30" i="7"/>
  <c r="CX30" i="7"/>
  <c r="CW30" i="7"/>
  <c r="CV30" i="7"/>
  <c r="CO30" i="7"/>
  <c r="CN30" i="7"/>
  <c r="CM30" i="7"/>
  <c r="BU30" i="7"/>
  <c r="BS30" i="7"/>
  <c r="BP30" i="7"/>
  <c r="BN30" i="7"/>
  <c r="BM30" i="7"/>
  <c r="BL30" i="7"/>
  <c r="BK30" i="7"/>
  <c r="BJ30" i="7"/>
  <c r="BH30" i="7"/>
  <c r="BF30" i="7"/>
  <c r="BA30" i="7"/>
  <c r="AZ30" i="7"/>
  <c r="AY30" i="7"/>
  <c r="AR30" i="7"/>
  <c r="AQ30" i="7"/>
  <c r="AP30" i="7"/>
  <c r="R30" i="7"/>
  <c r="P30" i="7"/>
  <c r="O30" i="7"/>
  <c r="A30" i="7"/>
  <c r="HK29" i="7"/>
  <c r="GY29" i="7"/>
  <c r="GX29" i="7"/>
  <c r="GW29" i="7"/>
  <c r="GV29" i="7"/>
  <c r="GL29" i="7"/>
  <c r="GJ29" i="7"/>
  <c r="GI29" i="7"/>
  <c r="GH29" i="7"/>
  <c r="GA29" i="7"/>
  <c r="FZ29" i="7"/>
  <c r="FY29" i="7"/>
  <c r="FH29" i="7"/>
  <c r="FG29" i="7"/>
  <c r="FD29" i="7"/>
  <c r="FB29" i="7"/>
  <c r="FA29" i="7"/>
  <c r="EZ29" i="7"/>
  <c r="EY29" i="7"/>
  <c r="EX29" i="7"/>
  <c r="EW29" i="7"/>
  <c r="EV29" i="7"/>
  <c r="EU29" i="7"/>
  <c r="ET29" i="7"/>
  <c r="ES29" i="7"/>
  <c r="EQ29" i="7"/>
  <c r="EP29" i="7"/>
  <c r="EO29" i="7"/>
  <c r="EN29" i="7"/>
  <c r="EM29" i="7"/>
  <c r="EL29" i="7"/>
  <c r="EJ29" i="7"/>
  <c r="EI29" i="7"/>
  <c r="EH29" i="7"/>
  <c r="EG29" i="7"/>
  <c r="EF29" i="7"/>
  <c r="DY29" i="7"/>
  <c r="DM29" i="7"/>
  <c r="DL29" i="7"/>
  <c r="DK29" i="7"/>
  <c r="DJ29" i="7"/>
  <c r="CZ29" i="7"/>
  <c r="CX29" i="7"/>
  <c r="CW29" i="7"/>
  <c r="CV29" i="7"/>
  <c r="CO29" i="7"/>
  <c r="CN29" i="7"/>
  <c r="CM29" i="7"/>
  <c r="BU29" i="7"/>
  <c r="BS29" i="7"/>
  <c r="BP29" i="7"/>
  <c r="BN29" i="7"/>
  <c r="BM29" i="7"/>
  <c r="BL29" i="7"/>
  <c r="BK29" i="7"/>
  <c r="BJ29" i="7"/>
  <c r="BH29" i="7"/>
  <c r="BF29" i="7"/>
  <c r="BA29" i="7"/>
  <c r="AZ29" i="7"/>
  <c r="AY29" i="7"/>
  <c r="AR29" i="7"/>
  <c r="AQ29" i="7"/>
  <c r="AP29" i="7"/>
  <c r="R29" i="7"/>
  <c r="O29" i="7"/>
  <c r="A29" i="7"/>
  <c r="HK28" i="7"/>
  <c r="GY28" i="7"/>
  <c r="GX28" i="7"/>
  <c r="GW28" i="7"/>
  <c r="GV28" i="7"/>
  <c r="GL28" i="7"/>
  <c r="GJ28" i="7"/>
  <c r="GI28" i="7"/>
  <c r="GH28" i="7"/>
  <c r="GA28" i="7"/>
  <c r="FZ28" i="7"/>
  <c r="FY28" i="7"/>
  <c r="FH28" i="7"/>
  <c r="FG28" i="7"/>
  <c r="FD28" i="7"/>
  <c r="FB28" i="7"/>
  <c r="FA28" i="7"/>
  <c r="EZ28" i="7"/>
  <c r="EY28" i="7"/>
  <c r="EX28" i="7"/>
  <c r="EW28" i="7"/>
  <c r="EV28" i="7"/>
  <c r="EU28" i="7"/>
  <c r="ET28" i="7"/>
  <c r="ES28" i="7"/>
  <c r="EQ28" i="7"/>
  <c r="EP28" i="7"/>
  <c r="EO28" i="7"/>
  <c r="EN28" i="7"/>
  <c r="EM28" i="7"/>
  <c r="EL28" i="7"/>
  <c r="EJ28" i="7"/>
  <c r="EI28" i="7"/>
  <c r="EH28" i="7"/>
  <c r="EG28" i="7"/>
  <c r="EF28" i="7"/>
  <c r="DY28" i="7"/>
  <c r="DM28" i="7"/>
  <c r="DL28" i="7"/>
  <c r="DK28" i="7"/>
  <c r="DJ28" i="7"/>
  <c r="CZ28" i="7"/>
  <c r="CX28" i="7"/>
  <c r="CW28" i="7"/>
  <c r="CV28" i="7"/>
  <c r="CO28" i="7"/>
  <c r="CN28" i="7"/>
  <c r="CM28" i="7"/>
  <c r="BU28" i="7"/>
  <c r="BS28" i="7"/>
  <c r="BP28" i="7"/>
  <c r="BN28" i="7"/>
  <c r="BM28" i="7"/>
  <c r="BL28" i="7"/>
  <c r="BK28" i="7"/>
  <c r="BJ28" i="7"/>
  <c r="BH28" i="7"/>
  <c r="BF28" i="7"/>
  <c r="BA28" i="7"/>
  <c r="AZ28" i="7"/>
  <c r="AY28" i="7"/>
  <c r="AR28" i="7"/>
  <c r="AQ28" i="7"/>
  <c r="AP28" i="7"/>
  <c r="R28" i="7"/>
  <c r="O28" i="7"/>
  <c r="A28" i="7"/>
  <c r="HK27" i="7"/>
  <c r="GY27" i="7"/>
  <c r="GX27" i="7"/>
  <c r="GW27" i="7"/>
  <c r="GV27" i="7"/>
  <c r="GL27" i="7"/>
  <c r="GJ27" i="7"/>
  <c r="GI27" i="7"/>
  <c r="GH27" i="7"/>
  <c r="GA27" i="7"/>
  <c r="FZ27" i="7"/>
  <c r="FY27" i="7"/>
  <c r="FH27" i="7"/>
  <c r="FG27" i="7"/>
  <c r="FD27" i="7"/>
  <c r="FB27" i="7"/>
  <c r="FA27" i="7"/>
  <c r="EZ27" i="7"/>
  <c r="EY27" i="7"/>
  <c r="EX27" i="7"/>
  <c r="EW27" i="7"/>
  <c r="EV27" i="7"/>
  <c r="EU27" i="7"/>
  <c r="ET27" i="7"/>
  <c r="ES27" i="7"/>
  <c r="EQ27" i="7"/>
  <c r="EP27" i="7"/>
  <c r="EO27" i="7"/>
  <c r="EN27" i="7"/>
  <c r="EM27" i="7"/>
  <c r="EL27" i="7"/>
  <c r="EJ27" i="7"/>
  <c r="EI27" i="7"/>
  <c r="EH27" i="7"/>
  <c r="EG27" i="7"/>
  <c r="EF27" i="7"/>
  <c r="DY27" i="7"/>
  <c r="DM27" i="7"/>
  <c r="DL27" i="7"/>
  <c r="DK27" i="7"/>
  <c r="DJ27" i="7"/>
  <c r="CZ27" i="7"/>
  <c r="CX27" i="7"/>
  <c r="CW27" i="7"/>
  <c r="CV27" i="7"/>
  <c r="CO27" i="7"/>
  <c r="CN27" i="7"/>
  <c r="CM27" i="7"/>
  <c r="BU27" i="7"/>
  <c r="BS27" i="7"/>
  <c r="BP27" i="7"/>
  <c r="BN27" i="7"/>
  <c r="BM27" i="7"/>
  <c r="BL27" i="7"/>
  <c r="BK27" i="7"/>
  <c r="BJ27" i="7"/>
  <c r="BH27" i="7"/>
  <c r="BF27" i="7"/>
  <c r="BA27" i="7"/>
  <c r="AZ27" i="7"/>
  <c r="AY27" i="7"/>
  <c r="AR27" i="7"/>
  <c r="AQ27" i="7"/>
  <c r="AP27" i="7"/>
  <c r="R27" i="7"/>
  <c r="O27" i="7"/>
  <c r="A27" i="7"/>
  <c r="HK26" i="7"/>
  <c r="GY26" i="7"/>
  <c r="GX26" i="7"/>
  <c r="GW26" i="7"/>
  <c r="GV26" i="7"/>
  <c r="GL26" i="7"/>
  <c r="GJ26" i="7"/>
  <c r="GI26" i="7"/>
  <c r="GH26" i="7"/>
  <c r="GA26" i="7"/>
  <c r="FZ26" i="7"/>
  <c r="FY26" i="7"/>
  <c r="FH26" i="7"/>
  <c r="FG26" i="7"/>
  <c r="FD26" i="7"/>
  <c r="FB26" i="7"/>
  <c r="FA26" i="7"/>
  <c r="EZ26" i="7"/>
  <c r="EY26" i="7"/>
  <c r="EX26" i="7"/>
  <c r="EW26" i="7"/>
  <c r="EV26" i="7"/>
  <c r="EU26" i="7"/>
  <c r="ET26" i="7"/>
  <c r="ES26" i="7"/>
  <c r="EQ26" i="7"/>
  <c r="EP26" i="7"/>
  <c r="EO26" i="7"/>
  <c r="EN26" i="7"/>
  <c r="EM26" i="7"/>
  <c r="EL26" i="7"/>
  <c r="EJ26" i="7"/>
  <c r="EI26" i="7"/>
  <c r="EH26" i="7"/>
  <c r="EG26" i="7"/>
  <c r="EF26" i="7"/>
  <c r="DY26" i="7"/>
  <c r="DM26" i="7"/>
  <c r="DL26" i="7"/>
  <c r="DK26" i="7"/>
  <c r="DJ26" i="7"/>
  <c r="CZ26" i="7"/>
  <c r="CX26" i="7"/>
  <c r="CW26" i="7"/>
  <c r="CV26" i="7"/>
  <c r="CO26" i="7"/>
  <c r="CN26" i="7"/>
  <c r="CM26" i="7"/>
  <c r="BU26" i="7"/>
  <c r="BS26" i="7"/>
  <c r="BP26" i="7"/>
  <c r="BN26" i="7"/>
  <c r="BM26" i="7"/>
  <c r="BL26" i="7"/>
  <c r="BK26" i="7"/>
  <c r="BJ26" i="7"/>
  <c r="BH26" i="7"/>
  <c r="BF26" i="7"/>
  <c r="BA26" i="7"/>
  <c r="AZ26" i="7"/>
  <c r="AY26" i="7"/>
  <c r="AR26" i="7"/>
  <c r="AQ26" i="7"/>
  <c r="AP26" i="7"/>
  <c r="R26" i="7"/>
  <c r="O26" i="7"/>
  <c r="A26" i="7"/>
  <c r="HK25" i="7"/>
  <c r="GY25" i="7"/>
  <c r="GX25" i="7"/>
  <c r="GW25" i="7"/>
  <c r="GV25" i="7"/>
  <c r="GL25" i="7"/>
  <c r="GJ25" i="7"/>
  <c r="GI25" i="7"/>
  <c r="GH25" i="7"/>
  <c r="GA25" i="7"/>
  <c r="FZ25" i="7"/>
  <c r="FY25" i="7"/>
  <c r="FH25" i="7"/>
  <c r="FG25" i="7"/>
  <c r="FD25" i="7"/>
  <c r="FB25" i="7"/>
  <c r="FA25" i="7"/>
  <c r="EZ25" i="7"/>
  <c r="EY25" i="7"/>
  <c r="EX25" i="7"/>
  <c r="EW25" i="7"/>
  <c r="EV25" i="7"/>
  <c r="EU25" i="7"/>
  <c r="ET25" i="7"/>
  <c r="ES25" i="7"/>
  <c r="EQ25" i="7"/>
  <c r="EP25" i="7"/>
  <c r="EO25" i="7"/>
  <c r="EN25" i="7"/>
  <c r="EM25" i="7"/>
  <c r="EL25" i="7"/>
  <c r="EJ25" i="7"/>
  <c r="EI25" i="7"/>
  <c r="EH25" i="7"/>
  <c r="EG25" i="7"/>
  <c r="EF25" i="7"/>
  <c r="DY25" i="7"/>
  <c r="DM25" i="7"/>
  <c r="DL25" i="7"/>
  <c r="DK25" i="7"/>
  <c r="DJ25" i="7"/>
  <c r="CZ25" i="7"/>
  <c r="CX25" i="7"/>
  <c r="CW25" i="7"/>
  <c r="CV25" i="7"/>
  <c r="CO25" i="7"/>
  <c r="CN25" i="7"/>
  <c r="CM25" i="7"/>
  <c r="BU25" i="7"/>
  <c r="BS25" i="7"/>
  <c r="BP25" i="7"/>
  <c r="BN25" i="7"/>
  <c r="BM25" i="7"/>
  <c r="BL25" i="7"/>
  <c r="BK25" i="7"/>
  <c r="BJ25" i="7"/>
  <c r="BH25" i="7"/>
  <c r="BF25" i="7"/>
  <c r="BA25" i="7"/>
  <c r="AZ25" i="7"/>
  <c r="AY25" i="7"/>
  <c r="AR25" i="7"/>
  <c r="AQ25" i="7"/>
  <c r="AP25" i="7"/>
  <c r="R25" i="7"/>
  <c r="O25" i="7"/>
  <c r="A25" i="7"/>
  <c r="HK24" i="7"/>
  <c r="GY24" i="7"/>
  <c r="GX24" i="7"/>
  <c r="GW24" i="7"/>
  <c r="GV24" i="7"/>
  <c r="GL24" i="7"/>
  <c r="GJ24" i="7"/>
  <c r="GI24" i="7"/>
  <c r="GH24" i="7"/>
  <c r="GA24" i="7"/>
  <c r="FZ24" i="7"/>
  <c r="FY24" i="7"/>
  <c r="FH24" i="7"/>
  <c r="FG24" i="7"/>
  <c r="FD24" i="7"/>
  <c r="FB24" i="7"/>
  <c r="FA24" i="7"/>
  <c r="EZ24" i="7"/>
  <c r="EY24" i="7"/>
  <c r="EX24" i="7"/>
  <c r="EW24" i="7"/>
  <c r="EV24" i="7"/>
  <c r="EU24" i="7"/>
  <c r="ET24" i="7"/>
  <c r="ES24" i="7"/>
  <c r="EQ24" i="7"/>
  <c r="EP24" i="7"/>
  <c r="EO24" i="7"/>
  <c r="EN24" i="7"/>
  <c r="EM24" i="7"/>
  <c r="EL24" i="7"/>
  <c r="EJ24" i="7"/>
  <c r="EI24" i="7"/>
  <c r="EH24" i="7"/>
  <c r="EG24" i="7"/>
  <c r="EF24" i="7"/>
  <c r="DY24" i="7"/>
  <c r="DM24" i="7"/>
  <c r="DL24" i="7"/>
  <c r="DK24" i="7"/>
  <c r="DJ24" i="7"/>
  <c r="CZ24" i="7"/>
  <c r="CX24" i="7"/>
  <c r="CW24" i="7"/>
  <c r="CV24" i="7"/>
  <c r="CO24" i="7"/>
  <c r="CN24" i="7"/>
  <c r="CM24" i="7"/>
  <c r="BU24" i="7"/>
  <c r="BS24" i="7"/>
  <c r="BP24" i="7"/>
  <c r="BN24" i="7"/>
  <c r="BM24" i="7"/>
  <c r="BL24" i="7"/>
  <c r="BK24" i="7"/>
  <c r="BJ24" i="7"/>
  <c r="BH24" i="7"/>
  <c r="BF24" i="7"/>
  <c r="BA24" i="7"/>
  <c r="AZ24" i="7"/>
  <c r="AY24" i="7"/>
  <c r="AR24" i="7"/>
  <c r="AQ24" i="7"/>
  <c r="AP24" i="7"/>
  <c r="R24" i="7"/>
  <c r="O24" i="7"/>
  <c r="A24" i="7"/>
  <c r="HK23" i="7"/>
  <c r="GY23" i="7"/>
  <c r="GX23" i="7"/>
  <c r="GW23" i="7"/>
  <c r="GV23" i="7"/>
  <c r="GL23" i="7"/>
  <c r="GJ23" i="7"/>
  <c r="GI23" i="7"/>
  <c r="GH23" i="7"/>
  <c r="GA23" i="7"/>
  <c r="FZ23" i="7"/>
  <c r="FY23" i="7"/>
  <c r="FH23" i="7"/>
  <c r="FG23" i="7"/>
  <c r="FD23" i="7"/>
  <c r="FB23" i="7"/>
  <c r="FA23" i="7"/>
  <c r="EZ23" i="7"/>
  <c r="EY23" i="7"/>
  <c r="EX23" i="7"/>
  <c r="EW23" i="7"/>
  <c r="EV23" i="7"/>
  <c r="EU23" i="7"/>
  <c r="ET23" i="7"/>
  <c r="ES23" i="7"/>
  <c r="EQ23" i="7"/>
  <c r="EP23" i="7"/>
  <c r="EO23" i="7"/>
  <c r="EN23" i="7"/>
  <c r="EM23" i="7"/>
  <c r="EL23" i="7"/>
  <c r="EJ23" i="7"/>
  <c r="EI23" i="7"/>
  <c r="EH23" i="7"/>
  <c r="EG23" i="7"/>
  <c r="EF23" i="7"/>
  <c r="DY23" i="7"/>
  <c r="DM23" i="7"/>
  <c r="DL23" i="7"/>
  <c r="DK23" i="7"/>
  <c r="DJ23" i="7"/>
  <c r="CZ23" i="7"/>
  <c r="CX23" i="7"/>
  <c r="CW23" i="7"/>
  <c r="CV23" i="7"/>
  <c r="CO23" i="7"/>
  <c r="CN23" i="7"/>
  <c r="CM23" i="7"/>
  <c r="BU23" i="7"/>
  <c r="BS23" i="7"/>
  <c r="BP23" i="7"/>
  <c r="BN23" i="7"/>
  <c r="BM23" i="7"/>
  <c r="BL23" i="7"/>
  <c r="BK23" i="7"/>
  <c r="BJ23" i="7"/>
  <c r="BH23" i="7"/>
  <c r="BF23" i="7"/>
  <c r="BA23" i="7"/>
  <c r="AZ23" i="7"/>
  <c r="AY23" i="7"/>
  <c r="AR23" i="7"/>
  <c r="AQ23" i="7"/>
  <c r="AP23" i="7"/>
  <c r="R23" i="7"/>
  <c r="P23" i="7"/>
  <c r="O23" i="7"/>
  <c r="A23" i="7"/>
  <c r="HK22" i="7"/>
  <c r="GY22" i="7"/>
  <c r="GX22" i="7"/>
  <c r="GW22" i="7"/>
  <c r="GV22" i="7"/>
  <c r="GL22" i="7"/>
  <c r="GJ22" i="7"/>
  <c r="GI22" i="7"/>
  <c r="GH22" i="7"/>
  <c r="GA22" i="7"/>
  <c r="FZ22" i="7"/>
  <c r="FY22" i="7"/>
  <c r="FH22" i="7"/>
  <c r="FG22" i="7"/>
  <c r="FD22" i="7"/>
  <c r="FB22" i="7"/>
  <c r="FA22" i="7"/>
  <c r="EZ22" i="7"/>
  <c r="EY22" i="7"/>
  <c r="EX22" i="7"/>
  <c r="EW22" i="7"/>
  <c r="EV22" i="7"/>
  <c r="EU22" i="7"/>
  <c r="ET22" i="7"/>
  <c r="ES22" i="7"/>
  <c r="EQ22" i="7"/>
  <c r="EP22" i="7"/>
  <c r="EO22" i="7"/>
  <c r="EN22" i="7"/>
  <c r="EM22" i="7"/>
  <c r="EL22" i="7"/>
  <c r="EJ22" i="7"/>
  <c r="EI22" i="7"/>
  <c r="EH22" i="7"/>
  <c r="EG22" i="7"/>
  <c r="EF22" i="7"/>
  <c r="DY22" i="7"/>
  <c r="DM22" i="7"/>
  <c r="DL22" i="7"/>
  <c r="DK22" i="7"/>
  <c r="DJ22" i="7"/>
  <c r="CZ22" i="7"/>
  <c r="CX22" i="7"/>
  <c r="CW22" i="7"/>
  <c r="CV22" i="7"/>
  <c r="CO22" i="7"/>
  <c r="CN22" i="7"/>
  <c r="CM22" i="7"/>
  <c r="BU22" i="7"/>
  <c r="BS22" i="7"/>
  <c r="BP22" i="7"/>
  <c r="BN22" i="7"/>
  <c r="BM22" i="7"/>
  <c r="BL22" i="7"/>
  <c r="BK22" i="7"/>
  <c r="BJ22" i="7"/>
  <c r="BH22" i="7"/>
  <c r="BF22" i="7"/>
  <c r="BA22" i="7"/>
  <c r="AY22" i="7"/>
  <c r="AR22" i="7"/>
  <c r="R22" i="7"/>
  <c r="O22" i="7"/>
  <c r="A22" i="7"/>
  <c r="HK21" i="7"/>
  <c r="GY21" i="7"/>
  <c r="GX21" i="7"/>
  <c r="GW21" i="7"/>
  <c r="GV21" i="7"/>
  <c r="GL21" i="7"/>
  <c r="GJ21" i="7"/>
  <c r="GI21" i="7"/>
  <c r="GH21" i="7"/>
  <c r="GA21" i="7"/>
  <c r="FZ21" i="7"/>
  <c r="FY21" i="7"/>
  <c r="FH21" i="7"/>
  <c r="FG21" i="7"/>
  <c r="FD21" i="7"/>
  <c r="FB21" i="7"/>
  <c r="FA21" i="7"/>
  <c r="EZ21" i="7"/>
  <c r="EY21" i="7"/>
  <c r="EX21" i="7"/>
  <c r="EW21" i="7"/>
  <c r="EV21" i="7"/>
  <c r="EU21" i="7"/>
  <c r="ET21" i="7"/>
  <c r="ES21" i="7"/>
  <c r="EQ21" i="7"/>
  <c r="EP21" i="7"/>
  <c r="EO21" i="7"/>
  <c r="EN21" i="7"/>
  <c r="EM21" i="7"/>
  <c r="EL21" i="7"/>
  <c r="EJ21" i="7"/>
  <c r="EI21" i="7"/>
  <c r="EH21" i="7"/>
  <c r="EG21" i="7"/>
  <c r="EF21" i="7"/>
  <c r="DY21" i="7"/>
  <c r="DM21" i="7"/>
  <c r="DL21" i="7"/>
  <c r="DK21" i="7"/>
  <c r="DJ21" i="7"/>
  <c r="CZ21" i="7"/>
  <c r="CX21" i="7"/>
  <c r="CW21" i="7"/>
  <c r="CV21" i="7"/>
  <c r="CO21" i="7"/>
  <c r="CN21" i="7"/>
  <c r="CM21" i="7"/>
  <c r="BU21" i="7"/>
  <c r="BS21" i="7"/>
  <c r="BP21" i="7"/>
  <c r="BN21" i="7"/>
  <c r="BM21" i="7"/>
  <c r="BL21" i="7"/>
  <c r="BK21" i="7"/>
  <c r="BJ21" i="7"/>
  <c r="BH21" i="7"/>
  <c r="BF21" i="7"/>
  <c r="BA21" i="7"/>
  <c r="AZ21" i="7"/>
  <c r="AY21" i="7"/>
  <c r="AR21" i="7"/>
  <c r="AQ21" i="7"/>
  <c r="AP21" i="7"/>
  <c r="R21" i="7"/>
  <c r="O21" i="7"/>
  <c r="A21" i="7"/>
  <c r="HK20" i="7"/>
  <c r="GY20" i="7"/>
  <c r="GX20" i="7"/>
  <c r="GW20" i="7"/>
  <c r="GV20" i="7"/>
  <c r="GL20" i="7"/>
  <c r="GJ20" i="7"/>
  <c r="GI20" i="7"/>
  <c r="GH20" i="7"/>
  <c r="GA20" i="7"/>
  <c r="FZ20" i="7"/>
  <c r="FY20" i="7"/>
  <c r="FH20" i="7"/>
  <c r="FG20" i="7"/>
  <c r="FD20" i="7"/>
  <c r="FB20" i="7"/>
  <c r="FA20" i="7"/>
  <c r="EZ20" i="7"/>
  <c r="EY20" i="7"/>
  <c r="EX20" i="7"/>
  <c r="EW20" i="7"/>
  <c r="EV20" i="7"/>
  <c r="EU20" i="7"/>
  <c r="ET20" i="7"/>
  <c r="ES20" i="7"/>
  <c r="EQ20" i="7"/>
  <c r="EP20" i="7"/>
  <c r="EO20" i="7"/>
  <c r="EN20" i="7"/>
  <c r="EM20" i="7"/>
  <c r="EL20" i="7"/>
  <c r="EJ20" i="7"/>
  <c r="EI20" i="7"/>
  <c r="EH20" i="7"/>
  <c r="EG20" i="7"/>
  <c r="EF20" i="7"/>
  <c r="DY20" i="7"/>
  <c r="DM20" i="7"/>
  <c r="DL20" i="7"/>
  <c r="DK20" i="7"/>
  <c r="DJ20" i="7"/>
  <c r="CZ20" i="7"/>
  <c r="CX20" i="7"/>
  <c r="CW20" i="7"/>
  <c r="CV20" i="7"/>
  <c r="CO20" i="7"/>
  <c r="CN20" i="7"/>
  <c r="CM20" i="7"/>
  <c r="BU20" i="7"/>
  <c r="BS20" i="7"/>
  <c r="BP20" i="7"/>
  <c r="BN20" i="7"/>
  <c r="BM20" i="7"/>
  <c r="BL20" i="7"/>
  <c r="BK20" i="7"/>
  <c r="BJ20" i="7"/>
  <c r="BH20" i="7"/>
  <c r="BF20" i="7"/>
  <c r="BA20" i="7"/>
  <c r="AZ20" i="7"/>
  <c r="AY20" i="7"/>
  <c r="AR20" i="7"/>
  <c r="AQ20" i="7"/>
  <c r="AP20" i="7"/>
  <c r="R20" i="7"/>
  <c r="O20" i="7"/>
  <c r="A20" i="7"/>
  <c r="HK19" i="7"/>
  <c r="GY19" i="7"/>
  <c r="GX19" i="7"/>
  <c r="GW19" i="7"/>
  <c r="GV19" i="7"/>
  <c r="GL19" i="7"/>
  <c r="GJ19" i="7"/>
  <c r="GI19" i="7"/>
  <c r="GH19" i="7"/>
  <c r="GA19" i="7"/>
  <c r="FZ19" i="7"/>
  <c r="FY19" i="7"/>
  <c r="FH19" i="7"/>
  <c r="FG19" i="7"/>
  <c r="FD19" i="7"/>
  <c r="FB19" i="7"/>
  <c r="FA19" i="7"/>
  <c r="EZ19" i="7"/>
  <c r="EY19" i="7"/>
  <c r="EX19" i="7"/>
  <c r="EW19" i="7"/>
  <c r="EV19" i="7"/>
  <c r="EU19" i="7"/>
  <c r="ET19" i="7"/>
  <c r="ES19" i="7"/>
  <c r="EQ19" i="7"/>
  <c r="EP19" i="7"/>
  <c r="EO19" i="7"/>
  <c r="EN19" i="7"/>
  <c r="EM19" i="7"/>
  <c r="EL19" i="7"/>
  <c r="EJ19" i="7"/>
  <c r="EI19" i="7"/>
  <c r="EH19" i="7"/>
  <c r="EG19" i="7"/>
  <c r="EF19" i="7"/>
  <c r="DY19" i="7"/>
  <c r="DM19" i="7"/>
  <c r="DL19" i="7"/>
  <c r="DK19" i="7"/>
  <c r="DJ19" i="7"/>
  <c r="CZ19" i="7"/>
  <c r="CX19" i="7"/>
  <c r="CW19" i="7"/>
  <c r="CV19" i="7"/>
  <c r="CO19" i="7"/>
  <c r="CN19" i="7"/>
  <c r="CM19" i="7"/>
  <c r="BU19" i="7"/>
  <c r="BS19" i="7"/>
  <c r="BP19" i="7"/>
  <c r="BN19" i="7"/>
  <c r="BM19" i="7"/>
  <c r="BL19" i="7"/>
  <c r="BK19" i="7"/>
  <c r="BJ19" i="7"/>
  <c r="BH19" i="7"/>
  <c r="BF19" i="7"/>
  <c r="BA19" i="7"/>
  <c r="AZ19" i="7"/>
  <c r="AY19" i="7"/>
  <c r="AR19" i="7"/>
  <c r="AQ19" i="7"/>
  <c r="AP19" i="7"/>
  <c r="R19" i="7"/>
  <c r="O19" i="7"/>
  <c r="A19" i="7"/>
  <c r="HK18" i="7"/>
  <c r="GY18" i="7"/>
  <c r="GX18" i="7"/>
  <c r="GW18" i="7"/>
  <c r="GV18" i="7"/>
  <c r="GL18" i="7"/>
  <c r="GJ18" i="7"/>
  <c r="GI18" i="7"/>
  <c r="GH18" i="7"/>
  <c r="GA18" i="7"/>
  <c r="FZ18" i="7"/>
  <c r="FY18" i="7"/>
  <c r="FH18" i="7"/>
  <c r="FG18" i="7"/>
  <c r="FD18" i="7"/>
  <c r="FB18" i="7"/>
  <c r="FA18" i="7"/>
  <c r="EZ18" i="7"/>
  <c r="EY18" i="7"/>
  <c r="EX18" i="7"/>
  <c r="EW18" i="7"/>
  <c r="EV18" i="7"/>
  <c r="EU18" i="7"/>
  <c r="ET18" i="7"/>
  <c r="ES18" i="7"/>
  <c r="EQ18" i="7"/>
  <c r="EP18" i="7"/>
  <c r="EO18" i="7"/>
  <c r="EN18" i="7"/>
  <c r="EM18" i="7"/>
  <c r="EL18" i="7"/>
  <c r="EJ18" i="7"/>
  <c r="EI18" i="7"/>
  <c r="EH18" i="7"/>
  <c r="EG18" i="7"/>
  <c r="EF18" i="7"/>
  <c r="DY18" i="7"/>
  <c r="DM18" i="7"/>
  <c r="DL18" i="7"/>
  <c r="DK18" i="7"/>
  <c r="DJ18" i="7"/>
  <c r="CZ18" i="7"/>
  <c r="CX18" i="7"/>
  <c r="CW18" i="7"/>
  <c r="CV18" i="7"/>
  <c r="CO18" i="7"/>
  <c r="CN18" i="7"/>
  <c r="CM18" i="7"/>
  <c r="BU18" i="7"/>
  <c r="BS18" i="7"/>
  <c r="BP18" i="7"/>
  <c r="BN18" i="7"/>
  <c r="BM18" i="7"/>
  <c r="BL18" i="7"/>
  <c r="BK18" i="7"/>
  <c r="BJ18" i="7"/>
  <c r="BH18" i="7"/>
  <c r="BF18" i="7"/>
  <c r="BA18" i="7"/>
  <c r="AZ18" i="7"/>
  <c r="AY18" i="7"/>
  <c r="AR18" i="7"/>
  <c r="AQ18" i="7"/>
  <c r="AP18" i="7"/>
  <c r="R18" i="7"/>
  <c r="O18" i="7"/>
  <c r="A18" i="7"/>
  <c r="HK17" i="7"/>
  <c r="GY17" i="7"/>
  <c r="GX17" i="7"/>
  <c r="GW17" i="7"/>
  <c r="GV17" i="7"/>
  <c r="GL17" i="7"/>
  <c r="GJ17" i="7"/>
  <c r="GI17" i="7"/>
  <c r="GH17" i="7"/>
  <c r="GA17" i="7"/>
  <c r="FZ17" i="7"/>
  <c r="FY17" i="7"/>
  <c r="FH17" i="7"/>
  <c r="FG17" i="7"/>
  <c r="FD17" i="7"/>
  <c r="FB17" i="7"/>
  <c r="FA17" i="7"/>
  <c r="EZ17" i="7"/>
  <c r="EY17" i="7"/>
  <c r="EX17" i="7"/>
  <c r="EW17" i="7"/>
  <c r="EV17" i="7"/>
  <c r="EU17" i="7"/>
  <c r="ET17" i="7"/>
  <c r="ES17" i="7"/>
  <c r="EQ17" i="7"/>
  <c r="EP17" i="7"/>
  <c r="EO17" i="7"/>
  <c r="EN17" i="7"/>
  <c r="EM17" i="7"/>
  <c r="EL17" i="7"/>
  <c r="EJ17" i="7"/>
  <c r="EI17" i="7"/>
  <c r="EH17" i="7"/>
  <c r="EG17" i="7"/>
  <c r="EF17" i="7"/>
  <c r="DY17" i="7"/>
  <c r="DM17" i="7"/>
  <c r="DL17" i="7"/>
  <c r="DK17" i="7"/>
  <c r="DJ17" i="7"/>
  <c r="CZ17" i="7"/>
  <c r="CX17" i="7"/>
  <c r="CW17" i="7"/>
  <c r="CV17" i="7"/>
  <c r="CO17" i="7"/>
  <c r="CN17" i="7"/>
  <c r="CM17" i="7"/>
  <c r="BU17" i="7"/>
  <c r="BS17" i="7"/>
  <c r="BP17" i="7"/>
  <c r="BN17" i="7"/>
  <c r="BM17" i="7"/>
  <c r="BL17" i="7"/>
  <c r="BK17" i="7"/>
  <c r="BJ17" i="7"/>
  <c r="BH17" i="7"/>
  <c r="BF17" i="7"/>
  <c r="BA17" i="7"/>
  <c r="AY17" i="7"/>
  <c r="AR17" i="7"/>
  <c r="R17" i="7"/>
  <c r="O17" i="7"/>
  <c r="A17" i="7"/>
  <c r="HK16" i="7"/>
  <c r="GY16" i="7"/>
  <c r="GX16" i="7"/>
  <c r="GW16" i="7"/>
  <c r="GV16" i="7"/>
  <c r="GL16" i="7"/>
  <c r="GJ16" i="7"/>
  <c r="GI16" i="7"/>
  <c r="GH16" i="7"/>
  <c r="GA16" i="7"/>
  <c r="FZ16" i="7"/>
  <c r="FY16" i="7"/>
  <c r="FH16" i="7"/>
  <c r="FG16" i="7"/>
  <c r="FD16" i="7"/>
  <c r="FB16" i="7"/>
  <c r="FA16" i="7"/>
  <c r="EZ16" i="7"/>
  <c r="EY16" i="7"/>
  <c r="EX16" i="7"/>
  <c r="EW16" i="7"/>
  <c r="EV16" i="7"/>
  <c r="EU16" i="7"/>
  <c r="ET16" i="7"/>
  <c r="ES16" i="7"/>
  <c r="EQ16" i="7"/>
  <c r="EP16" i="7"/>
  <c r="EO16" i="7"/>
  <c r="EN16" i="7"/>
  <c r="EM16" i="7"/>
  <c r="EL16" i="7"/>
  <c r="EJ16" i="7"/>
  <c r="EI16" i="7"/>
  <c r="EH16" i="7"/>
  <c r="EG16" i="7"/>
  <c r="EF16" i="7"/>
  <c r="DY16" i="7"/>
  <c r="DM16" i="7"/>
  <c r="DL16" i="7"/>
  <c r="DK16" i="7"/>
  <c r="DJ16" i="7"/>
  <c r="CZ16" i="7"/>
  <c r="CX16" i="7"/>
  <c r="CW16" i="7"/>
  <c r="CV16" i="7"/>
  <c r="CO16" i="7"/>
  <c r="CN16" i="7"/>
  <c r="CM16" i="7"/>
  <c r="BU16" i="7"/>
  <c r="BS16" i="7"/>
  <c r="BP16" i="7"/>
  <c r="BN16" i="7"/>
  <c r="BM16" i="7"/>
  <c r="BL16" i="7"/>
  <c r="BK16" i="7"/>
  <c r="BJ16" i="7"/>
  <c r="BH16" i="7"/>
  <c r="BF16" i="7"/>
  <c r="BA16" i="7"/>
  <c r="AZ16" i="7"/>
  <c r="AY16" i="7"/>
  <c r="AR16" i="7"/>
  <c r="AQ16" i="7"/>
  <c r="AP16" i="7"/>
  <c r="R16" i="7"/>
  <c r="O16" i="7"/>
  <c r="A16" i="7"/>
  <c r="HK15" i="7"/>
  <c r="GY15" i="7"/>
  <c r="GX15" i="7"/>
  <c r="GW15" i="7"/>
  <c r="GV15" i="7"/>
  <c r="GL15" i="7"/>
  <c r="GJ15" i="7"/>
  <c r="GI15" i="7"/>
  <c r="GH15" i="7"/>
  <c r="GA15" i="7"/>
  <c r="FZ15" i="7"/>
  <c r="FY15" i="7"/>
  <c r="FH15" i="7"/>
  <c r="FG15" i="7"/>
  <c r="FD15" i="7"/>
  <c r="FB15" i="7"/>
  <c r="FA15" i="7"/>
  <c r="EZ15" i="7"/>
  <c r="EY15" i="7"/>
  <c r="EX15" i="7"/>
  <c r="EW15" i="7"/>
  <c r="EV15" i="7"/>
  <c r="EU15" i="7"/>
  <c r="ET15" i="7"/>
  <c r="ES15" i="7"/>
  <c r="EQ15" i="7"/>
  <c r="EP15" i="7"/>
  <c r="EO15" i="7"/>
  <c r="EN15" i="7"/>
  <c r="EM15" i="7"/>
  <c r="EL15" i="7"/>
  <c r="EJ15" i="7"/>
  <c r="EI15" i="7"/>
  <c r="EH15" i="7"/>
  <c r="EG15" i="7"/>
  <c r="EF15" i="7"/>
  <c r="DY15" i="7"/>
  <c r="DM15" i="7"/>
  <c r="DL15" i="7"/>
  <c r="DK15" i="7"/>
  <c r="DJ15" i="7"/>
  <c r="CZ15" i="7"/>
  <c r="CX15" i="7"/>
  <c r="CW15" i="7"/>
  <c r="CV15" i="7"/>
  <c r="CO15" i="7"/>
  <c r="CN15" i="7"/>
  <c r="CM15" i="7"/>
  <c r="BU15" i="7"/>
  <c r="BS15" i="7"/>
  <c r="BP15" i="7"/>
  <c r="BN15" i="7"/>
  <c r="BM15" i="7"/>
  <c r="BL15" i="7"/>
  <c r="BK15" i="7"/>
  <c r="BJ15" i="7"/>
  <c r="BH15" i="7"/>
  <c r="BF15" i="7"/>
  <c r="BA15" i="7"/>
  <c r="AZ15" i="7"/>
  <c r="AY15" i="7"/>
  <c r="AR15" i="7"/>
  <c r="AQ15" i="7"/>
  <c r="AP15" i="7"/>
  <c r="R15" i="7"/>
  <c r="O15" i="7"/>
  <c r="A15" i="7"/>
  <c r="HK14" i="7"/>
  <c r="GY14" i="7"/>
  <c r="GX14" i="7"/>
  <c r="GW14" i="7"/>
  <c r="GV14" i="7"/>
  <c r="GL14" i="7"/>
  <c r="GJ14" i="7"/>
  <c r="GI14" i="7"/>
  <c r="GH14" i="7"/>
  <c r="GA14" i="7"/>
  <c r="FZ14" i="7"/>
  <c r="FY14" i="7"/>
  <c r="FH14" i="7"/>
  <c r="FG14" i="7"/>
  <c r="FD14" i="7"/>
  <c r="FB14" i="7"/>
  <c r="FA14" i="7"/>
  <c r="EZ14" i="7"/>
  <c r="EY14" i="7"/>
  <c r="EX14" i="7"/>
  <c r="EW14" i="7"/>
  <c r="EV14" i="7"/>
  <c r="EU14" i="7"/>
  <c r="ET14" i="7"/>
  <c r="ES14" i="7"/>
  <c r="EQ14" i="7"/>
  <c r="EP14" i="7"/>
  <c r="EO14" i="7"/>
  <c r="EN14" i="7"/>
  <c r="EM14" i="7"/>
  <c r="EL14" i="7"/>
  <c r="EJ14" i="7"/>
  <c r="EI14" i="7"/>
  <c r="EH14" i="7"/>
  <c r="EG14" i="7"/>
  <c r="EF14" i="7"/>
  <c r="DY14" i="7"/>
  <c r="DM14" i="7"/>
  <c r="DL14" i="7"/>
  <c r="DK14" i="7"/>
  <c r="DJ14" i="7"/>
  <c r="CZ14" i="7"/>
  <c r="CX14" i="7"/>
  <c r="CW14" i="7"/>
  <c r="CV14" i="7"/>
  <c r="CO14" i="7"/>
  <c r="CN14" i="7"/>
  <c r="CM14" i="7"/>
  <c r="BU14" i="7"/>
  <c r="BS14" i="7"/>
  <c r="BP14" i="7"/>
  <c r="BN14" i="7"/>
  <c r="BM14" i="7"/>
  <c r="BL14" i="7"/>
  <c r="BK14" i="7"/>
  <c r="BJ14" i="7"/>
  <c r="BH14" i="7"/>
  <c r="BF14" i="7"/>
  <c r="BA14" i="7"/>
  <c r="AZ14" i="7"/>
  <c r="AY14" i="7"/>
  <c r="AR14" i="7"/>
  <c r="AQ14" i="7"/>
  <c r="AP14" i="7"/>
  <c r="R14" i="7"/>
  <c r="O14" i="7"/>
  <c r="A14" i="7"/>
  <c r="HK13" i="7"/>
  <c r="GY13" i="7"/>
  <c r="GX13" i="7"/>
  <c r="GW13" i="7"/>
  <c r="GV13" i="7"/>
  <c r="GL13" i="7"/>
  <c r="GJ13" i="7"/>
  <c r="GI13" i="7"/>
  <c r="GH13" i="7"/>
  <c r="GA13" i="7"/>
  <c r="FZ13" i="7"/>
  <c r="FY13" i="7"/>
  <c r="FH13" i="7"/>
  <c r="FG13" i="7"/>
  <c r="FD13" i="7"/>
  <c r="FB13" i="7"/>
  <c r="FA13" i="7"/>
  <c r="EZ13" i="7"/>
  <c r="EY13" i="7"/>
  <c r="EX13" i="7"/>
  <c r="EW13" i="7"/>
  <c r="EV13" i="7"/>
  <c r="EU13" i="7"/>
  <c r="ET13" i="7"/>
  <c r="ES13" i="7"/>
  <c r="EQ13" i="7"/>
  <c r="EP13" i="7"/>
  <c r="EO13" i="7"/>
  <c r="EN13" i="7"/>
  <c r="EM13" i="7"/>
  <c r="EL13" i="7"/>
  <c r="EJ13" i="7"/>
  <c r="EI13" i="7"/>
  <c r="EH13" i="7"/>
  <c r="EG13" i="7"/>
  <c r="EF13" i="7"/>
  <c r="DY13" i="7"/>
  <c r="DM13" i="7"/>
  <c r="DL13" i="7"/>
  <c r="DK13" i="7"/>
  <c r="DJ13" i="7"/>
  <c r="CZ13" i="7"/>
  <c r="CX13" i="7"/>
  <c r="CW13" i="7"/>
  <c r="CV13" i="7"/>
  <c r="CO13" i="7"/>
  <c r="CN13" i="7"/>
  <c r="CM13" i="7"/>
  <c r="BU13" i="7"/>
  <c r="BS13" i="7"/>
  <c r="BP13" i="7"/>
  <c r="BN13" i="7"/>
  <c r="BM13" i="7"/>
  <c r="BL13" i="7"/>
  <c r="BK13" i="7"/>
  <c r="BJ13" i="7"/>
  <c r="BH13" i="7"/>
  <c r="BF13" i="7"/>
  <c r="BA13" i="7"/>
  <c r="AZ13" i="7"/>
  <c r="AY13" i="7"/>
  <c r="AR13" i="7"/>
  <c r="AQ13" i="7"/>
  <c r="AP13" i="7"/>
  <c r="R13" i="7"/>
  <c r="O13" i="7"/>
  <c r="A13" i="7"/>
  <c r="GY12" i="7"/>
  <c r="GX12" i="7"/>
  <c r="GW12" i="7"/>
  <c r="GV12" i="7"/>
  <c r="GL12" i="7"/>
  <c r="GJ12" i="7"/>
  <c r="GI12" i="7"/>
  <c r="GH12" i="7"/>
  <c r="GA12" i="7"/>
  <c r="FZ12" i="7"/>
  <c r="FY12" i="7"/>
  <c r="FH12" i="7"/>
  <c r="FG12" i="7"/>
  <c r="FD12" i="7"/>
  <c r="FB12" i="7"/>
  <c r="FA12" i="7"/>
  <c r="EZ12" i="7"/>
  <c r="EY12" i="7"/>
  <c r="EX12" i="7"/>
  <c r="EW12" i="7"/>
  <c r="EV12" i="7"/>
  <c r="EU12" i="7"/>
  <c r="ET12" i="7"/>
  <c r="ES12" i="7"/>
  <c r="EQ12" i="7"/>
  <c r="EP12" i="7"/>
  <c r="EO12" i="7"/>
  <c r="EN12" i="7"/>
  <c r="EM12" i="7"/>
  <c r="EL12" i="7"/>
  <c r="EJ12" i="7"/>
  <c r="EI12" i="7"/>
  <c r="EH12" i="7"/>
  <c r="EG12" i="7"/>
  <c r="EF12" i="7"/>
  <c r="DY12" i="7"/>
  <c r="DM12" i="7"/>
  <c r="DL12" i="7"/>
  <c r="DK12" i="7"/>
  <c r="DJ12" i="7"/>
  <c r="CZ12" i="7"/>
  <c r="CX12" i="7"/>
  <c r="CW12" i="7"/>
  <c r="CV12" i="7"/>
  <c r="CO12" i="7"/>
  <c r="CN12" i="7"/>
  <c r="CM12" i="7"/>
  <c r="BU12" i="7"/>
  <c r="BS12" i="7"/>
  <c r="BP12" i="7"/>
  <c r="BN12" i="7"/>
  <c r="BM12" i="7"/>
  <c r="BL12" i="7"/>
  <c r="BK12" i="7"/>
  <c r="BJ12" i="7"/>
  <c r="BH12" i="7"/>
  <c r="BF12" i="7"/>
  <c r="BA12" i="7"/>
  <c r="AY12" i="7"/>
  <c r="AR12" i="7"/>
  <c r="R12" i="7"/>
  <c r="O12" i="7"/>
  <c r="A12" i="7"/>
  <c r="GY11" i="7"/>
  <c r="GX11" i="7"/>
  <c r="GW11" i="7"/>
  <c r="GV11" i="7"/>
  <c r="GJ11" i="7"/>
  <c r="GI11" i="7"/>
  <c r="GH11" i="7"/>
  <c r="GA11" i="7"/>
  <c r="FZ11" i="7"/>
  <c r="FY11" i="7"/>
  <c r="FH11" i="7"/>
  <c r="FG11" i="7"/>
  <c r="FD11" i="7"/>
  <c r="FB11" i="7"/>
  <c r="FA11" i="7"/>
  <c r="EZ11" i="7"/>
  <c r="EY11" i="7"/>
  <c r="EX11" i="7"/>
  <c r="EW11" i="7"/>
  <c r="EV11" i="7"/>
  <c r="EU11" i="7"/>
  <c r="ET11" i="7"/>
  <c r="ES11" i="7"/>
  <c r="EQ11" i="7"/>
  <c r="EP11" i="7"/>
  <c r="EO11" i="7"/>
  <c r="EN11" i="7"/>
  <c r="EM11" i="7"/>
  <c r="EL11" i="7"/>
  <c r="EJ11" i="7"/>
  <c r="EI11" i="7"/>
  <c r="EH11" i="7"/>
  <c r="EG11" i="7"/>
  <c r="EF11" i="7"/>
  <c r="DY11" i="7"/>
  <c r="DM11" i="7"/>
  <c r="DL11" i="7"/>
  <c r="DK11" i="7"/>
  <c r="DJ11" i="7"/>
  <c r="CX11" i="7"/>
  <c r="CW11" i="7"/>
  <c r="CV11" i="7"/>
  <c r="CO11" i="7"/>
  <c r="CN11" i="7"/>
  <c r="CM11" i="7"/>
  <c r="BU11" i="7"/>
  <c r="BS11" i="7"/>
  <c r="BP11" i="7"/>
  <c r="BN11" i="7"/>
  <c r="BM11" i="7"/>
  <c r="BL11" i="7"/>
  <c r="BK11" i="7"/>
  <c r="BJ11" i="7"/>
  <c r="BH11" i="7"/>
  <c r="BF11" i="7"/>
  <c r="BA11" i="7"/>
  <c r="AZ11" i="7"/>
  <c r="AY11" i="7"/>
  <c r="AR11" i="7"/>
  <c r="AQ11" i="7"/>
  <c r="AP11" i="7"/>
  <c r="R11" i="7"/>
  <c r="O11" i="7"/>
  <c r="A11" i="7"/>
  <c r="GY10" i="7"/>
  <c r="GX10" i="7"/>
  <c r="GW10" i="7"/>
  <c r="GV10" i="7"/>
  <c r="GJ10" i="7"/>
  <c r="GI10" i="7"/>
  <c r="GH10" i="7"/>
  <c r="GA10" i="7"/>
  <c r="FZ10" i="7"/>
  <c r="FY10" i="7"/>
  <c r="FH10" i="7"/>
  <c r="FG10" i="7"/>
  <c r="FD10" i="7"/>
  <c r="FB10" i="7"/>
  <c r="FA10" i="7"/>
  <c r="EZ10" i="7"/>
  <c r="EY10" i="7"/>
  <c r="EX10" i="7"/>
  <c r="EW10" i="7"/>
  <c r="EV10" i="7"/>
  <c r="EU10" i="7"/>
  <c r="ET10" i="7"/>
  <c r="ES10" i="7"/>
  <c r="EQ10" i="7"/>
  <c r="EP10" i="7"/>
  <c r="EO10" i="7"/>
  <c r="EN10" i="7"/>
  <c r="EM10" i="7"/>
  <c r="EL10" i="7"/>
  <c r="EJ10" i="7"/>
  <c r="EI10" i="7"/>
  <c r="EH10" i="7"/>
  <c r="EG10" i="7"/>
  <c r="EF10" i="7"/>
  <c r="DY10" i="7"/>
  <c r="DM10" i="7"/>
  <c r="DL10" i="7"/>
  <c r="DK10" i="7"/>
  <c r="DJ10" i="7"/>
  <c r="CX10" i="7"/>
  <c r="CW10" i="7"/>
  <c r="CV10" i="7"/>
  <c r="CO10" i="7"/>
  <c r="CN10" i="7"/>
  <c r="CM10" i="7"/>
  <c r="BS10" i="7"/>
  <c r="BP10" i="7"/>
  <c r="BN10" i="7"/>
  <c r="BM10" i="7"/>
  <c r="BL10" i="7"/>
  <c r="BK10" i="7"/>
  <c r="BJ10" i="7"/>
  <c r="BH10" i="7"/>
  <c r="BF10" i="7"/>
  <c r="BA10" i="7"/>
  <c r="AZ10" i="7"/>
  <c r="AY10" i="7"/>
  <c r="AR10" i="7"/>
  <c r="AQ10" i="7"/>
  <c r="AP10" i="7"/>
  <c r="R10" i="7"/>
  <c r="O10" i="7"/>
  <c r="A10" i="7"/>
  <c r="GY9" i="7"/>
  <c r="GX9" i="7"/>
  <c r="GW9" i="7"/>
  <c r="GV9" i="7"/>
  <c r="GJ9" i="7"/>
  <c r="GI9" i="7"/>
  <c r="GH9" i="7"/>
  <c r="GA9" i="7"/>
  <c r="FZ9" i="7"/>
  <c r="FY9" i="7"/>
  <c r="FH9" i="7"/>
  <c r="FG9" i="7"/>
  <c r="FD9" i="7"/>
  <c r="FB9" i="7"/>
  <c r="FA9" i="7"/>
  <c r="EZ9" i="7"/>
  <c r="EY9" i="7"/>
  <c r="EX9" i="7"/>
  <c r="EW9" i="7"/>
  <c r="EV9" i="7"/>
  <c r="EU9" i="7"/>
  <c r="ET9" i="7"/>
  <c r="ES9" i="7"/>
  <c r="EQ9" i="7"/>
  <c r="EP9" i="7"/>
  <c r="EO9" i="7"/>
  <c r="EN9" i="7"/>
  <c r="EM9" i="7"/>
  <c r="EL9" i="7"/>
  <c r="EJ9" i="7"/>
  <c r="EI9" i="7"/>
  <c r="EH9" i="7"/>
  <c r="EG9" i="7"/>
  <c r="EF9" i="7"/>
  <c r="DY9" i="7"/>
  <c r="DM9" i="7"/>
  <c r="DL9" i="7"/>
  <c r="DK9" i="7"/>
  <c r="DJ9" i="7"/>
  <c r="CX9" i="7"/>
  <c r="CW9" i="7"/>
  <c r="CV9" i="7"/>
  <c r="CO9" i="7"/>
  <c r="CN9" i="7"/>
  <c r="CM9" i="7"/>
  <c r="BS9" i="7"/>
  <c r="BP9" i="7"/>
  <c r="BN9" i="7"/>
  <c r="BM9" i="7"/>
  <c r="BL9" i="7"/>
  <c r="BK9" i="7"/>
  <c r="BJ9" i="7"/>
  <c r="BH9" i="7"/>
  <c r="BF9" i="7"/>
  <c r="BA9" i="7"/>
  <c r="AZ9" i="7"/>
  <c r="AY9" i="7"/>
  <c r="AR9" i="7"/>
  <c r="AQ9" i="7"/>
  <c r="AP9" i="7"/>
  <c r="R9" i="7"/>
  <c r="O9" i="7"/>
  <c r="A9" i="7"/>
  <c r="GY8" i="7"/>
  <c r="GX8" i="7"/>
  <c r="GW8" i="7"/>
  <c r="GV8" i="7"/>
  <c r="GJ8" i="7"/>
  <c r="GI8" i="7"/>
  <c r="GH8" i="7"/>
  <c r="GA8" i="7"/>
  <c r="FZ8" i="7"/>
  <c r="FY8" i="7"/>
  <c r="FH8" i="7"/>
  <c r="FG8" i="7"/>
  <c r="FD8" i="7"/>
  <c r="FB8" i="7"/>
  <c r="FA8" i="7"/>
  <c r="EZ8" i="7"/>
  <c r="EY8" i="7"/>
  <c r="EX8" i="7"/>
  <c r="EW8" i="7"/>
  <c r="EV8" i="7"/>
  <c r="EU8" i="7"/>
  <c r="ET8" i="7"/>
  <c r="ES8" i="7"/>
  <c r="EQ8" i="7"/>
  <c r="EP8" i="7"/>
  <c r="EO8" i="7"/>
  <c r="EN8" i="7"/>
  <c r="EM8" i="7"/>
  <c r="EL8" i="7"/>
  <c r="EJ8" i="7"/>
  <c r="EI8" i="7"/>
  <c r="EH8" i="7"/>
  <c r="EG8" i="7"/>
  <c r="EF8" i="7"/>
  <c r="DY8" i="7"/>
  <c r="DM8" i="7"/>
  <c r="DL8" i="7"/>
  <c r="DK8" i="7"/>
  <c r="DJ8" i="7"/>
  <c r="CX8" i="7"/>
  <c r="CW8" i="7"/>
  <c r="CV8" i="7"/>
  <c r="CO8" i="7"/>
  <c r="CN8" i="7"/>
  <c r="CM8" i="7"/>
  <c r="BS8" i="7"/>
  <c r="BP8" i="7"/>
  <c r="BN8" i="7"/>
  <c r="BM8" i="7"/>
  <c r="BL8" i="7"/>
  <c r="BK8" i="7"/>
  <c r="BJ8" i="7"/>
  <c r="BH8" i="7"/>
  <c r="BF8" i="7"/>
  <c r="BA8" i="7"/>
  <c r="AZ8" i="7"/>
  <c r="AY8" i="7"/>
  <c r="AR8" i="7"/>
  <c r="AQ8" i="7"/>
  <c r="AP8" i="7"/>
  <c r="R8" i="7"/>
  <c r="O8" i="7"/>
  <c r="A8" i="7"/>
  <c r="GY7" i="7"/>
  <c r="GX7" i="7"/>
  <c r="GW7" i="7"/>
  <c r="GV7" i="7"/>
  <c r="GJ7" i="7"/>
  <c r="GI7" i="7"/>
  <c r="GH7" i="7"/>
  <c r="GA7" i="7"/>
  <c r="FZ7" i="7"/>
  <c r="FY7" i="7"/>
  <c r="FH7" i="7"/>
  <c r="FG7" i="7"/>
  <c r="FD7" i="7"/>
  <c r="FB7" i="7"/>
  <c r="FA7" i="7"/>
  <c r="EZ7" i="7"/>
  <c r="EY7" i="7"/>
  <c r="EX7" i="7"/>
  <c r="EW7" i="7"/>
  <c r="EV7" i="7"/>
  <c r="EU7" i="7"/>
  <c r="ET7" i="7"/>
  <c r="ES7" i="7"/>
  <c r="EQ7" i="7"/>
  <c r="EP7" i="7"/>
  <c r="EO7" i="7"/>
  <c r="EN7" i="7"/>
  <c r="EM7" i="7"/>
  <c r="EL7" i="7"/>
  <c r="EJ7" i="7"/>
  <c r="EI7" i="7"/>
  <c r="EH7" i="7"/>
  <c r="EG7" i="7"/>
  <c r="EF7" i="7"/>
  <c r="DY7" i="7"/>
  <c r="DM7" i="7"/>
  <c r="DL7" i="7"/>
  <c r="DK7" i="7"/>
  <c r="DJ7" i="7"/>
  <c r="CX7" i="7"/>
  <c r="CW7" i="7"/>
  <c r="CV7" i="7"/>
  <c r="CO7" i="7"/>
  <c r="CN7" i="7"/>
  <c r="CM7" i="7"/>
  <c r="BS7" i="7"/>
  <c r="BP7" i="7"/>
  <c r="BN7" i="7"/>
  <c r="BM7" i="7"/>
  <c r="BL7" i="7"/>
  <c r="BK7" i="7"/>
  <c r="BJ7" i="7"/>
  <c r="BH7" i="7"/>
  <c r="BF7" i="7"/>
  <c r="BA7" i="7"/>
  <c r="AY7" i="7"/>
  <c r="AR7" i="7"/>
  <c r="R7" i="7"/>
  <c r="O7" i="7"/>
  <c r="A7" i="7"/>
  <c r="GY6" i="7"/>
  <c r="GX6" i="7"/>
  <c r="GW6" i="7"/>
  <c r="GV6" i="7"/>
  <c r="GJ6" i="7"/>
  <c r="GI6" i="7"/>
  <c r="GH6" i="7"/>
  <c r="GA6" i="7"/>
  <c r="FZ6" i="7"/>
  <c r="FY6" i="7"/>
  <c r="FH6" i="7"/>
  <c r="FG6" i="7"/>
  <c r="FD6" i="7"/>
  <c r="FB6" i="7"/>
  <c r="FA6" i="7"/>
  <c r="EZ6" i="7"/>
  <c r="EY6" i="7"/>
  <c r="EX6" i="7"/>
  <c r="EW6" i="7"/>
  <c r="EV6" i="7"/>
  <c r="EU6" i="7"/>
  <c r="ET6" i="7"/>
  <c r="ES6" i="7"/>
  <c r="EQ6" i="7"/>
  <c r="EP6" i="7"/>
  <c r="EO6" i="7"/>
  <c r="EN6" i="7"/>
  <c r="EM6" i="7"/>
  <c r="EL6" i="7"/>
  <c r="EJ6" i="7"/>
  <c r="EI6" i="7"/>
  <c r="EH6" i="7"/>
  <c r="EG6" i="7"/>
  <c r="EF6" i="7"/>
  <c r="DY6" i="7"/>
  <c r="DM6" i="7"/>
  <c r="DL6" i="7"/>
  <c r="DK6" i="7"/>
  <c r="DJ6" i="7"/>
  <c r="CX6" i="7"/>
  <c r="CW6" i="7"/>
  <c r="CV6" i="7"/>
  <c r="CO6" i="7"/>
  <c r="CN6" i="7"/>
  <c r="CM6" i="7"/>
  <c r="BS6" i="7"/>
  <c r="BP6" i="7"/>
  <c r="BN6" i="7"/>
  <c r="BM6" i="7"/>
  <c r="BL6" i="7"/>
  <c r="BK6" i="7"/>
  <c r="BJ6" i="7"/>
  <c r="BH6" i="7"/>
  <c r="BF6" i="7"/>
  <c r="BA6" i="7"/>
  <c r="AZ6" i="7"/>
  <c r="AY6" i="7"/>
  <c r="AR6" i="7"/>
  <c r="AQ6" i="7"/>
  <c r="AP6" i="7"/>
  <c r="S6" i="7"/>
  <c r="T6" i="7" s="1"/>
  <c r="R6" i="7"/>
  <c r="O6" i="7"/>
  <c r="A6" i="7"/>
  <c r="GY5" i="7"/>
  <c r="GX5" i="7"/>
  <c r="GW5" i="7"/>
  <c r="GV5" i="7"/>
  <c r="GJ5" i="7"/>
  <c r="GI5" i="7"/>
  <c r="GH5" i="7"/>
  <c r="GA5" i="7"/>
  <c r="FZ5" i="7"/>
  <c r="FY5" i="7"/>
  <c r="FH5" i="7"/>
  <c r="FG5" i="7"/>
  <c r="FD5" i="7"/>
  <c r="FB5" i="7"/>
  <c r="FA5" i="7"/>
  <c r="EZ5" i="7"/>
  <c r="EY5" i="7"/>
  <c r="EX5" i="7"/>
  <c r="EW5" i="7"/>
  <c r="EV5" i="7"/>
  <c r="EU5" i="7"/>
  <c r="ET5" i="7"/>
  <c r="ES5" i="7"/>
  <c r="EQ5" i="7"/>
  <c r="EP5" i="7"/>
  <c r="EO5" i="7"/>
  <c r="EN5" i="7"/>
  <c r="EM5" i="7"/>
  <c r="EL5" i="7"/>
  <c r="EJ5" i="7"/>
  <c r="EI5" i="7"/>
  <c r="EH5" i="7"/>
  <c r="EG5" i="7"/>
  <c r="EF5" i="7"/>
  <c r="DM5" i="7"/>
  <c r="DL5" i="7"/>
  <c r="DK5" i="7"/>
  <c r="DJ5" i="7"/>
  <c r="CX5" i="7"/>
  <c r="CW5" i="7"/>
  <c r="CV5" i="7"/>
  <c r="CO5" i="7"/>
  <c r="CN5" i="7"/>
  <c r="CM5" i="7"/>
  <c r="BS5" i="7"/>
  <c r="BP5" i="7"/>
  <c r="BN5" i="7"/>
  <c r="BM5" i="7"/>
  <c r="BL5" i="7"/>
  <c r="BK5" i="7"/>
  <c r="BJ5" i="7"/>
  <c r="BH5" i="7"/>
  <c r="BF5" i="7"/>
  <c r="BA5" i="7"/>
  <c r="AY5" i="7"/>
  <c r="AR5" i="7"/>
  <c r="R5" i="7"/>
  <c r="O5" i="7"/>
  <c r="A5" i="7"/>
  <c r="GY4" i="7"/>
  <c r="GX4" i="7"/>
  <c r="GW4" i="7"/>
  <c r="GV4" i="7"/>
  <c r="GJ4" i="7"/>
  <c r="GI4" i="7"/>
  <c r="GH4" i="7"/>
  <c r="GA4" i="7"/>
  <c r="FZ4" i="7"/>
  <c r="FY4" i="7"/>
  <c r="FH4" i="7"/>
  <c r="FG4" i="7"/>
  <c r="FD4" i="7"/>
  <c r="FB4" i="7"/>
  <c r="FA4" i="7"/>
  <c r="EZ4" i="7"/>
  <c r="EY4" i="7"/>
  <c r="EX4" i="7"/>
  <c r="EW4" i="7"/>
  <c r="EV4" i="7"/>
  <c r="EU4" i="7"/>
  <c r="ET4" i="7"/>
  <c r="ES4" i="7"/>
  <c r="EQ4" i="7"/>
  <c r="EP4" i="7"/>
  <c r="EO4" i="7"/>
  <c r="EN4" i="7"/>
  <c r="EM4" i="7"/>
  <c r="EL4" i="7"/>
  <c r="EJ4" i="7"/>
  <c r="EI4" i="7"/>
  <c r="EH4" i="7"/>
  <c r="EG4" i="7"/>
  <c r="EF4" i="7"/>
  <c r="DM4" i="7"/>
  <c r="DL4" i="7"/>
  <c r="DK4" i="7"/>
  <c r="DJ4" i="7"/>
  <c r="CX4" i="7"/>
  <c r="CW4" i="7"/>
  <c r="CV4" i="7"/>
  <c r="CO4" i="7"/>
  <c r="CN4" i="7"/>
  <c r="CM4" i="7"/>
  <c r="BS4" i="7"/>
  <c r="BP4" i="7"/>
  <c r="BN4" i="7"/>
  <c r="BM4" i="7"/>
  <c r="BL4" i="7"/>
  <c r="BK4" i="7"/>
  <c r="BJ4" i="7"/>
  <c r="BH4" i="7"/>
  <c r="BF4" i="7"/>
  <c r="BA4" i="7"/>
  <c r="AZ4" i="7"/>
  <c r="AY4" i="7"/>
  <c r="AR4" i="7"/>
  <c r="AQ4" i="7"/>
  <c r="AP4" i="7"/>
  <c r="R4" i="7"/>
  <c r="O4" i="7"/>
  <c r="A4" i="7"/>
  <c r="GY3" i="7"/>
  <c r="GX3" i="7"/>
  <c r="GW3" i="7"/>
  <c r="GV3" i="7"/>
  <c r="GJ3" i="7"/>
  <c r="GI3" i="7"/>
  <c r="GH3" i="7"/>
  <c r="GA3" i="7"/>
  <c r="FZ3" i="7"/>
  <c r="FY3" i="7"/>
  <c r="FH3" i="7"/>
  <c r="FG3" i="7"/>
  <c r="FD3" i="7"/>
  <c r="FB3" i="7"/>
  <c r="FA3" i="7"/>
  <c r="EZ3" i="7"/>
  <c r="EY3" i="7"/>
  <c r="EX3" i="7"/>
  <c r="EW3" i="7"/>
  <c r="EV3" i="7"/>
  <c r="EU3" i="7"/>
  <c r="ET3" i="7"/>
  <c r="ES3" i="7"/>
  <c r="EQ3" i="7"/>
  <c r="EP3" i="7"/>
  <c r="EO3" i="7"/>
  <c r="EN3" i="7"/>
  <c r="EM3" i="7"/>
  <c r="EL3" i="7"/>
  <c r="EJ3" i="7"/>
  <c r="EI3" i="7"/>
  <c r="EH3" i="7"/>
  <c r="EG3" i="7"/>
  <c r="EF3" i="7"/>
  <c r="DM3" i="7"/>
  <c r="DL3" i="7"/>
  <c r="DK3" i="7"/>
  <c r="DJ3" i="7"/>
  <c r="CX3" i="7"/>
  <c r="CW3" i="7"/>
  <c r="CV3" i="7"/>
  <c r="CO3" i="7"/>
  <c r="CN3" i="7"/>
  <c r="CM3" i="7"/>
  <c r="BS3" i="7"/>
  <c r="BP3" i="7"/>
  <c r="BN3" i="7"/>
  <c r="BM3" i="7"/>
  <c r="BL3" i="7"/>
  <c r="BK3" i="7"/>
  <c r="BJ3" i="7"/>
  <c r="BH3" i="7"/>
  <c r="BF3" i="7"/>
  <c r="BA3" i="7"/>
  <c r="AZ3" i="7"/>
  <c r="AY3" i="7"/>
  <c r="AR3" i="7"/>
  <c r="AQ3" i="7"/>
  <c r="AP3" i="7"/>
  <c r="R3" i="7"/>
  <c r="O3" i="7"/>
  <c r="A3" i="7"/>
  <c r="HV2" i="7"/>
  <c r="HS3" i="7" s="1"/>
  <c r="HU2" i="7"/>
  <c r="HI2" i="7"/>
  <c r="HI3" i="7" s="1"/>
  <c r="HI4" i="7" s="1"/>
  <c r="GY2" i="7"/>
  <c r="GX2" i="7"/>
  <c r="GW2" i="7"/>
  <c r="GV2" i="7"/>
  <c r="GJ2" i="7"/>
  <c r="GK13" i="7" s="1"/>
  <c r="GH2" i="7"/>
  <c r="GA2" i="7"/>
  <c r="FT2" i="7"/>
  <c r="FQ3" i="7" s="1"/>
  <c r="FS2" i="7"/>
  <c r="FH2" i="7"/>
  <c r="FG2" i="7"/>
  <c r="FD2" i="7"/>
  <c r="FB2" i="7"/>
  <c r="FA2" i="7"/>
  <c r="EZ2" i="7"/>
  <c r="EY2" i="7"/>
  <c r="EX2" i="7"/>
  <c r="EW2" i="7"/>
  <c r="EV2" i="7"/>
  <c r="EU2" i="7"/>
  <c r="ET2" i="7"/>
  <c r="ES2" i="7"/>
  <c r="EQ2" i="7"/>
  <c r="EP2" i="7"/>
  <c r="EO2" i="7"/>
  <c r="EN2" i="7"/>
  <c r="EM2" i="7"/>
  <c r="EL2" i="7"/>
  <c r="EJ2" i="7"/>
  <c r="EI2" i="7"/>
  <c r="EH2" i="7"/>
  <c r="EG2" i="7"/>
  <c r="EF2" i="7"/>
  <c r="EB2" i="7"/>
  <c r="DW2" i="7"/>
  <c r="DM2" i="7"/>
  <c r="DL2" i="7"/>
  <c r="DK2" i="7"/>
  <c r="DJ2" i="7"/>
  <c r="CX2" i="7"/>
  <c r="CV2" i="7"/>
  <c r="CO2" i="7"/>
  <c r="BS2" i="7"/>
  <c r="BP2" i="7"/>
  <c r="BN2" i="7"/>
  <c r="BM2" i="7"/>
  <c r="BL2" i="7"/>
  <c r="BK2" i="7"/>
  <c r="BJ2" i="7"/>
  <c r="BI2" i="7" s="1"/>
  <c r="BH2" i="7"/>
  <c r="BF2" i="7"/>
  <c r="BA2" i="7"/>
  <c r="AY2" i="7"/>
  <c r="AU2" i="7"/>
  <c r="AR2" i="7"/>
  <c r="AN2" i="7"/>
  <c r="AA2" i="7"/>
  <c r="AA7" i="7" s="1"/>
  <c r="X2" i="7"/>
  <c r="CI2" i="7" s="1"/>
  <c r="S2" i="7"/>
  <c r="S7" i="7" s="1"/>
  <c r="R2" i="7"/>
  <c r="O2" i="7"/>
  <c r="A2" i="7"/>
  <c r="HK52" i="6"/>
  <c r="GY52" i="6"/>
  <c r="GX52" i="6"/>
  <c r="GW52" i="6"/>
  <c r="GV52" i="6"/>
  <c r="GL52" i="6"/>
  <c r="GJ52" i="6"/>
  <c r="GI52" i="6"/>
  <c r="GH52" i="6"/>
  <c r="GA52" i="6"/>
  <c r="FZ52" i="6"/>
  <c r="FY52" i="6"/>
  <c r="FI52" i="6"/>
  <c r="FG52" i="6"/>
  <c r="FD52" i="6"/>
  <c r="FB52" i="6"/>
  <c r="FA52" i="6"/>
  <c r="EZ52" i="6"/>
  <c r="EY52" i="6"/>
  <c r="EX52" i="6"/>
  <c r="EV52" i="6"/>
  <c r="ET52" i="6"/>
  <c r="EQ52" i="6"/>
  <c r="EO52" i="6"/>
  <c r="EN52" i="6"/>
  <c r="EM52" i="6"/>
  <c r="DY52" i="6"/>
  <c r="DX52" i="6"/>
  <c r="DW52" i="6"/>
  <c r="DO52" i="6"/>
  <c r="DN52" i="6"/>
  <c r="DM52" i="6"/>
  <c r="DL52" i="6"/>
  <c r="DK52" i="6"/>
  <c r="DJ52" i="6"/>
  <c r="DI52" i="6"/>
  <c r="DH52" i="6"/>
  <c r="DF52" i="6"/>
  <c r="DC52" i="6"/>
  <c r="DB52" i="6"/>
  <c r="CZ52" i="6"/>
  <c r="CY52" i="6"/>
  <c r="CX52" i="6"/>
  <c r="CW52" i="6"/>
  <c r="CV52" i="6"/>
  <c r="CU52" i="6"/>
  <c r="CT52" i="6"/>
  <c r="CS52" i="6"/>
  <c r="CR52" i="6"/>
  <c r="CQ52" i="6"/>
  <c r="CP52" i="6"/>
  <c r="CO52" i="6"/>
  <c r="CN52" i="6"/>
  <c r="CM52" i="6"/>
  <c r="CJ52" i="6"/>
  <c r="CI52" i="6"/>
  <c r="BU52" i="6"/>
  <c r="BS52" i="6"/>
  <c r="BP52" i="6"/>
  <c r="BN52" i="6"/>
  <c r="BM52" i="6"/>
  <c r="BL52" i="6"/>
  <c r="BK52" i="6"/>
  <c r="BJ52" i="6"/>
  <c r="BH52" i="6"/>
  <c r="BF52" i="6"/>
  <c r="BC52" i="6"/>
  <c r="BA52" i="6"/>
  <c r="AZ52" i="6"/>
  <c r="AY52" i="6"/>
  <c r="AR52" i="6"/>
  <c r="AQ52" i="6"/>
  <c r="AP52" i="6"/>
  <c r="R52" i="6"/>
  <c r="P52" i="6"/>
  <c r="O52" i="6"/>
  <c r="A52" i="6"/>
  <c r="HK51" i="6"/>
  <c r="GY51" i="6"/>
  <c r="GX51" i="6"/>
  <c r="GW51" i="6"/>
  <c r="GV51" i="6"/>
  <c r="GL51" i="6"/>
  <c r="GJ51" i="6"/>
  <c r="GI51" i="6"/>
  <c r="GH51" i="6"/>
  <c r="GA51" i="6"/>
  <c r="FZ51" i="6"/>
  <c r="FY51" i="6"/>
  <c r="FI51" i="6"/>
  <c r="FG51" i="6"/>
  <c r="FD51" i="6"/>
  <c r="FB51" i="6"/>
  <c r="FA51" i="6"/>
  <c r="EZ51" i="6"/>
  <c r="EY51" i="6"/>
  <c r="EX51" i="6"/>
  <c r="EV51" i="6"/>
  <c r="ET51" i="6"/>
  <c r="EQ51" i="6"/>
  <c r="EO51" i="6"/>
  <c r="EN51" i="6"/>
  <c r="EM51" i="6"/>
  <c r="DY51" i="6"/>
  <c r="DX51" i="6"/>
  <c r="DW51" i="6"/>
  <c r="DO51" i="6"/>
  <c r="DN51" i="6"/>
  <c r="DM51" i="6"/>
  <c r="DL51" i="6"/>
  <c r="DK51" i="6"/>
  <c r="DJ51" i="6"/>
  <c r="DI51" i="6"/>
  <c r="DH51" i="6"/>
  <c r="DF51" i="6"/>
  <c r="DC51" i="6"/>
  <c r="DB51" i="6"/>
  <c r="CZ51" i="6"/>
  <c r="CY51" i="6"/>
  <c r="CX51" i="6"/>
  <c r="CW51" i="6"/>
  <c r="CV51" i="6"/>
  <c r="CU51" i="6"/>
  <c r="CT51" i="6"/>
  <c r="CS51" i="6"/>
  <c r="CR51" i="6"/>
  <c r="CQ51" i="6"/>
  <c r="CP51" i="6"/>
  <c r="CO51" i="6"/>
  <c r="CN51" i="6"/>
  <c r="CM51" i="6"/>
  <c r="CJ51" i="6"/>
  <c r="CI51" i="6"/>
  <c r="BU51" i="6"/>
  <c r="BS51" i="6"/>
  <c r="BP51" i="6"/>
  <c r="BN51" i="6"/>
  <c r="BM51" i="6"/>
  <c r="BL51" i="6"/>
  <c r="BK51" i="6"/>
  <c r="BJ51" i="6"/>
  <c r="BH51" i="6"/>
  <c r="BF51" i="6"/>
  <c r="BC51" i="6"/>
  <c r="BA51" i="6"/>
  <c r="AZ51" i="6"/>
  <c r="AY51" i="6"/>
  <c r="AR51" i="6"/>
  <c r="AQ51" i="6"/>
  <c r="AP51" i="6"/>
  <c r="R51" i="6"/>
  <c r="P51" i="6"/>
  <c r="O51" i="6"/>
  <c r="A51" i="6"/>
  <c r="HK50" i="6"/>
  <c r="GY50" i="6"/>
  <c r="GX50" i="6"/>
  <c r="GW50" i="6"/>
  <c r="GV50" i="6"/>
  <c r="GL50" i="6"/>
  <c r="GJ50" i="6"/>
  <c r="GI50" i="6"/>
  <c r="GH50" i="6"/>
  <c r="GA50" i="6"/>
  <c r="FZ50" i="6"/>
  <c r="FY50" i="6"/>
  <c r="FI50" i="6"/>
  <c r="FG50" i="6"/>
  <c r="FD50" i="6"/>
  <c r="FB50" i="6"/>
  <c r="FA50" i="6"/>
  <c r="EZ50" i="6"/>
  <c r="EY50" i="6"/>
  <c r="EX50" i="6"/>
  <c r="EV50" i="6"/>
  <c r="ET50" i="6"/>
  <c r="EQ50" i="6"/>
  <c r="EO50" i="6"/>
  <c r="EN50" i="6"/>
  <c r="EM50" i="6"/>
  <c r="DY50" i="6"/>
  <c r="DX50" i="6"/>
  <c r="DW50" i="6"/>
  <c r="DO50" i="6"/>
  <c r="DN50" i="6"/>
  <c r="DM50" i="6"/>
  <c r="DL50" i="6"/>
  <c r="DK50" i="6"/>
  <c r="DJ50" i="6"/>
  <c r="DI50" i="6"/>
  <c r="DH50" i="6"/>
  <c r="DF50" i="6"/>
  <c r="DC50" i="6"/>
  <c r="DB50" i="6"/>
  <c r="DQ50" i="6" s="1"/>
  <c r="CZ50" i="6"/>
  <c r="CY50" i="6"/>
  <c r="CX50" i="6"/>
  <c r="CW50" i="6"/>
  <c r="CV50" i="6"/>
  <c r="CU50" i="6"/>
  <c r="CT50" i="6"/>
  <c r="CS50" i="6"/>
  <c r="CR50" i="6"/>
  <c r="CQ50" i="6"/>
  <c r="CP50" i="6"/>
  <c r="CO50" i="6"/>
  <c r="CN50" i="6"/>
  <c r="CM50" i="6"/>
  <c r="CJ50" i="6"/>
  <c r="CI50" i="6"/>
  <c r="BU50" i="6"/>
  <c r="BS50" i="6"/>
  <c r="BP50" i="6"/>
  <c r="BN50" i="6"/>
  <c r="BM50" i="6"/>
  <c r="BL50" i="6"/>
  <c r="BK50" i="6"/>
  <c r="BJ50" i="6"/>
  <c r="BH50" i="6"/>
  <c r="BF50" i="6"/>
  <c r="BC50" i="6"/>
  <c r="BA50" i="6"/>
  <c r="AZ50" i="6"/>
  <c r="AY50" i="6"/>
  <c r="AR50" i="6"/>
  <c r="AQ50" i="6"/>
  <c r="AP50" i="6"/>
  <c r="R50" i="6"/>
  <c r="P50" i="6"/>
  <c r="O50" i="6"/>
  <c r="A50" i="6"/>
  <c r="HK49" i="6"/>
  <c r="GY49" i="6"/>
  <c r="GX49" i="6"/>
  <c r="GW49" i="6"/>
  <c r="GV49" i="6"/>
  <c r="GL49" i="6"/>
  <c r="GJ49" i="6"/>
  <c r="GI49" i="6"/>
  <c r="GH49" i="6"/>
  <c r="GA49" i="6"/>
  <c r="FZ49" i="6"/>
  <c r="FY49" i="6"/>
  <c r="FI49" i="6"/>
  <c r="FG49" i="6"/>
  <c r="FD49" i="6"/>
  <c r="FB49" i="6"/>
  <c r="FA49" i="6"/>
  <c r="EZ49" i="6"/>
  <c r="EY49" i="6"/>
  <c r="EX49" i="6"/>
  <c r="EV49" i="6"/>
  <c r="ET49" i="6"/>
  <c r="EQ49" i="6"/>
  <c r="EO49" i="6"/>
  <c r="EN49" i="6"/>
  <c r="EM49" i="6"/>
  <c r="DY49" i="6"/>
  <c r="DX49" i="6"/>
  <c r="DW49" i="6"/>
  <c r="DO49" i="6"/>
  <c r="DN49" i="6"/>
  <c r="DM49" i="6"/>
  <c r="DL49" i="6"/>
  <c r="DK49" i="6"/>
  <c r="DJ49" i="6"/>
  <c r="DI49" i="6"/>
  <c r="DH49" i="6"/>
  <c r="DF49" i="6"/>
  <c r="DC49" i="6"/>
  <c r="DB49" i="6"/>
  <c r="DQ49" i="6" s="1"/>
  <c r="CZ49" i="6"/>
  <c r="CY49" i="6"/>
  <c r="CX49" i="6"/>
  <c r="CW49" i="6"/>
  <c r="CV49" i="6"/>
  <c r="CU49" i="6"/>
  <c r="CT49" i="6"/>
  <c r="CS49" i="6"/>
  <c r="CR49" i="6"/>
  <c r="CQ49" i="6"/>
  <c r="CP49" i="6"/>
  <c r="CO49" i="6"/>
  <c r="CN49" i="6"/>
  <c r="CM49" i="6"/>
  <c r="CJ49" i="6"/>
  <c r="CI49" i="6"/>
  <c r="BU49" i="6"/>
  <c r="BS49" i="6"/>
  <c r="BP49" i="6"/>
  <c r="BN49" i="6"/>
  <c r="BM49" i="6"/>
  <c r="BL49" i="6"/>
  <c r="BK49" i="6"/>
  <c r="BJ49" i="6"/>
  <c r="BH49" i="6"/>
  <c r="BF49" i="6"/>
  <c r="BC49" i="6"/>
  <c r="BA49" i="6"/>
  <c r="AZ49" i="6"/>
  <c r="AY49" i="6"/>
  <c r="AR49" i="6"/>
  <c r="AQ49" i="6"/>
  <c r="AP49" i="6"/>
  <c r="R49" i="6"/>
  <c r="P49" i="6"/>
  <c r="O49" i="6"/>
  <c r="A49" i="6"/>
  <c r="HK48" i="6"/>
  <c r="GY48" i="6"/>
  <c r="GX48" i="6"/>
  <c r="GW48" i="6"/>
  <c r="GV48" i="6"/>
  <c r="GL48" i="6"/>
  <c r="GJ48" i="6"/>
  <c r="GI48" i="6"/>
  <c r="GH48" i="6"/>
  <c r="GA48" i="6"/>
  <c r="FZ48" i="6"/>
  <c r="FY48" i="6"/>
  <c r="FI48" i="6"/>
  <c r="FG48" i="6"/>
  <c r="FD48" i="6"/>
  <c r="FB48" i="6"/>
  <c r="FA48" i="6"/>
  <c r="EZ48" i="6"/>
  <c r="EY48" i="6"/>
  <c r="EX48" i="6"/>
  <c r="EV48" i="6"/>
  <c r="ET48" i="6"/>
  <c r="EQ48" i="6"/>
  <c r="EO48" i="6"/>
  <c r="EN48" i="6"/>
  <c r="EM48" i="6"/>
  <c r="DY48" i="6"/>
  <c r="DX48" i="6"/>
  <c r="DW48" i="6"/>
  <c r="DO48" i="6"/>
  <c r="DN48" i="6"/>
  <c r="DM48" i="6"/>
  <c r="DL48" i="6"/>
  <c r="DK48" i="6"/>
  <c r="DJ48" i="6"/>
  <c r="DI48" i="6"/>
  <c r="DH48" i="6"/>
  <c r="DF48" i="6"/>
  <c r="DC48" i="6"/>
  <c r="DB48" i="6"/>
  <c r="DQ48" i="6" s="1"/>
  <c r="CZ48" i="6"/>
  <c r="CY48" i="6"/>
  <c r="CX48" i="6"/>
  <c r="CW48" i="6"/>
  <c r="CV48" i="6"/>
  <c r="CU48" i="6"/>
  <c r="CT48" i="6"/>
  <c r="CS48" i="6"/>
  <c r="CR48" i="6"/>
  <c r="CQ48" i="6"/>
  <c r="CP48" i="6"/>
  <c r="CO48" i="6"/>
  <c r="CN48" i="6"/>
  <c r="CM48" i="6"/>
  <c r="CJ48" i="6"/>
  <c r="CI48" i="6"/>
  <c r="BU48" i="6"/>
  <c r="BS48" i="6"/>
  <c r="BP48" i="6"/>
  <c r="BN48" i="6"/>
  <c r="BM48" i="6"/>
  <c r="BL48" i="6"/>
  <c r="BK48" i="6"/>
  <c r="BJ48" i="6"/>
  <c r="BH48" i="6"/>
  <c r="BF48" i="6"/>
  <c r="BC48" i="6"/>
  <c r="BA48" i="6"/>
  <c r="AZ48" i="6"/>
  <c r="AY48" i="6"/>
  <c r="AR48" i="6"/>
  <c r="AQ48" i="6"/>
  <c r="AP48" i="6"/>
  <c r="R48" i="6"/>
  <c r="P48" i="6"/>
  <c r="O48" i="6"/>
  <c r="A48" i="6"/>
  <c r="HK47" i="6"/>
  <c r="GY47" i="6"/>
  <c r="GX47" i="6"/>
  <c r="GW47" i="6"/>
  <c r="GV47" i="6"/>
  <c r="GL47" i="6"/>
  <c r="GJ47" i="6"/>
  <c r="GI47" i="6"/>
  <c r="GH47" i="6"/>
  <c r="GA47" i="6"/>
  <c r="FZ47" i="6"/>
  <c r="FY47" i="6"/>
  <c r="FI47" i="6"/>
  <c r="FG47" i="6"/>
  <c r="FD47" i="6"/>
  <c r="FB47" i="6"/>
  <c r="FA47" i="6"/>
  <c r="EZ47" i="6"/>
  <c r="EY47" i="6"/>
  <c r="EX47" i="6"/>
  <c r="EV47" i="6"/>
  <c r="ET47" i="6"/>
  <c r="EO47" i="6"/>
  <c r="EN47" i="6"/>
  <c r="EM47" i="6"/>
  <c r="DY47" i="6"/>
  <c r="DX47" i="6"/>
  <c r="DW47" i="6"/>
  <c r="DO47" i="6"/>
  <c r="DN47" i="6"/>
  <c r="DM47" i="6"/>
  <c r="DL47" i="6"/>
  <c r="DK47" i="6"/>
  <c r="DJ47" i="6"/>
  <c r="DI47" i="6"/>
  <c r="DH47" i="6"/>
  <c r="DF47" i="6"/>
  <c r="DC47" i="6"/>
  <c r="DB47" i="6"/>
  <c r="CZ47" i="6"/>
  <c r="CY47" i="6"/>
  <c r="CX47" i="6"/>
  <c r="CW47" i="6"/>
  <c r="CV47" i="6"/>
  <c r="CU47" i="6"/>
  <c r="CT47" i="6"/>
  <c r="CS47" i="6"/>
  <c r="CR47" i="6"/>
  <c r="CQ47" i="6"/>
  <c r="CP47" i="6"/>
  <c r="CO47" i="6"/>
  <c r="CN47" i="6"/>
  <c r="CM47" i="6"/>
  <c r="CJ47" i="6"/>
  <c r="CI47" i="6"/>
  <c r="BU47" i="6"/>
  <c r="BS47" i="6"/>
  <c r="BP47" i="6"/>
  <c r="BN47" i="6"/>
  <c r="BM47" i="6"/>
  <c r="BL47" i="6"/>
  <c r="BK47" i="6"/>
  <c r="BJ47" i="6"/>
  <c r="BH47" i="6"/>
  <c r="BF47" i="6"/>
  <c r="BC47" i="6"/>
  <c r="BA47" i="6"/>
  <c r="AZ47" i="6"/>
  <c r="AY47" i="6"/>
  <c r="AR47" i="6"/>
  <c r="AQ47" i="6"/>
  <c r="AP47" i="6"/>
  <c r="R47" i="6"/>
  <c r="P47" i="6"/>
  <c r="O47" i="6"/>
  <c r="A47" i="6"/>
  <c r="HK46" i="6"/>
  <c r="GY46" i="6"/>
  <c r="GX46" i="6"/>
  <c r="GW46" i="6"/>
  <c r="GV46" i="6"/>
  <c r="GL46" i="6"/>
  <c r="GJ46" i="6"/>
  <c r="GI46" i="6"/>
  <c r="GH46" i="6"/>
  <c r="GA46" i="6"/>
  <c r="FZ46" i="6"/>
  <c r="FY46" i="6"/>
  <c r="FI46" i="6"/>
  <c r="FG46" i="6"/>
  <c r="FD46" i="6"/>
  <c r="FB46" i="6"/>
  <c r="FA46" i="6"/>
  <c r="EZ46" i="6"/>
  <c r="EY46" i="6"/>
  <c r="EX46" i="6"/>
  <c r="EV46" i="6"/>
  <c r="ET46" i="6"/>
  <c r="EO46" i="6"/>
  <c r="EN46" i="6"/>
  <c r="EM46" i="6"/>
  <c r="DY46" i="6"/>
  <c r="DX46" i="6"/>
  <c r="DW46" i="6"/>
  <c r="DO46" i="6"/>
  <c r="DN46" i="6"/>
  <c r="DM46" i="6"/>
  <c r="DL46" i="6"/>
  <c r="DK46" i="6"/>
  <c r="DJ46" i="6"/>
  <c r="DI46" i="6"/>
  <c r="DH46" i="6"/>
  <c r="DF46" i="6"/>
  <c r="DC46" i="6"/>
  <c r="DB46" i="6"/>
  <c r="CZ46" i="6"/>
  <c r="CY46" i="6"/>
  <c r="CX46" i="6"/>
  <c r="CW46" i="6"/>
  <c r="CV46" i="6"/>
  <c r="CU46" i="6"/>
  <c r="CT46" i="6"/>
  <c r="CS46" i="6"/>
  <c r="CR46" i="6"/>
  <c r="CQ46" i="6"/>
  <c r="CP46" i="6"/>
  <c r="CO46" i="6"/>
  <c r="CN46" i="6"/>
  <c r="CM46" i="6"/>
  <c r="CJ46" i="6"/>
  <c r="CI46" i="6"/>
  <c r="BU46" i="6"/>
  <c r="BS46" i="6"/>
  <c r="BP46" i="6"/>
  <c r="BN46" i="6"/>
  <c r="BM46" i="6"/>
  <c r="BL46" i="6"/>
  <c r="BK46" i="6"/>
  <c r="BJ46" i="6"/>
  <c r="BH46" i="6"/>
  <c r="BF46" i="6"/>
  <c r="BC46" i="6"/>
  <c r="BA46" i="6"/>
  <c r="AZ46" i="6"/>
  <c r="AY46" i="6"/>
  <c r="AR46" i="6"/>
  <c r="AQ46" i="6"/>
  <c r="AP46" i="6"/>
  <c r="R46" i="6"/>
  <c r="P46" i="6"/>
  <c r="O46" i="6"/>
  <c r="A46" i="6"/>
  <c r="HK45" i="6"/>
  <c r="GY45" i="6"/>
  <c r="GX45" i="6"/>
  <c r="GW45" i="6"/>
  <c r="GV45" i="6"/>
  <c r="GL45" i="6"/>
  <c r="GJ45" i="6"/>
  <c r="GI45" i="6"/>
  <c r="GH45" i="6"/>
  <c r="GA45" i="6"/>
  <c r="FZ45" i="6"/>
  <c r="FY45" i="6"/>
  <c r="FI45" i="6"/>
  <c r="FG45" i="6"/>
  <c r="FD45" i="6"/>
  <c r="FB45" i="6"/>
  <c r="FA45" i="6"/>
  <c r="EZ45" i="6"/>
  <c r="EY45" i="6"/>
  <c r="EX45" i="6"/>
  <c r="EV45" i="6"/>
  <c r="ET45" i="6"/>
  <c r="EO45" i="6"/>
  <c r="EN45" i="6"/>
  <c r="EM45" i="6"/>
  <c r="DY45" i="6"/>
  <c r="DX45" i="6"/>
  <c r="DW45" i="6"/>
  <c r="DO45" i="6"/>
  <c r="DN45" i="6"/>
  <c r="DM45" i="6"/>
  <c r="DL45" i="6"/>
  <c r="DK45" i="6"/>
  <c r="DJ45" i="6"/>
  <c r="DI45" i="6"/>
  <c r="DH45" i="6"/>
  <c r="DF45" i="6"/>
  <c r="DC45" i="6"/>
  <c r="DB45" i="6"/>
  <c r="CZ45" i="6"/>
  <c r="CY45" i="6"/>
  <c r="CX45" i="6"/>
  <c r="CW45" i="6"/>
  <c r="CV45" i="6"/>
  <c r="CU45" i="6"/>
  <c r="CT45" i="6"/>
  <c r="CS45" i="6"/>
  <c r="CR45" i="6"/>
  <c r="CQ45" i="6"/>
  <c r="CP45" i="6"/>
  <c r="CO45" i="6"/>
  <c r="CN45" i="6"/>
  <c r="CM45" i="6"/>
  <c r="CJ45" i="6"/>
  <c r="CI45" i="6"/>
  <c r="BU45" i="6"/>
  <c r="BS45" i="6"/>
  <c r="BP45" i="6"/>
  <c r="BN45" i="6"/>
  <c r="BM45" i="6"/>
  <c r="BL45" i="6"/>
  <c r="BK45" i="6"/>
  <c r="BJ45" i="6"/>
  <c r="BH45" i="6"/>
  <c r="BF45" i="6"/>
  <c r="BC45" i="6"/>
  <c r="BA45" i="6"/>
  <c r="AZ45" i="6"/>
  <c r="AY45" i="6"/>
  <c r="AR45" i="6"/>
  <c r="AQ45" i="6"/>
  <c r="AP45" i="6"/>
  <c r="R45" i="6"/>
  <c r="P45" i="6"/>
  <c r="O45" i="6"/>
  <c r="A45" i="6"/>
  <c r="HK44" i="6"/>
  <c r="GY44" i="6"/>
  <c r="GX44" i="6"/>
  <c r="GW44" i="6"/>
  <c r="GV44" i="6"/>
  <c r="GL44" i="6"/>
  <c r="GJ44" i="6"/>
  <c r="GI44" i="6"/>
  <c r="GH44" i="6"/>
  <c r="GA44" i="6"/>
  <c r="FZ44" i="6"/>
  <c r="FY44" i="6"/>
  <c r="FI44" i="6"/>
  <c r="FG44" i="6"/>
  <c r="FD44" i="6"/>
  <c r="FB44" i="6"/>
  <c r="FA44" i="6"/>
  <c r="EZ44" i="6"/>
  <c r="EY44" i="6"/>
  <c r="EX44" i="6"/>
  <c r="EV44" i="6"/>
  <c r="ET44" i="6"/>
  <c r="EO44" i="6"/>
  <c r="EN44" i="6"/>
  <c r="EM44" i="6"/>
  <c r="DY44" i="6"/>
  <c r="DX44" i="6"/>
  <c r="DW44" i="6"/>
  <c r="DO44" i="6"/>
  <c r="DN44" i="6"/>
  <c r="DM44" i="6"/>
  <c r="DL44" i="6"/>
  <c r="DK44" i="6"/>
  <c r="DJ44" i="6"/>
  <c r="DI44" i="6"/>
  <c r="DH44" i="6"/>
  <c r="DF44" i="6"/>
  <c r="DC44" i="6"/>
  <c r="DB44" i="6"/>
  <c r="DQ44" i="6" s="1"/>
  <c r="CZ44" i="6"/>
  <c r="CY44" i="6"/>
  <c r="CX44" i="6"/>
  <c r="CW44" i="6"/>
  <c r="CV44" i="6"/>
  <c r="CU44" i="6"/>
  <c r="CT44" i="6"/>
  <c r="CS44" i="6"/>
  <c r="CR44" i="6"/>
  <c r="CQ44" i="6"/>
  <c r="CP44" i="6"/>
  <c r="CO44" i="6"/>
  <c r="CN44" i="6"/>
  <c r="CM44" i="6"/>
  <c r="CJ44" i="6"/>
  <c r="CI44" i="6"/>
  <c r="BU44" i="6"/>
  <c r="BS44" i="6"/>
  <c r="BP44" i="6"/>
  <c r="BN44" i="6"/>
  <c r="BM44" i="6"/>
  <c r="BL44" i="6"/>
  <c r="BK44" i="6"/>
  <c r="BJ44" i="6"/>
  <c r="BH44" i="6"/>
  <c r="BF44" i="6"/>
  <c r="BC44" i="6"/>
  <c r="BA44" i="6"/>
  <c r="AZ44" i="6"/>
  <c r="AY44" i="6"/>
  <c r="AR44" i="6"/>
  <c r="AQ44" i="6"/>
  <c r="AP44" i="6"/>
  <c r="R44" i="6"/>
  <c r="P44" i="6"/>
  <c r="O44" i="6"/>
  <c r="A44" i="6"/>
  <c r="HK43" i="6"/>
  <c r="GY43" i="6"/>
  <c r="GX43" i="6"/>
  <c r="GW43" i="6"/>
  <c r="GV43" i="6"/>
  <c r="GL43" i="6"/>
  <c r="GJ43" i="6"/>
  <c r="GI43" i="6"/>
  <c r="GH43" i="6"/>
  <c r="GA43" i="6"/>
  <c r="FZ43" i="6"/>
  <c r="FY43" i="6"/>
  <c r="FI43" i="6"/>
  <c r="FG43" i="6"/>
  <c r="FD43" i="6"/>
  <c r="FB43" i="6"/>
  <c r="FA43" i="6"/>
  <c r="EZ43" i="6"/>
  <c r="EY43" i="6"/>
  <c r="EX43" i="6"/>
  <c r="EV43" i="6"/>
  <c r="ET43" i="6"/>
  <c r="EO43" i="6"/>
  <c r="EN43" i="6"/>
  <c r="EM43" i="6"/>
  <c r="DY43" i="6"/>
  <c r="DX43" i="6"/>
  <c r="DW43" i="6"/>
  <c r="DO43" i="6"/>
  <c r="DN43" i="6"/>
  <c r="DM43" i="6"/>
  <c r="DL43" i="6"/>
  <c r="DK43" i="6"/>
  <c r="DJ43" i="6"/>
  <c r="DI43" i="6"/>
  <c r="DH43" i="6"/>
  <c r="DF43" i="6"/>
  <c r="DC43" i="6"/>
  <c r="DB43" i="6"/>
  <c r="DQ43" i="6" s="1"/>
  <c r="CZ43" i="6"/>
  <c r="CY43" i="6"/>
  <c r="CX43" i="6"/>
  <c r="CW43" i="6"/>
  <c r="CV43" i="6"/>
  <c r="CU43" i="6"/>
  <c r="CT43" i="6"/>
  <c r="CS43" i="6"/>
  <c r="CR43" i="6"/>
  <c r="CQ43" i="6"/>
  <c r="CP43" i="6"/>
  <c r="CO43" i="6"/>
  <c r="CN43" i="6"/>
  <c r="CM43" i="6"/>
  <c r="CJ43" i="6"/>
  <c r="CI43" i="6"/>
  <c r="BU43" i="6"/>
  <c r="BS43" i="6"/>
  <c r="BP43" i="6"/>
  <c r="BN43" i="6"/>
  <c r="BM43" i="6"/>
  <c r="BL43" i="6"/>
  <c r="BK43" i="6"/>
  <c r="BJ43" i="6"/>
  <c r="BH43" i="6"/>
  <c r="BF43" i="6"/>
  <c r="BC43" i="6"/>
  <c r="BA43" i="6"/>
  <c r="AZ43" i="6"/>
  <c r="AY43" i="6"/>
  <c r="AR43" i="6"/>
  <c r="AQ43" i="6"/>
  <c r="AP43" i="6"/>
  <c r="R43" i="6"/>
  <c r="P43" i="6"/>
  <c r="O43" i="6"/>
  <c r="A43" i="6"/>
  <c r="HK42" i="6"/>
  <c r="GY42" i="6"/>
  <c r="GX42" i="6"/>
  <c r="GW42" i="6"/>
  <c r="GV42" i="6"/>
  <c r="GL42" i="6"/>
  <c r="GJ42" i="6"/>
  <c r="GI42" i="6"/>
  <c r="GH42" i="6"/>
  <c r="GA42" i="6"/>
  <c r="FZ42" i="6"/>
  <c r="FY42" i="6"/>
  <c r="FI42" i="6"/>
  <c r="FG42" i="6"/>
  <c r="FD42" i="6"/>
  <c r="FB42" i="6"/>
  <c r="FA42" i="6"/>
  <c r="EZ42" i="6"/>
  <c r="EY42" i="6"/>
  <c r="EX42" i="6"/>
  <c r="EV42" i="6"/>
  <c r="ET42" i="6"/>
  <c r="EO42" i="6"/>
  <c r="EN42" i="6"/>
  <c r="EM42" i="6"/>
  <c r="DY42" i="6"/>
  <c r="DX42" i="6"/>
  <c r="DW42" i="6"/>
  <c r="DO42" i="6"/>
  <c r="DN42" i="6"/>
  <c r="DM42" i="6"/>
  <c r="DL42" i="6"/>
  <c r="DK42" i="6"/>
  <c r="DJ42" i="6"/>
  <c r="DI42" i="6"/>
  <c r="DH42" i="6"/>
  <c r="DF42" i="6"/>
  <c r="DC42" i="6"/>
  <c r="DB42" i="6"/>
  <c r="DQ42" i="6" s="1"/>
  <c r="CZ42" i="6"/>
  <c r="CY42" i="6"/>
  <c r="CX42" i="6"/>
  <c r="CW42" i="6"/>
  <c r="CV42" i="6"/>
  <c r="CU42" i="6"/>
  <c r="CT42" i="6"/>
  <c r="CS42" i="6"/>
  <c r="CR42" i="6"/>
  <c r="CQ42" i="6"/>
  <c r="CP42" i="6"/>
  <c r="CO42" i="6"/>
  <c r="CN42" i="6"/>
  <c r="CM42" i="6"/>
  <c r="CJ42" i="6"/>
  <c r="CI42" i="6"/>
  <c r="BU42" i="6"/>
  <c r="BS42" i="6"/>
  <c r="BP42" i="6"/>
  <c r="BN42" i="6"/>
  <c r="BM42" i="6"/>
  <c r="BL42" i="6"/>
  <c r="BK42" i="6"/>
  <c r="BJ42" i="6"/>
  <c r="BH42" i="6"/>
  <c r="BF42" i="6"/>
  <c r="BC42" i="6"/>
  <c r="BA42" i="6"/>
  <c r="AZ42" i="6"/>
  <c r="AY42" i="6"/>
  <c r="AR42" i="6"/>
  <c r="AQ42" i="6"/>
  <c r="AP42" i="6"/>
  <c r="R42" i="6"/>
  <c r="P42" i="6"/>
  <c r="O42" i="6"/>
  <c r="A42" i="6"/>
  <c r="HK41" i="6"/>
  <c r="GY41" i="6"/>
  <c r="GX41" i="6"/>
  <c r="GW41" i="6"/>
  <c r="GV41" i="6"/>
  <c r="GL41" i="6"/>
  <c r="GJ41" i="6"/>
  <c r="GI41" i="6"/>
  <c r="GH41" i="6"/>
  <c r="GA41" i="6"/>
  <c r="FZ41" i="6"/>
  <c r="FY41" i="6"/>
  <c r="FG41" i="6"/>
  <c r="FD41" i="6"/>
  <c r="FB41" i="6"/>
  <c r="FA41" i="6"/>
  <c r="EZ41" i="6"/>
  <c r="EY41" i="6"/>
  <c r="EX41" i="6"/>
  <c r="EV41" i="6"/>
  <c r="ET41" i="6"/>
  <c r="EO41" i="6"/>
  <c r="EN41" i="6"/>
  <c r="EM41" i="6"/>
  <c r="DY41" i="6"/>
  <c r="DX41" i="6"/>
  <c r="DW41" i="6"/>
  <c r="DO41" i="6"/>
  <c r="DN41" i="6"/>
  <c r="DM41" i="6"/>
  <c r="DL41" i="6"/>
  <c r="DK41" i="6"/>
  <c r="DJ41" i="6"/>
  <c r="DI41" i="6"/>
  <c r="DH41" i="6"/>
  <c r="DF41" i="6"/>
  <c r="DC41" i="6"/>
  <c r="DB41" i="6"/>
  <c r="CZ41" i="6"/>
  <c r="CY41" i="6"/>
  <c r="CX41" i="6"/>
  <c r="CW41" i="6"/>
  <c r="CV41" i="6"/>
  <c r="CU41" i="6"/>
  <c r="CT41" i="6"/>
  <c r="CS41" i="6"/>
  <c r="CR41" i="6"/>
  <c r="CQ41" i="6"/>
  <c r="CP41" i="6"/>
  <c r="CO41" i="6"/>
  <c r="CN41" i="6"/>
  <c r="CM41" i="6"/>
  <c r="CJ41" i="6"/>
  <c r="CI41" i="6"/>
  <c r="BU41" i="6"/>
  <c r="BS41" i="6"/>
  <c r="BP41" i="6"/>
  <c r="BN41" i="6"/>
  <c r="BM41" i="6"/>
  <c r="BL41" i="6"/>
  <c r="BK41" i="6"/>
  <c r="BJ41" i="6"/>
  <c r="BH41" i="6"/>
  <c r="BF41" i="6"/>
  <c r="BC41" i="6"/>
  <c r="BA41" i="6"/>
  <c r="AZ41" i="6"/>
  <c r="AY41" i="6"/>
  <c r="AR41" i="6"/>
  <c r="AQ41" i="6"/>
  <c r="AP41" i="6"/>
  <c r="R41" i="6"/>
  <c r="P41" i="6"/>
  <c r="O41" i="6"/>
  <c r="A41" i="6"/>
  <c r="HK40" i="6"/>
  <c r="GY40" i="6"/>
  <c r="GX40" i="6"/>
  <c r="GW40" i="6"/>
  <c r="GV40" i="6"/>
  <c r="GL40" i="6"/>
  <c r="GJ40" i="6"/>
  <c r="GI40" i="6"/>
  <c r="GH40" i="6"/>
  <c r="GA40" i="6"/>
  <c r="FZ40" i="6"/>
  <c r="FY40" i="6"/>
  <c r="FG40" i="6"/>
  <c r="FD40" i="6"/>
  <c r="FB40" i="6"/>
  <c r="FA40" i="6"/>
  <c r="EZ40" i="6"/>
  <c r="EY40" i="6"/>
  <c r="EX40" i="6"/>
  <c r="EV40" i="6"/>
  <c r="ET40" i="6"/>
  <c r="EO40" i="6"/>
  <c r="EN40" i="6"/>
  <c r="EM40" i="6"/>
  <c r="DY40" i="6"/>
  <c r="DX40" i="6"/>
  <c r="DW40" i="6"/>
  <c r="DO40" i="6"/>
  <c r="DN40" i="6"/>
  <c r="DM40" i="6"/>
  <c r="DL40" i="6"/>
  <c r="DK40" i="6"/>
  <c r="DJ40" i="6"/>
  <c r="DI40" i="6"/>
  <c r="DH40" i="6"/>
  <c r="DF40" i="6"/>
  <c r="DC40" i="6"/>
  <c r="DB40" i="6"/>
  <c r="DQ40" i="6" s="1"/>
  <c r="CZ40" i="6"/>
  <c r="CY40" i="6"/>
  <c r="CX40" i="6"/>
  <c r="CW40" i="6"/>
  <c r="CV40" i="6"/>
  <c r="CU40" i="6"/>
  <c r="CT40" i="6"/>
  <c r="CS40" i="6"/>
  <c r="CR40" i="6"/>
  <c r="CQ40" i="6"/>
  <c r="CP40" i="6"/>
  <c r="CO40" i="6"/>
  <c r="CN40" i="6"/>
  <c r="CM40" i="6"/>
  <c r="CJ40" i="6"/>
  <c r="CI40" i="6"/>
  <c r="BU40" i="6"/>
  <c r="BS40" i="6"/>
  <c r="BP40" i="6"/>
  <c r="BN40" i="6"/>
  <c r="BM40" i="6"/>
  <c r="BL40" i="6"/>
  <c r="BK40" i="6"/>
  <c r="BJ40" i="6"/>
  <c r="BH40" i="6"/>
  <c r="BF40" i="6"/>
  <c r="BC40" i="6"/>
  <c r="BA40" i="6"/>
  <c r="AZ40" i="6"/>
  <c r="AY40" i="6"/>
  <c r="AR40" i="6"/>
  <c r="AQ40" i="6"/>
  <c r="AP40" i="6"/>
  <c r="R40" i="6"/>
  <c r="P40" i="6"/>
  <c r="O40" i="6"/>
  <c r="A40" i="6"/>
  <c r="HK39" i="6"/>
  <c r="GY39" i="6"/>
  <c r="GX39" i="6"/>
  <c r="GW39" i="6"/>
  <c r="GV39" i="6"/>
  <c r="GL39" i="6"/>
  <c r="GJ39" i="6"/>
  <c r="GI39" i="6"/>
  <c r="GH39" i="6"/>
  <c r="GA39" i="6"/>
  <c r="FZ39" i="6"/>
  <c r="FY39" i="6"/>
  <c r="FG39" i="6"/>
  <c r="FD39" i="6"/>
  <c r="FB39" i="6"/>
  <c r="FA39" i="6"/>
  <c r="EZ39" i="6"/>
  <c r="EY39" i="6"/>
  <c r="EX39" i="6"/>
  <c r="EV39" i="6"/>
  <c r="ET39" i="6"/>
  <c r="EO39" i="6"/>
  <c r="EN39" i="6"/>
  <c r="EM39" i="6"/>
  <c r="DY39" i="6"/>
  <c r="DX39" i="6"/>
  <c r="DW39" i="6"/>
  <c r="DO39" i="6"/>
  <c r="DN39" i="6"/>
  <c r="DM39" i="6"/>
  <c r="DL39" i="6"/>
  <c r="DK39" i="6"/>
  <c r="DJ39" i="6"/>
  <c r="DI39" i="6"/>
  <c r="DH39" i="6"/>
  <c r="DF39" i="6"/>
  <c r="DC39" i="6"/>
  <c r="DB39" i="6"/>
  <c r="DQ39" i="6" s="1"/>
  <c r="CZ39" i="6"/>
  <c r="CY39" i="6"/>
  <c r="CX39" i="6"/>
  <c r="CW39" i="6"/>
  <c r="CV39" i="6"/>
  <c r="CU39" i="6"/>
  <c r="CT39" i="6"/>
  <c r="CS39" i="6"/>
  <c r="CR39" i="6"/>
  <c r="CQ39" i="6"/>
  <c r="CP39" i="6"/>
  <c r="CO39" i="6"/>
  <c r="CN39" i="6"/>
  <c r="CM39" i="6"/>
  <c r="CJ39" i="6"/>
  <c r="CI39" i="6"/>
  <c r="BU39" i="6"/>
  <c r="BS39" i="6"/>
  <c r="BP39" i="6"/>
  <c r="BN39" i="6"/>
  <c r="BM39" i="6"/>
  <c r="BL39" i="6"/>
  <c r="BK39" i="6"/>
  <c r="BJ39" i="6"/>
  <c r="BH39" i="6"/>
  <c r="BF39" i="6"/>
  <c r="BC39" i="6"/>
  <c r="BA39" i="6"/>
  <c r="AZ39" i="6"/>
  <c r="AY39" i="6"/>
  <c r="AR39" i="6"/>
  <c r="AQ39" i="6"/>
  <c r="AP39" i="6"/>
  <c r="R39" i="6"/>
  <c r="P39" i="6"/>
  <c r="O39" i="6"/>
  <c r="A39" i="6"/>
  <c r="HK38" i="6"/>
  <c r="GY38" i="6"/>
  <c r="GX38" i="6"/>
  <c r="GW38" i="6"/>
  <c r="GV38" i="6"/>
  <c r="GL38" i="6"/>
  <c r="GJ38" i="6"/>
  <c r="GI38" i="6"/>
  <c r="GH38" i="6"/>
  <c r="GA38" i="6"/>
  <c r="FZ38" i="6"/>
  <c r="FY38" i="6"/>
  <c r="FG38" i="6"/>
  <c r="FD38" i="6"/>
  <c r="FB38" i="6"/>
  <c r="FA38" i="6"/>
  <c r="EZ38" i="6"/>
  <c r="EY38" i="6"/>
  <c r="EX38" i="6"/>
  <c r="EV38" i="6"/>
  <c r="ET38" i="6"/>
  <c r="EO38" i="6"/>
  <c r="EM38" i="6"/>
  <c r="DY38" i="6"/>
  <c r="DZ38" i="6" s="1"/>
  <c r="DX38" i="6"/>
  <c r="DW38" i="6"/>
  <c r="DO38" i="6"/>
  <c r="DN38" i="6"/>
  <c r="DM38" i="6"/>
  <c r="DL38" i="6"/>
  <c r="DK38" i="6"/>
  <c r="DJ38" i="6"/>
  <c r="DI38" i="6"/>
  <c r="DH38" i="6"/>
  <c r="DF38" i="6"/>
  <c r="DC38" i="6"/>
  <c r="DB38" i="6"/>
  <c r="DQ38" i="6" s="1"/>
  <c r="CZ38" i="6"/>
  <c r="CY38" i="6"/>
  <c r="CX38" i="6"/>
  <c r="CW38" i="6"/>
  <c r="CV38" i="6"/>
  <c r="CU38" i="6"/>
  <c r="CT38" i="6"/>
  <c r="CS38" i="6"/>
  <c r="CR38" i="6"/>
  <c r="CQ38" i="6"/>
  <c r="CP38" i="6"/>
  <c r="CO38" i="6"/>
  <c r="CN38" i="6"/>
  <c r="CM38" i="6"/>
  <c r="CJ38" i="6"/>
  <c r="CI38" i="6"/>
  <c r="BU38" i="6"/>
  <c r="BS38" i="6"/>
  <c r="BP38" i="6"/>
  <c r="BN38" i="6"/>
  <c r="BM38" i="6"/>
  <c r="BL38" i="6"/>
  <c r="BK38" i="6"/>
  <c r="BJ38" i="6"/>
  <c r="BH38" i="6"/>
  <c r="BF38" i="6"/>
  <c r="BC38" i="6"/>
  <c r="BA38" i="6"/>
  <c r="AZ38" i="6"/>
  <c r="AY38" i="6"/>
  <c r="AR38" i="6"/>
  <c r="AQ38" i="6"/>
  <c r="AP38" i="6"/>
  <c r="R38" i="6"/>
  <c r="P38" i="6"/>
  <c r="O38" i="6"/>
  <c r="A38" i="6"/>
  <c r="HK37" i="6"/>
  <c r="GY37" i="6"/>
  <c r="GX37" i="6"/>
  <c r="GW37" i="6"/>
  <c r="GV37" i="6"/>
  <c r="GR37" i="6"/>
  <c r="GL37" i="6"/>
  <c r="GJ37" i="6"/>
  <c r="GI37" i="6"/>
  <c r="GH37" i="6"/>
  <c r="GA37" i="6"/>
  <c r="FZ37" i="6"/>
  <c r="FY37" i="6"/>
  <c r="FG37" i="6"/>
  <c r="FD37" i="6"/>
  <c r="FB37" i="6"/>
  <c r="FA37" i="6"/>
  <c r="EZ37" i="6"/>
  <c r="EY37" i="6"/>
  <c r="EX37" i="6"/>
  <c r="EV37" i="6"/>
  <c r="ET37" i="6"/>
  <c r="EO37" i="6"/>
  <c r="EM37" i="6"/>
  <c r="DY37" i="6"/>
  <c r="DX37" i="6"/>
  <c r="DW37" i="6"/>
  <c r="DO37" i="6"/>
  <c r="DN37" i="6"/>
  <c r="DM37" i="6"/>
  <c r="DL37" i="6"/>
  <c r="DK37" i="6"/>
  <c r="DJ37" i="6"/>
  <c r="DI37" i="6"/>
  <c r="DH37" i="6"/>
  <c r="DF37" i="6"/>
  <c r="DC37" i="6"/>
  <c r="DB37" i="6"/>
  <c r="DQ37" i="6" s="1"/>
  <c r="CZ37" i="6"/>
  <c r="CY37" i="6"/>
  <c r="CX37" i="6"/>
  <c r="CW37" i="6"/>
  <c r="CV37" i="6"/>
  <c r="CU37" i="6"/>
  <c r="CT37" i="6"/>
  <c r="CS37" i="6"/>
  <c r="CR37" i="6"/>
  <c r="CQ37" i="6"/>
  <c r="CP37" i="6"/>
  <c r="CO37" i="6"/>
  <c r="CN37" i="6"/>
  <c r="CM37" i="6"/>
  <c r="BU37" i="6"/>
  <c r="BS37" i="6"/>
  <c r="BP37" i="6"/>
  <c r="BN37" i="6"/>
  <c r="BM37" i="6"/>
  <c r="BL37" i="6"/>
  <c r="BK37" i="6"/>
  <c r="BJ37" i="6"/>
  <c r="BH37" i="6"/>
  <c r="BF37" i="6"/>
  <c r="BC37" i="6"/>
  <c r="BA37" i="6"/>
  <c r="AZ37" i="6"/>
  <c r="AY37" i="6"/>
  <c r="AR37" i="6"/>
  <c r="AQ37" i="6"/>
  <c r="AP37" i="6"/>
  <c r="T37" i="6"/>
  <c r="R37" i="6"/>
  <c r="P37" i="6"/>
  <c r="O37" i="6"/>
  <c r="A37" i="6"/>
  <c r="HK36" i="6"/>
  <c r="GY36" i="6"/>
  <c r="GX36" i="6"/>
  <c r="GW36" i="6"/>
  <c r="GV36" i="6"/>
  <c r="GL36" i="6"/>
  <c r="GJ36" i="6"/>
  <c r="GI36" i="6"/>
  <c r="GH36" i="6"/>
  <c r="GA36" i="6"/>
  <c r="FZ36" i="6"/>
  <c r="FY36" i="6"/>
  <c r="FH36" i="6"/>
  <c r="FG36" i="6"/>
  <c r="FD36" i="6"/>
  <c r="FB36" i="6"/>
  <c r="FA36" i="6"/>
  <c r="EZ36" i="6"/>
  <c r="EY36" i="6"/>
  <c r="EX36" i="6"/>
  <c r="EW36" i="6"/>
  <c r="EV36" i="6"/>
  <c r="EU36" i="6"/>
  <c r="ET36" i="6"/>
  <c r="ES36" i="6"/>
  <c r="EQ36" i="6"/>
  <c r="EP36" i="6"/>
  <c r="EO36" i="6"/>
  <c r="EN36" i="6"/>
  <c r="EM36" i="6"/>
  <c r="EL36" i="6"/>
  <c r="DY36" i="6"/>
  <c r="DM36" i="6"/>
  <c r="DL36" i="6"/>
  <c r="DK36" i="6"/>
  <c r="DJ36" i="6"/>
  <c r="CZ36" i="6"/>
  <c r="CX36" i="6"/>
  <c r="CW36" i="6"/>
  <c r="CV36" i="6"/>
  <c r="CO36" i="6"/>
  <c r="CN36" i="6"/>
  <c r="CM36" i="6"/>
  <c r="BU36" i="6"/>
  <c r="BS36" i="6"/>
  <c r="BP36" i="6"/>
  <c r="BN36" i="6"/>
  <c r="BM36" i="6"/>
  <c r="BL36" i="6"/>
  <c r="BK36" i="6"/>
  <c r="BJ36" i="6"/>
  <c r="BH36" i="6"/>
  <c r="BF36" i="6"/>
  <c r="BC36" i="6"/>
  <c r="BA36" i="6"/>
  <c r="AZ36" i="6"/>
  <c r="AY36" i="6"/>
  <c r="AR36" i="6"/>
  <c r="AQ36" i="6"/>
  <c r="AP36" i="6"/>
  <c r="R36" i="6"/>
  <c r="P36" i="6"/>
  <c r="O36" i="6"/>
  <c r="A36" i="6"/>
  <c r="HK35" i="6"/>
  <c r="GY35" i="6"/>
  <c r="GX35" i="6"/>
  <c r="GW35" i="6"/>
  <c r="GV35" i="6"/>
  <c r="GL35" i="6"/>
  <c r="GJ35" i="6"/>
  <c r="GI35" i="6"/>
  <c r="GH35" i="6"/>
  <c r="GA35" i="6"/>
  <c r="FZ35" i="6"/>
  <c r="FY35" i="6"/>
  <c r="FH35" i="6"/>
  <c r="FG35" i="6"/>
  <c r="FD35" i="6"/>
  <c r="FB35" i="6"/>
  <c r="FA35" i="6"/>
  <c r="EZ35" i="6"/>
  <c r="EY35" i="6"/>
  <c r="EX35" i="6"/>
  <c r="EW35" i="6"/>
  <c r="EV35" i="6"/>
  <c r="EU35" i="6"/>
  <c r="ET35" i="6"/>
  <c r="ES35" i="6"/>
  <c r="EQ35" i="6"/>
  <c r="EP35" i="6"/>
  <c r="EO35" i="6"/>
  <c r="EN35" i="6"/>
  <c r="EM35" i="6"/>
  <c r="EL35" i="6"/>
  <c r="DY35" i="6"/>
  <c r="DM35" i="6"/>
  <c r="DL35" i="6"/>
  <c r="DK35" i="6"/>
  <c r="DJ35" i="6"/>
  <c r="CZ35" i="6"/>
  <c r="CX35" i="6"/>
  <c r="CW35" i="6"/>
  <c r="CV35" i="6"/>
  <c r="CO35" i="6"/>
  <c r="CN35" i="6"/>
  <c r="CM35" i="6"/>
  <c r="BU35" i="6"/>
  <c r="BS35" i="6"/>
  <c r="BP35" i="6"/>
  <c r="BN35" i="6"/>
  <c r="BM35" i="6"/>
  <c r="BL35" i="6"/>
  <c r="BK35" i="6"/>
  <c r="BJ35" i="6"/>
  <c r="BH35" i="6"/>
  <c r="BF35" i="6"/>
  <c r="BC35" i="6"/>
  <c r="BA35" i="6"/>
  <c r="AZ35" i="6"/>
  <c r="AY35" i="6"/>
  <c r="AR35" i="6"/>
  <c r="AQ35" i="6"/>
  <c r="AP35" i="6"/>
  <c r="R35" i="6"/>
  <c r="P35" i="6"/>
  <c r="O35" i="6"/>
  <c r="A35" i="6"/>
  <c r="HK34" i="6"/>
  <c r="GY34" i="6"/>
  <c r="GX34" i="6"/>
  <c r="GW34" i="6"/>
  <c r="GV34" i="6"/>
  <c r="GL34" i="6"/>
  <c r="GJ34" i="6"/>
  <c r="GI34" i="6"/>
  <c r="GH34" i="6"/>
  <c r="GA34" i="6"/>
  <c r="FZ34" i="6"/>
  <c r="FY34" i="6"/>
  <c r="FH34" i="6"/>
  <c r="FG34" i="6"/>
  <c r="FD34" i="6"/>
  <c r="FB34" i="6"/>
  <c r="FA34" i="6"/>
  <c r="EZ34" i="6"/>
  <c r="EY34" i="6"/>
  <c r="EX34" i="6"/>
  <c r="EW34" i="6"/>
  <c r="EV34" i="6"/>
  <c r="EU34" i="6"/>
  <c r="ET34" i="6"/>
  <c r="ES34" i="6"/>
  <c r="EQ34" i="6"/>
  <c r="EP34" i="6"/>
  <c r="EO34" i="6"/>
  <c r="EN34" i="6"/>
  <c r="EM34" i="6"/>
  <c r="EL34" i="6"/>
  <c r="DY34" i="6"/>
  <c r="DM34" i="6"/>
  <c r="DL34" i="6"/>
  <c r="DK34" i="6"/>
  <c r="DJ34" i="6"/>
  <c r="CZ34" i="6"/>
  <c r="CX34" i="6"/>
  <c r="CW34" i="6"/>
  <c r="CV34" i="6"/>
  <c r="CO34" i="6"/>
  <c r="CN34" i="6"/>
  <c r="CM34" i="6"/>
  <c r="BU34" i="6"/>
  <c r="BS34" i="6"/>
  <c r="BP34" i="6"/>
  <c r="BN34" i="6"/>
  <c r="BM34" i="6"/>
  <c r="BL34" i="6"/>
  <c r="BK34" i="6"/>
  <c r="BJ34" i="6"/>
  <c r="BH34" i="6"/>
  <c r="BF34" i="6"/>
  <c r="BC34" i="6"/>
  <c r="BA34" i="6"/>
  <c r="AZ34" i="6"/>
  <c r="AY34" i="6"/>
  <c r="AR34" i="6"/>
  <c r="AQ34" i="6"/>
  <c r="AP34" i="6"/>
  <c r="R34" i="6"/>
  <c r="P34" i="6"/>
  <c r="O34" i="6"/>
  <c r="A34" i="6"/>
  <c r="HK33" i="6"/>
  <c r="GY33" i="6"/>
  <c r="GX33" i="6"/>
  <c r="GW33" i="6"/>
  <c r="GV33" i="6"/>
  <c r="GL33" i="6"/>
  <c r="GJ33" i="6"/>
  <c r="GI33" i="6"/>
  <c r="GH33" i="6"/>
  <c r="GA33" i="6"/>
  <c r="FZ33" i="6"/>
  <c r="FY33" i="6"/>
  <c r="FH33" i="6"/>
  <c r="FG33" i="6"/>
  <c r="FD33" i="6"/>
  <c r="FB33" i="6"/>
  <c r="FA33" i="6"/>
  <c r="EZ33" i="6"/>
  <c r="EY33" i="6"/>
  <c r="EX33" i="6"/>
  <c r="EW33" i="6"/>
  <c r="EV33" i="6"/>
  <c r="EU33" i="6"/>
  <c r="ET33" i="6"/>
  <c r="ES33" i="6"/>
  <c r="EQ33" i="6"/>
  <c r="EP33" i="6"/>
  <c r="EO33" i="6"/>
  <c r="EN33" i="6"/>
  <c r="EM33" i="6"/>
  <c r="EL33" i="6"/>
  <c r="DY33" i="6"/>
  <c r="DM33" i="6"/>
  <c r="DL33" i="6"/>
  <c r="DK33" i="6"/>
  <c r="DJ33" i="6"/>
  <c r="CZ33" i="6"/>
  <c r="CX33" i="6"/>
  <c r="CW33" i="6"/>
  <c r="CV33" i="6"/>
  <c r="CO33" i="6"/>
  <c r="CN33" i="6"/>
  <c r="CM33" i="6"/>
  <c r="BU33" i="6"/>
  <c r="BS33" i="6"/>
  <c r="BP33" i="6"/>
  <c r="BN33" i="6"/>
  <c r="BM33" i="6"/>
  <c r="BL33" i="6"/>
  <c r="BK33" i="6"/>
  <c r="BJ33" i="6"/>
  <c r="BH33" i="6"/>
  <c r="BF33" i="6"/>
  <c r="BC33" i="6"/>
  <c r="BA33" i="6"/>
  <c r="AZ33" i="6"/>
  <c r="AY33" i="6"/>
  <c r="AR33" i="6"/>
  <c r="AQ33" i="6"/>
  <c r="AP33" i="6"/>
  <c r="R33" i="6"/>
  <c r="P33" i="6"/>
  <c r="O33" i="6"/>
  <c r="A33" i="6"/>
  <c r="HK32" i="6"/>
  <c r="GY32" i="6"/>
  <c r="GX32" i="6"/>
  <c r="GW32" i="6"/>
  <c r="GV32" i="6"/>
  <c r="GL32" i="6"/>
  <c r="GJ32" i="6"/>
  <c r="GI32" i="6"/>
  <c r="GH32" i="6"/>
  <c r="GA32" i="6"/>
  <c r="FZ32" i="6"/>
  <c r="FY32" i="6"/>
  <c r="FH32" i="6"/>
  <c r="FG32" i="6"/>
  <c r="FD32" i="6"/>
  <c r="FB32" i="6"/>
  <c r="FA32" i="6"/>
  <c r="EZ32" i="6"/>
  <c r="EY32" i="6"/>
  <c r="EX32" i="6"/>
  <c r="EW32" i="6"/>
  <c r="EV32" i="6"/>
  <c r="EU32" i="6"/>
  <c r="ET32" i="6"/>
  <c r="ES32" i="6"/>
  <c r="EQ32" i="6"/>
  <c r="EP32" i="6"/>
  <c r="EO32" i="6"/>
  <c r="EN32" i="6"/>
  <c r="EM32" i="6"/>
  <c r="EL32" i="6"/>
  <c r="DY32" i="6"/>
  <c r="DM32" i="6"/>
  <c r="DL32" i="6"/>
  <c r="DK32" i="6"/>
  <c r="DJ32" i="6"/>
  <c r="CZ32" i="6"/>
  <c r="CX32" i="6"/>
  <c r="CW32" i="6"/>
  <c r="CV32" i="6"/>
  <c r="CO32" i="6"/>
  <c r="CN32" i="6"/>
  <c r="CM32" i="6"/>
  <c r="BU32" i="6"/>
  <c r="BS32" i="6"/>
  <c r="BP32" i="6"/>
  <c r="BN32" i="6"/>
  <c r="BM32" i="6"/>
  <c r="BL32" i="6"/>
  <c r="BK32" i="6"/>
  <c r="BJ32" i="6"/>
  <c r="BH32" i="6"/>
  <c r="BF32" i="6"/>
  <c r="BC32" i="6"/>
  <c r="BA32" i="6"/>
  <c r="AZ32" i="6"/>
  <c r="AY32" i="6"/>
  <c r="AR32" i="6"/>
  <c r="AQ32" i="6"/>
  <c r="AP32" i="6"/>
  <c r="R32" i="6"/>
  <c r="P32" i="6"/>
  <c r="O32" i="6"/>
  <c r="A32" i="6"/>
  <c r="HK31" i="6"/>
  <c r="GY31" i="6"/>
  <c r="GX31" i="6"/>
  <c r="GW31" i="6"/>
  <c r="GV31" i="6"/>
  <c r="GL31" i="6"/>
  <c r="GJ31" i="6"/>
  <c r="GI31" i="6"/>
  <c r="GH31" i="6"/>
  <c r="GA31" i="6"/>
  <c r="FZ31" i="6"/>
  <c r="FY31" i="6"/>
  <c r="FH31" i="6"/>
  <c r="FG31" i="6"/>
  <c r="FD31" i="6"/>
  <c r="FB31" i="6"/>
  <c r="FA31" i="6"/>
  <c r="EZ31" i="6"/>
  <c r="EY31" i="6"/>
  <c r="EX31" i="6"/>
  <c r="EW31" i="6"/>
  <c r="EV31" i="6"/>
  <c r="EU31" i="6"/>
  <c r="ET31" i="6"/>
  <c r="ES31" i="6"/>
  <c r="EQ31" i="6"/>
  <c r="EP31" i="6"/>
  <c r="EO31" i="6"/>
  <c r="EN31" i="6"/>
  <c r="EM31" i="6"/>
  <c r="EL31" i="6"/>
  <c r="DY31" i="6"/>
  <c r="DM31" i="6"/>
  <c r="DL31" i="6"/>
  <c r="DK31" i="6"/>
  <c r="DJ31" i="6"/>
  <c r="CZ31" i="6"/>
  <c r="CX31" i="6"/>
  <c r="CW31" i="6"/>
  <c r="CV31" i="6"/>
  <c r="CO31" i="6"/>
  <c r="CN31" i="6"/>
  <c r="CM31" i="6"/>
  <c r="BU31" i="6"/>
  <c r="BS31" i="6"/>
  <c r="BP31" i="6"/>
  <c r="BN31" i="6"/>
  <c r="BM31" i="6"/>
  <c r="BL31" i="6"/>
  <c r="BK31" i="6"/>
  <c r="BJ31" i="6"/>
  <c r="BH31" i="6"/>
  <c r="BF31" i="6"/>
  <c r="BA31" i="6"/>
  <c r="AZ31" i="6"/>
  <c r="AY31" i="6"/>
  <c r="AR31" i="6"/>
  <c r="AQ31" i="6"/>
  <c r="AP31" i="6"/>
  <c r="R31" i="6"/>
  <c r="P31" i="6"/>
  <c r="O31" i="6"/>
  <c r="A31" i="6"/>
  <c r="HK30" i="6"/>
  <c r="GY30" i="6"/>
  <c r="GX30" i="6"/>
  <c r="GW30" i="6"/>
  <c r="GV30" i="6"/>
  <c r="GL30" i="6"/>
  <c r="GJ30" i="6"/>
  <c r="GI30" i="6"/>
  <c r="GH30" i="6"/>
  <c r="GA30" i="6"/>
  <c r="FZ30" i="6"/>
  <c r="FY30" i="6"/>
  <c r="FH30" i="6"/>
  <c r="FG30" i="6"/>
  <c r="FD30" i="6"/>
  <c r="FB30" i="6"/>
  <c r="FA30" i="6"/>
  <c r="EZ30" i="6"/>
  <c r="EY30" i="6"/>
  <c r="EX30" i="6"/>
  <c r="EW30" i="6"/>
  <c r="EV30" i="6"/>
  <c r="EU30" i="6"/>
  <c r="ET30" i="6"/>
  <c r="ES30" i="6"/>
  <c r="EQ30" i="6"/>
  <c r="EP30" i="6"/>
  <c r="EO30" i="6"/>
  <c r="EN30" i="6"/>
  <c r="EM30" i="6"/>
  <c r="EL30" i="6"/>
  <c r="DY30" i="6"/>
  <c r="DM30" i="6"/>
  <c r="DL30" i="6"/>
  <c r="DK30" i="6"/>
  <c r="DJ30" i="6"/>
  <c r="CZ30" i="6"/>
  <c r="CX30" i="6"/>
  <c r="CW30" i="6"/>
  <c r="CV30" i="6"/>
  <c r="CO30" i="6"/>
  <c r="CN30" i="6"/>
  <c r="CM30" i="6"/>
  <c r="BU30" i="6"/>
  <c r="BS30" i="6"/>
  <c r="BP30" i="6"/>
  <c r="BN30" i="6"/>
  <c r="BM30" i="6"/>
  <c r="BL30" i="6"/>
  <c r="BK30" i="6"/>
  <c r="BJ30" i="6"/>
  <c r="BH30" i="6"/>
  <c r="BF30" i="6"/>
  <c r="BA30" i="6"/>
  <c r="AZ30" i="6"/>
  <c r="AY30" i="6"/>
  <c r="AR30" i="6"/>
  <c r="AQ30" i="6"/>
  <c r="AP30" i="6"/>
  <c r="R30" i="6"/>
  <c r="P30" i="6"/>
  <c r="O30" i="6"/>
  <c r="A30" i="6"/>
  <c r="HK29" i="6"/>
  <c r="GY29" i="6"/>
  <c r="GX29" i="6"/>
  <c r="GW29" i="6"/>
  <c r="GV29" i="6"/>
  <c r="GL29" i="6"/>
  <c r="GJ29" i="6"/>
  <c r="GI29" i="6"/>
  <c r="GH29" i="6"/>
  <c r="GA29" i="6"/>
  <c r="FZ29" i="6"/>
  <c r="FY29" i="6"/>
  <c r="FH29" i="6"/>
  <c r="FG29" i="6"/>
  <c r="FD29" i="6"/>
  <c r="FB29" i="6"/>
  <c r="FA29" i="6"/>
  <c r="EZ29" i="6"/>
  <c r="EY29" i="6"/>
  <c r="EX29" i="6"/>
  <c r="EW29" i="6"/>
  <c r="EV29" i="6"/>
  <c r="EU29" i="6"/>
  <c r="ET29" i="6"/>
  <c r="ES29" i="6"/>
  <c r="EQ29" i="6"/>
  <c r="EP29" i="6"/>
  <c r="EO29" i="6"/>
  <c r="EN29" i="6"/>
  <c r="EM29" i="6"/>
  <c r="EL29" i="6"/>
  <c r="DY29" i="6"/>
  <c r="DM29" i="6"/>
  <c r="DL29" i="6"/>
  <c r="DK29" i="6"/>
  <c r="DJ29" i="6"/>
  <c r="CZ29" i="6"/>
  <c r="CX29" i="6"/>
  <c r="CW29" i="6"/>
  <c r="CV29" i="6"/>
  <c r="CO29" i="6"/>
  <c r="CN29" i="6"/>
  <c r="CM29" i="6"/>
  <c r="BU29" i="6"/>
  <c r="BS29" i="6"/>
  <c r="BP29" i="6"/>
  <c r="BN29" i="6"/>
  <c r="BM29" i="6"/>
  <c r="BL29" i="6"/>
  <c r="BK29" i="6"/>
  <c r="BJ29" i="6"/>
  <c r="BH29" i="6"/>
  <c r="BF29" i="6"/>
  <c r="BA29" i="6"/>
  <c r="AZ29" i="6"/>
  <c r="AY29" i="6"/>
  <c r="AR29" i="6"/>
  <c r="AQ29" i="6"/>
  <c r="AP29" i="6"/>
  <c r="R29" i="6"/>
  <c r="O29" i="6"/>
  <c r="A29" i="6"/>
  <c r="HK28" i="6"/>
  <c r="GY28" i="6"/>
  <c r="GX28" i="6"/>
  <c r="GW28" i="6"/>
  <c r="GV28" i="6"/>
  <c r="GL28" i="6"/>
  <c r="GJ28" i="6"/>
  <c r="GI28" i="6"/>
  <c r="GH28" i="6"/>
  <c r="GA28" i="6"/>
  <c r="FZ28" i="6"/>
  <c r="FY28" i="6"/>
  <c r="FH28" i="6"/>
  <c r="FG28" i="6"/>
  <c r="FD28" i="6"/>
  <c r="FB28" i="6"/>
  <c r="FA28" i="6"/>
  <c r="EZ28" i="6"/>
  <c r="EY28" i="6"/>
  <c r="EX28" i="6"/>
  <c r="EW28" i="6"/>
  <c r="EV28" i="6"/>
  <c r="EU28" i="6"/>
  <c r="ET28" i="6"/>
  <c r="ES28" i="6"/>
  <c r="EQ28" i="6"/>
  <c r="EP28" i="6"/>
  <c r="EO28" i="6"/>
  <c r="EN28" i="6"/>
  <c r="EM28" i="6"/>
  <c r="EL28" i="6"/>
  <c r="DY28" i="6"/>
  <c r="DM28" i="6"/>
  <c r="DL28" i="6"/>
  <c r="DK28" i="6"/>
  <c r="DJ28" i="6"/>
  <c r="CZ28" i="6"/>
  <c r="CX28" i="6"/>
  <c r="CW28" i="6"/>
  <c r="CV28" i="6"/>
  <c r="CO28" i="6"/>
  <c r="CN28" i="6"/>
  <c r="CM28" i="6"/>
  <c r="BU28" i="6"/>
  <c r="BS28" i="6"/>
  <c r="BP28" i="6"/>
  <c r="BN28" i="6"/>
  <c r="BM28" i="6"/>
  <c r="BL28" i="6"/>
  <c r="BK28" i="6"/>
  <c r="BJ28" i="6"/>
  <c r="BH28" i="6"/>
  <c r="BF28" i="6"/>
  <c r="BA28" i="6"/>
  <c r="AZ28" i="6"/>
  <c r="AY28" i="6"/>
  <c r="AR28" i="6"/>
  <c r="AQ28" i="6"/>
  <c r="AP28" i="6"/>
  <c r="R28" i="6"/>
  <c r="O28" i="6"/>
  <c r="A28" i="6"/>
  <c r="HK27" i="6"/>
  <c r="GY27" i="6"/>
  <c r="GX27" i="6"/>
  <c r="GW27" i="6"/>
  <c r="GV27" i="6"/>
  <c r="GL27" i="6"/>
  <c r="GJ27" i="6"/>
  <c r="GI27" i="6"/>
  <c r="GH27" i="6"/>
  <c r="GA27" i="6"/>
  <c r="FZ27" i="6"/>
  <c r="FY27" i="6"/>
  <c r="FH27" i="6"/>
  <c r="FG27" i="6"/>
  <c r="FD27" i="6"/>
  <c r="FB27" i="6"/>
  <c r="FA27" i="6"/>
  <c r="EZ27" i="6"/>
  <c r="EY27" i="6"/>
  <c r="EX27" i="6"/>
  <c r="EW27" i="6"/>
  <c r="EV27" i="6"/>
  <c r="EU27" i="6"/>
  <c r="ET27" i="6"/>
  <c r="ES27" i="6"/>
  <c r="EQ27" i="6"/>
  <c r="EP27" i="6"/>
  <c r="EO27" i="6"/>
  <c r="EN27" i="6"/>
  <c r="EM27" i="6"/>
  <c r="EL27" i="6"/>
  <c r="DY27" i="6"/>
  <c r="DM27" i="6"/>
  <c r="DL27" i="6"/>
  <c r="DK27" i="6"/>
  <c r="DJ27" i="6"/>
  <c r="CZ27" i="6"/>
  <c r="CX27" i="6"/>
  <c r="CW27" i="6"/>
  <c r="CV27" i="6"/>
  <c r="CO27" i="6"/>
  <c r="CN27" i="6"/>
  <c r="CM27" i="6"/>
  <c r="BU27" i="6"/>
  <c r="BS27" i="6"/>
  <c r="BP27" i="6"/>
  <c r="BN27" i="6"/>
  <c r="BM27" i="6"/>
  <c r="BL27" i="6"/>
  <c r="BK27" i="6"/>
  <c r="BJ27" i="6"/>
  <c r="BH27" i="6"/>
  <c r="BF27" i="6"/>
  <c r="BA27" i="6"/>
  <c r="AZ27" i="6"/>
  <c r="AY27" i="6"/>
  <c r="AR27" i="6"/>
  <c r="AQ27" i="6"/>
  <c r="AP27" i="6"/>
  <c r="R27" i="6"/>
  <c r="O27" i="6"/>
  <c r="A27" i="6"/>
  <c r="HK26" i="6"/>
  <c r="GY26" i="6"/>
  <c r="GX26" i="6"/>
  <c r="GW26" i="6"/>
  <c r="GV26" i="6"/>
  <c r="GL26" i="6"/>
  <c r="GJ26" i="6"/>
  <c r="GI26" i="6"/>
  <c r="GH26" i="6"/>
  <c r="GA26" i="6"/>
  <c r="FZ26" i="6"/>
  <c r="FY26" i="6"/>
  <c r="FH26" i="6"/>
  <c r="FG26" i="6"/>
  <c r="FD26" i="6"/>
  <c r="FB26" i="6"/>
  <c r="FA26" i="6"/>
  <c r="EZ26" i="6"/>
  <c r="EY26" i="6"/>
  <c r="EX26" i="6"/>
  <c r="EW26" i="6"/>
  <c r="EV26" i="6"/>
  <c r="EU26" i="6"/>
  <c r="ET26" i="6"/>
  <c r="ES26" i="6"/>
  <c r="EQ26" i="6"/>
  <c r="EP26" i="6"/>
  <c r="EO26" i="6"/>
  <c r="EN26" i="6"/>
  <c r="EM26" i="6"/>
  <c r="EL26" i="6"/>
  <c r="DY26" i="6"/>
  <c r="DM26" i="6"/>
  <c r="DL26" i="6"/>
  <c r="DK26" i="6"/>
  <c r="DJ26" i="6"/>
  <c r="CZ26" i="6"/>
  <c r="CX26" i="6"/>
  <c r="CW26" i="6"/>
  <c r="CV26" i="6"/>
  <c r="CO26" i="6"/>
  <c r="CN26" i="6"/>
  <c r="CM26" i="6"/>
  <c r="BU26" i="6"/>
  <c r="BS26" i="6"/>
  <c r="BP26" i="6"/>
  <c r="BN26" i="6"/>
  <c r="BM26" i="6"/>
  <c r="BL26" i="6"/>
  <c r="BK26" i="6"/>
  <c r="BJ26" i="6"/>
  <c r="BH26" i="6"/>
  <c r="BF26" i="6"/>
  <c r="BA26" i="6"/>
  <c r="AZ26" i="6"/>
  <c r="AY26" i="6"/>
  <c r="AR26" i="6"/>
  <c r="AQ26" i="6"/>
  <c r="AP26" i="6"/>
  <c r="R26" i="6"/>
  <c r="O26" i="6"/>
  <c r="A26" i="6"/>
  <c r="HK25" i="6"/>
  <c r="GY25" i="6"/>
  <c r="GX25" i="6"/>
  <c r="GW25" i="6"/>
  <c r="GV25" i="6"/>
  <c r="GL25" i="6"/>
  <c r="GJ25" i="6"/>
  <c r="GI25" i="6"/>
  <c r="GH25" i="6"/>
  <c r="GA25" i="6"/>
  <c r="FZ25" i="6"/>
  <c r="FY25" i="6"/>
  <c r="FH25" i="6"/>
  <c r="FG25" i="6"/>
  <c r="FD25" i="6"/>
  <c r="FB25" i="6"/>
  <c r="FA25" i="6"/>
  <c r="EZ25" i="6"/>
  <c r="EY25" i="6"/>
  <c r="EX25" i="6"/>
  <c r="EW25" i="6"/>
  <c r="EV25" i="6"/>
  <c r="EU25" i="6"/>
  <c r="ET25" i="6"/>
  <c r="ES25" i="6"/>
  <c r="EQ25" i="6"/>
  <c r="EP25" i="6"/>
  <c r="EO25" i="6"/>
  <c r="EN25" i="6"/>
  <c r="EM25" i="6"/>
  <c r="EL25" i="6"/>
  <c r="DY25" i="6"/>
  <c r="DM25" i="6"/>
  <c r="DL25" i="6"/>
  <c r="DK25" i="6"/>
  <c r="DJ25" i="6"/>
  <c r="CZ25" i="6"/>
  <c r="CX25" i="6"/>
  <c r="CW25" i="6"/>
  <c r="CV25" i="6"/>
  <c r="CO25" i="6"/>
  <c r="CN25" i="6"/>
  <c r="CM25" i="6"/>
  <c r="BU25" i="6"/>
  <c r="BS25" i="6"/>
  <c r="BP25" i="6"/>
  <c r="BN25" i="6"/>
  <c r="BM25" i="6"/>
  <c r="BL25" i="6"/>
  <c r="BK25" i="6"/>
  <c r="BJ25" i="6"/>
  <c r="BH25" i="6"/>
  <c r="BF25" i="6"/>
  <c r="BA25" i="6"/>
  <c r="AZ25" i="6"/>
  <c r="AY25" i="6"/>
  <c r="AR25" i="6"/>
  <c r="AQ25" i="6"/>
  <c r="AP25" i="6"/>
  <c r="R25" i="6"/>
  <c r="O25" i="6"/>
  <c r="A25" i="6"/>
  <c r="HK24" i="6"/>
  <c r="HA24" i="6"/>
  <c r="GY24" i="6"/>
  <c r="GX24" i="6"/>
  <c r="GW24" i="6"/>
  <c r="GV24" i="6"/>
  <c r="GL24" i="6"/>
  <c r="GJ24" i="6"/>
  <c r="GI24" i="6"/>
  <c r="GH24" i="6"/>
  <c r="GA24" i="6"/>
  <c r="FZ24" i="6"/>
  <c r="FY24" i="6"/>
  <c r="FH24" i="6"/>
  <c r="FG24" i="6"/>
  <c r="FD24" i="6"/>
  <c r="FB24" i="6"/>
  <c r="FA24" i="6"/>
  <c r="EZ24" i="6"/>
  <c r="EY24" i="6"/>
  <c r="EX24" i="6"/>
  <c r="EW24" i="6"/>
  <c r="EV24" i="6"/>
  <c r="EU24" i="6"/>
  <c r="ET24" i="6"/>
  <c r="ES24" i="6"/>
  <c r="EQ24" i="6"/>
  <c r="EP24" i="6"/>
  <c r="EO24" i="6"/>
  <c r="EN24" i="6"/>
  <c r="EM24" i="6"/>
  <c r="EL24" i="6"/>
  <c r="DY24" i="6"/>
  <c r="DM24" i="6"/>
  <c r="DL24" i="6"/>
  <c r="DK24" i="6"/>
  <c r="DJ24" i="6"/>
  <c r="CZ24" i="6"/>
  <c r="CX24" i="6"/>
  <c r="CW24" i="6"/>
  <c r="CV24" i="6"/>
  <c r="CO24" i="6"/>
  <c r="CN24" i="6"/>
  <c r="CM24" i="6"/>
  <c r="BU24" i="6"/>
  <c r="BS24" i="6"/>
  <c r="BP24" i="6"/>
  <c r="BN24" i="6"/>
  <c r="BM24" i="6"/>
  <c r="BL24" i="6"/>
  <c r="BK24" i="6"/>
  <c r="BJ24" i="6"/>
  <c r="BH24" i="6"/>
  <c r="BF24" i="6"/>
  <c r="BA24" i="6"/>
  <c r="AZ24" i="6"/>
  <c r="AY24" i="6"/>
  <c r="AR24" i="6"/>
  <c r="AQ24" i="6"/>
  <c r="AP24" i="6"/>
  <c r="R24" i="6"/>
  <c r="O24" i="6"/>
  <c r="A24" i="6"/>
  <c r="HK23" i="6"/>
  <c r="GY23" i="6"/>
  <c r="GX23" i="6"/>
  <c r="GW23" i="6"/>
  <c r="GV23" i="6"/>
  <c r="GL23" i="6"/>
  <c r="GJ23" i="6"/>
  <c r="GI23" i="6"/>
  <c r="GH23" i="6"/>
  <c r="GA23" i="6"/>
  <c r="FZ23" i="6"/>
  <c r="FY23" i="6"/>
  <c r="FH23" i="6"/>
  <c r="FG23" i="6"/>
  <c r="FD23" i="6"/>
  <c r="FB23" i="6"/>
  <c r="FA23" i="6"/>
  <c r="EZ23" i="6"/>
  <c r="EY23" i="6"/>
  <c r="EX23" i="6"/>
  <c r="EW23" i="6"/>
  <c r="EV23" i="6"/>
  <c r="EU23" i="6"/>
  <c r="ET23" i="6"/>
  <c r="ES23" i="6"/>
  <c r="EQ23" i="6"/>
  <c r="EP23" i="6"/>
  <c r="EO23" i="6"/>
  <c r="EN23" i="6"/>
  <c r="EM23" i="6"/>
  <c r="EL23" i="6"/>
  <c r="DY23" i="6"/>
  <c r="DM23" i="6"/>
  <c r="DL23" i="6"/>
  <c r="DK23" i="6"/>
  <c r="DJ23" i="6"/>
  <c r="CZ23" i="6"/>
  <c r="CX23" i="6"/>
  <c r="CW23" i="6"/>
  <c r="CV23" i="6"/>
  <c r="CO23" i="6"/>
  <c r="CN23" i="6"/>
  <c r="CM23" i="6"/>
  <c r="BU23" i="6"/>
  <c r="BS23" i="6"/>
  <c r="BP23" i="6"/>
  <c r="BN23" i="6"/>
  <c r="BM23" i="6"/>
  <c r="BL23" i="6"/>
  <c r="BK23" i="6"/>
  <c r="BJ23" i="6"/>
  <c r="BH23" i="6"/>
  <c r="BF23" i="6"/>
  <c r="BA23" i="6"/>
  <c r="AZ23" i="6"/>
  <c r="AY23" i="6"/>
  <c r="AR23" i="6"/>
  <c r="AQ23" i="6"/>
  <c r="AP23" i="6"/>
  <c r="R23" i="6"/>
  <c r="O23" i="6"/>
  <c r="A23" i="6"/>
  <c r="HK22" i="6"/>
  <c r="GY22" i="6"/>
  <c r="GX22" i="6"/>
  <c r="GW22" i="6"/>
  <c r="GV22" i="6"/>
  <c r="GL22" i="6"/>
  <c r="GJ22" i="6"/>
  <c r="GI22" i="6"/>
  <c r="GH22" i="6"/>
  <c r="GA22" i="6"/>
  <c r="FZ22" i="6"/>
  <c r="FY22" i="6"/>
  <c r="FH22" i="6"/>
  <c r="FG22" i="6"/>
  <c r="FD22" i="6"/>
  <c r="FB22" i="6"/>
  <c r="FA22" i="6"/>
  <c r="EZ22" i="6"/>
  <c r="EY22" i="6"/>
  <c r="EX22" i="6"/>
  <c r="EW22" i="6"/>
  <c r="EV22" i="6"/>
  <c r="EU22" i="6"/>
  <c r="ET22" i="6"/>
  <c r="ES22" i="6"/>
  <c r="EQ22" i="6"/>
  <c r="EP22" i="6"/>
  <c r="EO22" i="6"/>
  <c r="EN22" i="6"/>
  <c r="EM22" i="6"/>
  <c r="EL22" i="6"/>
  <c r="DY22" i="6"/>
  <c r="DM22" i="6"/>
  <c r="DL22" i="6"/>
  <c r="DK22" i="6"/>
  <c r="DJ22" i="6"/>
  <c r="CZ22" i="6"/>
  <c r="CX22" i="6"/>
  <c r="CW22" i="6"/>
  <c r="CV22" i="6"/>
  <c r="CO22" i="6"/>
  <c r="CN22" i="6"/>
  <c r="CM22" i="6"/>
  <c r="BU22" i="6"/>
  <c r="BS22" i="6"/>
  <c r="BP22" i="6"/>
  <c r="BN22" i="6"/>
  <c r="BM22" i="6"/>
  <c r="BL22" i="6"/>
  <c r="BK22" i="6"/>
  <c r="BJ22" i="6"/>
  <c r="BH22" i="6"/>
  <c r="BF22" i="6"/>
  <c r="BA22" i="6"/>
  <c r="AY22" i="6"/>
  <c r="AR22" i="6"/>
  <c r="R22" i="6"/>
  <c r="O22" i="6"/>
  <c r="A22" i="6"/>
  <c r="HK21" i="6"/>
  <c r="GY21" i="6"/>
  <c r="GX21" i="6"/>
  <c r="GW21" i="6"/>
  <c r="GV21" i="6"/>
  <c r="GL21" i="6"/>
  <c r="GJ21" i="6"/>
  <c r="GI21" i="6"/>
  <c r="GH21" i="6"/>
  <c r="GA21" i="6"/>
  <c r="FZ21" i="6"/>
  <c r="FY21" i="6"/>
  <c r="FH21" i="6"/>
  <c r="FG21" i="6"/>
  <c r="FD21" i="6"/>
  <c r="FB21" i="6"/>
  <c r="FA21" i="6"/>
  <c r="EZ21" i="6"/>
  <c r="EY21" i="6"/>
  <c r="EX21" i="6"/>
  <c r="EW21" i="6"/>
  <c r="EV21" i="6"/>
  <c r="EU21" i="6"/>
  <c r="ET21" i="6"/>
  <c r="ES21" i="6"/>
  <c r="EQ21" i="6"/>
  <c r="EP21" i="6"/>
  <c r="EO21" i="6"/>
  <c r="EN21" i="6"/>
  <c r="EM21" i="6"/>
  <c r="EL21" i="6"/>
  <c r="DY21" i="6"/>
  <c r="DM21" i="6"/>
  <c r="DL21" i="6"/>
  <c r="DK21" i="6"/>
  <c r="DJ21" i="6"/>
  <c r="CZ21" i="6"/>
  <c r="CX21" i="6"/>
  <c r="CW21" i="6"/>
  <c r="CV21" i="6"/>
  <c r="CO21" i="6"/>
  <c r="CN21" i="6"/>
  <c r="CM21" i="6"/>
  <c r="BU21" i="6"/>
  <c r="BS21" i="6"/>
  <c r="BP21" i="6"/>
  <c r="BN21" i="6"/>
  <c r="BM21" i="6"/>
  <c r="BL21" i="6"/>
  <c r="BK21" i="6"/>
  <c r="BJ21" i="6"/>
  <c r="BH21" i="6"/>
  <c r="BF21" i="6"/>
  <c r="BA21" i="6"/>
  <c r="AZ21" i="6"/>
  <c r="AY21" i="6"/>
  <c r="AR21" i="6"/>
  <c r="AQ21" i="6"/>
  <c r="AP21" i="6"/>
  <c r="R21" i="6"/>
  <c r="O21" i="6"/>
  <c r="A21" i="6"/>
  <c r="HK20" i="6"/>
  <c r="GY20" i="6"/>
  <c r="GX20" i="6"/>
  <c r="GW20" i="6"/>
  <c r="GV20" i="6"/>
  <c r="GL20" i="6"/>
  <c r="GJ20" i="6"/>
  <c r="GI20" i="6"/>
  <c r="GH20" i="6"/>
  <c r="GA20" i="6"/>
  <c r="FZ20" i="6"/>
  <c r="FY20" i="6"/>
  <c r="FH20" i="6"/>
  <c r="FG20" i="6"/>
  <c r="FD20" i="6"/>
  <c r="FB20" i="6"/>
  <c r="FA20" i="6"/>
  <c r="EZ20" i="6"/>
  <c r="EY20" i="6"/>
  <c r="EX20" i="6"/>
  <c r="EW20" i="6"/>
  <c r="EV20" i="6"/>
  <c r="EU20" i="6"/>
  <c r="ET20" i="6"/>
  <c r="ES20" i="6"/>
  <c r="EQ20" i="6"/>
  <c r="EP20" i="6"/>
  <c r="EO20" i="6"/>
  <c r="EN20" i="6"/>
  <c r="EM20" i="6"/>
  <c r="EL20" i="6"/>
  <c r="DY20" i="6"/>
  <c r="DM20" i="6"/>
  <c r="DL20" i="6"/>
  <c r="DK20" i="6"/>
  <c r="DJ20" i="6"/>
  <c r="CZ20" i="6"/>
  <c r="CX20" i="6"/>
  <c r="CW20" i="6"/>
  <c r="CV20" i="6"/>
  <c r="CO20" i="6"/>
  <c r="CN20" i="6"/>
  <c r="CM20" i="6"/>
  <c r="BU20" i="6"/>
  <c r="BS20" i="6"/>
  <c r="BP20" i="6"/>
  <c r="BN20" i="6"/>
  <c r="BM20" i="6"/>
  <c r="BL20" i="6"/>
  <c r="BK20" i="6"/>
  <c r="BJ20" i="6"/>
  <c r="BH20" i="6"/>
  <c r="BF20" i="6"/>
  <c r="BA20" i="6"/>
  <c r="AZ20" i="6"/>
  <c r="AY20" i="6"/>
  <c r="AR20" i="6"/>
  <c r="AQ20" i="6"/>
  <c r="AP20" i="6"/>
  <c r="R20" i="6"/>
  <c r="O20" i="6"/>
  <c r="A20" i="6"/>
  <c r="HK19" i="6"/>
  <c r="GY19" i="6"/>
  <c r="GX19" i="6"/>
  <c r="GW19" i="6"/>
  <c r="GV19" i="6"/>
  <c r="GL19" i="6"/>
  <c r="GJ19" i="6"/>
  <c r="GI19" i="6"/>
  <c r="GH19" i="6"/>
  <c r="GA19" i="6"/>
  <c r="FZ19" i="6"/>
  <c r="FY19" i="6"/>
  <c r="FH19" i="6"/>
  <c r="FG19" i="6"/>
  <c r="FD19" i="6"/>
  <c r="FB19" i="6"/>
  <c r="FA19" i="6"/>
  <c r="EZ19" i="6"/>
  <c r="EY19" i="6"/>
  <c r="EX19" i="6"/>
  <c r="EW19" i="6"/>
  <c r="EV19" i="6"/>
  <c r="EU19" i="6"/>
  <c r="ET19" i="6"/>
  <c r="ES19" i="6"/>
  <c r="EQ19" i="6"/>
  <c r="EP19" i="6"/>
  <c r="EO19" i="6"/>
  <c r="EN19" i="6"/>
  <c r="EM19" i="6"/>
  <c r="EL19" i="6"/>
  <c r="DY19" i="6"/>
  <c r="DM19" i="6"/>
  <c r="DL19" i="6"/>
  <c r="DK19" i="6"/>
  <c r="DJ19" i="6"/>
  <c r="CZ19" i="6"/>
  <c r="CX19" i="6"/>
  <c r="CW19" i="6"/>
  <c r="CV19" i="6"/>
  <c r="CO19" i="6"/>
  <c r="CN19" i="6"/>
  <c r="CM19" i="6"/>
  <c r="BU19" i="6"/>
  <c r="BS19" i="6"/>
  <c r="BP19" i="6"/>
  <c r="BN19" i="6"/>
  <c r="BM19" i="6"/>
  <c r="BL19" i="6"/>
  <c r="BK19" i="6"/>
  <c r="BJ19" i="6"/>
  <c r="BH19" i="6"/>
  <c r="BF19" i="6"/>
  <c r="BA19" i="6"/>
  <c r="AZ19" i="6"/>
  <c r="AY19" i="6"/>
  <c r="AR19" i="6"/>
  <c r="AQ19" i="6"/>
  <c r="AP19" i="6"/>
  <c r="R19" i="6"/>
  <c r="O19" i="6"/>
  <c r="A19" i="6"/>
  <c r="HK18" i="6"/>
  <c r="GY18" i="6"/>
  <c r="GX18" i="6"/>
  <c r="GW18" i="6"/>
  <c r="GV18" i="6"/>
  <c r="GL18" i="6"/>
  <c r="GJ18" i="6"/>
  <c r="GI18" i="6"/>
  <c r="GH18" i="6"/>
  <c r="GA18" i="6"/>
  <c r="FZ18" i="6"/>
  <c r="FY18" i="6"/>
  <c r="FH18" i="6"/>
  <c r="FG18" i="6"/>
  <c r="FD18" i="6"/>
  <c r="FB18" i="6"/>
  <c r="FA18" i="6"/>
  <c r="EZ18" i="6"/>
  <c r="EY18" i="6"/>
  <c r="EX18" i="6"/>
  <c r="EW18" i="6"/>
  <c r="EV18" i="6"/>
  <c r="EU18" i="6"/>
  <c r="ET18" i="6"/>
  <c r="ES18" i="6"/>
  <c r="EQ18" i="6"/>
  <c r="EP18" i="6"/>
  <c r="EO18" i="6"/>
  <c r="EN18" i="6"/>
  <c r="EM18" i="6"/>
  <c r="EL18" i="6"/>
  <c r="DY18" i="6"/>
  <c r="DM18" i="6"/>
  <c r="DL18" i="6"/>
  <c r="DK18" i="6"/>
  <c r="DJ18" i="6"/>
  <c r="CZ18" i="6"/>
  <c r="CX18" i="6"/>
  <c r="CW18" i="6"/>
  <c r="CV18" i="6"/>
  <c r="CO18" i="6"/>
  <c r="CN18" i="6"/>
  <c r="CM18" i="6"/>
  <c r="BU18" i="6"/>
  <c r="BS18" i="6"/>
  <c r="BP18" i="6"/>
  <c r="BN18" i="6"/>
  <c r="BM18" i="6"/>
  <c r="BL18" i="6"/>
  <c r="BK18" i="6"/>
  <c r="BJ18" i="6"/>
  <c r="BH18" i="6"/>
  <c r="BF18" i="6"/>
  <c r="BA18" i="6"/>
  <c r="AZ18" i="6"/>
  <c r="AY18" i="6"/>
  <c r="AR18" i="6"/>
  <c r="AQ18" i="6"/>
  <c r="AP18" i="6"/>
  <c r="R18" i="6"/>
  <c r="O18" i="6"/>
  <c r="A18" i="6"/>
  <c r="HK17" i="6"/>
  <c r="GY17" i="6"/>
  <c r="GX17" i="6"/>
  <c r="GW17" i="6"/>
  <c r="GV17" i="6"/>
  <c r="GR17" i="6"/>
  <c r="GL17" i="6"/>
  <c r="GJ17" i="6"/>
  <c r="GI17" i="6"/>
  <c r="GH17" i="6"/>
  <c r="GA17" i="6"/>
  <c r="FZ17" i="6"/>
  <c r="FY17" i="6"/>
  <c r="FH17" i="6"/>
  <c r="FG17" i="6"/>
  <c r="FD17" i="6"/>
  <c r="FB17" i="6"/>
  <c r="FA17" i="6"/>
  <c r="EZ17" i="6"/>
  <c r="EY17" i="6"/>
  <c r="EX17" i="6"/>
  <c r="EW17" i="6"/>
  <c r="EV17" i="6"/>
  <c r="EU17" i="6"/>
  <c r="ET17" i="6"/>
  <c r="ES17" i="6"/>
  <c r="EQ17" i="6"/>
  <c r="EP17" i="6"/>
  <c r="EO17" i="6"/>
  <c r="EN17" i="6"/>
  <c r="EM17" i="6"/>
  <c r="EL17" i="6"/>
  <c r="DY17" i="6"/>
  <c r="DM17" i="6"/>
  <c r="DL17" i="6"/>
  <c r="DK17" i="6"/>
  <c r="DJ17" i="6"/>
  <c r="DH17" i="6"/>
  <c r="CZ17" i="6"/>
  <c r="CX17" i="6"/>
  <c r="CW17" i="6"/>
  <c r="CV17" i="6"/>
  <c r="CO17" i="6"/>
  <c r="CN17" i="6"/>
  <c r="CM17" i="6"/>
  <c r="BU17" i="6"/>
  <c r="BS17" i="6"/>
  <c r="BP17" i="6"/>
  <c r="BN17" i="6"/>
  <c r="BM17" i="6"/>
  <c r="BL17" i="6"/>
  <c r="BK17" i="6"/>
  <c r="BJ17" i="6"/>
  <c r="BH17" i="6"/>
  <c r="BF17" i="6"/>
  <c r="BA17" i="6"/>
  <c r="AY17" i="6"/>
  <c r="AR17" i="6"/>
  <c r="R17" i="6"/>
  <c r="O17" i="6"/>
  <c r="A17" i="6"/>
  <c r="HK16" i="6"/>
  <c r="GY16" i="6"/>
  <c r="GX16" i="6"/>
  <c r="GW16" i="6"/>
  <c r="GV16" i="6"/>
  <c r="GL16" i="6"/>
  <c r="GJ16" i="6"/>
  <c r="GI16" i="6"/>
  <c r="GH16" i="6"/>
  <c r="GA16" i="6"/>
  <c r="FZ16" i="6"/>
  <c r="FY16" i="6"/>
  <c r="FH16" i="6"/>
  <c r="FG16" i="6"/>
  <c r="FD16" i="6"/>
  <c r="FB16" i="6"/>
  <c r="FA16" i="6"/>
  <c r="EZ16" i="6"/>
  <c r="EY16" i="6"/>
  <c r="EX16" i="6"/>
  <c r="EW16" i="6"/>
  <c r="EV16" i="6"/>
  <c r="EU16" i="6"/>
  <c r="ET16" i="6"/>
  <c r="ES16" i="6"/>
  <c r="EQ16" i="6"/>
  <c r="EP16" i="6"/>
  <c r="EO16" i="6"/>
  <c r="EN16" i="6"/>
  <c r="EM16" i="6"/>
  <c r="EL16" i="6"/>
  <c r="DY16" i="6"/>
  <c r="DO16" i="6"/>
  <c r="DM16" i="6"/>
  <c r="DL16" i="6"/>
  <c r="DK16" i="6"/>
  <c r="DJ16" i="6"/>
  <c r="CZ16" i="6"/>
  <c r="CX16" i="6"/>
  <c r="CW16" i="6"/>
  <c r="CV16" i="6"/>
  <c r="CO16" i="6"/>
  <c r="CN16" i="6"/>
  <c r="CM16" i="6"/>
  <c r="BU16" i="6"/>
  <c r="BS16" i="6"/>
  <c r="BP16" i="6"/>
  <c r="BN16" i="6"/>
  <c r="BM16" i="6"/>
  <c r="BL16" i="6"/>
  <c r="BK16" i="6"/>
  <c r="BJ16" i="6"/>
  <c r="BH16" i="6"/>
  <c r="BF16" i="6"/>
  <c r="BA16" i="6"/>
  <c r="AZ16" i="6"/>
  <c r="AY16" i="6"/>
  <c r="AR16" i="6"/>
  <c r="AQ16" i="6"/>
  <c r="AP16" i="6"/>
  <c r="R16" i="6"/>
  <c r="P16" i="6"/>
  <c r="O16" i="6"/>
  <c r="A16" i="6"/>
  <c r="HK15" i="6"/>
  <c r="GY15" i="6"/>
  <c r="GX15" i="6"/>
  <c r="GW15" i="6"/>
  <c r="GV15" i="6"/>
  <c r="GL15" i="6"/>
  <c r="GJ15" i="6"/>
  <c r="GI15" i="6"/>
  <c r="GH15" i="6"/>
  <c r="GA15" i="6"/>
  <c r="FZ15" i="6"/>
  <c r="FY15" i="6"/>
  <c r="FH15" i="6"/>
  <c r="FG15" i="6"/>
  <c r="FD15" i="6"/>
  <c r="FB15" i="6"/>
  <c r="FA15" i="6"/>
  <c r="EZ15" i="6"/>
  <c r="EY15" i="6"/>
  <c r="EX15" i="6"/>
  <c r="EW15" i="6"/>
  <c r="EV15" i="6"/>
  <c r="EU15" i="6"/>
  <c r="ET15" i="6"/>
  <c r="ES15" i="6"/>
  <c r="EQ15" i="6"/>
  <c r="EP15" i="6"/>
  <c r="EO15" i="6"/>
  <c r="EN15" i="6"/>
  <c r="EM15" i="6"/>
  <c r="EL15" i="6"/>
  <c r="DY15" i="6"/>
  <c r="DM15" i="6"/>
  <c r="DL15" i="6"/>
  <c r="DK15" i="6"/>
  <c r="DJ15" i="6"/>
  <c r="CZ15" i="6"/>
  <c r="CX15" i="6"/>
  <c r="CW15" i="6"/>
  <c r="CV15" i="6"/>
  <c r="CO15" i="6"/>
  <c r="CN15" i="6"/>
  <c r="CM15" i="6"/>
  <c r="BU15" i="6"/>
  <c r="BS15" i="6"/>
  <c r="BP15" i="6"/>
  <c r="BN15" i="6"/>
  <c r="BM15" i="6"/>
  <c r="BL15" i="6"/>
  <c r="BK15" i="6"/>
  <c r="BJ15" i="6"/>
  <c r="BH15" i="6"/>
  <c r="BF15" i="6"/>
  <c r="BA15" i="6"/>
  <c r="AZ15" i="6"/>
  <c r="AY15" i="6"/>
  <c r="AR15" i="6"/>
  <c r="AQ15" i="6"/>
  <c r="AP15" i="6"/>
  <c r="R15" i="6"/>
  <c r="O15" i="6"/>
  <c r="A15" i="6"/>
  <c r="HK14" i="6"/>
  <c r="GY14" i="6"/>
  <c r="GX14" i="6"/>
  <c r="GW14" i="6"/>
  <c r="GV14" i="6"/>
  <c r="GT14" i="6"/>
  <c r="GL14" i="6"/>
  <c r="GJ14" i="6"/>
  <c r="GI14" i="6"/>
  <c r="GH14" i="6"/>
  <c r="GA14" i="6"/>
  <c r="FZ14" i="6"/>
  <c r="FY14" i="6"/>
  <c r="FH14" i="6"/>
  <c r="FG14" i="6"/>
  <c r="FD14" i="6"/>
  <c r="FB14" i="6"/>
  <c r="FA14" i="6"/>
  <c r="EZ14" i="6"/>
  <c r="EY14" i="6"/>
  <c r="EX14" i="6"/>
  <c r="EW14" i="6"/>
  <c r="EV14" i="6"/>
  <c r="EU14" i="6"/>
  <c r="ET14" i="6"/>
  <c r="ES14" i="6"/>
  <c r="EQ14" i="6"/>
  <c r="EP14" i="6"/>
  <c r="EO14" i="6"/>
  <c r="EN14" i="6"/>
  <c r="EM14" i="6"/>
  <c r="EL14" i="6"/>
  <c r="DY14" i="6"/>
  <c r="DM14" i="6"/>
  <c r="DL14" i="6"/>
  <c r="DK14" i="6"/>
  <c r="DJ14" i="6"/>
  <c r="CZ14" i="6"/>
  <c r="CX14" i="6"/>
  <c r="CW14" i="6"/>
  <c r="CV14" i="6"/>
  <c r="CO14" i="6"/>
  <c r="CN14" i="6"/>
  <c r="CM14" i="6"/>
  <c r="BU14" i="6"/>
  <c r="BS14" i="6"/>
  <c r="BP14" i="6"/>
  <c r="BN14" i="6"/>
  <c r="BM14" i="6"/>
  <c r="BL14" i="6"/>
  <c r="BK14" i="6"/>
  <c r="BJ14" i="6"/>
  <c r="BH14" i="6"/>
  <c r="BF14" i="6"/>
  <c r="BA14" i="6"/>
  <c r="AZ14" i="6"/>
  <c r="AY14" i="6"/>
  <c r="AR14" i="6"/>
  <c r="AQ14" i="6"/>
  <c r="AP14" i="6"/>
  <c r="R14" i="6"/>
  <c r="O14" i="6"/>
  <c r="A14" i="6"/>
  <c r="HK13" i="6"/>
  <c r="GY13" i="6"/>
  <c r="GX13" i="6"/>
  <c r="GW13" i="6"/>
  <c r="GV13" i="6"/>
  <c r="GL13" i="6"/>
  <c r="GJ13" i="6"/>
  <c r="GI13" i="6"/>
  <c r="GH13" i="6"/>
  <c r="GA13" i="6"/>
  <c r="FZ13" i="6"/>
  <c r="FY13" i="6"/>
  <c r="FH13" i="6"/>
  <c r="FG13" i="6"/>
  <c r="FD13" i="6"/>
  <c r="FB13" i="6"/>
  <c r="FA13" i="6"/>
  <c r="EZ13" i="6"/>
  <c r="EY13" i="6"/>
  <c r="EX13" i="6"/>
  <c r="EW13" i="6"/>
  <c r="EV13" i="6"/>
  <c r="EU13" i="6"/>
  <c r="ET13" i="6"/>
  <c r="ES13" i="6"/>
  <c r="EQ13" i="6"/>
  <c r="EP13" i="6"/>
  <c r="EO13" i="6"/>
  <c r="EN13" i="6"/>
  <c r="EM13" i="6"/>
  <c r="EL13" i="6"/>
  <c r="DY13" i="6"/>
  <c r="DM13" i="6"/>
  <c r="DL13" i="6"/>
  <c r="DK13" i="6"/>
  <c r="DJ13" i="6"/>
  <c r="CZ13" i="6"/>
  <c r="CX13" i="6"/>
  <c r="CW13" i="6"/>
  <c r="CV13" i="6"/>
  <c r="CO13" i="6"/>
  <c r="CN13" i="6"/>
  <c r="CM13" i="6"/>
  <c r="BU13" i="6"/>
  <c r="BS13" i="6"/>
  <c r="BP13" i="6"/>
  <c r="BN13" i="6"/>
  <c r="BM13" i="6"/>
  <c r="BL13" i="6"/>
  <c r="BK13" i="6"/>
  <c r="BJ13" i="6"/>
  <c r="BH13" i="6"/>
  <c r="BF13" i="6"/>
  <c r="BA13" i="6"/>
  <c r="AZ13" i="6"/>
  <c r="AY13" i="6"/>
  <c r="AR13" i="6"/>
  <c r="AQ13" i="6"/>
  <c r="AP13" i="6"/>
  <c r="R13" i="6"/>
  <c r="O13" i="6"/>
  <c r="A13" i="6"/>
  <c r="GY12" i="6"/>
  <c r="GX12" i="6"/>
  <c r="GW12" i="6"/>
  <c r="GV12" i="6"/>
  <c r="GL12" i="6"/>
  <c r="GJ12" i="6"/>
  <c r="GI12" i="6"/>
  <c r="GH12" i="6"/>
  <c r="GA12" i="6"/>
  <c r="FZ12" i="6"/>
  <c r="FY12" i="6"/>
  <c r="FH12" i="6"/>
  <c r="FG12" i="6"/>
  <c r="FD12" i="6"/>
  <c r="FB12" i="6"/>
  <c r="FA12" i="6"/>
  <c r="EZ12" i="6"/>
  <c r="EY12" i="6"/>
  <c r="EX12" i="6"/>
  <c r="EW12" i="6"/>
  <c r="EV12" i="6"/>
  <c r="EU12" i="6"/>
  <c r="ET12" i="6"/>
  <c r="ES12" i="6"/>
  <c r="EQ12" i="6"/>
  <c r="EP12" i="6"/>
  <c r="EO12" i="6"/>
  <c r="EN12" i="6"/>
  <c r="EM12" i="6"/>
  <c r="EL12" i="6"/>
  <c r="DY12" i="6"/>
  <c r="DM12" i="6"/>
  <c r="DL12" i="6"/>
  <c r="DK12" i="6"/>
  <c r="DJ12" i="6"/>
  <c r="DH12" i="6"/>
  <c r="CZ12" i="6"/>
  <c r="CX12" i="6"/>
  <c r="CW12" i="6"/>
  <c r="CV12" i="6"/>
  <c r="CO12" i="6"/>
  <c r="CN12" i="6"/>
  <c r="CM12" i="6"/>
  <c r="BU12" i="6"/>
  <c r="BS12" i="6"/>
  <c r="BP12" i="6"/>
  <c r="BN12" i="6"/>
  <c r="BM12" i="6"/>
  <c r="BL12" i="6"/>
  <c r="BK12" i="6"/>
  <c r="BJ12" i="6"/>
  <c r="BH12" i="6"/>
  <c r="BF12" i="6"/>
  <c r="BA12" i="6"/>
  <c r="AY12" i="6"/>
  <c r="AR12" i="6"/>
  <c r="R12" i="6"/>
  <c r="O12" i="6"/>
  <c r="A12" i="6"/>
  <c r="GY11" i="6"/>
  <c r="GX11" i="6"/>
  <c r="GW11" i="6"/>
  <c r="GV11" i="6"/>
  <c r="GT11" i="6"/>
  <c r="GJ11" i="6"/>
  <c r="GI11" i="6"/>
  <c r="GH11" i="6"/>
  <c r="GA11" i="6"/>
  <c r="FZ11" i="6"/>
  <c r="FY11" i="6"/>
  <c r="FH11" i="6"/>
  <c r="FG11" i="6"/>
  <c r="FD11" i="6"/>
  <c r="FB11" i="6"/>
  <c r="FA11" i="6"/>
  <c r="EZ11" i="6"/>
  <c r="EY11" i="6"/>
  <c r="EX11" i="6"/>
  <c r="EW11" i="6"/>
  <c r="EV11" i="6"/>
  <c r="EU11" i="6"/>
  <c r="ET11" i="6"/>
  <c r="ES11" i="6"/>
  <c r="EQ11" i="6"/>
  <c r="EP11" i="6"/>
  <c r="EO11" i="6"/>
  <c r="EN11" i="6"/>
  <c r="EM11" i="6"/>
  <c r="EL11" i="6"/>
  <c r="DY11" i="6"/>
  <c r="DM11" i="6"/>
  <c r="DL11" i="6"/>
  <c r="DK11" i="6"/>
  <c r="DJ11" i="6"/>
  <c r="CX11" i="6"/>
  <c r="CW11" i="6"/>
  <c r="CV11" i="6"/>
  <c r="CO11" i="6"/>
  <c r="CN11" i="6"/>
  <c r="CM11" i="6"/>
  <c r="BU11" i="6"/>
  <c r="BS11" i="6"/>
  <c r="BP11" i="6"/>
  <c r="BN11" i="6"/>
  <c r="BM11" i="6"/>
  <c r="BL11" i="6"/>
  <c r="BK11" i="6"/>
  <c r="BJ11" i="6"/>
  <c r="BH11" i="6"/>
  <c r="BF11" i="6"/>
  <c r="BA11" i="6"/>
  <c r="AZ11" i="6"/>
  <c r="AY11" i="6"/>
  <c r="AR11" i="6"/>
  <c r="AQ11" i="6"/>
  <c r="AP11" i="6"/>
  <c r="R11" i="6"/>
  <c r="O11" i="6"/>
  <c r="A11" i="6"/>
  <c r="GY10" i="6"/>
  <c r="GX10" i="6"/>
  <c r="GW10" i="6"/>
  <c r="GV10" i="6"/>
  <c r="GJ10" i="6"/>
  <c r="GI10" i="6"/>
  <c r="GH10" i="6"/>
  <c r="GA10" i="6"/>
  <c r="FZ10" i="6"/>
  <c r="FY10" i="6"/>
  <c r="FH10" i="6"/>
  <c r="FG10" i="6"/>
  <c r="FD10" i="6"/>
  <c r="FB10" i="6"/>
  <c r="FA10" i="6"/>
  <c r="EZ10" i="6"/>
  <c r="EY10" i="6"/>
  <c r="EX10" i="6"/>
  <c r="EW10" i="6"/>
  <c r="EV10" i="6"/>
  <c r="EU10" i="6"/>
  <c r="ET10" i="6"/>
  <c r="ES10" i="6"/>
  <c r="EQ10" i="6"/>
  <c r="EP10" i="6"/>
  <c r="EO10" i="6"/>
  <c r="EN10" i="6"/>
  <c r="EM10" i="6"/>
  <c r="EL10" i="6"/>
  <c r="DY10" i="6"/>
  <c r="DO10" i="6"/>
  <c r="DM10" i="6"/>
  <c r="DL10" i="6"/>
  <c r="DK10" i="6"/>
  <c r="DJ10" i="6"/>
  <c r="CX10" i="6"/>
  <c r="CW10" i="6"/>
  <c r="CV10" i="6"/>
  <c r="CO10" i="6"/>
  <c r="CN10" i="6"/>
  <c r="CM10" i="6"/>
  <c r="BS10" i="6"/>
  <c r="BP10" i="6"/>
  <c r="BN10" i="6"/>
  <c r="BM10" i="6"/>
  <c r="BL10" i="6"/>
  <c r="BK10" i="6"/>
  <c r="BJ10" i="6"/>
  <c r="BH10" i="6"/>
  <c r="BF10" i="6"/>
  <c r="BA10" i="6"/>
  <c r="AZ10" i="6"/>
  <c r="AY10" i="6"/>
  <c r="AR10" i="6"/>
  <c r="AQ10" i="6"/>
  <c r="AP10" i="6"/>
  <c r="R10" i="6"/>
  <c r="O10" i="6"/>
  <c r="A10" i="6"/>
  <c r="GY9" i="6"/>
  <c r="GX9" i="6"/>
  <c r="GW9" i="6"/>
  <c r="GV9" i="6"/>
  <c r="GJ9" i="6"/>
  <c r="GI9" i="6"/>
  <c r="GH9" i="6"/>
  <c r="GA9" i="6"/>
  <c r="FZ9" i="6"/>
  <c r="FY9" i="6"/>
  <c r="FH9" i="6"/>
  <c r="FG9" i="6"/>
  <c r="FD9" i="6"/>
  <c r="FB9" i="6"/>
  <c r="FA9" i="6"/>
  <c r="EZ9" i="6"/>
  <c r="EY9" i="6"/>
  <c r="EX9" i="6"/>
  <c r="EW9" i="6"/>
  <c r="EV9" i="6"/>
  <c r="EU9" i="6"/>
  <c r="ET9" i="6"/>
  <c r="ES9" i="6"/>
  <c r="EQ9" i="6"/>
  <c r="EP9" i="6"/>
  <c r="EO9" i="6"/>
  <c r="EN9" i="6"/>
  <c r="EM9" i="6"/>
  <c r="EL9" i="6"/>
  <c r="DY9" i="6"/>
  <c r="DM9" i="6"/>
  <c r="DL9" i="6"/>
  <c r="DK9" i="6"/>
  <c r="DJ9" i="6"/>
  <c r="CX9" i="6"/>
  <c r="CW9" i="6"/>
  <c r="CV9" i="6"/>
  <c r="CO9" i="6"/>
  <c r="CN9" i="6"/>
  <c r="CM9" i="6"/>
  <c r="BS9" i="6"/>
  <c r="BP9" i="6"/>
  <c r="BN9" i="6"/>
  <c r="BM9" i="6"/>
  <c r="BL9" i="6"/>
  <c r="BK9" i="6"/>
  <c r="BJ9" i="6"/>
  <c r="BH9" i="6"/>
  <c r="BF9" i="6"/>
  <c r="BA9" i="6"/>
  <c r="AZ9" i="6"/>
  <c r="AY9" i="6"/>
  <c r="AR9" i="6"/>
  <c r="AQ9" i="6"/>
  <c r="AP9" i="6"/>
  <c r="R9" i="6"/>
  <c r="O9" i="6"/>
  <c r="A9" i="6"/>
  <c r="GY8" i="6"/>
  <c r="GX8" i="6"/>
  <c r="GW8" i="6"/>
  <c r="GV8" i="6"/>
  <c r="GJ8" i="6"/>
  <c r="GI8" i="6"/>
  <c r="GH8" i="6"/>
  <c r="GA8" i="6"/>
  <c r="FZ8" i="6"/>
  <c r="FY8" i="6"/>
  <c r="FH8" i="6"/>
  <c r="FG8" i="6"/>
  <c r="FD8" i="6"/>
  <c r="FB8" i="6"/>
  <c r="FA8" i="6"/>
  <c r="EZ8" i="6"/>
  <c r="EY8" i="6"/>
  <c r="EX8" i="6"/>
  <c r="EW8" i="6"/>
  <c r="EV8" i="6"/>
  <c r="EU8" i="6"/>
  <c r="ET8" i="6"/>
  <c r="ES8" i="6"/>
  <c r="EQ8" i="6"/>
  <c r="EP8" i="6"/>
  <c r="EO8" i="6"/>
  <c r="EN8" i="6"/>
  <c r="EM8" i="6"/>
  <c r="EL8" i="6"/>
  <c r="DY8" i="6"/>
  <c r="DM8" i="6"/>
  <c r="DL8" i="6"/>
  <c r="DK8" i="6"/>
  <c r="DJ8" i="6"/>
  <c r="CX8" i="6"/>
  <c r="CW8" i="6"/>
  <c r="CV8" i="6"/>
  <c r="CO8" i="6"/>
  <c r="CN8" i="6"/>
  <c r="CM8" i="6"/>
  <c r="BS8" i="6"/>
  <c r="BP8" i="6"/>
  <c r="BN8" i="6"/>
  <c r="BM8" i="6"/>
  <c r="BL8" i="6"/>
  <c r="BK8" i="6"/>
  <c r="BJ8" i="6"/>
  <c r="BH8" i="6"/>
  <c r="BF8" i="6"/>
  <c r="BA8" i="6"/>
  <c r="AZ8" i="6"/>
  <c r="AY8" i="6"/>
  <c r="AR8" i="6"/>
  <c r="AQ8" i="6"/>
  <c r="AP8" i="6"/>
  <c r="R8" i="6"/>
  <c r="O8" i="6"/>
  <c r="A8" i="6"/>
  <c r="GY7" i="6"/>
  <c r="GX7" i="6"/>
  <c r="GW7" i="6"/>
  <c r="GV7" i="6"/>
  <c r="GT7" i="6"/>
  <c r="GR7" i="6"/>
  <c r="GJ7" i="6"/>
  <c r="GI7" i="6"/>
  <c r="GH7" i="6"/>
  <c r="GA7" i="6"/>
  <c r="FZ7" i="6"/>
  <c r="FY7" i="6"/>
  <c r="FH7" i="6"/>
  <c r="FG7" i="6"/>
  <c r="FD7" i="6"/>
  <c r="FB7" i="6"/>
  <c r="FA7" i="6"/>
  <c r="EZ7" i="6"/>
  <c r="EY7" i="6"/>
  <c r="EX7" i="6"/>
  <c r="EW7" i="6"/>
  <c r="EV7" i="6"/>
  <c r="EU7" i="6"/>
  <c r="ET7" i="6"/>
  <c r="ES7" i="6"/>
  <c r="EQ7" i="6"/>
  <c r="EP7" i="6"/>
  <c r="EO7" i="6"/>
  <c r="EN7" i="6"/>
  <c r="EM7" i="6"/>
  <c r="EL7" i="6"/>
  <c r="DY7" i="6"/>
  <c r="DM7" i="6"/>
  <c r="DL7" i="6"/>
  <c r="DK7" i="6"/>
  <c r="DJ7" i="6"/>
  <c r="CX7" i="6"/>
  <c r="CW7" i="6"/>
  <c r="CV7" i="6"/>
  <c r="CO7" i="6"/>
  <c r="CN7" i="6"/>
  <c r="CM7" i="6"/>
  <c r="BS7" i="6"/>
  <c r="BP7" i="6"/>
  <c r="BN7" i="6"/>
  <c r="BM7" i="6"/>
  <c r="BL7" i="6"/>
  <c r="BK7" i="6"/>
  <c r="BJ7" i="6"/>
  <c r="BH7" i="6"/>
  <c r="BF7" i="6"/>
  <c r="BA7" i="6"/>
  <c r="AY7" i="6"/>
  <c r="AR7" i="6"/>
  <c r="R7" i="6"/>
  <c r="O7" i="6"/>
  <c r="A7" i="6"/>
  <c r="GY6" i="6"/>
  <c r="GX6" i="6"/>
  <c r="GW6" i="6"/>
  <c r="GV6" i="6"/>
  <c r="GT6" i="6"/>
  <c r="GR6" i="6"/>
  <c r="GJ6" i="6"/>
  <c r="GI6" i="6"/>
  <c r="GH6" i="6"/>
  <c r="GA6" i="6"/>
  <c r="FZ6" i="6"/>
  <c r="FY6" i="6"/>
  <c r="FH6" i="6"/>
  <c r="FG6" i="6"/>
  <c r="FD6" i="6"/>
  <c r="FB6" i="6"/>
  <c r="FA6" i="6"/>
  <c r="EZ6" i="6"/>
  <c r="EY6" i="6"/>
  <c r="EX6" i="6"/>
  <c r="EW6" i="6"/>
  <c r="EV6" i="6"/>
  <c r="EU6" i="6"/>
  <c r="ET6" i="6"/>
  <c r="ES6" i="6"/>
  <c r="EQ6" i="6"/>
  <c r="EP6" i="6"/>
  <c r="EO6" i="6"/>
  <c r="EN6" i="6"/>
  <c r="EM6" i="6"/>
  <c r="EL6" i="6"/>
  <c r="DY6" i="6"/>
  <c r="DM6" i="6"/>
  <c r="DL6" i="6"/>
  <c r="DK6" i="6"/>
  <c r="DJ6" i="6"/>
  <c r="CX6" i="6"/>
  <c r="CW6" i="6"/>
  <c r="CV6" i="6"/>
  <c r="CO6" i="6"/>
  <c r="CN6" i="6"/>
  <c r="CM6" i="6"/>
  <c r="BS6" i="6"/>
  <c r="BP6" i="6"/>
  <c r="BN6" i="6"/>
  <c r="BM6" i="6"/>
  <c r="BL6" i="6"/>
  <c r="BK6" i="6"/>
  <c r="BJ6" i="6"/>
  <c r="BH6" i="6"/>
  <c r="BF6" i="6"/>
  <c r="BA6" i="6"/>
  <c r="AZ6" i="6"/>
  <c r="AY6" i="6"/>
  <c r="AR6" i="6"/>
  <c r="AQ6" i="6"/>
  <c r="AP6" i="6"/>
  <c r="R6" i="6"/>
  <c r="O6" i="6"/>
  <c r="A6" i="6"/>
  <c r="GY5" i="6"/>
  <c r="GX5" i="6"/>
  <c r="GW5" i="6"/>
  <c r="GV5" i="6"/>
  <c r="GJ5" i="6"/>
  <c r="GI5" i="6"/>
  <c r="GH5" i="6"/>
  <c r="GA5" i="6"/>
  <c r="FZ5" i="6"/>
  <c r="FY5" i="6"/>
  <c r="FH5" i="6"/>
  <c r="FG5" i="6"/>
  <c r="FD5" i="6"/>
  <c r="FB5" i="6"/>
  <c r="FA5" i="6"/>
  <c r="EZ5" i="6"/>
  <c r="EY5" i="6"/>
  <c r="EX5" i="6"/>
  <c r="EW5" i="6"/>
  <c r="EV5" i="6"/>
  <c r="EU5" i="6"/>
  <c r="ET5" i="6"/>
  <c r="ES5" i="6"/>
  <c r="EQ5" i="6"/>
  <c r="EP5" i="6"/>
  <c r="EO5" i="6"/>
  <c r="EN5" i="6"/>
  <c r="EM5" i="6"/>
  <c r="EL5" i="6"/>
  <c r="DM5" i="6"/>
  <c r="DL5" i="6"/>
  <c r="DK5" i="6"/>
  <c r="DJ5" i="6"/>
  <c r="CX5" i="6"/>
  <c r="CW5" i="6"/>
  <c r="CV5" i="6"/>
  <c r="CO5" i="6"/>
  <c r="CN5" i="6"/>
  <c r="CM5" i="6"/>
  <c r="BS5" i="6"/>
  <c r="BP5" i="6"/>
  <c r="BN5" i="6"/>
  <c r="BM5" i="6"/>
  <c r="BL5" i="6"/>
  <c r="BK5" i="6"/>
  <c r="BJ5" i="6"/>
  <c r="BH5" i="6"/>
  <c r="BF5" i="6"/>
  <c r="BA5" i="6"/>
  <c r="AY5" i="6"/>
  <c r="AR5" i="6"/>
  <c r="R5" i="6"/>
  <c r="O5" i="6"/>
  <c r="A5" i="6"/>
  <c r="HI4" i="6"/>
  <c r="GY4" i="6"/>
  <c r="GX4" i="6"/>
  <c r="GW4" i="6"/>
  <c r="GV4" i="6"/>
  <c r="GJ4" i="6"/>
  <c r="GI4" i="6"/>
  <c r="GH4" i="6"/>
  <c r="GA4" i="6"/>
  <c r="FZ4" i="6"/>
  <c r="FY4" i="6"/>
  <c r="FH4" i="6"/>
  <c r="FG4" i="6"/>
  <c r="FD4" i="6"/>
  <c r="FB4" i="6"/>
  <c r="FA4" i="6"/>
  <c r="EZ4" i="6"/>
  <c r="EY4" i="6"/>
  <c r="EX4" i="6"/>
  <c r="EW4" i="6"/>
  <c r="EV4" i="6"/>
  <c r="EU4" i="6"/>
  <c r="ET4" i="6"/>
  <c r="ES4" i="6"/>
  <c r="EQ4" i="6"/>
  <c r="EP4" i="6"/>
  <c r="EO4" i="6"/>
  <c r="EN4" i="6"/>
  <c r="EM4" i="6"/>
  <c r="EL4" i="6"/>
  <c r="DO4" i="6"/>
  <c r="DM4" i="6"/>
  <c r="DL4" i="6"/>
  <c r="DK4" i="6"/>
  <c r="DJ4" i="6"/>
  <c r="CX4" i="6"/>
  <c r="CW4" i="6"/>
  <c r="CV4" i="6"/>
  <c r="CO4" i="6"/>
  <c r="CN4" i="6"/>
  <c r="CM4" i="6"/>
  <c r="BS4" i="6"/>
  <c r="BP4" i="6"/>
  <c r="BN4" i="6"/>
  <c r="BM4" i="6"/>
  <c r="BL4" i="6"/>
  <c r="BK4" i="6"/>
  <c r="BJ4" i="6"/>
  <c r="BH4" i="6"/>
  <c r="BF4" i="6"/>
  <c r="BA4" i="6"/>
  <c r="AZ4" i="6"/>
  <c r="AY4" i="6"/>
  <c r="AR4" i="6"/>
  <c r="AQ4" i="6"/>
  <c r="AP4" i="6"/>
  <c r="R4" i="6"/>
  <c r="O4" i="6"/>
  <c r="A4" i="6"/>
  <c r="GY3" i="6"/>
  <c r="GX3" i="6"/>
  <c r="GW3" i="6"/>
  <c r="GV3" i="6"/>
  <c r="GJ3" i="6"/>
  <c r="GI3" i="6"/>
  <c r="GH3" i="6"/>
  <c r="GA3" i="6"/>
  <c r="FZ3" i="6"/>
  <c r="FY3" i="6"/>
  <c r="FH3" i="6"/>
  <c r="FG3" i="6"/>
  <c r="FD3" i="6"/>
  <c r="FB3" i="6"/>
  <c r="FA3" i="6"/>
  <c r="EZ3" i="6"/>
  <c r="EY3" i="6"/>
  <c r="EX3" i="6"/>
  <c r="EW3" i="6"/>
  <c r="EV3" i="6"/>
  <c r="EU3" i="6"/>
  <c r="ET3" i="6"/>
  <c r="ES3" i="6"/>
  <c r="EQ3" i="6"/>
  <c r="EP3" i="6"/>
  <c r="EO3" i="6"/>
  <c r="EN3" i="6"/>
  <c r="EM3" i="6"/>
  <c r="EL3" i="6"/>
  <c r="DM3" i="6"/>
  <c r="DL3" i="6"/>
  <c r="DK3" i="6"/>
  <c r="DJ3" i="6"/>
  <c r="CX3" i="6"/>
  <c r="CW3" i="6"/>
  <c r="CV3" i="6"/>
  <c r="CO3" i="6"/>
  <c r="CN3" i="6"/>
  <c r="CM3" i="6"/>
  <c r="BS3" i="6"/>
  <c r="BP3" i="6"/>
  <c r="BN3" i="6"/>
  <c r="BM3" i="6"/>
  <c r="BL3" i="6"/>
  <c r="BK3" i="6"/>
  <c r="BJ3" i="6"/>
  <c r="BH3" i="6"/>
  <c r="BF3" i="6"/>
  <c r="BA3" i="6"/>
  <c r="AZ3" i="6"/>
  <c r="AY3" i="6"/>
  <c r="AR3" i="6"/>
  <c r="AQ3" i="6"/>
  <c r="AP3" i="6"/>
  <c r="S3" i="6"/>
  <c r="R3" i="6"/>
  <c r="O3" i="6"/>
  <c r="A3" i="6"/>
  <c r="HV2" i="6"/>
  <c r="HU2" i="6"/>
  <c r="HI2" i="6"/>
  <c r="HI3" i="6" s="1"/>
  <c r="GY2" i="6"/>
  <c r="GX2" i="6"/>
  <c r="GW2" i="6"/>
  <c r="GV2" i="6"/>
  <c r="GT2" i="6"/>
  <c r="GR2" i="6"/>
  <c r="GJ2" i="6"/>
  <c r="GH2" i="6"/>
  <c r="GA2" i="6"/>
  <c r="FT2" i="6"/>
  <c r="FS2" i="6"/>
  <c r="FH2" i="6"/>
  <c r="FG2" i="6"/>
  <c r="FD2" i="6"/>
  <c r="FB2" i="6"/>
  <c r="FA2" i="6"/>
  <c r="EZ2" i="6"/>
  <c r="EY2" i="6"/>
  <c r="EX2" i="6"/>
  <c r="EW2" i="6"/>
  <c r="EV2" i="6"/>
  <c r="EU2" i="6"/>
  <c r="ET2" i="6"/>
  <c r="ES2" i="6"/>
  <c r="EQ2" i="6"/>
  <c r="EP2" i="6"/>
  <c r="EO2" i="6"/>
  <c r="EN2" i="6"/>
  <c r="EM2" i="6"/>
  <c r="EL2" i="6"/>
  <c r="EB2" i="6"/>
  <c r="DW2" i="6"/>
  <c r="DO2" i="6"/>
  <c r="DM2" i="6"/>
  <c r="DL2" i="6"/>
  <c r="DK2" i="6"/>
  <c r="DJ2" i="6"/>
  <c r="CX2" i="6"/>
  <c r="CY13" i="6" s="1"/>
  <c r="CV2" i="6"/>
  <c r="CO2" i="6"/>
  <c r="BS2" i="6"/>
  <c r="BP2" i="6"/>
  <c r="BN2" i="6"/>
  <c r="BM2" i="6"/>
  <c r="BL2" i="6"/>
  <c r="BK2" i="6"/>
  <c r="BJ2" i="6"/>
  <c r="BI2" i="6" s="1"/>
  <c r="BH2" i="6"/>
  <c r="BF2" i="6"/>
  <c r="BA2" i="6"/>
  <c r="AY2" i="6"/>
  <c r="AU2" i="6"/>
  <c r="AZ2" i="6" s="1"/>
  <c r="BB2" i="6" s="1"/>
  <c r="BC2" i="6" s="1"/>
  <c r="AR2" i="6"/>
  <c r="AN2" i="6"/>
  <c r="Z2" i="6"/>
  <c r="CJ2" i="6" s="1"/>
  <c r="X2" i="6"/>
  <c r="CI2" i="6" s="1"/>
  <c r="S2" i="6"/>
  <c r="S8" i="6" s="1"/>
  <c r="R2" i="6"/>
  <c r="O2" i="6"/>
  <c r="A2" i="6"/>
  <c r="HK52" i="5"/>
  <c r="GY52" i="5"/>
  <c r="GX52" i="5"/>
  <c r="GW52" i="5"/>
  <c r="GV52" i="5"/>
  <c r="GL52" i="5"/>
  <c r="GJ52" i="5"/>
  <c r="GI52" i="5"/>
  <c r="GH52" i="5"/>
  <c r="GA52" i="5"/>
  <c r="FZ52" i="5"/>
  <c r="FY52" i="5"/>
  <c r="FI52" i="5"/>
  <c r="FG52" i="5"/>
  <c r="FD52" i="5"/>
  <c r="FB52" i="5"/>
  <c r="FA52" i="5"/>
  <c r="EZ52" i="5"/>
  <c r="EY52" i="5"/>
  <c r="EX52" i="5"/>
  <c r="EV52" i="5"/>
  <c r="ET52" i="5"/>
  <c r="EQ52" i="5"/>
  <c r="EO52" i="5"/>
  <c r="EN52" i="5"/>
  <c r="EM52" i="5"/>
  <c r="DY52" i="5"/>
  <c r="DX52" i="5"/>
  <c r="DW52" i="5"/>
  <c r="DO52" i="5"/>
  <c r="DN52" i="5"/>
  <c r="DM52" i="5"/>
  <c r="DL52" i="5"/>
  <c r="DK52" i="5"/>
  <c r="DJ52" i="5"/>
  <c r="DI52" i="5"/>
  <c r="DH52" i="5"/>
  <c r="DF52" i="5"/>
  <c r="DC52" i="5"/>
  <c r="DB52" i="5"/>
  <c r="CZ52" i="5"/>
  <c r="CY52" i="5"/>
  <c r="CX52" i="5"/>
  <c r="CW52" i="5"/>
  <c r="CV52" i="5"/>
  <c r="CU52" i="5"/>
  <c r="CT52" i="5"/>
  <c r="CS52" i="5"/>
  <c r="CR52" i="5"/>
  <c r="CQ52" i="5"/>
  <c r="CP52" i="5"/>
  <c r="CO52" i="5"/>
  <c r="CN52" i="5"/>
  <c r="CM52" i="5"/>
  <c r="CJ52" i="5"/>
  <c r="CI52" i="5"/>
  <c r="BU52" i="5"/>
  <c r="BS52" i="5"/>
  <c r="BP52" i="5"/>
  <c r="BN52" i="5"/>
  <c r="BM52" i="5"/>
  <c r="BL52" i="5"/>
  <c r="BK52" i="5"/>
  <c r="BJ52" i="5"/>
  <c r="BH52" i="5"/>
  <c r="BF52" i="5"/>
  <c r="BC52" i="5"/>
  <c r="BA52" i="5"/>
  <c r="AZ52" i="5"/>
  <c r="AY52" i="5"/>
  <c r="AR52" i="5"/>
  <c r="AQ52" i="5"/>
  <c r="AP52" i="5"/>
  <c r="R52" i="5"/>
  <c r="P52" i="5"/>
  <c r="O52" i="5"/>
  <c r="A52" i="5"/>
  <c r="HK51" i="5"/>
  <c r="GY51" i="5"/>
  <c r="GX51" i="5"/>
  <c r="GW51" i="5"/>
  <c r="GV51" i="5"/>
  <c r="GL51" i="5"/>
  <c r="GJ51" i="5"/>
  <c r="GI51" i="5"/>
  <c r="GH51" i="5"/>
  <c r="GA51" i="5"/>
  <c r="FZ51" i="5"/>
  <c r="FY51" i="5"/>
  <c r="FI51" i="5"/>
  <c r="FG51" i="5"/>
  <c r="FD51" i="5"/>
  <c r="FB51" i="5"/>
  <c r="FA51" i="5"/>
  <c r="EZ51" i="5"/>
  <c r="EY51" i="5"/>
  <c r="EX51" i="5"/>
  <c r="EV51" i="5"/>
  <c r="ET51" i="5"/>
  <c r="EQ51" i="5"/>
  <c r="EO51" i="5"/>
  <c r="EN51" i="5"/>
  <c r="EM51" i="5"/>
  <c r="DY51" i="5"/>
  <c r="DX51" i="5"/>
  <c r="DW51" i="5"/>
  <c r="DO51" i="5"/>
  <c r="DN51" i="5"/>
  <c r="DM51" i="5"/>
  <c r="DL51" i="5"/>
  <c r="DK51" i="5"/>
  <c r="DJ51" i="5"/>
  <c r="DI51" i="5"/>
  <c r="DH51" i="5"/>
  <c r="DF51" i="5"/>
  <c r="DC51" i="5"/>
  <c r="DB51" i="5"/>
  <c r="DQ51" i="5" s="1"/>
  <c r="CZ51" i="5"/>
  <c r="CY51" i="5"/>
  <c r="CX51" i="5"/>
  <c r="CW51" i="5"/>
  <c r="CV51" i="5"/>
  <c r="CU51" i="5"/>
  <c r="CT51" i="5"/>
  <c r="CS51" i="5"/>
  <c r="CR51" i="5"/>
  <c r="CQ51" i="5"/>
  <c r="CP51" i="5"/>
  <c r="CO51" i="5"/>
  <c r="CN51" i="5"/>
  <c r="CM51" i="5"/>
  <c r="CJ51" i="5"/>
  <c r="CI51" i="5"/>
  <c r="BU51" i="5"/>
  <c r="BS51" i="5"/>
  <c r="BP51" i="5"/>
  <c r="BN51" i="5"/>
  <c r="BM51" i="5"/>
  <c r="BL51" i="5"/>
  <c r="BK51" i="5"/>
  <c r="BJ51" i="5"/>
  <c r="BH51" i="5"/>
  <c r="BF51" i="5"/>
  <c r="BC51" i="5"/>
  <c r="BA51" i="5"/>
  <c r="AZ51" i="5"/>
  <c r="AY51" i="5"/>
  <c r="AR51" i="5"/>
  <c r="AQ51" i="5"/>
  <c r="AP51" i="5"/>
  <c r="R51" i="5"/>
  <c r="P51" i="5"/>
  <c r="O51" i="5"/>
  <c r="A51" i="5"/>
  <c r="HK50" i="5"/>
  <c r="GY50" i="5"/>
  <c r="GX50" i="5"/>
  <c r="GW50" i="5"/>
  <c r="GV50" i="5"/>
  <c r="GL50" i="5"/>
  <c r="GJ50" i="5"/>
  <c r="GI50" i="5"/>
  <c r="GH50" i="5"/>
  <c r="GA50" i="5"/>
  <c r="FZ50" i="5"/>
  <c r="FY50" i="5"/>
  <c r="FI50" i="5"/>
  <c r="FG50" i="5"/>
  <c r="FD50" i="5"/>
  <c r="FB50" i="5"/>
  <c r="FA50" i="5"/>
  <c r="EZ50" i="5"/>
  <c r="EY50" i="5"/>
  <c r="EX50" i="5"/>
  <c r="EV50" i="5"/>
  <c r="ET50" i="5"/>
  <c r="EQ50" i="5"/>
  <c r="EO50" i="5"/>
  <c r="EN50" i="5"/>
  <c r="EM50" i="5"/>
  <c r="DY50" i="5"/>
  <c r="DX50" i="5"/>
  <c r="DW50" i="5"/>
  <c r="DO50" i="5"/>
  <c r="DN50" i="5"/>
  <c r="DM50" i="5"/>
  <c r="DL50" i="5"/>
  <c r="DK50" i="5"/>
  <c r="DJ50" i="5"/>
  <c r="DI50" i="5"/>
  <c r="DH50" i="5"/>
  <c r="DF50" i="5"/>
  <c r="DC50" i="5"/>
  <c r="DB50" i="5"/>
  <c r="DQ50" i="5" s="1"/>
  <c r="CZ50" i="5"/>
  <c r="CY50" i="5"/>
  <c r="CX50" i="5"/>
  <c r="CW50" i="5"/>
  <c r="CV50" i="5"/>
  <c r="CU50" i="5"/>
  <c r="CT50" i="5"/>
  <c r="CS50" i="5"/>
  <c r="CR50" i="5"/>
  <c r="CQ50" i="5"/>
  <c r="CP50" i="5"/>
  <c r="CO50" i="5"/>
  <c r="CN50" i="5"/>
  <c r="CM50" i="5"/>
  <c r="CJ50" i="5"/>
  <c r="CI50" i="5"/>
  <c r="BU50" i="5"/>
  <c r="BS50" i="5"/>
  <c r="BP50" i="5"/>
  <c r="BN50" i="5"/>
  <c r="BM50" i="5"/>
  <c r="BL50" i="5"/>
  <c r="BK50" i="5"/>
  <c r="BJ50" i="5"/>
  <c r="BH50" i="5"/>
  <c r="BF50" i="5"/>
  <c r="BC50" i="5"/>
  <c r="BA50" i="5"/>
  <c r="AZ50" i="5"/>
  <c r="AY50" i="5"/>
  <c r="AR50" i="5"/>
  <c r="AQ50" i="5"/>
  <c r="AP50" i="5"/>
  <c r="R50" i="5"/>
  <c r="P50" i="5"/>
  <c r="O50" i="5"/>
  <c r="A50" i="5"/>
  <c r="HK49" i="5"/>
  <c r="GY49" i="5"/>
  <c r="GX49" i="5"/>
  <c r="GW49" i="5"/>
  <c r="GV49" i="5"/>
  <c r="GL49" i="5"/>
  <c r="GJ49" i="5"/>
  <c r="GI49" i="5"/>
  <c r="GH49" i="5"/>
  <c r="GA49" i="5"/>
  <c r="FZ49" i="5"/>
  <c r="FY49" i="5"/>
  <c r="FI49" i="5"/>
  <c r="FG49" i="5"/>
  <c r="FD49" i="5"/>
  <c r="FB49" i="5"/>
  <c r="FA49" i="5"/>
  <c r="EZ49" i="5"/>
  <c r="EY49" i="5"/>
  <c r="EX49" i="5"/>
  <c r="EV49" i="5"/>
  <c r="ET49" i="5"/>
  <c r="EQ49" i="5"/>
  <c r="EO49" i="5"/>
  <c r="EN49" i="5"/>
  <c r="EM49" i="5"/>
  <c r="DY49" i="5"/>
  <c r="DX49" i="5"/>
  <c r="DW49" i="5"/>
  <c r="DO49" i="5"/>
  <c r="DN49" i="5"/>
  <c r="DM49" i="5"/>
  <c r="DL49" i="5"/>
  <c r="DK49" i="5"/>
  <c r="DJ49" i="5"/>
  <c r="DI49" i="5"/>
  <c r="DH49" i="5"/>
  <c r="DF49" i="5"/>
  <c r="DC49" i="5"/>
  <c r="DB49" i="5"/>
  <c r="DQ49" i="5" s="1"/>
  <c r="CZ49" i="5"/>
  <c r="CY49" i="5"/>
  <c r="CX49" i="5"/>
  <c r="CW49" i="5"/>
  <c r="CV49" i="5"/>
  <c r="CU49" i="5"/>
  <c r="CT49" i="5"/>
  <c r="CS49" i="5"/>
  <c r="CR49" i="5"/>
  <c r="CQ49" i="5"/>
  <c r="CP49" i="5"/>
  <c r="CO49" i="5"/>
  <c r="CN49" i="5"/>
  <c r="CM49" i="5"/>
  <c r="CJ49" i="5"/>
  <c r="CI49" i="5"/>
  <c r="BU49" i="5"/>
  <c r="BS49" i="5"/>
  <c r="BP49" i="5"/>
  <c r="BN49" i="5"/>
  <c r="BM49" i="5"/>
  <c r="BL49" i="5"/>
  <c r="BK49" i="5"/>
  <c r="BJ49" i="5"/>
  <c r="BH49" i="5"/>
  <c r="BF49" i="5"/>
  <c r="BC49" i="5"/>
  <c r="BA49" i="5"/>
  <c r="AZ49" i="5"/>
  <c r="AY49" i="5"/>
  <c r="AR49" i="5"/>
  <c r="AQ49" i="5"/>
  <c r="AP49" i="5"/>
  <c r="R49" i="5"/>
  <c r="P49" i="5"/>
  <c r="O49" i="5"/>
  <c r="A49" i="5"/>
  <c r="HK48" i="5"/>
  <c r="HA48" i="5"/>
  <c r="GY48" i="5"/>
  <c r="GX48" i="5"/>
  <c r="GW48" i="5"/>
  <c r="GV48" i="5"/>
  <c r="GL48" i="5"/>
  <c r="GJ48" i="5"/>
  <c r="GI48" i="5"/>
  <c r="GH48" i="5"/>
  <c r="GA48" i="5"/>
  <c r="FZ48" i="5"/>
  <c r="FY48" i="5"/>
  <c r="FI48" i="5"/>
  <c r="FG48" i="5"/>
  <c r="FD48" i="5"/>
  <c r="FB48" i="5"/>
  <c r="FA48" i="5"/>
  <c r="EZ48" i="5"/>
  <c r="EY48" i="5"/>
  <c r="EX48" i="5"/>
  <c r="EV48" i="5"/>
  <c r="ET48" i="5"/>
  <c r="EQ48" i="5"/>
  <c r="EO48" i="5"/>
  <c r="EN48" i="5"/>
  <c r="EM48" i="5"/>
  <c r="DY48" i="5"/>
  <c r="DX48" i="5"/>
  <c r="DW48" i="5"/>
  <c r="DO48" i="5"/>
  <c r="DN48" i="5"/>
  <c r="DM48" i="5"/>
  <c r="DL48" i="5"/>
  <c r="DK48" i="5"/>
  <c r="DJ48" i="5"/>
  <c r="DI48" i="5"/>
  <c r="DH48" i="5"/>
  <c r="DF48" i="5"/>
  <c r="DC48" i="5"/>
  <c r="DB48" i="5"/>
  <c r="DQ48" i="5" s="1"/>
  <c r="CZ48" i="5"/>
  <c r="CY48" i="5"/>
  <c r="CX48" i="5"/>
  <c r="CW48" i="5"/>
  <c r="CV48" i="5"/>
  <c r="CU48" i="5"/>
  <c r="CT48" i="5"/>
  <c r="CS48" i="5"/>
  <c r="CR48" i="5"/>
  <c r="CQ48" i="5"/>
  <c r="CP48" i="5"/>
  <c r="CO48" i="5"/>
  <c r="CN48" i="5"/>
  <c r="CM48" i="5"/>
  <c r="CJ48" i="5"/>
  <c r="CI48" i="5"/>
  <c r="BU48" i="5"/>
  <c r="BS48" i="5"/>
  <c r="BP48" i="5"/>
  <c r="BN48" i="5"/>
  <c r="BM48" i="5"/>
  <c r="BL48" i="5"/>
  <c r="BK48" i="5"/>
  <c r="BJ48" i="5"/>
  <c r="BH48" i="5"/>
  <c r="BF48" i="5"/>
  <c r="BC48" i="5"/>
  <c r="BA48" i="5"/>
  <c r="AZ48" i="5"/>
  <c r="AY48" i="5"/>
  <c r="AR48" i="5"/>
  <c r="AQ48" i="5"/>
  <c r="AP48" i="5"/>
  <c r="R48" i="5"/>
  <c r="P48" i="5"/>
  <c r="O48" i="5"/>
  <c r="A48" i="5"/>
  <c r="HK47" i="5"/>
  <c r="HA47" i="5"/>
  <c r="GY47" i="5"/>
  <c r="GX47" i="5"/>
  <c r="GW47" i="5"/>
  <c r="GV47" i="5"/>
  <c r="GL47" i="5"/>
  <c r="GJ47" i="5"/>
  <c r="GI47" i="5"/>
  <c r="GH47" i="5"/>
  <c r="GA47" i="5"/>
  <c r="FZ47" i="5"/>
  <c r="FY47" i="5"/>
  <c r="FI47" i="5"/>
  <c r="FG47" i="5"/>
  <c r="FD47" i="5"/>
  <c r="FB47" i="5"/>
  <c r="FA47" i="5"/>
  <c r="EZ47" i="5"/>
  <c r="EY47" i="5"/>
  <c r="EX47" i="5"/>
  <c r="EV47" i="5"/>
  <c r="ET47" i="5"/>
  <c r="EO47" i="5"/>
  <c r="EN47" i="5"/>
  <c r="EM47" i="5"/>
  <c r="DY47" i="5"/>
  <c r="DX47" i="5"/>
  <c r="DW47" i="5"/>
  <c r="DO47" i="5"/>
  <c r="DN47" i="5"/>
  <c r="DM47" i="5"/>
  <c r="DL47" i="5"/>
  <c r="DK47" i="5"/>
  <c r="DJ47" i="5"/>
  <c r="DI47" i="5"/>
  <c r="DH47" i="5"/>
  <c r="DF47" i="5"/>
  <c r="DC47" i="5"/>
  <c r="DB47" i="5"/>
  <c r="DQ47" i="5" s="1"/>
  <c r="CZ47" i="5"/>
  <c r="CY47" i="5"/>
  <c r="CX47" i="5"/>
  <c r="CW47" i="5"/>
  <c r="CV47" i="5"/>
  <c r="CU47" i="5"/>
  <c r="CT47" i="5"/>
  <c r="CS47" i="5"/>
  <c r="CR47" i="5"/>
  <c r="CQ47" i="5"/>
  <c r="CP47" i="5"/>
  <c r="CO47" i="5"/>
  <c r="CN47" i="5"/>
  <c r="CM47" i="5"/>
  <c r="CJ47" i="5"/>
  <c r="CI47" i="5"/>
  <c r="BU47" i="5"/>
  <c r="BS47" i="5"/>
  <c r="BP47" i="5"/>
  <c r="BN47" i="5"/>
  <c r="BM47" i="5"/>
  <c r="BL47" i="5"/>
  <c r="BK47" i="5"/>
  <c r="BJ47" i="5"/>
  <c r="BH47" i="5"/>
  <c r="BF47" i="5"/>
  <c r="BC47" i="5"/>
  <c r="BA47" i="5"/>
  <c r="AZ47" i="5"/>
  <c r="AY47" i="5"/>
  <c r="AR47" i="5"/>
  <c r="AQ47" i="5"/>
  <c r="AP47" i="5"/>
  <c r="R47" i="5"/>
  <c r="P47" i="5"/>
  <c r="O47" i="5"/>
  <c r="A47" i="5"/>
  <c r="HK46" i="5"/>
  <c r="HA46" i="5"/>
  <c r="GY46" i="5"/>
  <c r="GX46" i="5"/>
  <c r="GW46" i="5"/>
  <c r="GV46" i="5"/>
  <c r="GL46" i="5"/>
  <c r="GJ46" i="5"/>
  <c r="GI46" i="5"/>
  <c r="GH46" i="5"/>
  <c r="GA46" i="5"/>
  <c r="FZ46" i="5"/>
  <c r="FY46" i="5"/>
  <c r="FI46" i="5"/>
  <c r="FG46" i="5"/>
  <c r="FD46" i="5"/>
  <c r="FB46" i="5"/>
  <c r="FA46" i="5"/>
  <c r="EZ46" i="5"/>
  <c r="EY46" i="5"/>
  <c r="EX46" i="5"/>
  <c r="EV46" i="5"/>
  <c r="ET46" i="5"/>
  <c r="EO46" i="5"/>
  <c r="EN46" i="5"/>
  <c r="EM46" i="5"/>
  <c r="DY46" i="5"/>
  <c r="DX46" i="5"/>
  <c r="DW46" i="5"/>
  <c r="DO46" i="5"/>
  <c r="DN46" i="5"/>
  <c r="DM46" i="5"/>
  <c r="DL46" i="5"/>
  <c r="DK46" i="5"/>
  <c r="DJ46" i="5"/>
  <c r="DI46" i="5"/>
  <c r="DH46" i="5"/>
  <c r="DF46" i="5"/>
  <c r="DC46" i="5"/>
  <c r="DB46" i="5"/>
  <c r="DQ46" i="5" s="1"/>
  <c r="CZ46" i="5"/>
  <c r="CY46" i="5"/>
  <c r="CX46" i="5"/>
  <c r="CW46" i="5"/>
  <c r="CV46" i="5"/>
  <c r="CU46" i="5"/>
  <c r="CT46" i="5"/>
  <c r="CS46" i="5"/>
  <c r="CR46" i="5"/>
  <c r="CQ46" i="5"/>
  <c r="CP46" i="5"/>
  <c r="CO46" i="5"/>
  <c r="CN46" i="5"/>
  <c r="CM46" i="5"/>
  <c r="CJ46" i="5"/>
  <c r="CI46" i="5"/>
  <c r="BU46" i="5"/>
  <c r="BS46" i="5"/>
  <c r="BP46" i="5"/>
  <c r="BN46" i="5"/>
  <c r="BM46" i="5"/>
  <c r="BL46" i="5"/>
  <c r="BK46" i="5"/>
  <c r="BJ46" i="5"/>
  <c r="BH46" i="5"/>
  <c r="BF46" i="5"/>
  <c r="BC46" i="5"/>
  <c r="BA46" i="5"/>
  <c r="AZ46" i="5"/>
  <c r="AY46" i="5"/>
  <c r="AR46" i="5"/>
  <c r="AQ46" i="5"/>
  <c r="AP46" i="5"/>
  <c r="R46" i="5"/>
  <c r="P46" i="5"/>
  <c r="O46" i="5"/>
  <c r="A46" i="5"/>
  <c r="HK45" i="5"/>
  <c r="HA45" i="5"/>
  <c r="GY45" i="5"/>
  <c r="GX45" i="5"/>
  <c r="GW45" i="5"/>
  <c r="GV45" i="5"/>
  <c r="GL45" i="5"/>
  <c r="GJ45" i="5"/>
  <c r="GI45" i="5"/>
  <c r="GH45" i="5"/>
  <c r="GA45" i="5"/>
  <c r="FZ45" i="5"/>
  <c r="FY45" i="5"/>
  <c r="FI45" i="5"/>
  <c r="FG45" i="5"/>
  <c r="FD45" i="5"/>
  <c r="FB45" i="5"/>
  <c r="FA45" i="5"/>
  <c r="EZ45" i="5"/>
  <c r="EY45" i="5"/>
  <c r="EX45" i="5"/>
  <c r="EV45" i="5"/>
  <c r="ET45" i="5"/>
  <c r="EO45" i="5"/>
  <c r="EN45" i="5"/>
  <c r="EM45" i="5"/>
  <c r="DY45" i="5"/>
  <c r="DX45" i="5"/>
  <c r="DW45" i="5"/>
  <c r="DO45" i="5"/>
  <c r="DN45" i="5"/>
  <c r="DM45" i="5"/>
  <c r="DL45" i="5"/>
  <c r="DK45" i="5"/>
  <c r="DJ45" i="5"/>
  <c r="DI45" i="5"/>
  <c r="DH45" i="5"/>
  <c r="DF45" i="5"/>
  <c r="DC45" i="5"/>
  <c r="DB45" i="5"/>
  <c r="DQ45" i="5" s="1"/>
  <c r="CZ45" i="5"/>
  <c r="CY45" i="5"/>
  <c r="CX45" i="5"/>
  <c r="CW45" i="5"/>
  <c r="CV45" i="5"/>
  <c r="CU45" i="5"/>
  <c r="CT45" i="5"/>
  <c r="CS45" i="5"/>
  <c r="CR45" i="5"/>
  <c r="CQ45" i="5"/>
  <c r="CP45" i="5"/>
  <c r="CO45" i="5"/>
  <c r="CN45" i="5"/>
  <c r="CM45" i="5"/>
  <c r="CJ45" i="5"/>
  <c r="CI45" i="5"/>
  <c r="BU45" i="5"/>
  <c r="BS45" i="5"/>
  <c r="BP45" i="5"/>
  <c r="BN45" i="5"/>
  <c r="BM45" i="5"/>
  <c r="BL45" i="5"/>
  <c r="BK45" i="5"/>
  <c r="BJ45" i="5"/>
  <c r="BH45" i="5"/>
  <c r="BF45" i="5"/>
  <c r="BC45" i="5"/>
  <c r="BA45" i="5"/>
  <c r="AZ45" i="5"/>
  <c r="AY45" i="5"/>
  <c r="AR45" i="5"/>
  <c r="AQ45" i="5"/>
  <c r="AP45" i="5"/>
  <c r="R45" i="5"/>
  <c r="P45" i="5"/>
  <c r="O45" i="5"/>
  <c r="A45" i="5"/>
  <c r="HK44" i="5"/>
  <c r="GY44" i="5"/>
  <c r="GX44" i="5"/>
  <c r="GW44" i="5"/>
  <c r="GV44" i="5"/>
  <c r="GL44" i="5"/>
  <c r="GJ44" i="5"/>
  <c r="GI44" i="5"/>
  <c r="GH44" i="5"/>
  <c r="GA44" i="5"/>
  <c r="FZ44" i="5"/>
  <c r="FY44" i="5"/>
  <c r="FI44" i="5"/>
  <c r="FG44" i="5"/>
  <c r="FD44" i="5"/>
  <c r="FB44" i="5"/>
  <c r="FA44" i="5"/>
  <c r="EZ44" i="5"/>
  <c r="EY44" i="5"/>
  <c r="EX44" i="5"/>
  <c r="EV44" i="5"/>
  <c r="ET44" i="5"/>
  <c r="EO44" i="5"/>
  <c r="EN44" i="5"/>
  <c r="EM44" i="5"/>
  <c r="DY44" i="5"/>
  <c r="DX44" i="5"/>
  <c r="DW44" i="5"/>
  <c r="DO44" i="5"/>
  <c r="DN44" i="5"/>
  <c r="DM44" i="5"/>
  <c r="DL44" i="5"/>
  <c r="DK44" i="5"/>
  <c r="DJ44" i="5"/>
  <c r="DI44" i="5"/>
  <c r="DH44" i="5"/>
  <c r="DF44" i="5"/>
  <c r="DC44" i="5"/>
  <c r="DB44" i="5"/>
  <c r="DQ44" i="5" s="1"/>
  <c r="CZ44" i="5"/>
  <c r="CY44" i="5"/>
  <c r="CX44" i="5"/>
  <c r="CW44" i="5"/>
  <c r="CV44" i="5"/>
  <c r="CU44" i="5"/>
  <c r="CT44" i="5"/>
  <c r="CS44" i="5"/>
  <c r="CR44" i="5"/>
  <c r="CQ44" i="5"/>
  <c r="CP44" i="5"/>
  <c r="CO44" i="5"/>
  <c r="CN44" i="5"/>
  <c r="CM44" i="5"/>
  <c r="CJ44" i="5"/>
  <c r="CI44" i="5"/>
  <c r="BU44" i="5"/>
  <c r="BS44" i="5"/>
  <c r="BP44" i="5"/>
  <c r="BN44" i="5"/>
  <c r="BM44" i="5"/>
  <c r="BL44" i="5"/>
  <c r="BK44" i="5"/>
  <c r="BJ44" i="5"/>
  <c r="BH44" i="5"/>
  <c r="BF44" i="5"/>
  <c r="BC44" i="5"/>
  <c r="BA44" i="5"/>
  <c r="AZ44" i="5"/>
  <c r="AY44" i="5"/>
  <c r="AR44" i="5"/>
  <c r="AQ44" i="5"/>
  <c r="AP44" i="5"/>
  <c r="R44" i="5"/>
  <c r="P44" i="5"/>
  <c r="O44" i="5"/>
  <c r="A44" i="5"/>
  <c r="HK43" i="5"/>
  <c r="GY43" i="5"/>
  <c r="GX43" i="5"/>
  <c r="GW43" i="5"/>
  <c r="GV43" i="5"/>
  <c r="GL43" i="5"/>
  <c r="GJ43" i="5"/>
  <c r="GI43" i="5"/>
  <c r="GH43" i="5"/>
  <c r="GA43" i="5"/>
  <c r="FZ43" i="5"/>
  <c r="FY43" i="5"/>
  <c r="FI43" i="5"/>
  <c r="FG43" i="5"/>
  <c r="FD43" i="5"/>
  <c r="FB43" i="5"/>
  <c r="FA43" i="5"/>
  <c r="EZ43" i="5"/>
  <c r="EY43" i="5"/>
  <c r="EX43" i="5"/>
  <c r="EV43" i="5"/>
  <c r="ET43" i="5"/>
  <c r="EO43" i="5"/>
  <c r="EN43" i="5"/>
  <c r="EM43" i="5"/>
  <c r="DY43" i="5"/>
  <c r="DX43" i="5"/>
  <c r="DW43" i="5"/>
  <c r="DO43" i="5"/>
  <c r="DN43" i="5"/>
  <c r="DM43" i="5"/>
  <c r="DL43" i="5"/>
  <c r="DK43" i="5"/>
  <c r="DJ43" i="5"/>
  <c r="DI43" i="5"/>
  <c r="DH43" i="5"/>
  <c r="DF43" i="5"/>
  <c r="DC43" i="5"/>
  <c r="DB43" i="5"/>
  <c r="DQ43" i="5" s="1"/>
  <c r="CZ43" i="5"/>
  <c r="CY43" i="5"/>
  <c r="CX43" i="5"/>
  <c r="CW43" i="5"/>
  <c r="CV43" i="5"/>
  <c r="CU43" i="5"/>
  <c r="CT43" i="5"/>
  <c r="CS43" i="5"/>
  <c r="CR43" i="5"/>
  <c r="CQ43" i="5"/>
  <c r="CP43" i="5"/>
  <c r="CO43" i="5"/>
  <c r="CN43" i="5"/>
  <c r="CM43" i="5"/>
  <c r="CJ43" i="5"/>
  <c r="CI43" i="5"/>
  <c r="BU43" i="5"/>
  <c r="BS43" i="5"/>
  <c r="BP43" i="5"/>
  <c r="BN43" i="5"/>
  <c r="BM43" i="5"/>
  <c r="BL43" i="5"/>
  <c r="BK43" i="5"/>
  <c r="BJ43" i="5"/>
  <c r="BH43" i="5"/>
  <c r="BF43" i="5"/>
  <c r="BC43" i="5"/>
  <c r="BA43" i="5"/>
  <c r="AZ43" i="5"/>
  <c r="AY43" i="5"/>
  <c r="AR43" i="5"/>
  <c r="AQ43" i="5"/>
  <c r="AP43" i="5"/>
  <c r="R43" i="5"/>
  <c r="P43" i="5"/>
  <c r="O43" i="5"/>
  <c r="A43" i="5"/>
  <c r="HK42" i="5"/>
  <c r="GY42" i="5"/>
  <c r="GX42" i="5"/>
  <c r="GW42" i="5"/>
  <c r="GV42" i="5"/>
  <c r="GL42" i="5"/>
  <c r="GJ42" i="5"/>
  <c r="GI42" i="5"/>
  <c r="GH42" i="5"/>
  <c r="GA42" i="5"/>
  <c r="FZ42" i="5"/>
  <c r="FY42" i="5"/>
  <c r="FI42" i="5"/>
  <c r="FG42" i="5"/>
  <c r="FD42" i="5"/>
  <c r="FB42" i="5"/>
  <c r="FA42" i="5"/>
  <c r="EZ42" i="5"/>
  <c r="EY42" i="5"/>
  <c r="EX42" i="5"/>
  <c r="EV42" i="5"/>
  <c r="ET42" i="5"/>
  <c r="EO42" i="5"/>
  <c r="EN42" i="5"/>
  <c r="EM42" i="5"/>
  <c r="DY42" i="5"/>
  <c r="DX42" i="5"/>
  <c r="DW42" i="5"/>
  <c r="DO42" i="5"/>
  <c r="DN42" i="5"/>
  <c r="DM42" i="5"/>
  <c r="DL42" i="5"/>
  <c r="DK42" i="5"/>
  <c r="DJ42" i="5"/>
  <c r="DI42" i="5"/>
  <c r="DH42" i="5"/>
  <c r="DF42" i="5"/>
  <c r="DC42" i="5"/>
  <c r="DB42" i="5"/>
  <c r="DQ42" i="5" s="1"/>
  <c r="CZ42" i="5"/>
  <c r="CY42" i="5"/>
  <c r="CX42" i="5"/>
  <c r="CW42" i="5"/>
  <c r="CV42" i="5"/>
  <c r="CU42" i="5"/>
  <c r="CT42" i="5"/>
  <c r="CS42" i="5"/>
  <c r="CR42" i="5"/>
  <c r="CQ42" i="5"/>
  <c r="CP42" i="5"/>
  <c r="CO42" i="5"/>
  <c r="CN42" i="5"/>
  <c r="CM42" i="5"/>
  <c r="CJ42" i="5"/>
  <c r="CI42" i="5"/>
  <c r="BU42" i="5"/>
  <c r="BS42" i="5"/>
  <c r="BP42" i="5"/>
  <c r="BN42" i="5"/>
  <c r="BM42" i="5"/>
  <c r="BL42" i="5"/>
  <c r="BK42" i="5"/>
  <c r="BJ42" i="5"/>
  <c r="BH42" i="5"/>
  <c r="BF42" i="5"/>
  <c r="BC42" i="5"/>
  <c r="BA42" i="5"/>
  <c r="AZ42" i="5"/>
  <c r="AY42" i="5"/>
  <c r="AR42" i="5"/>
  <c r="AQ42" i="5"/>
  <c r="AP42" i="5"/>
  <c r="R42" i="5"/>
  <c r="P42" i="5"/>
  <c r="O42" i="5"/>
  <c r="A42" i="5"/>
  <c r="HK41" i="5"/>
  <c r="GY41" i="5"/>
  <c r="GX41" i="5"/>
  <c r="GW41" i="5"/>
  <c r="GV41" i="5"/>
  <c r="GL41" i="5"/>
  <c r="GJ41" i="5"/>
  <c r="GI41" i="5"/>
  <c r="GH41" i="5"/>
  <c r="GA41" i="5"/>
  <c r="FZ41" i="5"/>
  <c r="FY41" i="5"/>
  <c r="FG41" i="5"/>
  <c r="FD41" i="5"/>
  <c r="FB41" i="5"/>
  <c r="FA41" i="5"/>
  <c r="EZ41" i="5"/>
  <c r="EY41" i="5"/>
  <c r="EX41" i="5"/>
  <c r="EV41" i="5"/>
  <c r="ET41" i="5"/>
  <c r="EO41" i="5"/>
  <c r="EN41" i="5"/>
  <c r="EM41" i="5"/>
  <c r="DY41" i="5"/>
  <c r="DX41" i="5"/>
  <c r="DW41" i="5"/>
  <c r="DO41" i="5"/>
  <c r="DN41" i="5"/>
  <c r="DM41" i="5"/>
  <c r="DL41" i="5"/>
  <c r="DK41" i="5"/>
  <c r="DJ41" i="5"/>
  <c r="DI41" i="5"/>
  <c r="DH41" i="5"/>
  <c r="DF41" i="5"/>
  <c r="DC41" i="5"/>
  <c r="DB41" i="5"/>
  <c r="DQ41" i="5" s="1"/>
  <c r="CZ41" i="5"/>
  <c r="CY41" i="5"/>
  <c r="CX41" i="5"/>
  <c r="CW41" i="5"/>
  <c r="CV41" i="5"/>
  <c r="CU41" i="5"/>
  <c r="CT41" i="5"/>
  <c r="CS41" i="5"/>
  <c r="CR41" i="5"/>
  <c r="CQ41" i="5"/>
  <c r="CP41" i="5"/>
  <c r="CO41" i="5"/>
  <c r="CN41" i="5"/>
  <c r="CM41" i="5"/>
  <c r="CJ41" i="5"/>
  <c r="CI41" i="5"/>
  <c r="BU41" i="5"/>
  <c r="BS41" i="5"/>
  <c r="BP41" i="5"/>
  <c r="BN41" i="5"/>
  <c r="BM41" i="5"/>
  <c r="BL41" i="5"/>
  <c r="BK41" i="5"/>
  <c r="BJ41" i="5"/>
  <c r="BH41" i="5"/>
  <c r="BF41" i="5"/>
  <c r="BC41" i="5"/>
  <c r="BA41" i="5"/>
  <c r="AZ41" i="5"/>
  <c r="AY41" i="5"/>
  <c r="AR41" i="5"/>
  <c r="AQ41" i="5"/>
  <c r="AP41" i="5"/>
  <c r="R41" i="5"/>
  <c r="P41" i="5"/>
  <c r="O41" i="5"/>
  <c r="A41" i="5"/>
  <c r="HK40" i="5"/>
  <c r="HA40" i="5"/>
  <c r="GY40" i="5"/>
  <c r="GX40" i="5"/>
  <c r="GW40" i="5"/>
  <c r="GV40" i="5"/>
  <c r="GL40" i="5"/>
  <c r="GJ40" i="5"/>
  <c r="GI40" i="5"/>
  <c r="GH40" i="5"/>
  <c r="GA40" i="5"/>
  <c r="FZ40" i="5"/>
  <c r="FY40" i="5"/>
  <c r="FG40" i="5"/>
  <c r="FD40" i="5"/>
  <c r="FB40" i="5"/>
  <c r="FA40" i="5"/>
  <c r="EZ40" i="5"/>
  <c r="EY40" i="5"/>
  <c r="EX40" i="5"/>
  <c r="EV40" i="5"/>
  <c r="ET40" i="5"/>
  <c r="EO40" i="5"/>
  <c r="EN40" i="5"/>
  <c r="EM40" i="5"/>
  <c r="DY40" i="5"/>
  <c r="DX40" i="5"/>
  <c r="DW40" i="5"/>
  <c r="DO40" i="5"/>
  <c r="DN40" i="5"/>
  <c r="DM40" i="5"/>
  <c r="DL40" i="5"/>
  <c r="DK40" i="5"/>
  <c r="DJ40" i="5"/>
  <c r="DI40" i="5"/>
  <c r="DH40" i="5"/>
  <c r="DF40" i="5"/>
  <c r="DC40" i="5"/>
  <c r="DB40" i="5"/>
  <c r="CZ40" i="5"/>
  <c r="CY40" i="5"/>
  <c r="CX40" i="5"/>
  <c r="CW40" i="5"/>
  <c r="CV40" i="5"/>
  <c r="CU40" i="5"/>
  <c r="CT40" i="5"/>
  <c r="CS40" i="5"/>
  <c r="CR40" i="5"/>
  <c r="CQ40" i="5"/>
  <c r="CP40" i="5"/>
  <c r="CO40" i="5"/>
  <c r="CN40" i="5"/>
  <c r="CM40" i="5"/>
  <c r="CJ40" i="5"/>
  <c r="CI40" i="5"/>
  <c r="BU40" i="5"/>
  <c r="BS40" i="5"/>
  <c r="BP40" i="5"/>
  <c r="BN40" i="5"/>
  <c r="BM40" i="5"/>
  <c r="BL40" i="5"/>
  <c r="BK40" i="5"/>
  <c r="BJ40" i="5"/>
  <c r="BH40" i="5"/>
  <c r="BF40" i="5"/>
  <c r="BC40" i="5"/>
  <c r="BA40" i="5"/>
  <c r="AZ40" i="5"/>
  <c r="AY40" i="5"/>
  <c r="AR40" i="5"/>
  <c r="AQ40" i="5"/>
  <c r="AP40" i="5"/>
  <c r="R40" i="5"/>
  <c r="P40" i="5"/>
  <c r="O40" i="5"/>
  <c r="A40" i="5"/>
  <c r="HK39" i="5"/>
  <c r="HA39" i="5"/>
  <c r="GY39" i="5"/>
  <c r="GX39" i="5"/>
  <c r="GW39" i="5"/>
  <c r="GV39" i="5"/>
  <c r="GL39" i="5"/>
  <c r="GJ39" i="5"/>
  <c r="GI39" i="5"/>
  <c r="GH39" i="5"/>
  <c r="GA39" i="5"/>
  <c r="FZ39" i="5"/>
  <c r="FY39" i="5"/>
  <c r="FG39" i="5"/>
  <c r="FD39" i="5"/>
  <c r="FB39" i="5"/>
  <c r="FA39" i="5"/>
  <c r="EZ39" i="5"/>
  <c r="EY39" i="5"/>
  <c r="EX39" i="5"/>
  <c r="EV39" i="5"/>
  <c r="ET39" i="5"/>
  <c r="EO39" i="5"/>
  <c r="EN39" i="5"/>
  <c r="EM39" i="5"/>
  <c r="DY39" i="5"/>
  <c r="DX39" i="5"/>
  <c r="DW39" i="5"/>
  <c r="DO39" i="5"/>
  <c r="DN39" i="5"/>
  <c r="DM39" i="5"/>
  <c r="DL39" i="5"/>
  <c r="DK39" i="5"/>
  <c r="DJ39" i="5"/>
  <c r="DI39" i="5"/>
  <c r="DH39" i="5"/>
  <c r="DF39" i="5"/>
  <c r="DC39" i="5"/>
  <c r="DB39" i="5"/>
  <c r="DQ39" i="5" s="1"/>
  <c r="CZ39" i="5"/>
  <c r="CY39" i="5"/>
  <c r="CX39" i="5"/>
  <c r="CW39" i="5"/>
  <c r="CV39" i="5"/>
  <c r="CU39" i="5"/>
  <c r="CT39" i="5"/>
  <c r="CS39" i="5"/>
  <c r="CR39" i="5"/>
  <c r="CQ39" i="5"/>
  <c r="CP39" i="5"/>
  <c r="CO39" i="5"/>
  <c r="CN39" i="5"/>
  <c r="CM39" i="5"/>
  <c r="CJ39" i="5"/>
  <c r="CI39" i="5"/>
  <c r="BU39" i="5"/>
  <c r="BS39" i="5"/>
  <c r="BP39" i="5"/>
  <c r="BN39" i="5"/>
  <c r="BM39" i="5"/>
  <c r="BL39" i="5"/>
  <c r="BK39" i="5"/>
  <c r="BJ39" i="5"/>
  <c r="BH39" i="5"/>
  <c r="BF39" i="5"/>
  <c r="BC39" i="5"/>
  <c r="BA39" i="5"/>
  <c r="AZ39" i="5"/>
  <c r="AY39" i="5"/>
  <c r="AR39" i="5"/>
  <c r="AQ39" i="5"/>
  <c r="AP39" i="5"/>
  <c r="R39" i="5"/>
  <c r="P39" i="5"/>
  <c r="O39" i="5"/>
  <c r="A39" i="5"/>
  <c r="HK38" i="5"/>
  <c r="GY38" i="5"/>
  <c r="GX38" i="5"/>
  <c r="GW38" i="5"/>
  <c r="GV38" i="5"/>
  <c r="GL38" i="5"/>
  <c r="GJ38" i="5"/>
  <c r="GI38" i="5"/>
  <c r="GH38" i="5"/>
  <c r="GA38" i="5"/>
  <c r="FZ38" i="5"/>
  <c r="FY38" i="5"/>
  <c r="FG38" i="5"/>
  <c r="FD38" i="5"/>
  <c r="FB38" i="5"/>
  <c r="FA38" i="5"/>
  <c r="EZ38" i="5"/>
  <c r="EY38" i="5"/>
  <c r="EX38" i="5"/>
  <c r="EV38" i="5"/>
  <c r="ET38" i="5"/>
  <c r="EO38" i="5"/>
  <c r="EM38" i="5"/>
  <c r="DY38" i="5"/>
  <c r="DX38" i="5"/>
  <c r="DW38" i="5"/>
  <c r="DO38" i="5"/>
  <c r="DN38" i="5"/>
  <c r="DM38" i="5"/>
  <c r="DL38" i="5"/>
  <c r="DK38" i="5"/>
  <c r="DJ38" i="5"/>
  <c r="DI38" i="5"/>
  <c r="DH38" i="5"/>
  <c r="DF38" i="5"/>
  <c r="DC38" i="5"/>
  <c r="DB38" i="5"/>
  <c r="DQ38" i="5" s="1"/>
  <c r="CZ38" i="5"/>
  <c r="CY38" i="5"/>
  <c r="CX38" i="5"/>
  <c r="CW38" i="5"/>
  <c r="CV38" i="5"/>
  <c r="CU38" i="5"/>
  <c r="CT38" i="5"/>
  <c r="CS38" i="5"/>
  <c r="CR38" i="5"/>
  <c r="CQ38" i="5"/>
  <c r="CP38" i="5"/>
  <c r="CO38" i="5"/>
  <c r="CN38" i="5"/>
  <c r="CM38" i="5"/>
  <c r="CJ38" i="5"/>
  <c r="CI38" i="5"/>
  <c r="BU38" i="5"/>
  <c r="BS38" i="5"/>
  <c r="BP38" i="5"/>
  <c r="BN38" i="5"/>
  <c r="BM38" i="5"/>
  <c r="BL38" i="5"/>
  <c r="BK38" i="5"/>
  <c r="BJ38" i="5"/>
  <c r="BH38" i="5"/>
  <c r="BF38" i="5"/>
  <c r="BC38" i="5"/>
  <c r="BA38" i="5"/>
  <c r="AZ38" i="5"/>
  <c r="AY38" i="5"/>
  <c r="AR38" i="5"/>
  <c r="AQ38" i="5"/>
  <c r="AP38" i="5"/>
  <c r="R38" i="5"/>
  <c r="P38" i="5"/>
  <c r="O38" i="5"/>
  <c r="A38" i="5"/>
  <c r="HK37" i="5"/>
  <c r="GY37" i="5"/>
  <c r="GX37" i="5"/>
  <c r="GW37" i="5"/>
  <c r="GV37" i="5"/>
  <c r="GL37" i="5"/>
  <c r="GJ37" i="5"/>
  <c r="GI37" i="5"/>
  <c r="GH37" i="5"/>
  <c r="GA37" i="5"/>
  <c r="FZ37" i="5"/>
  <c r="FY37" i="5"/>
  <c r="FG37" i="5"/>
  <c r="FD37" i="5"/>
  <c r="FB37" i="5"/>
  <c r="FA37" i="5"/>
  <c r="EZ37" i="5"/>
  <c r="EY37" i="5"/>
  <c r="EX37" i="5"/>
  <c r="EV37" i="5"/>
  <c r="ET37" i="5"/>
  <c r="EO37" i="5"/>
  <c r="EM37" i="5"/>
  <c r="DY37" i="5"/>
  <c r="DX37" i="5"/>
  <c r="DW37" i="5"/>
  <c r="DO37" i="5"/>
  <c r="DN37" i="5"/>
  <c r="DM37" i="5"/>
  <c r="DL37" i="5"/>
  <c r="DK37" i="5"/>
  <c r="DJ37" i="5"/>
  <c r="DI37" i="5"/>
  <c r="DH37" i="5"/>
  <c r="DF37" i="5"/>
  <c r="DC37" i="5"/>
  <c r="DB37" i="5"/>
  <c r="DQ37" i="5" s="1"/>
  <c r="CZ37" i="5"/>
  <c r="CY37" i="5"/>
  <c r="CX37" i="5"/>
  <c r="CW37" i="5"/>
  <c r="CV37" i="5"/>
  <c r="CU37" i="5"/>
  <c r="CT37" i="5"/>
  <c r="CS37" i="5"/>
  <c r="CR37" i="5"/>
  <c r="CQ37" i="5"/>
  <c r="CP37" i="5"/>
  <c r="CO37" i="5"/>
  <c r="CN37" i="5"/>
  <c r="CM37" i="5"/>
  <c r="BU37" i="5"/>
  <c r="BS37" i="5"/>
  <c r="BP37" i="5"/>
  <c r="BN37" i="5"/>
  <c r="BM37" i="5"/>
  <c r="BL37" i="5"/>
  <c r="BK37" i="5"/>
  <c r="BJ37" i="5"/>
  <c r="BH37" i="5"/>
  <c r="BF37" i="5"/>
  <c r="BC37" i="5"/>
  <c r="BA37" i="5"/>
  <c r="AZ37" i="5"/>
  <c r="AY37" i="5"/>
  <c r="AR37" i="5"/>
  <c r="AQ37" i="5"/>
  <c r="AP37" i="5"/>
  <c r="T37" i="5"/>
  <c r="R37" i="5"/>
  <c r="P37" i="5"/>
  <c r="O37" i="5"/>
  <c r="A37" i="5"/>
  <c r="HK36" i="5"/>
  <c r="GY36" i="5"/>
  <c r="GX36" i="5"/>
  <c r="GW36" i="5"/>
  <c r="GV36" i="5"/>
  <c r="GT36" i="5"/>
  <c r="GL36" i="5"/>
  <c r="GJ36" i="5"/>
  <c r="GI36" i="5"/>
  <c r="GH36" i="5"/>
  <c r="GA36" i="5"/>
  <c r="FZ36" i="5"/>
  <c r="FY36" i="5"/>
  <c r="FH36" i="5"/>
  <c r="FG36" i="5"/>
  <c r="FD36" i="5"/>
  <c r="FB36" i="5"/>
  <c r="FA36" i="5"/>
  <c r="EZ36" i="5"/>
  <c r="EY36" i="5"/>
  <c r="EX36" i="5"/>
  <c r="EW36" i="5"/>
  <c r="EV36" i="5"/>
  <c r="EU36" i="5"/>
  <c r="ET36" i="5"/>
  <c r="ES36" i="5"/>
  <c r="EQ36" i="5"/>
  <c r="EP36" i="5"/>
  <c r="EO36" i="5"/>
  <c r="EN36" i="5"/>
  <c r="EM36" i="5"/>
  <c r="EL36" i="5"/>
  <c r="DY36" i="5"/>
  <c r="DM36" i="5"/>
  <c r="DL36" i="5"/>
  <c r="DK36" i="5"/>
  <c r="DJ36" i="5"/>
  <c r="CZ36" i="5"/>
  <c r="CX36" i="5"/>
  <c r="CW36" i="5"/>
  <c r="CV36" i="5"/>
  <c r="CO36" i="5"/>
  <c r="CN36" i="5"/>
  <c r="CM36" i="5"/>
  <c r="BU36" i="5"/>
  <c r="BS36" i="5"/>
  <c r="BP36" i="5"/>
  <c r="BN36" i="5"/>
  <c r="BM36" i="5"/>
  <c r="BL36" i="5"/>
  <c r="BK36" i="5"/>
  <c r="BJ36" i="5"/>
  <c r="BH36" i="5"/>
  <c r="BF36" i="5"/>
  <c r="BC36" i="5"/>
  <c r="BA36" i="5"/>
  <c r="AZ36" i="5"/>
  <c r="AY36" i="5"/>
  <c r="AR36" i="5"/>
  <c r="AQ36" i="5"/>
  <c r="AP36" i="5"/>
  <c r="R36" i="5"/>
  <c r="P36" i="5"/>
  <c r="O36" i="5"/>
  <c r="A36" i="5"/>
  <c r="HK35" i="5"/>
  <c r="GY35" i="5"/>
  <c r="GX35" i="5"/>
  <c r="GW35" i="5"/>
  <c r="GV35" i="5"/>
  <c r="GL35" i="5"/>
  <c r="GJ35" i="5"/>
  <c r="GI35" i="5"/>
  <c r="GH35" i="5"/>
  <c r="GA35" i="5"/>
  <c r="FZ35" i="5"/>
  <c r="FY35" i="5"/>
  <c r="FH35" i="5"/>
  <c r="FG35" i="5"/>
  <c r="FD35" i="5"/>
  <c r="FB35" i="5"/>
  <c r="FA35" i="5"/>
  <c r="EZ35" i="5"/>
  <c r="EY35" i="5"/>
  <c r="EX35" i="5"/>
  <c r="EW35" i="5"/>
  <c r="EV35" i="5"/>
  <c r="EU35" i="5"/>
  <c r="ET35" i="5"/>
  <c r="ES35" i="5"/>
  <c r="EQ35" i="5"/>
  <c r="EP35" i="5"/>
  <c r="EO35" i="5"/>
  <c r="EN35" i="5"/>
  <c r="EM35" i="5"/>
  <c r="EL35" i="5"/>
  <c r="DY35" i="5"/>
  <c r="DM35" i="5"/>
  <c r="DL35" i="5"/>
  <c r="DK35" i="5"/>
  <c r="DJ35" i="5"/>
  <c r="CZ35" i="5"/>
  <c r="CX35" i="5"/>
  <c r="CW35" i="5"/>
  <c r="CV35" i="5"/>
  <c r="CO35" i="5"/>
  <c r="CN35" i="5"/>
  <c r="CM35" i="5"/>
  <c r="BU35" i="5"/>
  <c r="BS35" i="5"/>
  <c r="BP35" i="5"/>
  <c r="BN35" i="5"/>
  <c r="BM35" i="5"/>
  <c r="BL35" i="5"/>
  <c r="BK35" i="5"/>
  <c r="BJ35" i="5"/>
  <c r="BH35" i="5"/>
  <c r="BF35" i="5"/>
  <c r="BC35" i="5"/>
  <c r="BA35" i="5"/>
  <c r="AZ35" i="5"/>
  <c r="AY35" i="5"/>
  <c r="AR35" i="5"/>
  <c r="AQ35" i="5"/>
  <c r="AP35" i="5"/>
  <c r="R35" i="5"/>
  <c r="P35" i="5"/>
  <c r="O35" i="5"/>
  <c r="A35" i="5"/>
  <c r="HK34" i="5"/>
  <c r="GY34" i="5"/>
  <c r="GX34" i="5"/>
  <c r="GW34" i="5"/>
  <c r="GV34" i="5"/>
  <c r="GT34" i="5"/>
  <c r="GL34" i="5"/>
  <c r="GJ34" i="5"/>
  <c r="GI34" i="5"/>
  <c r="GH34" i="5"/>
  <c r="GA34" i="5"/>
  <c r="FZ34" i="5"/>
  <c r="FY34" i="5"/>
  <c r="FH34" i="5"/>
  <c r="FG34" i="5"/>
  <c r="FD34" i="5"/>
  <c r="FB34" i="5"/>
  <c r="FA34" i="5"/>
  <c r="EZ34" i="5"/>
  <c r="EY34" i="5"/>
  <c r="EX34" i="5"/>
  <c r="EW34" i="5"/>
  <c r="EV34" i="5"/>
  <c r="EU34" i="5"/>
  <c r="ET34" i="5"/>
  <c r="ES34" i="5"/>
  <c r="EQ34" i="5"/>
  <c r="EP34" i="5"/>
  <c r="EO34" i="5"/>
  <c r="EN34" i="5"/>
  <c r="EM34" i="5"/>
  <c r="EL34" i="5"/>
  <c r="DY34" i="5"/>
  <c r="DM34" i="5"/>
  <c r="DL34" i="5"/>
  <c r="DK34" i="5"/>
  <c r="DJ34" i="5"/>
  <c r="CZ34" i="5"/>
  <c r="CX34" i="5"/>
  <c r="CW34" i="5"/>
  <c r="CV34" i="5"/>
  <c r="CO34" i="5"/>
  <c r="CN34" i="5"/>
  <c r="CM34" i="5"/>
  <c r="BU34" i="5"/>
  <c r="BS34" i="5"/>
  <c r="BP34" i="5"/>
  <c r="BN34" i="5"/>
  <c r="BM34" i="5"/>
  <c r="BL34" i="5"/>
  <c r="BK34" i="5"/>
  <c r="BJ34" i="5"/>
  <c r="BH34" i="5"/>
  <c r="BF34" i="5"/>
  <c r="BC34" i="5"/>
  <c r="BA34" i="5"/>
  <c r="AZ34" i="5"/>
  <c r="AY34" i="5"/>
  <c r="AR34" i="5"/>
  <c r="AQ34" i="5"/>
  <c r="AP34" i="5"/>
  <c r="R34" i="5"/>
  <c r="P34" i="5"/>
  <c r="O34" i="5"/>
  <c r="A34" i="5"/>
  <c r="HK33" i="5"/>
  <c r="GY33" i="5"/>
  <c r="GX33" i="5"/>
  <c r="GW33" i="5"/>
  <c r="GV33" i="5"/>
  <c r="GL33" i="5"/>
  <c r="GJ33" i="5"/>
  <c r="GI33" i="5"/>
  <c r="GH33" i="5"/>
  <c r="GA33" i="5"/>
  <c r="FZ33" i="5"/>
  <c r="FY33" i="5"/>
  <c r="FH33" i="5"/>
  <c r="FG33" i="5"/>
  <c r="FD33" i="5"/>
  <c r="FB33" i="5"/>
  <c r="FA33" i="5"/>
  <c r="EZ33" i="5"/>
  <c r="EY33" i="5"/>
  <c r="EX33" i="5"/>
  <c r="EW33" i="5"/>
  <c r="EV33" i="5"/>
  <c r="EU33" i="5"/>
  <c r="ET33" i="5"/>
  <c r="ES33" i="5"/>
  <c r="EQ33" i="5"/>
  <c r="EP33" i="5"/>
  <c r="EO33" i="5"/>
  <c r="EN33" i="5"/>
  <c r="EM33" i="5"/>
  <c r="EL33" i="5"/>
  <c r="DY33" i="5"/>
  <c r="DM33" i="5"/>
  <c r="DL33" i="5"/>
  <c r="DK33" i="5"/>
  <c r="DJ33" i="5"/>
  <c r="CZ33" i="5"/>
  <c r="CX33" i="5"/>
  <c r="CW33" i="5"/>
  <c r="CV33" i="5"/>
  <c r="CO33" i="5"/>
  <c r="CN33" i="5"/>
  <c r="CM33" i="5"/>
  <c r="BU33" i="5"/>
  <c r="BS33" i="5"/>
  <c r="BP33" i="5"/>
  <c r="BN33" i="5"/>
  <c r="BM33" i="5"/>
  <c r="BL33" i="5"/>
  <c r="BK33" i="5"/>
  <c r="BJ33" i="5"/>
  <c r="BH33" i="5"/>
  <c r="BF33" i="5"/>
  <c r="BC33" i="5"/>
  <c r="BA33" i="5"/>
  <c r="AZ33" i="5"/>
  <c r="AY33" i="5"/>
  <c r="AR33" i="5"/>
  <c r="AQ33" i="5"/>
  <c r="AP33" i="5"/>
  <c r="R33" i="5"/>
  <c r="P33" i="5"/>
  <c r="O33" i="5"/>
  <c r="A33" i="5"/>
  <c r="HK32" i="5"/>
  <c r="GY32" i="5"/>
  <c r="GX32" i="5"/>
  <c r="GW32" i="5"/>
  <c r="GV32" i="5"/>
  <c r="GT32" i="5"/>
  <c r="GL32" i="5"/>
  <c r="GJ32" i="5"/>
  <c r="GI32" i="5"/>
  <c r="GH32" i="5"/>
  <c r="GA32" i="5"/>
  <c r="FZ32" i="5"/>
  <c r="FY32" i="5"/>
  <c r="FH32" i="5"/>
  <c r="FG32" i="5"/>
  <c r="FD32" i="5"/>
  <c r="FB32" i="5"/>
  <c r="FA32" i="5"/>
  <c r="EZ32" i="5"/>
  <c r="EY32" i="5"/>
  <c r="EX32" i="5"/>
  <c r="EW32" i="5"/>
  <c r="EV32" i="5"/>
  <c r="EU32" i="5"/>
  <c r="ET32" i="5"/>
  <c r="ES32" i="5"/>
  <c r="EQ32" i="5"/>
  <c r="EP32" i="5"/>
  <c r="EO32" i="5"/>
  <c r="EN32" i="5"/>
  <c r="EM32" i="5"/>
  <c r="EL32" i="5"/>
  <c r="DY32" i="5"/>
  <c r="DM32" i="5"/>
  <c r="DL32" i="5"/>
  <c r="DK32" i="5"/>
  <c r="DJ32" i="5"/>
  <c r="CZ32" i="5"/>
  <c r="CX32" i="5"/>
  <c r="CW32" i="5"/>
  <c r="CV32" i="5"/>
  <c r="CO32" i="5"/>
  <c r="CN32" i="5"/>
  <c r="CM32" i="5"/>
  <c r="BU32" i="5"/>
  <c r="BS32" i="5"/>
  <c r="BP32" i="5"/>
  <c r="BN32" i="5"/>
  <c r="BM32" i="5"/>
  <c r="BL32" i="5"/>
  <c r="BK32" i="5"/>
  <c r="BJ32" i="5"/>
  <c r="BH32" i="5"/>
  <c r="BF32" i="5"/>
  <c r="BC32" i="5"/>
  <c r="BA32" i="5"/>
  <c r="AZ32" i="5"/>
  <c r="AY32" i="5"/>
  <c r="AR32" i="5"/>
  <c r="AQ32" i="5"/>
  <c r="AP32" i="5"/>
  <c r="R32" i="5"/>
  <c r="P32" i="5"/>
  <c r="O32" i="5"/>
  <c r="A32" i="5"/>
  <c r="HK31" i="5"/>
  <c r="GY31" i="5"/>
  <c r="GX31" i="5"/>
  <c r="GW31" i="5"/>
  <c r="GV31" i="5"/>
  <c r="GL31" i="5"/>
  <c r="GJ31" i="5"/>
  <c r="GI31" i="5"/>
  <c r="GH31" i="5"/>
  <c r="GA31" i="5"/>
  <c r="FZ31" i="5"/>
  <c r="FY31" i="5"/>
  <c r="FH31" i="5"/>
  <c r="FG31" i="5"/>
  <c r="FD31" i="5"/>
  <c r="FB31" i="5"/>
  <c r="FA31" i="5"/>
  <c r="EZ31" i="5"/>
  <c r="EY31" i="5"/>
  <c r="EX31" i="5"/>
  <c r="EW31" i="5"/>
  <c r="EV31" i="5"/>
  <c r="EU31" i="5"/>
  <c r="ET31" i="5"/>
  <c r="ES31" i="5"/>
  <c r="EQ31" i="5"/>
  <c r="EP31" i="5"/>
  <c r="EO31" i="5"/>
  <c r="EN31" i="5"/>
  <c r="EM31" i="5"/>
  <c r="EL31" i="5"/>
  <c r="DY31" i="5"/>
  <c r="DM31" i="5"/>
  <c r="DL31" i="5"/>
  <c r="DK31" i="5"/>
  <c r="DJ31" i="5"/>
  <c r="CZ31" i="5"/>
  <c r="CX31" i="5"/>
  <c r="CW31" i="5"/>
  <c r="CV31" i="5"/>
  <c r="CO31" i="5"/>
  <c r="CN31" i="5"/>
  <c r="CM31" i="5"/>
  <c r="BU31" i="5"/>
  <c r="BS31" i="5"/>
  <c r="BP31" i="5"/>
  <c r="BN31" i="5"/>
  <c r="BM31" i="5"/>
  <c r="BL31" i="5"/>
  <c r="BK31" i="5"/>
  <c r="BJ31" i="5"/>
  <c r="BH31" i="5"/>
  <c r="BF31" i="5"/>
  <c r="BA31" i="5"/>
  <c r="AZ31" i="5"/>
  <c r="AY31" i="5"/>
  <c r="AR31" i="5"/>
  <c r="AQ31" i="5"/>
  <c r="AP31" i="5"/>
  <c r="R31" i="5"/>
  <c r="P31" i="5"/>
  <c r="O31" i="5"/>
  <c r="A31" i="5"/>
  <c r="HK30" i="5"/>
  <c r="GY30" i="5"/>
  <c r="GX30" i="5"/>
  <c r="GW30" i="5"/>
  <c r="GV30" i="5"/>
  <c r="GT30" i="5"/>
  <c r="GR30" i="5"/>
  <c r="GL30" i="5"/>
  <c r="GJ30" i="5"/>
  <c r="GI30" i="5"/>
  <c r="GH30" i="5"/>
  <c r="GA30" i="5"/>
  <c r="FZ30" i="5"/>
  <c r="FY30" i="5"/>
  <c r="FH30" i="5"/>
  <c r="FG30" i="5"/>
  <c r="FD30" i="5"/>
  <c r="FB30" i="5"/>
  <c r="FA30" i="5"/>
  <c r="EZ30" i="5"/>
  <c r="EY30" i="5"/>
  <c r="EX30" i="5"/>
  <c r="EW30" i="5"/>
  <c r="EV30" i="5"/>
  <c r="EU30" i="5"/>
  <c r="ET30" i="5"/>
  <c r="ES30" i="5"/>
  <c r="EQ30" i="5"/>
  <c r="EP30" i="5"/>
  <c r="EO30" i="5"/>
  <c r="EN30" i="5"/>
  <c r="EM30" i="5"/>
  <c r="EL30" i="5"/>
  <c r="DY30" i="5"/>
  <c r="DM30" i="5"/>
  <c r="DL30" i="5"/>
  <c r="DK30" i="5"/>
  <c r="DJ30" i="5"/>
  <c r="CZ30" i="5"/>
  <c r="CX30" i="5"/>
  <c r="CW30" i="5"/>
  <c r="CV30" i="5"/>
  <c r="CO30" i="5"/>
  <c r="CN30" i="5"/>
  <c r="CM30" i="5"/>
  <c r="BU30" i="5"/>
  <c r="BS30" i="5"/>
  <c r="BP30" i="5"/>
  <c r="BN30" i="5"/>
  <c r="BM30" i="5"/>
  <c r="BL30" i="5"/>
  <c r="BK30" i="5"/>
  <c r="BJ30" i="5"/>
  <c r="BH30" i="5"/>
  <c r="BF30" i="5"/>
  <c r="BA30" i="5"/>
  <c r="AZ30" i="5"/>
  <c r="AY30" i="5"/>
  <c r="AR30" i="5"/>
  <c r="AQ30" i="5"/>
  <c r="AP30" i="5"/>
  <c r="R30" i="5"/>
  <c r="P30" i="5"/>
  <c r="O30" i="5"/>
  <c r="A30" i="5"/>
  <c r="HK29" i="5"/>
  <c r="HA29" i="5"/>
  <c r="GY29" i="5"/>
  <c r="GX29" i="5"/>
  <c r="GW29" i="5"/>
  <c r="GV29" i="5"/>
  <c r="GL29" i="5"/>
  <c r="GJ29" i="5"/>
  <c r="GI29" i="5"/>
  <c r="GH29" i="5"/>
  <c r="GA29" i="5"/>
  <c r="FZ29" i="5"/>
  <c r="FY29" i="5"/>
  <c r="FH29" i="5"/>
  <c r="FG29" i="5"/>
  <c r="FD29" i="5"/>
  <c r="FB29" i="5"/>
  <c r="FA29" i="5"/>
  <c r="EZ29" i="5"/>
  <c r="EY29" i="5"/>
  <c r="EX29" i="5"/>
  <c r="EW29" i="5"/>
  <c r="EV29" i="5"/>
  <c r="EU29" i="5"/>
  <c r="ET29" i="5"/>
  <c r="ES29" i="5"/>
  <c r="EQ29" i="5"/>
  <c r="EP29" i="5"/>
  <c r="EO29" i="5"/>
  <c r="EN29" i="5"/>
  <c r="EM29" i="5"/>
  <c r="EL29" i="5"/>
  <c r="DY29" i="5"/>
  <c r="DM29" i="5"/>
  <c r="DL29" i="5"/>
  <c r="DK29" i="5"/>
  <c r="DJ29" i="5"/>
  <c r="CZ29" i="5"/>
  <c r="CX29" i="5"/>
  <c r="CW29" i="5"/>
  <c r="CV29" i="5"/>
  <c r="CO29" i="5"/>
  <c r="CN29" i="5"/>
  <c r="CM29" i="5"/>
  <c r="BU29" i="5"/>
  <c r="BS29" i="5"/>
  <c r="BP29" i="5"/>
  <c r="BN29" i="5"/>
  <c r="BM29" i="5"/>
  <c r="BL29" i="5"/>
  <c r="BK29" i="5"/>
  <c r="BJ29" i="5"/>
  <c r="BH29" i="5"/>
  <c r="BF29" i="5"/>
  <c r="BA29" i="5"/>
  <c r="AZ29" i="5"/>
  <c r="AY29" i="5"/>
  <c r="AR29" i="5"/>
  <c r="AQ29" i="5"/>
  <c r="AP29" i="5"/>
  <c r="R29" i="5"/>
  <c r="O29" i="5"/>
  <c r="A29" i="5"/>
  <c r="HK28" i="5"/>
  <c r="GY28" i="5"/>
  <c r="GX28" i="5"/>
  <c r="GW28" i="5"/>
  <c r="GV28" i="5"/>
  <c r="GL28" i="5"/>
  <c r="GJ28" i="5"/>
  <c r="GI28" i="5"/>
  <c r="GH28" i="5"/>
  <c r="GA28" i="5"/>
  <c r="FZ28" i="5"/>
  <c r="FY28" i="5"/>
  <c r="FH28" i="5"/>
  <c r="FG28" i="5"/>
  <c r="FD28" i="5"/>
  <c r="FB28" i="5"/>
  <c r="FA28" i="5"/>
  <c r="EZ28" i="5"/>
  <c r="EY28" i="5"/>
  <c r="EX28" i="5"/>
  <c r="EW28" i="5"/>
  <c r="EV28" i="5"/>
  <c r="EU28" i="5"/>
  <c r="ET28" i="5"/>
  <c r="ES28" i="5"/>
  <c r="EQ28" i="5"/>
  <c r="EP28" i="5"/>
  <c r="EO28" i="5"/>
  <c r="EN28" i="5"/>
  <c r="EM28" i="5"/>
  <c r="EL28" i="5"/>
  <c r="DY28" i="5"/>
  <c r="DM28" i="5"/>
  <c r="DL28" i="5"/>
  <c r="DK28" i="5"/>
  <c r="DJ28" i="5"/>
  <c r="DH28" i="5"/>
  <c r="CZ28" i="5"/>
  <c r="CX28" i="5"/>
  <c r="CW28" i="5"/>
  <c r="CV28" i="5"/>
  <c r="CO28" i="5"/>
  <c r="CN28" i="5"/>
  <c r="CM28" i="5"/>
  <c r="BU28" i="5"/>
  <c r="BS28" i="5"/>
  <c r="BP28" i="5"/>
  <c r="BN28" i="5"/>
  <c r="BM28" i="5"/>
  <c r="BL28" i="5"/>
  <c r="BK28" i="5"/>
  <c r="BJ28" i="5"/>
  <c r="BH28" i="5"/>
  <c r="BF28" i="5"/>
  <c r="BA28" i="5"/>
  <c r="AZ28" i="5"/>
  <c r="AY28" i="5"/>
  <c r="AR28" i="5"/>
  <c r="AQ28" i="5"/>
  <c r="AP28" i="5"/>
  <c r="R28" i="5"/>
  <c r="O28" i="5"/>
  <c r="A28" i="5"/>
  <c r="HK27" i="5"/>
  <c r="GY27" i="5"/>
  <c r="GX27" i="5"/>
  <c r="GW27" i="5"/>
  <c r="GV27" i="5"/>
  <c r="GL27" i="5"/>
  <c r="GJ27" i="5"/>
  <c r="GI27" i="5"/>
  <c r="GH27" i="5"/>
  <c r="GA27" i="5"/>
  <c r="FZ27" i="5"/>
  <c r="FY27" i="5"/>
  <c r="FH27" i="5"/>
  <c r="FG27" i="5"/>
  <c r="FD27" i="5"/>
  <c r="FB27" i="5"/>
  <c r="FA27" i="5"/>
  <c r="EZ27" i="5"/>
  <c r="EY27" i="5"/>
  <c r="EX27" i="5"/>
  <c r="EW27" i="5"/>
  <c r="EV27" i="5"/>
  <c r="EU27" i="5"/>
  <c r="ET27" i="5"/>
  <c r="ES27" i="5"/>
  <c r="EQ27" i="5"/>
  <c r="EP27" i="5"/>
  <c r="EO27" i="5"/>
  <c r="EN27" i="5"/>
  <c r="EM27" i="5"/>
  <c r="EL27" i="5"/>
  <c r="DY27" i="5"/>
  <c r="DM27" i="5"/>
  <c r="DL27" i="5"/>
  <c r="DK27" i="5"/>
  <c r="DJ27" i="5"/>
  <c r="CZ27" i="5"/>
  <c r="CX27" i="5"/>
  <c r="CW27" i="5"/>
  <c r="CV27" i="5"/>
  <c r="CO27" i="5"/>
  <c r="CN27" i="5"/>
  <c r="CM27" i="5"/>
  <c r="BU27" i="5"/>
  <c r="BS27" i="5"/>
  <c r="BP27" i="5"/>
  <c r="BN27" i="5"/>
  <c r="BM27" i="5"/>
  <c r="BL27" i="5"/>
  <c r="BK27" i="5"/>
  <c r="BJ27" i="5"/>
  <c r="BH27" i="5"/>
  <c r="BF27" i="5"/>
  <c r="BA27" i="5"/>
  <c r="AZ27" i="5"/>
  <c r="AY27" i="5"/>
  <c r="AR27" i="5"/>
  <c r="AQ27" i="5"/>
  <c r="AP27" i="5"/>
  <c r="R27" i="5"/>
  <c r="O27" i="5"/>
  <c r="A27" i="5"/>
  <c r="HK26" i="5"/>
  <c r="GY26" i="5"/>
  <c r="GX26" i="5"/>
  <c r="GW26" i="5"/>
  <c r="GV26" i="5"/>
  <c r="GL26" i="5"/>
  <c r="GJ26" i="5"/>
  <c r="GI26" i="5"/>
  <c r="GH26" i="5"/>
  <c r="GA26" i="5"/>
  <c r="FZ26" i="5"/>
  <c r="FY26" i="5"/>
  <c r="FH26" i="5"/>
  <c r="FG26" i="5"/>
  <c r="FD26" i="5"/>
  <c r="FB26" i="5"/>
  <c r="FA26" i="5"/>
  <c r="EZ26" i="5"/>
  <c r="EY26" i="5"/>
  <c r="EX26" i="5"/>
  <c r="EW26" i="5"/>
  <c r="EV26" i="5"/>
  <c r="EU26" i="5"/>
  <c r="ET26" i="5"/>
  <c r="ES26" i="5"/>
  <c r="EQ26" i="5"/>
  <c r="EP26" i="5"/>
  <c r="EO26" i="5"/>
  <c r="EN26" i="5"/>
  <c r="EM26" i="5"/>
  <c r="EL26" i="5"/>
  <c r="DY26" i="5"/>
  <c r="DM26" i="5"/>
  <c r="DL26" i="5"/>
  <c r="DK26" i="5"/>
  <c r="DJ26" i="5"/>
  <c r="DH26" i="5"/>
  <c r="DF26" i="5"/>
  <c r="CZ26" i="5"/>
  <c r="CX26" i="5"/>
  <c r="CW26" i="5"/>
  <c r="CV26" i="5"/>
  <c r="CO26" i="5"/>
  <c r="CN26" i="5"/>
  <c r="CM26" i="5"/>
  <c r="BU26" i="5"/>
  <c r="BS26" i="5"/>
  <c r="BP26" i="5"/>
  <c r="BN26" i="5"/>
  <c r="BM26" i="5"/>
  <c r="BL26" i="5"/>
  <c r="BK26" i="5"/>
  <c r="BJ26" i="5"/>
  <c r="BH26" i="5"/>
  <c r="BF26" i="5"/>
  <c r="BA26" i="5"/>
  <c r="AZ26" i="5"/>
  <c r="AY26" i="5"/>
  <c r="AR26" i="5"/>
  <c r="AQ26" i="5"/>
  <c r="AP26" i="5"/>
  <c r="R26" i="5"/>
  <c r="O26" i="5"/>
  <c r="A26" i="5"/>
  <c r="HK25" i="5"/>
  <c r="GY25" i="5"/>
  <c r="GX25" i="5"/>
  <c r="GW25" i="5"/>
  <c r="GV25" i="5"/>
  <c r="GL25" i="5"/>
  <c r="GJ25" i="5"/>
  <c r="GI25" i="5"/>
  <c r="GH25" i="5"/>
  <c r="GA25" i="5"/>
  <c r="FZ25" i="5"/>
  <c r="FY25" i="5"/>
  <c r="FH25" i="5"/>
  <c r="FG25" i="5"/>
  <c r="FD25" i="5"/>
  <c r="FB25" i="5"/>
  <c r="FA25" i="5"/>
  <c r="EZ25" i="5"/>
  <c r="EY25" i="5"/>
  <c r="EX25" i="5"/>
  <c r="EW25" i="5"/>
  <c r="EV25" i="5"/>
  <c r="EU25" i="5"/>
  <c r="ET25" i="5"/>
  <c r="ES25" i="5"/>
  <c r="EQ25" i="5"/>
  <c r="EP25" i="5"/>
  <c r="EO25" i="5"/>
  <c r="EN25" i="5"/>
  <c r="EM25" i="5"/>
  <c r="EL25" i="5"/>
  <c r="DY25" i="5"/>
  <c r="DO25" i="5"/>
  <c r="DM25" i="5"/>
  <c r="DL25" i="5"/>
  <c r="DK25" i="5"/>
  <c r="DJ25" i="5"/>
  <c r="CZ25" i="5"/>
  <c r="CX25" i="5"/>
  <c r="CW25" i="5"/>
  <c r="CV25" i="5"/>
  <c r="CO25" i="5"/>
  <c r="CN25" i="5"/>
  <c r="CM25" i="5"/>
  <c r="BU25" i="5"/>
  <c r="BS25" i="5"/>
  <c r="BP25" i="5"/>
  <c r="BN25" i="5"/>
  <c r="BM25" i="5"/>
  <c r="BL25" i="5"/>
  <c r="BK25" i="5"/>
  <c r="BJ25" i="5"/>
  <c r="BH25" i="5"/>
  <c r="BF25" i="5"/>
  <c r="BA25" i="5"/>
  <c r="AZ25" i="5"/>
  <c r="AY25" i="5"/>
  <c r="AR25" i="5"/>
  <c r="AQ25" i="5"/>
  <c r="AP25" i="5"/>
  <c r="R25" i="5"/>
  <c r="P25" i="5"/>
  <c r="O25" i="5"/>
  <c r="A25" i="5"/>
  <c r="HK24" i="5"/>
  <c r="GY24" i="5"/>
  <c r="GX24" i="5"/>
  <c r="GW24" i="5"/>
  <c r="GV24" i="5"/>
  <c r="GL24" i="5"/>
  <c r="GJ24" i="5"/>
  <c r="GI24" i="5"/>
  <c r="GH24" i="5"/>
  <c r="GA24" i="5"/>
  <c r="FZ24" i="5"/>
  <c r="FY24" i="5"/>
  <c r="FH24" i="5"/>
  <c r="FG24" i="5"/>
  <c r="FD24" i="5"/>
  <c r="FB24" i="5"/>
  <c r="FA24" i="5"/>
  <c r="EZ24" i="5"/>
  <c r="EY24" i="5"/>
  <c r="EX24" i="5"/>
  <c r="EW24" i="5"/>
  <c r="EV24" i="5"/>
  <c r="EU24" i="5"/>
  <c r="ET24" i="5"/>
  <c r="ES24" i="5"/>
  <c r="EQ24" i="5"/>
  <c r="EP24" i="5"/>
  <c r="EO24" i="5"/>
  <c r="EN24" i="5"/>
  <c r="EM24" i="5"/>
  <c r="EL24" i="5"/>
  <c r="DY24" i="5"/>
  <c r="DM24" i="5"/>
  <c r="DL24" i="5"/>
  <c r="DK24" i="5"/>
  <c r="DJ24" i="5"/>
  <c r="CZ24" i="5"/>
  <c r="CX24" i="5"/>
  <c r="CW24" i="5"/>
  <c r="CV24" i="5"/>
  <c r="CO24" i="5"/>
  <c r="CN24" i="5"/>
  <c r="CM24" i="5"/>
  <c r="BU24" i="5"/>
  <c r="BS24" i="5"/>
  <c r="BP24" i="5"/>
  <c r="BN24" i="5"/>
  <c r="BM24" i="5"/>
  <c r="BL24" i="5"/>
  <c r="BK24" i="5"/>
  <c r="BJ24" i="5"/>
  <c r="BH24" i="5"/>
  <c r="BF24" i="5"/>
  <c r="BA24" i="5"/>
  <c r="AZ24" i="5"/>
  <c r="AY24" i="5"/>
  <c r="AR24" i="5"/>
  <c r="AQ24" i="5"/>
  <c r="AP24" i="5"/>
  <c r="R24" i="5"/>
  <c r="O24" i="5"/>
  <c r="A24" i="5"/>
  <c r="HK23" i="5"/>
  <c r="GY23" i="5"/>
  <c r="GX23" i="5"/>
  <c r="GW23" i="5"/>
  <c r="GV23" i="5"/>
  <c r="GL23" i="5"/>
  <c r="GJ23" i="5"/>
  <c r="GI23" i="5"/>
  <c r="GH23" i="5"/>
  <c r="GA23" i="5"/>
  <c r="FZ23" i="5"/>
  <c r="FY23" i="5"/>
  <c r="FH23" i="5"/>
  <c r="FG23" i="5"/>
  <c r="FD23" i="5"/>
  <c r="FB23" i="5"/>
  <c r="FA23" i="5"/>
  <c r="EZ23" i="5"/>
  <c r="EY23" i="5"/>
  <c r="EX23" i="5"/>
  <c r="EW23" i="5"/>
  <c r="EV23" i="5"/>
  <c r="EU23" i="5"/>
  <c r="ET23" i="5"/>
  <c r="ES23" i="5"/>
  <c r="EQ23" i="5"/>
  <c r="EP23" i="5"/>
  <c r="EO23" i="5"/>
  <c r="EN23" i="5"/>
  <c r="EM23" i="5"/>
  <c r="EL23" i="5"/>
  <c r="DY23" i="5"/>
  <c r="DO23" i="5"/>
  <c r="DM23" i="5"/>
  <c r="DL23" i="5"/>
  <c r="DK23" i="5"/>
  <c r="DJ23" i="5"/>
  <c r="CZ23" i="5"/>
  <c r="CX23" i="5"/>
  <c r="CW23" i="5"/>
  <c r="CV23" i="5"/>
  <c r="CO23" i="5"/>
  <c r="CN23" i="5"/>
  <c r="CM23" i="5"/>
  <c r="BU23" i="5"/>
  <c r="BS23" i="5"/>
  <c r="BP23" i="5"/>
  <c r="BN23" i="5"/>
  <c r="BM23" i="5"/>
  <c r="BL23" i="5"/>
  <c r="BK23" i="5"/>
  <c r="BJ23" i="5"/>
  <c r="BH23" i="5"/>
  <c r="BF23" i="5"/>
  <c r="BA23" i="5"/>
  <c r="AZ23" i="5"/>
  <c r="AY23" i="5"/>
  <c r="AR23" i="5"/>
  <c r="AQ23" i="5"/>
  <c r="AP23" i="5"/>
  <c r="R23" i="5"/>
  <c r="P23" i="5"/>
  <c r="O23" i="5"/>
  <c r="A23" i="5"/>
  <c r="HK22" i="5"/>
  <c r="GY22" i="5"/>
  <c r="GX22" i="5"/>
  <c r="GW22" i="5"/>
  <c r="GV22" i="5"/>
  <c r="GL22" i="5"/>
  <c r="GJ22" i="5"/>
  <c r="GI22" i="5"/>
  <c r="GH22" i="5"/>
  <c r="GA22" i="5"/>
  <c r="FZ22" i="5"/>
  <c r="FY22" i="5"/>
  <c r="FH22" i="5"/>
  <c r="FG22" i="5"/>
  <c r="FD22" i="5"/>
  <c r="FB22" i="5"/>
  <c r="FA22" i="5"/>
  <c r="EZ22" i="5"/>
  <c r="EY22" i="5"/>
  <c r="EX22" i="5"/>
  <c r="EW22" i="5"/>
  <c r="EV22" i="5"/>
  <c r="EU22" i="5"/>
  <c r="ET22" i="5"/>
  <c r="ES22" i="5"/>
  <c r="EQ22" i="5"/>
  <c r="EP22" i="5"/>
  <c r="EO22" i="5"/>
  <c r="EN22" i="5"/>
  <c r="EM22" i="5"/>
  <c r="EL22" i="5"/>
  <c r="DY22" i="5"/>
  <c r="DM22" i="5"/>
  <c r="DL22" i="5"/>
  <c r="DK22" i="5"/>
  <c r="DJ22" i="5"/>
  <c r="CZ22" i="5"/>
  <c r="CX22" i="5"/>
  <c r="CW22" i="5"/>
  <c r="CV22" i="5"/>
  <c r="CO22" i="5"/>
  <c r="CN22" i="5"/>
  <c r="CM22" i="5"/>
  <c r="BU22" i="5"/>
  <c r="BS22" i="5"/>
  <c r="BP22" i="5"/>
  <c r="BN22" i="5"/>
  <c r="BM22" i="5"/>
  <c r="BL22" i="5"/>
  <c r="BK22" i="5"/>
  <c r="BJ22" i="5"/>
  <c r="BH22" i="5"/>
  <c r="BF22" i="5"/>
  <c r="BA22" i="5"/>
  <c r="AY22" i="5"/>
  <c r="AR22" i="5"/>
  <c r="R22" i="5"/>
  <c r="O22" i="5"/>
  <c r="A22" i="5"/>
  <c r="HK21" i="5"/>
  <c r="GY21" i="5"/>
  <c r="GX21" i="5"/>
  <c r="GW21" i="5"/>
  <c r="GV21" i="5"/>
  <c r="GL21" i="5"/>
  <c r="GJ21" i="5"/>
  <c r="GI21" i="5"/>
  <c r="GH21" i="5"/>
  <c r="GA21" i="5"/>
  <c r="FZ21" i="5"/>
  <c r="FY21" i="5"/>
  <c r="FH21" i="5"/>
  <c r="FG21" i="5"/>
  <c r="FD21" i="5"/>
  <c r="FB21" i="5"/>
  <c r="FA21" i="5"/>
  <c r="EZ21" i="5"/>
  <c r="EY21" i="5"/>
  <c r="EX21" i="5"/>
  <c r="EW21" i="5"/>
  <c r="EV21" i="5"/>
  <c r="EU21" i="5"/>
  <c r="ET21" i="5"/>
  <c r="ES21" i="5"/>
  <c r="EQ21" i="5"/>
  <c r="EP21" i="5"/>
  <c r="EO21" i="5"/>
  <c r="EN21" i="5"/>
  <c r="EM21" i="5"/>
  <c r="EL21" i="5"/>
  <c r="DY21" i="5"/>
  <c r="DM21" i="5"/>
  <c r="DL21" i="5"/>
  <c r="DK21" i="5"/>
  <c r="DJ21" i="5"/>
  <c r="DH21" i="5"/>
  <c r="CZ21" i="5"/>
  <c r="CX21" i="5"/>
  <c r="CW21" i="5"/>
  <c r="CV21" i="5"/>
  <c r="CO21" i="5"/>
  <c r="CN21" i="5"/>
  <c r="CM21" i="5"/>
  <c r="BU21" i="5"/>
  <c r="BS21" i="5"/>
  <c r="BP21" i="5"/>
  <c r="BN21" i="5"/>
  <c r="BM21" i="5"/>
  <c r="BL21" i="5"/>
  <c r="BK21" i="5"/>
  <c r="BJ21" i="5"/>
  <c r="BH21" i="5"/>
  <c r="BF21" i="5"/>
  <c r="BA21" i="5"/>
  <c r="AZ21" i="5"/>
  <c r="AY21" i="5"/>
  <c r="AR21" i="5"/>
  <c r="AQ21" i="5"/>
  <c r="AP21" i="5"/>
  <c r="R21" i="5"/>
  <c r="O21" i="5"/>
  <c r="A21" i="5"/>
  <c r="HK20" i="5"/>
  <c r="GY20" i="5"/>
  <c r="GX20" i="5"/>
  <c r="GW20" i="5"/>
  <c r="GV20" i="5"/>
  <c r="GL20" i="5"/>
  <c r="GJ20" i="5"/>
  <c r="GI20" i="5"/>
  <c r="GH20" i="5"/>
  <c r="GA20" i="5"/>
  <c r="FZ20" i="5"/>
  <c r="FY20" i="5"/>
  <c r="FH20" i="5"/>
  <c r="FG20" i="5"/>
  <c r="FD20" i="5"/>
  <c r="FB20" i="5"/>
  <c r="FA20" i="5"/>
  <c r="EZ20" i="5"/>
  <c r="EY20" i="5"/>
  <c r="EX20" i="5"/>
  <c r="EW20" i="5"/>
  <c r="EV20" i="5"/>
  <c r="EU20" i="5"/>
  <c r="ET20" i="5"/>
  <c r="ES20" i="5"/>
  <c r="EQ20" i="5"/>
  <c r="EP20" i="5"/>
  <c r="EO20" i="5"/>
  <c r="EN20" i="5"/>
  <c r="EM20" i="5"/>
  <c r="EL20" i="5"/>
  <c r="DY20" i="5"/>
  <c r="DM20" i="5"/>
  <c r="DL20" i="5"/>
  <c r="DK20" i="5"/>
  <c r="DJ20" i="5"/>
  <c r="CZ20" i="5"/>
  <c r="CX20" i="5"/>
  <c r="CW20" i="5"/>
  <c r="CV20" i="5"/>
  <c r="CO20" i="5"/>
  <c r="CN20" i="5"/>
  <c r="CM20" i="5"/>
  <c r="BU20" i="5"/>
  <c r="BS20" i="5"/>
  <c r="BP20" i="5"/>
  <c r="BN20" i="5"/>
  <c r="BM20" i="5"/>
  <c r="BL20" i="5"/>
  <c r="BK20" i="5"/>
  <c r="BJ20" i="5"/>
  <c r="BH20" i="5"/>
  <c r="BF20" i="5"/>
  <c r="BA20" i="5"/>
  <c r="AZ20" i="5"/>
  <c r="AY20" i="5"/>
  <c r="AR20" i="5"/>
  <c r="AQ20" i="5"/>
  <c r="AP20" i="5"/>
  <c r="R20" i="5"/>
  <c r="O20" i="5"/>
  <c r="A20" i="5"/>
  <c r="HK19" i="5"/>
  <c r="GY19" i="5"/>
  <c r="GX19" i="5"/>
  <c r="GW19" i="5"/>
  <c r="GV19" i="5"/>
  <c r="GL19" i="5"/>
  <c r="GJ19" i="5"/>
  <c r="GI19" i="5"/>
  <c r="GH19" i="5"/>
  <c r="GA19" i="5"/>
  <c r="FZ19" i="5"/>
  <c r="FY19" i="5"/>
  <c r="FH19" i="5"/>
  <c r="FG19" i="5"/>
  <c r="FD19" i="5"/>
  <c r="FB19" i="5"/>
  <c r="FA19" i="5"/>
  <c r="EZ19" i="5"/>
  <c r="EY19" i="5"/>
  <c r="EX19" i="5"/>
  <c r="EW19" i="5"/>
  <c r="EV19" i="5"/>
  <c r="EU19" i="5"/>
  <c r="ET19" i="5"/>
  <c r="ES19" i="5"/>
  <c r="EQ19" i="5"/>
  <c r="EP19" i="5"/>
  <c r="EO19" i="5"/>
  <c r="EN19" i="5"/>
  <c r="EM19" i="5"/>
  <c r="EL19" i="5"/>
  <c r="DY19" i="5"/>
  <c r="DM19" i="5"/>
  <c r="DL19" i="5"/>
  <c r="DK19" i="5"/>
  <c r="DJ19" i="5"/>
  <c r="DF19" i="5"/>
  <c r="CZ19" i="5"/>
  <c r="CX19" i="5"/>
  <c r="CW19" i="5"/>
  <c r="CV19" i="5"/>
  <c r="CO19" i="5"/>
  <c r="CN19" i="5"/>
  <c r="CM19" i="5"/>
  <c r="BU19" i="5"/>
  <c r="BS19" i="5"/>
  <c r="BP19" i="5"/>
  <c r="BN19" i="5"/>
  <c r="BM19" i="5"/>
  <c r="BL19" i="5"/>
  <c r="BK19" i="5"/>
  <c r="BJ19" i="5"/>
  <c r="BH19" i="5"/>
  <c r="BF19" i="5"/>
  <c r="BA19" i="5"/>
  <c r="AZ19" i="5"/>
  <c r="AY19" i="5"/>
  <c r="AR19" i="5"/>
  <c r="AQ19" i="5"/>
  <c r="AP19" i="5"/>
  <c r="R19" i="5"/>
  <c r="O19" i="5"/>
  <c r="A19" i="5"/>
  <c r="HK18" i="5"/>
  <c r="GY18" i="5"/>
  <c r="GX18" i="5"/>
  <c r="GW18" i="5"/>
  <c r="GV18" i="5"/>
  <c r="GL18" i="5"/>
  <c r="GJ18" i="5"/>
  <c r="GI18" i="5"/>
  <c r="GH18" i="5"/>
  <c r="GA18" i="5"/>
  <c r="FZ18" i="5"/>
  <c r="FY18" i="5"/>
  <c r="FH18" i="5"/>
  <c r="FG18" i="5"/>
  <c r="FD18" i="5"/>
  <c r="FB18" i="5"/>
  <c r="FA18" i="5"/>
  <c r="EZ18" i="5"/>
  <c r="EY18" i="5"/>
  <c r="EX18" i="5"/>
  <c r="EW18" i="5"/>
  <c r="EV18" i="5"/>
  <c r="EU18" i="5"/>
  <c r="ET18" i="5"/>
  <c r="ES18" i="5"/>
  <c r="EQ18" i="5"/>
  <c r="EP18" i="5"/>
  <c r="EO18" i="5"/>
  <c r="EN18" i="5"/>
  <c r="EM18" i="5"/>
  <c r="EL18" i="5"/>
  <c r="DY18" i="5"/>
  <c r="DO18" i="5"/>
  <c r="DM18" i="5"/>
  <c r="DL18" i="5"/>
  <c r="DK18" i="5"/>
  <c r="DJ18" i="5"/>
  <c r="CZ18" i="5"/>
  <c r="CX18" i="5"/>
  <c r="CW18" i="5"/>
  <c r="CV18" i="5"/>
  <c r="CO18" i="5"/>
  <c r="CN18" i="5"/>
  <c r="CM18" i="5"/>
  <c r="BU18" i="5"/>
  <c r="BS18" i="5"/>
  <c r="BP18" i="5"/>
  <c r="BN18" i="5"/>
  <c r="BM18" i="5"/>
  <c r="BL18" i="5"/>
  <c r="BK18" i="5"/>
  <c r="BJ18" i="5"/>
  <c r="BH18" i="5"/>
  <c r="BF18" i="5"/>
  <c r="BA18" i="5"/>
  <c r="AZ18" i="5"/>
  <c r="AY18" i="5"/>
  <c r="AR18" i="5"/>
  <c r="AQ18" i="5"/>
  <c r="AP18" i="5"/>
  <c r="R18" i="5"/>
  <c r="P18" i="5"/>
  <c r="O18" i="5"/>
  <c r="A18" i="5"/>
  <c r="HK17" i="5"/>
  <c r="GY17" i="5"/>
  <c r="GX17" i="5"/>
  <c r="GW17" i="5"/>
  <c r="GV17" i="5"/>
  <c r="GL17" i="5"/>
  <c r="GJ17" i="5"/>
  <c r="GI17" i="5"/>
  <c r="GH17" i="5"/>
  <c r="GA17" i="5"/>
  <c r="FZ17" i="5"/>
  <c r="FY17" i="5"/>
  <c r="FH17" i="5"/>
  <c r="FG17" i="5"/>
  <c r="FD17" i="5"/>
  <c r="FB17" i="5"/>
  <c r="FA17" i="5"/>
  <c r="EZ17" i="5"/>
  <c r="EY17" i="5"/>
  <c r="EX17" i="5"/>
  <c r="EW17" i="5"/>
  <c r="EV17" i="5"/>
  <c r="EU17" i="5"/>
  <c r="ET17" i="5"/>
  <c r="ES17" i="5"/>
  <c r="EQ17" i="5"/>
  <c r="EP17" i="5"/>
  <c r="EO17" i="5"/>
  <c r="EN17" i="5"/>
  <c r="EM17" i="5"/>
  <c r="EL17" i="5"/>
  <c r="DY17" i="5"/>
  <c r="DM17" i="5"/>
  <c r="DL17" i="5"/>
  <c r="DK17" i="5"/>
  <c r="DJ17" i="5"/>
  <c r="CZ17" i="5"/>
  <c r="CX17" i="5"/>
  <c r="CW17" i="5"/>
  <c r="CV17" i="5"/>
  <c r="CO17" i="5"/>
  <c r="CN17" i="5"/>
  <c r="CM17" i="5"/>
  <c r="BU17" i="5"/>
  <c r="BS17" i="5"/>
  <c r="BP17" i="5"/>
  <c r="BN17" i="5"/>
  <c r="BM17" i="5"/>
  <c r="BL17" i="5"/>
  <c r="BK17" i="5"/>
  <c r="BJ17" i="5"/>
  <c r="BH17" i="5"/>
  <c r="BF17" i="5"/>
  <c r="BA17" i="5"/>
  <c r="AY17" i="5"/>
  <c r="AR17" i="5"/>
  <c r="R17" i="5"/>
  <c r="O17" i="5"/>
  <c r="A17" i="5"/>
  <c r="HK16" i="5"/>
  <c r="GY16" i="5"/>
  <c r="GX16" i="5"/>
  <c r="GW16" i="5"/>
  <c r="GV16" i="5"/>
  <c r="GR16" i="5"/>
  <c r="GL16" i="5"/>
  <c r="GJ16" i="5"/>
  <c r="GI16" i="5"/>
  <c r="GH16" i="5"/>
  <c r="GA16" i="5"/>
  <c r="FZ16" i="5"/>
  <c r="FY16" i="5"/>
  <c r="FH16" i="5"/>
  <c r="FG16" i="5"/>
  <c r="FD16" i="5"/>
  <c r="FB16" i="5"/>
  <c r="FA16" i="5"/>
  <c r="EZ16" i="5"/>
  <c r="EY16" i="5"/>
  <c r="EX16" i="5"/>
  <c r="EW16" i="5"/>
  <c r="EV16" i="5"/>
  <c r="EU16" i="5"/>
  <c r="ET16" i="5"/>
  <c r="ES16" i="5"/>
  <c r="EQ16" i="5"/>
  <c r="EP16" i="5"/>
  <c r="EO16" i="5"/>
  <c r="EN16" i="5"/>
  <c r="EM16" i="5"/>
  <c r="EL16" i="5"/>
  <c r="DY16" i="5"/>
  <c r="DM16" i="5"/>
  <c r="DL16" i="5"/>
  <c r="DK16" i="5"/>
  <c r="DJ16" i="5"/>
  <c r="CZ16" i="5"/>
  <c r="CX16" i="5"/>
  <c r="CW16" i="5"/>
  <c r="CV16" i="5"/>
  <c r="CO16" i="5"/>
  <c r="CN16" i="5"/>
  <c r="CM16" i="5"/>
  <c r="BU16" i="5"/>
  <c r="BS16" i="5"/>
  <c r="BP16" i="5"/>
  <c r="BN16" i="5"/>
  <c r="BM16" i="5"/>
  <c r="BL16" i="5"/>
  <c r="BK16" i="5"/>
  <c r="BJ16" i="5"/>
  <c r="BH16" i="5"/>
  <c r="BF16" i="5"/>
  <c r="BA16" i="5"/>
  <c r="AZ16" i="5"/>
  <c r="AY16" i="5"/>
  <c r="AR16" i="5"/>
  <c r="AQ16" i="5"/>
  <c r="AP16" i="5"/>
  <c r="R16" i="5"/>
  <c r="O16" i="5"/>
  <c r="A16" i="5"/>
  <c r="HK15" i="5"/>
  <c r="HA15" i="5"/>
  <c r="GY15" i="5"/>
  <c r="GX15" i="5"/>
  <c r="GW15" i="5"/>
  <c r="GV15" i="5"/>
  <c r="GL15" i="5"/>
  <c r="GJ15" i="5"/>
  <c r="GI15" i="5"/>
  <c r="GH15" i="5"/>
  <c r="GA15" i="5"/>
  <c r="FZ15" i="5"/>
  <c r="FY15" i="5"/>
  <c r="FH15" i="5"/>
  <c r="FG15" i="5"/>
  <c r="FD15" i="5"/>
  <c r="FB15" i="5"/>
  <c r="FA15" i="5"/>
  <c r="EZ15" i="5"/>
  <c r="EY15" i="5"/>
  <c r="EX15" i="5"/>
  <c r="EW15" i="5"/>
  <c r="EV15" i="5"/>
  <c r="EU15" i="5"/>
  <c r="ET15" i="5"/>
  <c r="ES15" i="5"/>
  <c r="EQ15" i="5"/>
  <c r="EP15" i="5"/>
  <c r="EO15" i="5"/>
  <c r="EN15" i="5"/>
  <c r="EM15" i="5"/>
  <c r="EL15" i="5"/>
  <c r="DY15" i="5"/>
  <c r="DM15" i="5"/>
  <c r="DL15" i="5"/>
  <c r="DK15" i="5"/>
  <c r="DJ15" i="5"/>
  <c r="CZ15" i="5"/>
  <c r="CX15" i="5"/>
  <c r="CW15" i="5"/>
  <c r="CV15" i="5"/>
  <c r="CO15" i="5"/>
  <c r="CN15" i="5"/>
  <c r="CM15" i="5"/>
  <c r="BU15" i="5"/>
  <c r="BS15" i="5"/>
  <c r="BP15" i="5"/>
  <c r="BN15" i="5"/>
  <c r="BM15" i="5"/>
  <c r="BL15" i="5"/>
  <c r="BK15" i="5"/>
  <c r="BJ15" i="5"/>
  <c r="BH15" i="5"/>
  <c r="BF15" i="5"/>
  <c r="BA15" i="5"/>
  <c r="AZ15" i="5"/>
  <c r="AY15" i="5"/>
  <c r="AR15" i="5"/>
  <c r="AQ15" i="5"/>
  <c r="AP15" i="5"/>
  <c r="R15" i="5"/>
  <c r="O15" i="5"/>
  <c r="A15" i="5"/>
  <c r="HK14" i="5"/>
  <c r="GY14" i="5"/>
  <c r="GX14" i="5"/>
  <c r="GW14" i="5"/>
  <c r="GV14" i="5"/>
  <c r="GL14" i="5"/>
  <c r="GJ14" i="5"/>
  <c r="GI14" i="5"/>
  <c r="GH14" i="5"/>
  <c r="GA14" i="5"/>
  <c r="FZ14" i="5"/>
  <c r="FY14" i="5"/>
  <c r="FH14" i="5"/>
  <c r="FG14" i="5"/>
  <c r="FD14" i="5"/>
  <c r="FB14" i="5"/>
  <c r="FA14" i="5"/>
  <c r="EZ14" i="5"/>
  <c r="EY14" i="5"/>
  <c r="EX14" i="5"/>
  <c r="EW14" i="5"/>
  <c r="EV14" i="5"/>
  <c r="EU14" i="5"/>
  <c r="ET14" i="5"/>
  <c r="ES14" i="5"/>
  <c r="EQ14" i="5"/>
  <c r="EP14" i="5"/>
  <c r="EO14" i="5"/>
  <c r="EN14" i="5"/>
  <c r="EM14" i="5"/>
  <c r="EL14" i="5"/>
  <c r="DY14" i="5"/>
  <c r="DM14" i="5"/>
  <c r="DL14" i="5"/>
  <c r="DK14" i="5"/>
  <c r="DJ14" i="5"/>
  <c r="DH14" i="5"/>
  <c r="CZ14" i="5"/>
  <c r="CX14" i="5"/>
  <c r="CW14" i="5"/>
  <c r="CV14" i="5"/>
  <c r="CO14" i="5"/>
  <c r="CN14" i="5"/>
  <c r="CM14" i="5"/>
  <c r="BU14" i="5"/>
  <c r="BS14" i="5"/>
  <c r="BP14" i="5"/>
  <c r="BN14" i="5"/>
  <c r="BM14" i="5"/>
  <c r="BL14" i="5"/>
  <c r="BK14" i="5"/>
  <c r="BJ14" i="5"/>
  <c r="BH14" i="5"/>
  <c r="BF14" i="5"/>
  <c r="BA14" i="5"/>
  <c r="AZ14" i="5"/>
  <c r="AY14" i="5"/>
  <c r="AR14" i="5"/>
  <c r="AQ14" i="5"/>
  <c r="AP14" i="5"/>
  <c r="R14" i="5"/>
  <c r="O14" i="5"/>
  <c r="A14" i="5"/>
  <c r="HK13" i="5"/>
  <c r="GY13" i="5"/>
  <c r="GX13" i="5"/>
  <c r="GW13" i="5"/>
  <c r="GV13" i="5"/>
  <c r="GL13" i="5"/>
  <c r="GJ13" i="5"/>
  <c r="GI13" i="5"/>
  <c r="GH13" i="5"/>
  <c r="GA13" i="5"/>
  <c r="FZ13" i="5"/>
  <c r="FY13" i="5"/>
  <c r="FH13" i="5"/>
  <c r="FG13" i="5"/>
  <c r="FD13" i="5"/>
  <c r="FB13" i="5"/>
  <c r="FA13" i="5"/>
  <c r="EZ13" i="5"/>
  <c r="EY13" i="5"/>
  <c r="EX13" i="5"/>
  <c r="EW13" i="5"/>
  <c r="EV13" i="5"/>
  <c r="EU13" i="5"/>
  <c r="ET13" i="5"/>
  <c r="ES13" i="5"/>
  <c r="EQ13" i="5"/>
  <c r="EP13" i="5"/>
  <c r="EO13" i="5"/>
  <c r="EN13" i="5"/>
  <c r="EM13" i="5"/>
  <c r="EL13" i="5"/>
  <c r="DY13" i="5"/>
  <c r="DM13" i="5"/>
  <c r="DL13" i="5"/>
  <c r="DK13" i="5"/>
  <c r="DJ13" i="5"/>
  <c r="CZ13" i="5"/>
  <c r="CX13" i="5"/>
  <c r="CW13" i="5"/>
  <c r="CV13" i="5"/>
  <c r="CO13" i="5"/>
  <c r="CN13" i="5"/>
  <c r="CM13" i="5"/>
  <c r="BU13" i="5"/>
  <c r="BS13" i="5"/>
  <c r="BP13" i="5"/>
  <c r="BN13" i="5"/>
  <c r="BM13" i="5"/>
  <c r="BL13" i="5"/>
  <c r="BK13" i="5"/>
  <c r="BJ13" i="5"/>
  <c r="BH13" i="5"/>
  <c r="BF13" i="5"/>
  <c r="BA13" i="5"/>
  <c r="AZ13" i="5"/>
  <c r="AY13" i="5"/>
  <c r="AR13" i="5"/>
  <c r="AQ13" i="5"/>
  <c r="AP13" i="5"/>
  <c r="R13" i="5"/>
  <c r="O13" i="5"/>
  <c r="A13" i="5"/>
  <c r="GY12" i="5"/>
  <c r="GX12" i="5"/>
  <c r="GW12" i="5"/>
  <c r="GV12" i="5"/>
  <c r="GL12" i="5"/>
  <c r="GJ12" i="5"/>
  <c r="GI12" i="5"/>
  <c r="GH12" i="5"/>
  <c r="GA12" i="5"/>
  <c r="FZ12" i="5"/>
  <c r="FY12" i="5"/>
  <c r="FH12" i="5"/>
  <c r="FG12" i="5"/>
  <c r="FD12" i="5"/>
  <c r="FB12" i="5"/>
  <c r="FA12" i="5"/>
  <c r="EZ12" i="5"/>
  <c r="EY12" i="5"/>
  <c r="EX12" i="5"/>
  <c r="EW12" i="5"/>
  <c r="EV12" i="5"/>
  <c r="EU12" i="5"/>
  <c r="ET12" i="5"/>
  <c r="ES12" i="5"/>
  <c r="EQ12" i="5"/>
  <c r="EP12" i="5"/>
  <c r="EO12" i="5"/>
  <c r="EN12" i="5"/>
  <c r="EM12" i="5"/>
  <c r="EL12" i="5"/>
  <c r="DY12" i="5"/>
  <c r="DM12" i="5"/>
  <c r="DL12" i="5"/>
  <c r="DK12" i="5"/>
  <c r="DJ12" i="5"/>
  <c r="CZ12" i="5"/>
  <c r="CX12" i="5"/>
  <c r="CW12" i="5"/>
  <c r="CV12" i="5"/>
  <c r="CO12" i="5"/>
  <c r="CN12" i="5"/>
  <c r="CM12" i="5"/>
  <c r="BU12" i="5"/>
  <c r="BS12" i="5"/>
  <c r="BP12" i="5"/>
  <c r="BN12" i="5"/>
  <c r="BM12" i="5"/>
  <c r="BL12" i="5"/>
  <c r="BK12" i="5"/>
  <c r="BJ12" i="5"/>
  <c r="BH12" i="5"/>
  <c r="BF12" i="5"/>
  <c r="BA12" i="5"/>
  <c r="AY12" i="5"/>
  <c r="AR12" i="5"/>
  <c r="R12" i="5"/>
  <c r="O12" i="5"/>
  <c r="A12" i="5"/>
  <c r="GY11" i="5"/>
  <c r="GX11" i="5"/>
  <c r="GW11" i="5"/>
  <c r="GV11" i="5"/>
  <c r="GR11" i="5"/>
  <c r="GJ11" i="5"/>
  <c r="GI11" i="5"/>
  <c r="GH11" i="5"/>
  <c r="GA11" i="5"/>
  <c r="FZ11" i="5"/>
  <c r="FY11" i="5"/>
  <c r="FH11" i="5"/>
  <c r="FG11" i="5"/>
  <c r="FD11" i="5"/>
  <c r="FB11" i="5"/>
  <c r="FA11" i="5"/>
  <c r="EZ11" i="5"/>
  <c r="EY11" i="5"/>
  <c r="EX11" i="5"/>
  <c r="EW11" i="5"/>
  <c r="EV11" i="5"/>
  <c r="EU11" i="5"/>
  <c r="ET11" i="5"/>
  <c r="ES11" i="5"/>
  <c r="EQ11" i="5"/>
  <c r="EP11" i="5"/>
  <c r="EO11" i="5"/>
  <c r="EN11" i="5"/>
  <c r="EM11" i="5"/>
  <c r="EL11" i="5"/>
  <c r="DY11" i="5"/>
  <c r="DM11" i="5"/>
  <c r="DL11" i="5"/>
  <c r="DK11" i="5"/>
  <c r="DJ11" i="5"/>
  <c r="DH11" i="5"/>
  <c r="CX11" i="5"/>
  <c r="CW11" i="5"/>
  <c r="CV11" i="5"/>
  <c r="CO11" i="5"/>
  <c r="CN11" i="5"/>
  <c r="CM11" i="5"/>
  <c r="BU11" i="5"/>
  <c r="BS11" i="5"/>
  <c r="BP11" i="5"/>
  <c r="BN11" i="5"/>
  <c r="BM11" i="5"/>
  <c r="BL11" i="5"/>
  <c r="BK11" i="5"/>
  <c r="BJ11" i="5"/>
  <c r="BH11" i="5"/>
  <c r="BF11" i="5"/>
  <c r="BA11" i="5"/>
  <c r="AZ11" i="5"/>
  <c r="AY11" i="5"/>
  <c r="AR11" i="5"/>
  <c r="AQ11" i="5"/>
  <c r="AP11" i="5"/>
  <c r="R11" i="5"/>
  <c r="O11" i="5"/>
  <c r="A11" i="5"/>
  <c r="GY10" i="5"/>
  <c r="GX10" i="5"/>
  <c r="GW10" i="5"/>
  <c r="GV10" i="5"/>
  <c r="GJ10" i="5"/>
  <c r="GI10" i="5"/>
  <c r="GH10" i="5"/>
  <c r="GA10" i="5"/>
  <c r="FZ10" i="5"/>
  <c r="FY10" i="5"/>
  <c r="FH10" i="5"/>
  <c r="FG10" i="5"/>
  <c r="FD10" i="5"/>
  <c r="FB10" i="5"/>
  <c r="FA10" i="5"/>
  <c r="EZ10" i="5"/>
  <c r="EY10" i="5"/>
  <c r="EX10" i="5"/>
  <c r="EW10" i="5"/>
  <c r="EV10" i="5"/>
  <c r="EU10" i="5"/>
  <c r="ET10" i="5"/>
  <c r="ES10" i="5"/>
  <c r="EQ10" i="5"/>
  <c r="EP10" i="5"/>
  <c r="EO10" i="5"/>
  <c r="EN10" i="5"/>
  <c r="EM10" i="5"/>
  <c r="EL10" i="5"/>
  <c r="DY10" i="5"/>
  <c r="DM10" i="5"/>
  <c r="DL10" i="5"/>
  <c r="DK10" i="5"/>
  <c r="DJ10" i="5"/>
  <c r="CX10" i="5"/>
  <c r="CW10" i="5"/>
  <c r="CV10" i="5"/>
  <c r="CO10" i="5"/>
  <c r="CN10" i="5"/>
  <c r="CM10" i="5"/>
  <c r="BS10" i="5"/>
  <c r="BP10" i="5"/>
  <c r="BN10" i="5"/>
  <c r="BM10" i="5"/>
  <c r="BL10" i="5"/>
  <c r="BK10" i="5"/>
  <c r="BJ10" i="5"/>
  <c r="BH10" i="5"/>
  <c r="BF10" i="5"/>
  <c r="BA10" i="5"/>
  <c r="AZ10" i="5"/>
  <c r="AY10" i="5"/>
  <c r="AR10" i="5"/>
  <c r="AQ10" i="5"/>
  <c r="AP10" i="5"/>
  <c r="R10" i="5"/>
  <c r="O10" i="5"/>
  <c r="A10" i="5"/>
  <c r="HA9" i="5"/>
  <c r="GY9" i="5"/>
  <c r="GX9" i="5"/>
  <c r="GW9" i="5"/>
  <c r="GV9" i="5"/>
  <c r="GJ9" i="5"/>
  <c r="GI9" i="5"/>
  <c r="GH9" i="5"/>
  <c r="GA9" i="5"/>
  <c r="FZ9" i="5"/>
  <c r="FY9" i="5"/>
  <c r="FH9" i="5"/>
  <c r="FG9" i="5"/>
  <c r="FD9" i="5"/>
  <c r="FB9" i="5"/>
  <c r="FA9" i="5"/>
  <c r="EZ9" i="5"/>
  <c r="EY9" i="5"/>
  <c r="EX9" i="5"/>
  <c r="EW9" i="5"/>
  <c r="EV9" i="5"/>
  <c r="EU9" i="5"/>
  <c r="ET9" i="5"/>
  <c r="ES9" i="5"/>
  <c r="EQ9" i="5"/>
  <c r="EP9" i="5"/>
  <c r="EO9" i="5"/>
  <c r="EN9" i="5"/>
  <c r="EM9" i="5"/>
  <c r="EL9" i="5"/>
  <c r="DY9" i="5"/>
  <c r="DM9" i="5"/>
  <c r="DL9" i="5"/>
  <c r="DK9" i="5"/>
  <c r="DJ9" i="5"/>
  <c r="CX9" i="5"/>
  <c r="CW9" i="5"/>
  <c r="CV9" i="5"/>
  <c r="CO9" i="5"/>
  <c r="CN9" i="5"/>
  <c r="CM9" i="5"/>
  <c r="BS9" i="5"/>
  <c r="BP9" i="5"/>
  <c r="BN9" i="5"/>
  <c r="BM9" i="5"/>
  <c r="BL9" i="5"/>
  <c r="BK9" i="5"/>
  <c r="BJ9" i="5"/>
  <c r="BH9" i="5"/>
  <c r="BF9" i="5"/>
  <c r="BA9" i="5"/>
  <c r="AZ9" i="5"/>
  <c r="AY9" i="5"/>
  <c r="AR9" i="5"/>
  <c r="AQ9" i="5"/>
  <c r="AP9" i="5"/>
  <c r="R9" i="5"/>
  <c r="P9" i="5"/>
  <c r="O9" i="5"/>
  <c r="A9" i="5"/>
  <c r="GY8" i="5"/>
  <c r="GX8" i="5"/>
  <c r="GW8" i="5"/>
  <c r="GV8" i="5"/>
  <c r="GJ8" i="5"/>
  <c r="GI8" i="5"/>
  <c r="GH8" i="5"/>
  <c r="GA8" i="5"/>
  <c r="FZ8" i="5"/>
  <c r="FY8" i="5"/>
  <c r="FH8" i="5"/>
  <c r="FG8" i="5"/>
  <c r="FD8" i="5"/>
  <c r="FB8" i="5"/>
  <c r="FA8" i="5"/>
  <c r="EZ8" i="5"/>
  <c r="EY8" i="5"/>
  <c r="EX8" i="5"/>
  <c r="EW8" i="5"/>
  <c r="EV8" i="5"/>
  <c r="EU8" i="5"/>
  <c r="ET8" i="5"/>
  <c r="ES8" i="5"/>
  <c r="EQ8" i="5"/>
  <c r="EP8" i="5"/>
  <c r="EO8" i="5"/>
  <c r="EN8" i="5"/>
  <c r="EM8" i="5"/>
  <c r="EL8" i="5"/>
  <c r="DY8" i="5"/>
  <c r="DM8" i="5"/>
  <c r="DL8" i="5"/>
  <c r="DK8" i="5"/>
  <c r="DJ8" i="5"/>
  <c r="CX8" i="5"/>
  <c r="CW8" i="5"/>
  <c r="CV8" i="5"/>
  <c r="CO8" i="5"/>
  <c r="CN8" i="5"/>
  <c r="CM8" i="5"/>
  <c r="BS8" i="5"/>
  <c r="BP8" i="5"/>
  <c r="BN8" i="5"/>
  <c r="BM8" i="5"/>
  <c r="BL8" i="5"/>
  <c r="BK8" i="5"/>
  <c r="BJ8" i="5"/>
  <c r="BH8" i="5"/>
  <c r="BF8" i="5"/>
  <c r="BA8" i="5"/>
  <c r="AZ8" i="5"/>
  <c r="AY8" i="5"/>
  <c r="AR8" i="5"/>
  <c r="AQ8" i="5"/>
  <c r="AP8" i="5"/>
  <c r="R8" i="5"/>
  <c r="O8" i="5"/>
  <c r="A8" i="5"/>
  <c r="GY7" i="5"/>
  <c r="GX7" i="5"/>
  <c r="GW7" i="5"/>
  <c r="GV7" i="5"/>
  <c r="GJ7" i="5"/>
  <c r="GI7" i="5"/>
  <c r="GH7" i="5"/>
  <c r="GA7" i="5"/>
  <c r="FZ7" i="5"/>
  <c r="FY7" i="5"/>
  <c r="FH7" i="5"/>
  <c r="FG7" i="5"/>
  <c r="FD7" i="5"/>
  <c r="FB7" i="5"/>
  <c r="FA7" i="5"/>
  <c r="EZ7" i="5"/>
  <c r="EY7" i="5"/>
  <c r="EX7" i="5"/>
  <c r="EW7" i="5"/>
  <c r="EV7" i="5"/>
  <c r="EU7" i="5"/>
  <c r="ET7" i="5"/>
  <c r="ES7" i="5"/>
  <c r="EQ7" i="5"/>
  <c r="EP7" i="5"/>
  <c r="EO7" i="5"/>
  <c r="EN7" i="5"/>
  <c r="EM7" i="5"/>
  <c r="EL7" i="5"/>
  <c r="DY7" i="5"/>
  <c r="DM7" i="5"/>
  <c r="DL7" i="5"/>
  <c r="DK7" i="5"/>
  <c r="DJ7" i="5"/>
  <c r="DH7" i="5"/>
  <c r="DF7" i="5"/>
  <c r="CX7" i="5"/>
  <c r="CW7" i="5"/>
  <c r="CV7" i="5"/>
  <c r="CO7" i="5"/>
  <c r="CN7" i="5"/>
  <c r="CM7" i="5"/>
  <c r="BS7" i="5"/>
  <c r="BP7" i="5"/>
  <c r="BN7" i="5"/>
  <c r="BM7" i="5"/>
  <c r="BL7" i="5"/>
  <c r="BK7" i="5"/>
  <c r="BJ7" i="5"/>
  <c r="BH7" i="5"/>
  <c r="BF7" i="5"/>
  <c r="BA7" i="5"/>
  <c r="AY7" i="5"/>
  <c r="AR7" i="5"/>
  <c r="R7" i="5"/>
  <c r="O7" i="5"/>
  <c r="A7" i="5"/>
  <c r="GY6" i="5"/>
  <c r="GX6" i="5"/>
  <c r="GW6" i="5"/>
  <c r="GV6" i="5"/>
  <c r="GJ6" i="5"/>
  <c r="GI6" i="5"/>
  <c r="GH6" i="5"/>
  <c r="GA6" i="5"/>
  <c r="FZ6" i="5"/>
  <c r="FY6" i="5"/>
  <c r="FH6" i="5"/>
  <c r="FG6" i="5"/>
  <c r="FD6" i="5"/>
  <c r="FB6" i="5"/>
  <c r="FA6" i="5"/>
  <c r="EZ6" i="5"/>
  <c r="EY6" i="5"/>
  <c r="EX6" i="5"/>
  <c r="EW6" i="5"/>
  <c r="EV6" i="5"/>
  <c r="EU6" i="5"/>
  <c r="ET6" i="5"/>
  <c r="ES6" i="5"/>
  <c r="EQ6" i="5"/>
  <c r="EP6" i="5"/>
  <c r="EO6" i="5"/>
  <c r="EN6" i="5"/>
  <c r="EM6" i="5"/>
  <c r="EL6" i="5"/>
  <c r="DY6" i="5"/>
  <c r="DM6" i="5"/>
  <c r="DL6" i="5"/>
  <c r="DK6" i="5"/>
  <c r="DJ6" i="5"/>
  <c r="DH6" i="5"/>
  <c r="DF6" i="5"/>
  <c r="CX6" i="5"/>
  <c r="CW6" i="5"/>
  <c r="CV6" i="5"/>
  <c r="CO6" i="5"/>
  <c r="CN6" i="5"/>
  <c r="CM6" i="5"/>
  <c r="BS6" i="5"/>
  <c r="BP6" i="5"/>
  <c r="BN6" i="5"/>
  <c r="BM6" i="5"/>
  <c r="BL6" i="5"/>
  <c r="BK6" i="5"/>
  <c r="BJ6" i="5"/>
  <c r="BH6" i="5"/>
  <c r="BF6" i="5"/>
  <c r="BA6" i="5"/>
  <c r="AZ6" i="5"/>
  <c r="AY6" i="5"/>
  <c r="AR6" i="5"/>
  <c r="AQ6" i="5"/>
  <c r="AP6" i="5"/>
  <c r="R6" i="5"/>
  <c r="O6" i="5"/>
  <c r="A6" i="5"/>
  <c r="GY5" i="5"/>
  <c r="GX5" i="5"/>
  <c r="GW5" i="5"/>
  <c r="GV5" i="5"/>
  <c r="GJ5" i="5"/>
  <c r="GI5" i="5"/>
  <c r="GH5" i="5"/>
  <c r="GA5" i="5"/>
  <c r="FZ5" i="5"/>
  <c r="FY5" i="5"/>
  <c r="FH5" i="5"/>
  <c r="FG5" i="5"/>
  <c r="FD5" i="5"/>
  <c r="FB5" i="5"/>
  <c r="FA5" i="5"/>
  <c r="EZ5" i="5"/>
  <c r="EY5" i="5"/>
  <c r="EX5" i="5"/>
  <c r="EW5" i="5"/>
  <c r="EV5" i="5"/>
  <c r="EU5" i="5"/>
  <c r="ET5" i="5"/>
  <c r="ES5" i="5"/>
  <c r="EQ5" i="5"/>
  <c r="EP5" i="5"/>
  <c r="EO5" i="5"/>
  <c r="EN5" i="5"/>
  <c r="EM5" i="5"/>
  <c r="EL5" i="5"/>
  <c r="DM5" i="5"/>
  <c r="DL5" i="5"/>
  <c r="DK5" i="5"/>
  <c r="DJ5" i="5"/>
  <c r="CX5" i="5"/>
  <c r="CW5" i="5"/>
  <c r="CV5" i="5"/>
  <c r="CO5" i="5"/>
  <c r="CN5" i="5"/>
  <c r="CM5" i="5"/>
  <c r="BS5" i="5"/>
  <c r="BP5" i="5"/>
  <c r="BN5" i="5"/>
  <c r="BM5" i="5"/>
  <c r="BI5" i="5" s="1"/>
  <c r="BL5" i="5"/>
  <c r="BK5" i="5"/>
  <c r="BJ5" i="5"/>
  <c r="BH5" i="5"/>
  <c r="BF5" i="5"/>
  <c r="BA5" i="5"/>
  <c r="AY5" i="5"/>
  <c r="AR5" i="5"/>
  <c r="R5" i="5"/>
  <c r="O5" i="5"/>
  <c r="A5" i="5"/>
  <c r="GY4" i="5"/>
  <c r="GX4" i="5"/>
  <c r="GW4" i="5"/>
  <c r="GV4" i="5"/>
  <c r="GJ4" i="5"/>
  <c r="GI4" i="5"/>
  <c r="GH4" i="5"/>
  <c r="GA4" i="5"/>
  <c r="FZ4" i="5"/>
  <c r="FY4" i="5"/>
  <c r="FH4" i="5"/>
  <c r="FG4" i="5"/>
  <c r="FD4" i="5"/>
  <c r="FB4" i="5"/>
  <c r="FA4" i="5"/>
  <c r="EZ4" i="5"/>
  <c r="EY4" i="5"/>
  <c r="EX4" i="5"/>
  <c r="EW4" i="5"/>
  <c r="EV4" i="5"/>
  <c r="EU4" i="5"/>
  <c r="ET4" i="5"/>
  <c r="ES4" i="5"/>
  <c r="EQ4" i="5"/>
  <c r="EP4" i="5"/>
  <c r="EO4" i="5"/>
  <c r="EN4" i="5"/>
  <c r="EM4" i="5"/>
  <c r="EL4" i="5"/>
  <c r="DM4" i="5"/>
  <c r="DL4" i="5"/>
  <c r="DK4" i="5"/>
  <c r="DJ4" i="5"/>
  <c r="CX4" i="5"/>
  <c r="CW4" i="5"/>
  <c r="CV4" i="5"/>
  <c r="CO4" i="5"/>
  <c r="CN4" i="5"/>
  <c r="CM4" i="5"/>
  <c r="BS4" i="5"/>
  <c r="BP4" i="5"/>
  <c r="BN4" i="5"/>
  <c r="BM4" i="5"/>
  <c r="BI4" i="5" s="1"/>
  <c r="BL4" i="5"/>
  <c r="BK4" i="5"/>
  <c r="BJ4" i="5"/>
  <c r="BH4" i="5"/>
  <c r="BF4" i="5"/>
  <c r="BA4" i="5"/>
  <c r="AZ4" i="5"/>
  <c r="AY4" i="5"/>
  <c r="AR4" i="5"/>
  <c r="AQ4" i="5"/>
  <c r="AP4" i="5"/>
  <c r="R4" i="5"/>
  <c r="O4" i="5"/>
  <c r="A4" i="5"/>
  <c r="HA3" i="5"/>
  <c r="GY3" i="5"/>
  <c r="GX3" i="5"/>
  <c r="GW3" i="5"/>
  <c r="GV3" i="5"/>
  <c r="GJ3" i="5"/>
  <c r="GI3" i="5"/>
  <c r="GH3" i="5"/>
  <c r="GA3" i="5"/>
  <c r="FZ3" i="5"/>
  <c r="FY3" i="5"/>
  <c r="FH3" i="5"/>
  <c r="FG3" i="5"/>
  <c r="FD3" i="5"/>
  <c r="FB3" i="5"/>
  <c r="FA3" i="5"/>
  <c r="EZ3" i="5"/>
  <c r="EY3" i="5"/>
  <c r="EX3" i="5"/>
  <c r="EW3" i="5"/>
  <c r="EV3" i="5"/>
  <c r="EU3" i="5"/>
  <c r="ET3" i="5"/>
  <c r="ES3" i="5"/>
  <c r="EQ3" i="5"/>
  <c r="EP3" i="5"/>
  <c r="EO3" i="5"/>
  <c r="EN3" i="5"/>
  <c r="EM3" i="5"/>
  <c r="EL3" i="5"/>
  <c r="DM3" i="5"/>
  <c r="DL3" i="5"/>
  <c r="DK3" i="5"/>
  <c r="DJ3" i="5"/>
  <c r="CX3" i="5"/>
  <c r="CW3" i="5"/>
  <c r="CV3" i="5"/>
  <c r="CO3" i="5"/>
  <c r="CN3" i="5"/>
  <c r="CM3" i="5"/>
  <c r="BS3" i="5"/>
  <c r="BP3" i="5"/>
  <c r="BN3" i="5"/>
  <c r="BM3" i="5"/>
  <c r="BL3" i="5"/>
  <c r="BK3" i="5"/>
  <c r="BJ3" i="5"/>
  <c r="BH3" i="5"/>
  <c r="BF3" i="5"/>
  <c r="BA3" i="5"/>
  <c r="AZ3" i="5"/>
  <c r="AY3" i="5"/>
  <c r="AR3" i="5"/>
  <c r="AQ3" i="5"/>
  <c r="AP3" i="5"/>
  <c r="R3" i="5"/>
  <c r="P3" i="5"/>
  <c r="O3" i="5"/>
  <c r="A3" i="5"/>
  <c r="HV2" i="5"/>
  <c r="HS3" i="5" s="1"/>
  <c r="HU2" i="5"/>
  <c r="HI2" i="5"/>
  <c r="HI3" i="5" s="1"/>
  <c r="GY2" i="5"/>
  <c r="GX2" i="5"/>
  <c r="GW2" i="5"/>
  <c r="GV2" i="5"/>
  <c r="GR2" i="5"/>
  <c r="GJ2" i="5"/>
  <c r="GK12" i="5" s="1"/>
  <c r="GH2" i="5"/>
  <c r="GA2" i="5"/>
  <c r="FT2" i="5"/>
  <c r="FS2" i="5"/>
  <c r="FH2" i="5"/>
  <c r="FG2" i="5"/>
  <c r="FD2" i="5"/>
  <c r="FB2" i="5"/>
  <c r="FA2" i="5"/>
  <c r="EZ2" i="5"/>
  <c r="EY2" i="5"/>
  <c r="EX2" i="5"/>
  <c r="EW2" i="5"/>
  <c r="EV2" i="5"/>
  <c r="EU2" i="5"/>
  <c r="ET2" i="5"/>
  <c r="ES2" i="5"/>
  <c r="EQ2" i="5"/>
  <c r="EP2" i="5"/>
  <c r="EO2" i="5"/>
  <c r="EN2" i="5"/>
  <c r="EM2" i="5"/>
  <c r="EL2" i="5"/>
  <c r="EB2" i="5"/>
  <c r="DW2" i="5"/>
  <c r="DW3" i="5" s="1"/>
  <c r="DW4" i="5" s="1"/>
  <c r="DW5" i="5" s="1"/>
  <c r="DW6" i="5" s="1"/>
  <c r="DW7" i="5" s="1"/>
  <c r="DW8" i="5" s="1"/>
  <c r="DW9" i="5" s="1"/>
  <c r="DO2" i="5"/>
  <c r="DM2" i="5"/>
  <c r="DL2" i="5"/>
  <c r="DK2" i="5"/>
  <c r="DJ2" i="5"/>
  <c r="CX2" i="5"/>
  <c r="CV2" i="5"/>
  <c r="CO2" i="5"/>
  <c r="BS2" i="5"/>
  <c r="BP2" i="5"/>
  <c r="BN2" i="5"/>
  <c r="BM2" i="5"/>
  <c r="BL2" i="5"/>
  <c r="BK2" i="5"/>
  <c r="BJ2" i="5"/>
  <c r="BH2" i="5"/>
  <c r="BF2" i="5"/>
  <c r="BA2" i="5"/>
  <c r="AY2" i="5"/>
  <c r="AU2" i="5"/>
  <c r="AR2" i="5"/>
  <c r="AN2" i="5"/>
  <c r="X2" i="5"/>
  <c r="CI2" i="5" s="1"/>
  <c r="S2" i="5"/>
  <c r="Y2" i="5" s="1"/>
  <c r="R2" i="5"/>
  <c r="O2" i="5"/>
  <c r="A2" i="5"/>
  <c r="CJ37" i="3"/>
  <c r="CJ38" i="3"/>
  <c r="CJ39" i="3"/>
  <c r="CJ40" i="3"/>
  <c r="CJ41" i="3"/>
  <c r="CJ42" i="3"/>
  <c r="CJ43" i="3"/>
  <c r="CJ44" i="3"/>
  <c r="CJ45" i="3"/>
  <c r="CJ46" i="3"/>
  <c r="CJ47" i="3"/>
  <c r="CJ48" i="3"/>
  <c r="CJ49" i="3"/>
  <c r="CJ50" i="3"/>
  <c r="CJ51" i="3"/>
  <c r="CJ52" i="3"/>
  <c r="CI37" i="3"/>
  <c r="CI38" i="3"/>
  <c r="CI39" i="3"/>
  <c r="CI40" i="3"/>
  <c r="CI41" i="3"/>
  <c r="CI42" i="3"/>
  <c r="CI43" i="3"/>
  <c r="CI44" i="3"/>
  <c r="CI45" i="3"/>
  <c r="CI46" i="3"/>
  <c r="CI47" i="3"/>
  <c r="CI48" i="3"/>
  <c r="CI49" i="3"/>
  <c r="CI50" i="3"/>
  <c r="CI51" i="3"/>
  <c r="CI52" i="3"/>
  <c r="FY3" i="3"/>
  <c r="FY4" i="3"/>
  <c r="FY5" i="3"/>
  <c r="FY6" i="3"/>
  <c r="FY7" i="3"/>
  <c r="FY8" i="3"/>
  <c r="FY9" i="3"/>
  <c r="FY10" i="3"/>
  <c r="FY11" i="3"/>
  <c r="FY12" i="3"/>
  <c r="FY13" i="3"/>
  <c r="FY14" i="3"/>
  <c r="FY15" i="3"/>
  <c r="FY16" i="3"/>
  <c r="FY17" i="3"/>
  <c r="FY18" i="3"/>
  <c r="FY19" i="3"/>
  <c r="FY20" i="3"/>
  <c r="FY21" i="3"/>
  <c r="FY22" i="3"/>
  <c r="FY23" i="3"/>
  <c r="FY24" i="3"/>
  <c r="FY25" i="3"/>
  <c r="FY26" i="3"/>
  <c r="FY27" i="3"/>
  <c r="FY28" i="3"/>
  <c r="FY29" i="3"/>
  <c r="FY30" i="3"/>
  <c r="FY31" i="3"/>
  <c r="FY32" i="3"/>
  <c r="FY33" i="3"/>
  <c r="FY34" i="3"/>
  <c r="FY35" i="3"/>
  <c r="FY36" i="3"/>
  <c r="FY37" i="3"/>
  <c r="FY38" i="3"/>
  <c r="FY39" i="3"/>
  <c r="FY40" i="3"/>
  <c r="FY41" i="3"/>
  <c r="FY42" i="3"/>
  <c r="FY43" i="3"/>
  <c r="FY44" i="3"/>
  <c r="FY45" i="3"/>
  <c r="FY46" i="3"/>
  <c r="FY47" i="3"/>
  <c r="FY48" i="3"/>
  <c r="FY49" i="3"/>
  <c r="FY50" i="3"/>
  <c r="FY51" i="3"/>
  <c r="FY52" i="3"/>
  <c r="CM4" i="3"/>
  <c r="CM5" i="3"/>
  <c r="CM6" i="3"/>
  <c r="CM7" i="3"/>
  <c r="CM8" i="3"/>
  <c r="CM9" i="3"/>
  <c r="CM10" i="3"/>
  <c r="CM11" i="3"/>
  <c r="CM13" i="3"/>
  <c r="CM14" i="3"/>
  <c r="CM15" i="3"/>
  <c r="CM16" i="3"/>
  <c r="CM17" i="3"/>
  <c r="CM18" i="3"/>
  <c r="CM19" i="3"/>
  <c r="CM20" i="3"/>
  <c r="CM21" i="3"/>
  <c r="CM22" i="3"/>
  <c r="CM23" i="3"/>
  <c r="CM24" i="3"/>
  <c r="CM25" i="3"/>
  <c r="CM26" i="3"/>
  <c r="CM27" i="3"/>
  <c r="CM28" i="3"/>
  <c r="CM29" i="3"/>
  <c r="CM30" i="3"/>
  <c r="CM31" i="3"/>
  <c r="CM32" i="3"/>
  <c r="CM33" i="3"/>
  <c r="CM34" i="3"/>
  <c r="CM35" i="3"/>
  <c r="CM36" i="3"/>
  <c r="CM37" i="3"/>
  <c r="CM38" i="3"/>
  <c r="CM39" i="3"/>
  <c r="CM40" i="3"/>
  <c r="CM41" i="3"/>
  <c r="CM42" i="3"/>
  <c r="CM43" i="3"/>
  <c r="CM44" i="3"/>
  <c r="CM45" i="3"/>
  <c r="CM46" i="3"/>
  <c r="CM47" i="3"/>
  <c r="CM48" i="3"/>
  <c r="CM49" i="3"/>
  <c r="CM50" i="3"/>
  <c r="CM51" i="3"/>
  <c r="CM52" i="3"/>
  <c r="C136" i="2"/>
  <c r="C133" i="2"/>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GR14" i="3"/>
  <c r="GR15" i="3"/>
  <c r="GR30" i="3"/>
  <c r="GR31" i="3"/>
  <c r="GR46" i="3"/>
  <c r="GR47" i="3"/>
  <c r="DH6" i="3"/>
  <c r="DF7" i="3"/>
  <c r="DH14" i="3"/>
  <c r="DF15" i="3"/>
  <c r="DH22" i="3"/>
  <c r="DF23" i="3"/>
  <c r="DH30" i="3"/>
  <c r="DF31" i="3"/>
  <c r="DC37" i="3"/>
  <c r="DF37" i="3"/>
  <c r="DH37" i="3"/>
  <c r="DI37" i="3"/>
  <c r="DC38" i="3"/>
  <c r="DF38" i="3"/>
  <c r="DH38" i="3"/>
  <c r="DC39" i="3"/>
  <c r="DF39" i="3"/>
  <c r="DH39" i="3"/>
  <c r="DC40" i="3"/>
  <c r="DF40" i="3"/>
  <c r="DH40" i="3"/>
  <c r="DI40" i="3"/>
  <c r="DC41" i="3"/>
  <c r="DF41" i="3"/>
  <c r="DH41" i="3"/>
  <c r="DC42" i="3"/>
  <c r="DF42" i="3"/>
  <c r="DH42" i="3"/>
  <c r="DC43" i="3"/>
  <c r="DF43" i="3"/>
  <c r="DH43" i="3"/>
  <c r="DC44" i="3"/>
  <c r="DF44" i="3"/>
  <c r="DH44" i="3"/>
  <c r="DI44" i="3"/>
  <c r="DC45" i="3"/>
  <c r="DF45" i="3"/>
  <c r="DH45" i="3"/>
  <c r="DC46" i="3"/>
  <c r="DF46" i="3"/>
  <c r="DH46" i="3"/>
  <c r="DC47" i="3"/>
  <c r="DF47" i="3"/>
  <c r="DH47" i="3"/>
  <c r="DC48" i="3"/>
  <c r="DF48" i="3"/>
  <c r="DH48" i="3"/>
  <c r="DC49" i="3"/>
  <c r="DF49" i="3"/>
  <c r="DH49" i="3"/>
  <c r="DI49" i="3"/>
  <c r="DC50" i="3"/>
  <c r="DF50" i="3"/>
  <c r="DH50" i="3"/>
  <c r="DC51" i="3"/>
  <c r="DF51" i="3"/>
  <c r="DH51" i="3"/>
  <c r="DC52" i="3"/>
  <c r="DF52" i="3"/>
  <c r="DH52" i="3"/>
  <c r="C144" i="2"/>
  <c r="HA15" i="3"/>
  <c r="HA16" i="3"/>
  <c r="HA31" i="3"/>
  <c r="HA32" i="3"/>
  <c r="HA47" i="3"/>
  <c r="HA48" i="3"/>
  <c r="GY3" i="3"/>
  <c r="GY4" i="3"/>
  <c r="GY5" i="3"/>
  <c r="GY6" i="3"/>
  <c r="GY7" i="3"/>
  <c r="GY8" i="3"/>
  <c r="GY9" i="3"/>
  <c r="GY10" i="3"/>
  <c r="GY11" i="3"/>
  <c r="GY12" i="3"/>
  <c r="GY13" i="3"/>
  <c r="GY14" i="3"/>
  <c r="GY15" i="3"/>
  <c r="GY16" i="3"/>
  <c r="GY17" i="3"/>
  <c r="GY18" i="3"/>
  <c r="GY19" i="3"/>
  <c r="GY20" i="3"/>
  <c r="GY21" i="3"/>
  <c r="GY22" i="3"/>
  <c r="GY23" i="3"/>
  <c r="GY24" i="3"/>
  <c r="GY25" i="3"/>
  <c r="GY26" i="3"/>
  <c r="GY27" i="3"/>
  <c r="GY28" i="3"/>
  <c r="GY29" i="3"/>
  <c r="GY30" i="3"/>
  <c r="GY31" i="3"/>
  <c r="GY32" i="3"/>
  <c r="GY33" i="3"/>
  <c r="GY34" i="3"/>
  <c r="GY35" i="3"/>
  <c r="GY36" i="3"/>
  <c r="GY37" i="3"/>
  <c r="GY38" i="3"/>
  <c r="GY39" i="3"/>
  <c r="GY40" i="3"/>
  <c r="GY41" i="3"/>
  <c r="GY42" i="3"/>
  <c r="GY43" i="3"/>
  <c r="GY44" i="3"/>
  <c r="GY45" i="3"/>
  <c r="GY46" i="3"/>
  <c r="GY47" i="3"/>
  <c r="GY48" i="3"/>
  <c r="GY49" i="3"/>
  <c r="GY50" i="3"/>
  <c r="GY51" i="3"/>
  <c r="GY52" i="3"/>
  <c r="GY2" i="3"/>
  <c r="GX3" i="3"/>
  <c r="GX4" i="3"/>
  <c r="GX5" i="3"/>
  <c r="GX6" i="3"/>
  <c r="GX7" i="3"/>
  <c r="GX8" i="3"/>
  <c r="GX9" i="3"/>
  <c r="GX10" i="3"/>
  <c r="GX11" i="3"/>
  <c r="GX12" i="3"/>
  <c r="GX13" i="3"/>
  <c r="GX14" i="3"/>
  <c r="GX15" i="3"/>
  <c r="GX16" i="3"/>
  <c r="GX17" i="3"/>
  <c r="GX18" i="3"/>
  <c r="GX19" i="3"/>
  <c r="GX20" i="3"/>
  <c r="GX21" i="3"/>
  <c r="GX22" i="3"/>
  <c r="GX23" i="3"/>
  <c r="GX24" i="3"/>
  <c r="GX25" i="3"/>
  <c r="GX26" i="3"/>
  <c r="GX27" i="3"/>
  <c r="GX28" i="3"/>
  <c r="GX29" i="3"/>
  <c r="GX30" i="3"/>
  <c r="GX31" i="3"/>
  <c r="GX32" i="3"/>
  <c r="GX33" i="3"/>
  <c r="GX34" i="3"/>
  <c r="GX35" i="3"/>
  <c r="GX36" i="3"/>
  <c r="GX37" i="3"/>
  <c r="GX38" i="3"/>
  <c r="GX39" i="3"/>
  <c r="GX40" i="3"/>
  <c r="GX41" i="3"/>
  <c r="GX42" i="3"/>
  <c r="GX43" i="3"/>
  <c r="GX44" i="3"/>
  <c r="GX45" i="3"/>
  <c r="GX46" i="3"/>
  <c r="GX47" i="3"/>
  <c r="GX48" i="3"/>
  <c r="GX49" i="3"/>
  <c r="GX50" i="3"/>
  <c r="GX51" i="3"/>
  <c r="GX52" i="3"/>
  <c r="GX2" i="3"/>
  <c r="GW3" i="3"/>
  <c r="GW4" i="3"/>
  <c r="GW5" i="3"/>
  <c r="GW6" i="3"/>
  <c r="GW7" i="3"/>
  <c r="GW8" i="3"/>
  <c r="GW9" i="3"/>
  <c r="GW10" i="3"/>
  <c r="GW11" i="3"/>
  <c r="GW12" i="3"/>
  <c r="GW13" i="3"/>
  <c r="GW14" i="3"/>
  <c r="GW15" i="3"/>
  <c r="GW16" i="3"/>
  <c r="GW17" i="3"/>
  <c r="GW18" i="3"/>
  <c r="GW19" i="3"/>
  <c r="GW20" i="3"/>
  <c r="GW21" i="3"/>
  <c r="GW22" i="3"/>
  <c r="GW23" i="3"/>
  <c r="GW24" i="3"/>
  <c r="GW25" i="3"/>
  <c r="GW26" i="3"/>
  <c r="GW27" i="3"/>
  <c r="GW28" i="3"/>
  <c r="GW29" i="3"/>
  <c r="GW30" i="3"/>
  <c r="GW31" i="3"/>
  <c r="GW32" i="3"/>
  <c r="GW33" i="3"/>
  <c r="GW34" i="3"/>
  <c r="GW35" i="3"/>
  <c r="GW36" i="3"/>
  <c r="GW37" i="3"/>
  <c r="GW38" i="3"/>
  <c r="GW39" i="3"/>
  <c r="GW40" i="3"/>
  <c r="GW41" i="3"/>
  <c r="GW42" i="3"/>
  <c r="GW43" i="3"/>
  <c r="GW44" i="3"/>
  <c r="GW45" i="3"/>
  <c r="GW46" i="3"/>
  <c r="GW47" i="3"/>
  <c r="GW48" i="3"/>
  <c r="GW49" i="3"/>
  <c r="GW50" i="3"/>
  <c r="GW51" i="3"/>
  <c r="GW52" i="3"/>
  <c r="GW2" i="3"/>
  <c r="GV3" i="3"/>
  <c r="GV4" i="3"/>
  <c r="GV5" i="3"/>
  <c r="GV6" i="3"/>
  <c r="GV7" i="3"/>
  <c r="GV8" i="3"/>
  <c r="GV9" i="3"/>
  <c r="GV10" i="3"/>
  <c r="GV11" i="3"/>
  <c r="GV12" i="3"/>
  <c r="GV13" i="3"/>
  <c r="GV14" i="3"/>
  <c r="GV15" i="3"/>
  <c r="GV16" i="3"/>
  <c r="GV17" i="3"/>
  <c r="GV18" i="3"/>
  <c r="GV19" i="3"/>
  <c r="GV20" i="3"/>
  <c r="GV21" i="3"/>
  <c r="GV22" i="3"/>
  <c r="GV23" i="3"/>
  <c r="GV24" i="3"/>
  <c r="GV25" i="3"/>
  <c r="GV26" i="3"/>
  <c r="GV27" i="3"/>
  <c r="GV28" i="3"/>
  <c r="GV29" i="3"/>
  <c r="GV30" i="3"/>
  <c r="GV31" i="3"/>
  <c r="GV32" i="3"/>
  <c r="GV33" i="3"/>
  <c r="GV34" i="3"/>
  <c r="GV35" i="3"/>
  <c r="GV36" i="3"/>
  <c r="GV37" i="3"/>
  <c r="GV38" i="3"/>
  <c r="GV39" i="3"/>
  <c r="GV40" i="3"/>
  <c r="GV41" i="3"/>
  <c r="GV42" i="3"/>
  <c r="GV43" i="3"/>
  <c r="GV44" i="3"/>
  <c r="GV45" i="3"/>
  <c r="GV46" i="3"/>
  <c r="GV47" i="3"/>
  <c r="GV48" i="3"/>
  <c r="GV49" i="3"/>
  <c r="GV50" i="3"/>
  <c r="GV51" i="3"/>
  <c r="GV52" i="3"/>
  <c r="GV2" i="3"/>
  <c r="GT13" i="3"/>
  <c r="GT14" i="3"/>
  <c r="GT29" i="3"/>
  <c r="GT30" i="3"/>
  <c r="GT45" i="3"/>
  <c r="GT46" i="3"/>
  <c r="GA3" i="3"/>
  <c r="GA4" i="3"/>
  <c r="GA5" i="3"/>
  <c r="GA6" i="3"/>
  <c r="GA7" i="3"/>
  <c r="GA8" i="3"/>
  <c r="GA9" i="3"/>
  <c r="GA10" i="3"/>
  <c r="GA11" i="3"/>
  <c r="GA12" i="3"/>
  <c r="GA13" i="3"/>
  <c r="GA14" i="3"/>
  <c r="GA15" i="3"/>
  <c r="GA16" i="3"/>
  <c r="GA17" i="3"/>
  <c r="GA18" i="3"/>
  <c r="GA19" i="3"/>
  <c r="GA20" i="3"/>
  <c r="GA21" i="3"/>
  <c r="GA22" i="3"/>
  <c r="GA23" i="3"/>
  <c r="GA24" i="3"/>
  <c r="GA25" i="3"/>
  <c r="GA26" i="3"/>
  <c r="GA27" i="3"/>
  <c r="GA28" i="3"/>
  <c r="GA29" i="3"/>
  <c r="GA30" i="3"/>
  <c r="GA31" i="3"/>
  <c r="GA32" i="3"/>
  <c r="GA33" i="3"/>
  <c r="GA34" i="3"/>
  <c r="GA35" i="3"/>
  <c r="GA36" i="3"/>
  <c r="GA37" i="3"/>
  <c r="GA38" i="3"/>
  <c r="GA39" i="3"/>
  <c r="GA40" i="3"/>
  <c r="GA41" i="3"/>
  <c r="GA42" i="3"/>
  <c r="GA43" i="3"/>
  <c r="GA44" i="3"/>
  <c r="GA45" i="3"/>
  <c r="GA46" i="3"/>
  <c r="GA47" i="3"/>
  <c r="GA48" i="3"/>
  <c r="GA49" i="3"/>
  <c r="GA50" i="3"/>
  <c r="GA51" i="3"/>
  <c r="GA52" i="3"/>
  <c r="GA2" i="3"/>
  <c r="FZ3" i="3"/>
  <c r="FZ4" i="3"/>
  <c r="FZ5" i="3"/>
  <c r="FZ6" i="3"/>
  <c r="FZ7" i="3"/>
  <c r="FZ8" i="3"/>
  <c r="FZ9" i="3"/>
  <c r="FZ11" i="3"/>
  <c r="FZ12" i="3"/>
  <c r="FZ13" i="3"/>
  <c r="FZ14" i="3"/>
  <c r="FZ15" i="3"/>
  <c r="FZ16" i="3"/>
  <c r="FZ17" i="3"/>
  <c r="FZ18" i="3"/>
  <c r="FZ19" i="3"/>
  <c r="FZ20" i="3"/>
  <c r="FZ21" i="3"/>
  <c r="FZ22" i="3"/>
  <c r="FZ23" i="3"/>
  <c r="FZ24" i="3"/>
  <c r="FZ25" i="3"/>
  <c r="FZ26" i="3"/>
  <c r="FZ27" i="3"/>
  <c r="FZ28" i="3"/>
  <c r="FZ29" i="3"/>
  <c r="FZ30" i="3"/>
  <c r="FZ31" i="3"/>
  <c r="FZ32" i="3"/>
  <c r="FZ33" i="3"/>
  <c r="FZ34" i="3"/>
  <c r="FZ35" i="3"/>
  <c r="FZ36" i="3"/>
  <c r="FZ37" i="3"/>
  <c r="FZ38" i="3"/>
  <c r="FZ39" i="3"/>
  <c r="FZ40" i="3"/>
  <c r="FZ41" i="3"/>
  <c r="FZ43" i="3"/>
  <c r="FZ44" i="3"/>
  <c r="FZ45" i="3"/>
  <c r="FZ46" i="3"/>
  <c r="FZ47" i="3"/>
  <c r="FZ48" i="3"/>
  <c r="FZ49" i="3"/>
  <c r="FZ50" i="3"/>
  <c r="FZ51" i="3"/>
  <c r="FZ52" i="3"/>
  <c r="GH2" i="3"/>
  <c r="FH8" i="3"/>
  <c r="ES4" i="3"/>
  <c r="ES7" i="3"/>
  <c r="ES10" i="3"/>
  <c r="ES13" i="3"/>
  <c r="FA15" i="3"/>
  <c r="EV18" i="3"/>
  <c r="EV21" i="3"/>
  <c r="EX25" i="3"/>
  <c r="EX29" i="3"/>
  <c r="FB32" i="3"/>
  <c r="EV37" i="3"/>
  <c r="EY41" i="3"/>
  <c r="FA45" i="3"/>
  <c r="FA49" i="3"/>
  <c r="EZ2" i="3"/>
  <c r="FD52" i="3"/>
  <c r="FD51" i="3"/>
  <c r="FD50" i="3"/>
  <c r="FD49" i="3"/>
  <c r="FD48" i="3"/>
  <c r="FD47" i="3"/>
  <c r="FD46" i="3"/>
  <c r="FD45" i="3"/>
  <c r="FD44" i="3"/>
  <c r="FD43" i="3"/>
  <c r="FD42" i="3"/>
  <c r="FD41" i="3"/>
  <c r="FD40" i="3"/>
  <c r="FD39" i="3"/>
  <c r="FD38" i="3"/>
  <c r="FD37" i="3"/>
  <c r="FD36" i="3"/>
  <c r="FD35" i="3"/>
  <c r="FD34" i="3"/>
  <c r="FD33" i="3"/>
  <c r="FD32" i="3"/>
  <c r="FD31" i="3"/>
  <c r="FD30" i="3"/>
  <c r="FD29" i="3"/>
  <c r="FD28" i="3"/>
  <c r="FD27" i="3"/>
  <c r="FD26" i="3"/>
  <c r="FD25" i="3"/>
  <c r="FD24" i="3"/>
  <c r="FD23" i="3"/>
  <c r="FD22" i="3"/>
  <c r="FD21" i="3"/>
  <c r="FD20" i="3"/>
  <c r="FD19" i="3"/>
  <c r="FD18" i="3"/>
  <c r="FD17" i="3"/>
  <c r="FD16" i="3"/>
  <c r="FD15" i="3"/>
  <c r="FD14" i="3"/>
  <c r="FD13" i="3"/>
  <c r="FD12" i="3"/>
  <c r="FD11" i="3"/>
  <c r="FD10" i="3"/>
  <c r="FD9" i="3"/>
  <c r="FD8" i="3"/>
  <c r="FD7" i="3"/>
  <c r="FD6" i="3"/>
  <c r="FD5" i="3"/>
  <c r="FD4" i="3"/>
  <c r="FD3" i="3"/>
  <c r="FD2" i="3"/>
  <c r="BP2" i="3"/>
  <c r="BF3" i="3"/>
  <c r="BH3" i="3"/>
  <c r="BF4" i="3"/>
  <c r="BH4" i="3"/>
  <c r="BF5" i="3"/>
  <c r="BH5" i="3"/>
  <c r="BF6" i="3"/>
  <c r="BH6" i="3"/>
  <c r="BF7" i="3"/>
  <c r="BH7" i="3"/>
  <c r="BF8" i="3"/>
  <c r="BH8" i="3"/>
  <c r="BF9" i="3"/>
  <c r="BH9" i="3"/>
  <c r="BF10" i="3"/>
  <c r="BH10" i="3"/>
  <c r="BF11" i="3"/>
  <c r="BH11" i="3"/>
  <c r="BF12" i="3"/>
  <c r="BH12" i="3"/>
  <c r="BF13" i="3"/>
  <c r="BH13" i="3"/>
  <c r="BF14" i="3"/>
  <c r="BH14" i="3"/>
  <c r="BF15" i="3"/>
  <c r="BH15" i="3"/>
  <c r="BF16" i="3"/>
  <c r="BH16" i="3"/>
  <c r="BF17" i="3"/>
  <c r="BH17" i="3"/>
  <c r="BF18" i="3"/>
  <c r="BH18" i="3"/>
  <c r="BF19" i="3"/>
  <c r="BH19" i="3"/>
  <c r="BF20" i="3"/>
  <c r="BH20" i="3"/>
  <c r="BF21" i="3"/>
  <c r="BH21" i="3"/>
  <c r="BF22" i="3"/>
  <c r="BH22" i="3"/>
  <c r="BF23" i="3"/>
  <c r="BH23" i="3"/>
  <c r="BF24" i="3"/>
  <c r="BH24" i="3"/>
  <c r="BF25" i="3"/>
  <c r="BH25" i="3"/>
  <c r="BF26" i="3"/>
  <c r="BH26" i="3"/>
  <c r="BF27" i="3"/>
  <c r="BH27" i="3"/>
  <c r="BF28" i="3"/>
  <c r="BH28" i="3"/>
  <c r="BF29" i="3"/>
  <c r="BH29" i="3"/>
  <c r="BF30" i="3"/>
  <c r="BH30" i="3"/>
  <c r="BF31" i="3"/>
  <c r="BH31" i="3"/>
  <c r="BF32" i="3"/>
  <c r="BH32" i="3"/>
  <c r="BF33" i="3"/>
  <c r="BH33" i="3"/>
  <c r="BF34" i="3"/>
  <c r="BH34" i="3"/>
  <c r="BF35" i="3"/>
  <c r="BH35" i="3"/>
  <c r="BF36" i="3"/>
  <c r="BH36" i="3"/>
  <c r="BF37" i="3"/>
  <c r="BH37" i="3"/>
  <c r="BF38" i="3"/>
  <c r="BH38" i="3"/>
  <c r="BF39" i="3"/>
  <c r="BH39" i="3"/>
  <c r="BF40" i="3"/>
  <c r="BH40" i="3"/>
  <c r="BF41" i="3"/>
  <c r="BH41" i="3"/>
  <c r="BF42" i="3"/>
  <c r="BH42" i="3"/>
  <c r="BF43" i="3"/>
  <c r="BH43" i="3"/>
  <c r="BF44" i="3"/>
  <c r="BH44" i="3"/>
  <c r="BF45" i="3"/>
  <c r="BH45" i="3"/>
  <c r="BF46" i="3"/>
  <c r="BH46" i="3"/>
  <c r="BF47" i="3"/>
  <c r="BH47" i="3"/>
  <c r="BF48" i="3"/>
  <c r="BH48" i="3"/>
  <c r="BF49" i="3"/>
  <c r="BH49" i="3"/>
  <c r="BF50" i="3"/>
  <c r="BH50" i="3"/>
  <c r="BF51" i="3"/>
  <c r="BH51" i="3"/>
  <c r="BF52" i="3"/>
  <c r="BH52" i="3"/>
  <c r="BH2" i="3"/>
  <c r="BF2" i="3"/>
  <c r="BJ2" i="3"/>
  <c r="EO26" i="3"/>
  <c r="CX3" i="3"/>
  <c r="CX4" i="3"/>
  <c r="CX5" i="3"/>
  <c r="CX6" i="3"/>
  <c r="CX7" i="3"/>
  <c r="CX8" i="3"/>
  <c r="CX9" i="3"/>
  <c r="CX10" i="3"/>
  <c r="CX11" i="3"/>
  <c r="CX12" i="3"/>
  <c r="CX13" i="3"/>
  <c r="CX14" i="3"/>
  <c r="CX15" i="3"/>
  <c r="CX16" i="3"/>
  <c r="CX17" i="3"/>
  <c r="CX18" i="3"/>
  <c r="CX19" i="3"/>
  <c r="CX20" i="3"/>
  <c r="CX21" i="3"/>
  <c r="CX22" i="3"/>
  <c r="CX23" i="3"/>
  <c r="CX24" i="3"/>
  <c r="CX25" i="3"/>
  <c r="CX26" i="3"/>
  <c r="CX27" i="3"/>
  <c r="CX28" i="3"/>
  <c r="CX29" i="3"/>
  <c r="CX30" i="3"/>
  <c r="CX31" i="3"/>
  <c r="CX32" i="3"/>
  <c r="CX33" i="3"/>
  <c r="CX34" i="3"/>
  <c r="CX35" i="3"/>
  <c r="CX36" i="3"/>
  <c r="CX37" i="3"/>
  <c r="CX38" i="3"/>
  <c r="CX39" i="3"/>
  <c r="CX40" i="3"/>
  <c r="CX41" i="3"/>
  <c r="CX42" i="3"/>
  <c r="CX43" i="3"/>
  <c r="CX44" i="3"/>
  <c r="CX45" i="3"/>
  <c r="CX46" i="3"/>
  <c r="CX47" i="3"/>
  <c r="CX48" i="3"/>
  <c r="CX49" i="3"/>
  <c r="CX50" i="3"/>
  <c r="CX51" i="3"/>
  <c r="CX52" i="3"/>
  <c r="CX2" i="3"/>
  <c r="CV3" i="3"/>
  <c r="CV4" i="3"/>
  <c r="CV5" i="3"/>
  <c r="CV6" i="3"/>
  <c r="CV7" i="3"/>
  <c r="CV8" i="3"/>
  <c r="CV9" i="3"/>
  <c r="CV10" i="3"/>
  <c r="CV11" i="3"/>
  <c r="CV12" i="3"/>
  <c r="CV13" i="3"/>
  <c r="CV14" i="3"/>
  <c r="CV15" i="3"/>
  <c r="CV16" i="3"/>
  <c r="CV17" i="3"/>
  <c r="CV18" i="3"/>
  <c r="CV19" i="3"/>
  <c r="CV20" i="3"/>
  <c r="CV21" i="3"/>
  <c r="CV22" i="3"/>
  <c r="CV23" i="3"/>
  <c r="CV24" i="3"/>
  <c r="CV25" i="3"/>
  <c r="CV26" i="3"/>
  <c r="CV27" i="3"/>
  <c r="CV28" i="3"/>
  <c r="CV29" i="3"/>
  <c r="CV30" i="3"/>
  <c r="CV31" i="3"/>
  <c r="CV32" i="3"/>
  <c r="CV33" i="3"/>
  <c r="CV34" i="3"/>
  <c r="CV35" i="3"/>
  <c r="CV36" i="3"/>
  <c r="CV37" i="3"/>
  <c r="CV38" i="3"/>
  <c r="CV39" i="3"/>
  <c r="CV40" i="3"/>
  <c r="CV41" i="3"/>
  <c r="CV42" i="3"/>
  <c r="CV43" i="3"/>
  <c r="CV44" i="3"/>
  <c r="CV45" i="3"/>
  <c r="CV46" i="3"/>
  <c r="CV47" i="3"/>
  <c r="CV48" i="3"/>
  <c r="CV49" i="3"/>
  <c r="CV50" i="3"/>
  <c r="CV51" i="3"/>
  <c r="CV52" i="3"/>
  <c r="CV2" i="3"/>
  <c r="EM26" i="3"/>
  <c r="EM51" i="3"/>
  <c r="CN4" i="3"/>
  <c r="CN5" i="3"/>
  <c r="CN6" i="3"/>
  <c r="CN7" i="3"/>
  <c r="CN8" i="3"/>
  <c r="CN9" i="3"/>
  <c r="CN10" i="3"/>
  <c r="CN11" i="3"/>
  <c r="CN12" i="3"/>
  <c r="CN13" i="3"/>
  <c r="CN14" i="3"/>
  <c r="CN15" i="3"/>
  <c r="CN16" i="3"/>
  <c r="CN17" i="3"/>
  <c r="CN18" i="3"/>
  <c r="CN19" i="3"/>
  <c r="CN20" i="3"/>
  <c r="CN21" i="3"/>
  <c r="CN22" i="3"/>
  <c r="CN23" i="3"/>
  <c r="CN24" i="3"/>
  <c r="CN25" i="3"/>
  <c r="CN26" i="3"/>
  <c r="CN27" i="3"/>
  <c r="CN28" i="3"/>
  <c r="CN29" i="3"/>
  <c r="CN30" i="3"/>
  <c r="CN31" i="3"/>
  <c r="CN32" i="3"/>
  <c r="CN33" i="3"/>
  <c r="CN34" i="3"/>
  <c r="CN35" i="3"/>
  <c r="CN36" i="3"/>
  <c r="CN37" i="3"/>
  <c r="CN38" i="3"/>
  <c r="CN39" i="3"/>
  <c r="CN40" i="3"/>
  <c r="CN41" i="3"/>
  <c r="CN42" i="3"/>
  <c r="CN43" i="3"/>
  <c r="CN44" i="3"/>
  <c r="CN45" i="3"/>
  <c r="CN46" i="3"/>
  <c r="CN47" i="3"/>
  <c r="CN48" i="3"/>
  <c r="CN49" i="3"/>
  <c r="CN50" i="3"/>
  <c r="CN51" i="3"/>
  <c r="CN52" i="3"/>
  <c r="CZ22" i="3"/>
  <c r="CZ23" i="3"/>
  <c r="CZ24" i="3"/>
  <c r="CZ25" i="3"/>
  <c r="CZ26" i="3"/>
  <c r="CZ27" i="3"/>
  <c r="CZ28" i="3"/>
  <c r="CZ29" i="3"/>
  <c r="CZ30" i="3"/>
  <c r="CZ31" i="3"/>
  <c r="CZ37" i="3"/>
  <c r="CZ38" i="3"/>
  <c r="CZ39" i="3"/>
  <c r="CZ40" i="3"/>
  <c r="CZ41" i="3"/>
  <c r="CZ42" i="3"/>
  <c r="CZ43" i="3"/>
  <c r="CZ44" i="3"/>
  <c r="CZ45" i="3"/>
  <c r="CZ46" i="3"/>
  <c r="CZ47" i="3"/>
  <c r="CZ48" i="3"/>
  <c r="CZ49" i="3"/>
  <c r="CZ50" i="3"/>
  <c r="CZ51" i="3"/>
  <c r="CZ52" i="3"/>
  <c r="EQ10" i="3"/>
  <c r="EN21" i="3"/>
  <c r="EN44" i="3"/>
  <c r="EN45" i="3"/>
  <c r="EL15" i="3"/>
  <c r="EB2" i="3"/>
  <c r="DN37" i="3"/>
  <c r="DN38" i="3"/>
  <c r="DN39" i="3"/>
  <c r="DN40" i="3"/>
  <c r="DN41" i="3"/>
  <c r="DN42" i="3"/>
  <c r="DN43" i="3"/>
  <c r="DN44" i="3"/>
  <c r="DN45" i="3"/>
  <c r="DN46" i="3"/>
  <c r="DN47" i="3"/>
  <c r="DN48" i="3"/>
  <c r="DN49" i="3"/>
  <c r="DN50" i="3"/>
  <c r="DN51" i="3"/>
  <c r="DN52" i="3"/>
  <c r="DM3" i="3"/>
  <c r="DM4" i="3"/>
  <c r="DM5" i="3"/>
  <c r="DM6" i="3"/>
  <c r="DM7" i="3"/>
  <c r="DM8" i="3"/>
  <c r="DM9" i="3"/>
  <c r="DM10" i="3"/>
  <c r="DM11" i="3"/>
  <c r="DM12" i="3"/>
  <c r="DM13" i="3"/>
  <c r="DM14" i="3"/>
  <c r="DM15" i="3"/>
  <c r="DM16" i="3"/>
  <c r="DM17" i="3"/>
  <c r="DM18" i="3"/>
  <c r="DM19" i="3"/>
  <c r="DM20" i="3"/>
  <c r="DM21" i="3"/>
  <c r="DM22" i="3"/>
  <c r="DM23" i="3"/>
  <c r="DM24" i="3"/>
  <c r="DM25" i="3"/>
  <c r="DM26" i="3"/>
  <c r="DM27" i="3"/>
  <c r="DM28" i="3"/>
  <c r="DM29" i="3"/>
  <c r="DM30" i="3"/>
  <c r="DM31" i="3"/>
  <c r="DM32" i="3"/>
  <c r="DM33" i="3"/>
  <c r="DM34" i="3"/>
  <c r="DM35" i="3"/>
  <c r="DM36" i="3"/>
  <c r="DM37" i="3"/>
  <c r="DM38" i="3"/>
  <c r="DM39" i="3"/>
  <c r="DM40" i="3"/>
  <c r="DM41" i="3"/>
  <c r="DM42" i="3"/>
  <c r="DM43" i="3"/>
  <c r="DM44" i="3"/>
  <c r="DM45" i="3"/>
  <c r="DM46" i="3"/>
  <c r="DM47" i="3"/>
  <c r="DI47" i="3" s="1"/>
  <c r="DM48" i="3"/>
  <c r="DM49" i="3"/>
  <c r="DM50" i="3"/>
  <c r="DM51" i="3"/>
  <c r="DM52" i="3"/>
  <c r="DM2" i="3"/>
  <c r="DL3" i="3"/>
  <c r="DL4" i="3"/>
  <c r="DL5" i="3"/>
  <c r="DL6" i="3"/>
  <c r="DL7" i="3"/>
  <c r="DL8" i="3"/>
  <c r="DL9" i="3"/>
  <c r="DL10" i="3"/>
  <c r="DL11" i="3"/>
  <c r="DL12" i="3"/>
  <c r="DL13" i="3"/>
  <c r="DL14" i="3"/>
  <c r="DL15" i="3"/>
  <c r="DL16" i="3"/>
  <c r="DL17" i="3"/>
  <c r="DL18" i="3"/>
  <c r="DL19" i="3"/>
  <c r="DL20" i="3"/>
  <c r="DL21" i="3"/>
  <c r="DL22" i="3"/>
  <c r="DL23" i="3"/>
  <c r="DL24" i="3"/>
  <c r="DL25" i="3"/>
  <c r="DL26" i="3"/>
  <c r="DL27" i="3"/>
  <c r="DL28" i="3"/>
  <c r="DL29" i="3"/>
  <c r="DL30" i="3"/>
  <c r="DL31" i="3"/>
  <c r="DL32" i="3"/>
  <c r="DL33" i="3"/>
  <c r="DL34" i="3"/>
  <c r="DL35" i="3"/>
  <c r="DL36" i="3"/>
  <c r="DL37" i="3"/>
  <c r="DL38" i="3"/>
  <c r="DL39" i="3"/>
  <c r="DL40" i="3"/>
  <c r="DL41" i="3"/>
  <c r="DL42" i="3"/>
  <c r="DL43" i="3"/>
  <c r="DL44" i="3"/>
  <c r="DL45" i="3"/>
  <c r="DL46" i="3"/>
  <c r="DL47" i="3"/>
  <c r="DL48" i="3"/>
  <c r="DL49" i="3"/>
  <c r="DL50" i="3"/>
  <c r="DL51" i="3"/>
  <c r="DL52" i="3"/>
  <c r="DI52" i="3" s="1"/>
  <c r="DL2" i="3"/>
  <c r="DK3" i="3"/>
  <c r="DK4" i="3"/>
  <c r="DK5" i="3"/>
  <c r="DK6" i="3"/>
  <c r="DK7" i="3"/>
  <c r="DK8" i="3"/>
  <c r="DK9" i="3"/>
  <c r="DK10" i="3"/>
  <c r="DK11" i="3"/>
  <c r="DK12" i="3"/>
  <c r="DK13" i="3"/>
  <c r="DK14" i="3"/>
  <c r="DK15" i="3"/>
  <c r="DK16" i="3"/>
  <c r="DK17" i="3"/>
  <c r="DK18" i="3"/>
  <c r="DK19" i="3"/>
  <c r="DK20" i="3"/>
  <c r="DK21" i="3"/>
  <c r="DK22" i="3"/>
  <c r="DK23" i="3"/>
  <c r="DK24" i="3"/>
  <c r="DK25" i="3"/>
  <c r="DK26" i="3"/>
  <c r="DK27" i="3"/>
  <c r="DK28" i="3"/>
  <c r="DK29" i="3"/>
  <c r="DK30" i="3"/>
  <c r="DK31" i="3"/>
  <c r="DK32" i="3"/>
  <c r="DK33" i="3"/>
  <c r="DK34" i="3"/>
  <c r="DK35" i="3"/>
  <c r="DK36" i="3"/>
  <c r="DK37" i="3"/>
  <c r="DK38" i="3"/>
  <c r="DK39" i="3"/>
  <c r="DI39" i="3" s="1"/>
  <c r="DK40" i="3"/>
  <c r="DK41" i="3"/>
  <c r="DK42" i="3"/>
  <c r="DK43" i="3"/>
  <c r="DK44" i="3"/>
  <c r="DK45" i="3"/>
  <c r="DK46" i="3"/>
  <c r="DK47" i="3"/>
  <c r="DK48" i="3"/>
  <c r="DK49" i="3"/>
  <c r="DK50" i="3"/>
  <c r="DI50" i="3" s="1"/>
  <c r="DK51" i="3"/>
  <c r="DK52" i="3"/>
  <c r="DK2" i="3"/>
  <c r="DJ52" i="3"/>
  <c r="DJ51" i="3"/>
  <c r="DI51" i="3" s="1"/>
  <c r="DJ50" i="3"/>
  <c r="DJ49" i="3"/>
  <c r="DJ48" i="3"/>
  <c r="DJ47" i="3"/>
  <c r="DJ46" i="3"/>
  <c r="DI46" i="3" s="1"/>
  <c r="DJ45" i="3"/>
  <c r="DI45" i="3" s="1"/>
  <c r="DJ44" i="3"/>
  <c r="DJ43" i="3"/>
  <c r="DI43" i="3" s="1"/>
  <c r="DJ42" i="3"/>
  <c r="DI42" i="3" s="1"/>
  <c r="DJ41" i="3"/>
  <c r="DJ40" i="3"/>
  <c r="DJ39" i="3"/>
  <c r="DJ38" i="3"/>
  <c r="DI38" i="3" s="1"/>
  <c r="DJ37" i="3"/>
  <c r="DJ36" i="3"/>
  <c r="DJ35" i="3"/>
  <c r="DJ34" i="3"/>
  <c r="DJ33" i="3"/>
  <c r="DJ32" i="3"/>
  <c r="DJ31" i="3"/>
  <c r="DJ30" i="3"/>
  <c r="DJ29" i="3"/>
  <c r="DJ28" i="3"/>
  <c r="DJ27" i="3"/>
  <c r="DJ26" i="3"/>
  <c r="DJ25" i="3"/>
  <c r="DJ24" i="3"/>
  <c r="DJ23" i="3"/>
  <c r="DJ22" i="3"/>
  <c r="DJ21" i="3"/>
  <c r="DJ20" i="3"/>
  <c r="DJ19" i="3"/>
  <c r="DJ18" i="3"/>
  <c r="DJ17" i="3"/>
  <c r="DJ16" i="3"/>
  <c r="DJ15" i="3"/>
  <c r="DJ14" i="3"/>
  <c r="DJ13" i="3"/>
  <c r="DJ12" i="3"/>
  <c r="DJ11" i="3"/>
  <c r="DJ10" i="3"/>
  <c r="DJ9" i="3"/>
  <c r="DJ8" i="3"/>
  <c r="DJ7" i="3"/>
  <c r="DJ6" i="3"/>
  <c r="DJ5" i="3"/>
  <c r="DJ4" i="3"/>
  <c r="DJ3" i="3"/>
  <c r="DO13" i="3"/>
  <c r="DO14" i="3"/>
  <c r="DO29" i="3"/>
  <c r="DO30" i="3"/>
  <c r="DO37" i="3"/>
  <c r="DO38" i="3"/>
  <c r="DO39" i="3"/>
  <c r="DO40" i="3"/>
  <c r="DO41" i="3"/>
  <c r="DO42" i="3"/>
  <c r="DO43" i="3"/>
  <c r="DO44" i="3"/>
  <c r="DO45" i="3"/>
  <c r="DO46" i="3"/>
  <c r="DO47" i="3"/>
  <c r="DO48" i="3"/>
  <c r="DO49" i="3"/>
  <c r="DO50" i="3"/>
  <c r="DO51" i="3"/>
  <c r="DO52" i="3"/>
  <c r="CY28" i="3"/>
  <c r="CY29" i="3"/>
  <c r="CY37" i="3"/>
  <c r="CY38" i="3"/>
  <c r="CY39" i="3"/>
  <c r="CY40" i="3"/>
  <c r="CY41" i="3"/>
  <c r="CY42" i="3"/>
  <c r="CY43" i="3"/>
  <c r="CY44" i="3"/>
  <c r="CY45" i="3"/>
  <c r="CY46" i="3"/>
  <c r="CY47" i="3"/>
  <c r="CY48" i="3"/>
  <c r="CY49" i="3"/>
  <c r="CY50" i="3"/>
  <c r="CY51" i="3"/>
  <c r="CY52" i="3"/>
  <c r="CW3" i="3"/>
  <c r="CW4" i="3"/>
  <c r="CW6" i="3"/>
  <c r="CW7" i="3"/>
  <c r="CW8" i="3"/>
  <c r="CW9" i="3"/>
  <c r="CW10" i="3"/>
  <c r="CW11" i="3"/>
  <c r="CW13" i="3"/>
  <c r="CW14" i="3"/>
  <c r="CW15" i="3"/>
  <c r="CW16" i="3"/>
  <c r="CW17" i="3"/>
  <c r="CW18" i="3"/>
  <c r="CW19" i="3"/>
  <c r="CW20" i="3"/>
  <c r="CW21" i="3"/>
  <c r="CW22" i="3"/>
  <c r="CW23" i="3"/>
  <c r="CW24" i="3"/>
  <c r="CW25" i="3"/>
  <c r="CW26" i="3"/>
  <c r="CW27" i="3"/>
  <c r="CW28" i="3"/>
  <c r="CW29" i="3"/>
  <c r="CW30" i="3"/>
  <c r="CW31" i="3"/>
  <c r="CW33" i="3"/>
  <c r="CW34" i="3"/>
  <c r="CW35" i="3"/>
  <c r="CW36" i="3"/>
  <c r="CW37" i="3"/>
  <c r="CW38" i="3"/>
  <c r="CW39" i="3"/>
  <c r="CW40" i="3"/>
  <c r="CW41" i="3"/>
  <c r="CW42" i="3"/>
  <c r="CW43" i="3"/>
  <c r="CW44" i="3"/>
  <c r="CW45" i="3"/>
  <c r="CW46" i="3"/>
  <c r="CW47" i="3"/>
  <c r="CW48" i="3"/>
  <c r="CW49" i="3"/>
  <c r="CW50" i="3"/>
  <c r="CW51" i="3"/>
  <c r="CW52" i="3"/>
  <c r="CT4" i="3"/>
  <c r="CT6" i="3"/>
  <c r="CT7" i="3"/>
  <c r="CT8" i="3"/>
  <c r="CT9" i="3"/>
  <c r="CT10" i="3"/>
  <c r="CT11" i="3"/>
  <c r="CT13" i="3"/>
  <c r="CT14" i="3"/>
  <c r="CT15" i="3"/>
  <c r="CT16" i="3"/>
  <c r="CT17" i="3"/>
  <c r="CT18" i="3"/>
  <c r="CT19" i="3"/>
  <c r="CT20" i="3"/>
  <c r="CT21" i="3"/>
  <c r="CT22" i="3"/>
  <c r="CT23" i="3"/>
  <c r="CT24" i="3"/>
  <c r="CT25" i="3"/>
  <c r="CT26" i="3"/>
  <c r="CT27" i="3"/>
  <c r="CT28" i="3"/>
  <c r="CT29" i="3"/>
  <c r="CT30" i="3"/>
  <c r="CT31" i="3"/>
  <c r="CT33" i="3"/>
  <c r="CT34" i="3"/>
  <c r="CT35" i="3"/>
  <c r="CT36" i="3"/>
  <c r="CT37" i="3"/>
  <c r="CT38" i="3"/>
  <c r="CT39" i="3"/>
  <c r="CT40" i="3"/>
  <c r="CT41" i="3"/>
  <c r="CT42" i="3"/>
  <c r="CT43" i="3"/>
  <c r="CT44" i="3"/>
  <c r="CT45" i="3"/>
  <c r="CT46" i="3"/>
  <c r="CT47" i="3"/>
  <c r="CT48" i="3"/>
  <c r="CT49" i="3"/>
  <c r="CT50" i="3"/>
  <c r="CT51" i="3"/>
  <c r="CT52" i="3"/>
  <c r="BN3" i="3"/>
  <c r="BN4" i="3"/>
  <c r="BN5" i="3"/>
  <c r="BN6" i="3"/>
  <c r="BN7" i="3"/>
  <c r="BN8" i="3"/>
  <c r="BN9" i="3"/>
  <c r="BN10" i="3"/>
  <c r="BN11" i="3"/>
  <c r="BN12" i="3"/>
  <c r="BN13" i="3"/>
  <c r="BN14" i="3"/>
  <c r="BN15" i="3"/>
  <c r="BN16" i="3"/>
  <c r="BN17" i="3"/>
  <c r="BN18" i="3"/>
  <c r="BN19" i="3"/>
  <c r="BN20" i="3"/>
  <c r="BN21" i="3"/>
  <c r="BN22" i="3"/>
  <c r="BN23" i="3"/>
  <c r="BN24" i="3"/>
  <c r="BN25" i="3"/>
  <c r="BN26" i="3"/>
  <c r="BN27" i="3"/>
  <c r="BN28" i="3"/>
  <c r="BN29" i="3"/>
  <c r="BN30" i="3"/>
  <c r="BN31" i="3"/>
  <c r="BN32" i="3"/>
  <c r="BN33" i="3"/>
  <c r="BN34" i="3"/>
  <c r="BN35" i="3"/>
  <c r="BN36" i="3"/>
  <c r="BN37" i="3"/>
  <c r="BN38" i="3"/>
  <c r="BN39" i="3"/>
  <c r="BN40" i="3"/>
  <c r="BN41" i="3"/>
  <c r="BN42" i="3"/>
  <c r="BN43" i="3"/>
  <c r="BN44" i="3"/>
  <c r="BN45" i="3"/>
  <c r="BN46" i="3"/>
  <c r="BN47" i="3"/>
  <c r="BN48" i="3"/>
  <c r="BN49" i="3"/>
  <c r="BN50" i="3"/>
  <c r="BN51" i="3"/>
  <c r="BN52" i="3"/>
  <c r="BN2" i="3"/>
  <c r="BM3" i="3"/>
  <c r="BM4" i="3"/>
  <c r="BM5" i="3"/>
  <c r="BM6" i="3"/>
  <c r="BM7" i="3"/>
  <c r="BM8" i="3"/>
  <c r="BM9" i="3"/>
  <c r="BM10" i="3"/>
  <c r="BM11" i="3"/>
  <c r="BM12" i="3"/>
  <c r="BM13" i="3"/>
  <c r="BM14" i="3"/>
  <c r="BM15" i="3"/>
  <c r="BM16" i="3"/>
  <c r="BM17" i="3"/>
  <c r="BM18" i="3"/>
  <c r="BM19" i="3"/>
  <c r="BM20" i="3"/>
  <c r="BM21" i="3"/>
  <c r="BM22" i="3"/>
  <c r="BM23" i="3"/>
  <c r="BM24" i="3"/>
  <c r="BM25" i="3"/>
  <c r="BM26" i="3"/>
  <c r="BM27" i="3"/>
  <c r="BM28" i="3"/>
  <c r="BM29" i="3"/>
  <c r="BM30" i="3"/>
  <c r="BM31" i="3"/>
  <c r="BM32" i="3"/>
  <c r="BM33" i="3"/>
  <c r="BM34" i="3"/>
  <c r="BM35" i="3"/>
  <c r="BM36" i="3"/>
  <c r="BM37" i="3"/>
  <c r="BM38" i="3"/>
  <c r="BM39" i="3"/>
  <c r="BM40" i="3"/>
  <c r="BM41" i="3"/>
  <c r="BM42" i="3"/>
  <c r="BM43" i="3"/>
  <c r="BM44" i="3"/>
  <c r="BM45" i="3"/>
  <c r="BM46" i="3"/>
  <c r="BM47" i="3"/>
  <c r="BM48" i="3"/>
  <c r="BM49" i="3"/>
  <c r="BM50" i="3"/>
  <c r="BM51" i="3"/>
  <c r="BM52" i="3"/>
  <c r="BM2" i="3"/>
  <c r="BL3" i="3"/>
  <c r="BL4" i="3"/>
  <c r="BL5" i="3"/>
  <c r="BL6" i="3"/>
  <c r="BL7" i="3"/>
  <c r="BL8" i="3"/>
  <c r="BL9" i="3"/>
  <c r="BL10" i="3"/>
  <c r="BL11" i="3"/>
  <c r="BL12" i="3"/>
  <c r="BL13" i="3"/>
  <c r="BL14" i="3"/>
  <c r="BL15" i="3"/>
  <c r="BL16" i="3"/>
  <c r="BL17" i="3"/>
  <c r="BL18" i="3"/>
  <c r="BL19" i="3"/>
  <c r="BL20" i="3"/>
  <c r="BL21" i="3"/>
  <c r="BL22" i="3"/>
  <c r="BL23" i="3"/>
  <c r="BL24" i="3"/>
  <c r="BL25" i="3"/>
  <c r="BL26" i="3"/>
  <c r="BL27" i="3"/>
  <c r="BL28" i="3"/>
  <c r="BL29" i="3"/>
  <c r="BL30" i="3"/>
  <c r="BL31" i="3"/>
  <c r="BL32" i="3"/>
  <c r="BL33" i="3"/>
  <c r="BL34" i="3"/>
  <c r="BL35" i="3"/>
  <c r="BL36" i="3"/>
  <c r="BL37" i="3"/>
  <c r="BL38" i="3"/>
  <c r="BL39" i="3"/>
  <c r="BL40" i="3"/>
  <c r="BL41" i="3"/>
  <c r="BL42" i="3"/>
  <c r="BL43" i="3"/>
  <c r="BL44" i="3"/>
  <c r="BL45" i="3"/>
  <c r="BL46" i="3"/>
  <c r="BL47" i="3"/>
  <c r="BL48" i="3"/>
  <c r="BL49" i="3"/>
  <c r="BL50" i="3"/>
  <c r="BL51" i="3"/>
  <c r="BL52" i="3"/>
  <c r="BL2" i="3"/>
  <c r="BK3" i="3"/>
  <c r="BK4" i="3"/>
  <c r="BK5" i="3"/>
  <c r="BK6" i="3"/>
  <c r="BK7" i="3"/>
  <c r="BK8" i="3"/>
  <c r="BK9" i="3"/>
  <c r="BK10" i="3"/>
  <c r="BK11" i="3"/>
  <c r="BK12" i="3"/>
  <c r="BK13" i="3"/>
  <c r="BK14" i="3"/>
  <c r="BK15" i="3"/>
  <c r="BK16" i="3"/>
  <c r="BK17" i="3"/>
  <c r="BK18" i="3"/>
  <c r="BK19" i="3"/>
  <c r="BK20" i="3"/>
  <c r="BK21" i="3"/>
  <c r="BK22" i="3"/>
  <c r="BK23" i="3"/>
  <c r="BK24" i="3"/>
  <c r="BK25" i="3"/>
  <c r="BK26" i="3"/>
  <c r="BK27" i="3"/>
  <c r="BK28" i="3"/>
  <c r="BK29" i="3"/>
  <c r="BK30" i="3"/>
  <c r="BK31" i="3"/>
  <c r="BK32" i="3"/>
  <c r="BK33" i="3"/>
  <c r="BK34" i="3"/>
  <c r="BK35" i="3"/>
  <c r="BK36" i="3"/>
  <c r="BK37" i="3"/>
  <c r="BK38" i="3"/>
  <c r="BK39" i="3"/>
  <c r="BK40" i="3"/>
  <c r="BK41" i="3"/>
  <c r="BK42" i="3"/>
  <c r="BK43" i="3"/>
  <c r="BK44" i="3"/>
  <c r="BK45" i="3"/>
  <c r="BK46" i="3"/>
  <c r="BK47" i="3"/>
  <c r="BK48" i="3"/>
  <c r="BK49" i="3"/>
  <c r="BK50" i="3"/>
  <c r="BK51" i="3"/>
  <c r="BK52" i="3"/>
  <c r="BK2" i="3"/>
  <c r="BJ3" i="3"/>
  <c r="BJ4" i="3"/>
  <c r="BJ5" i="3"/>
  <c r="BJ6" i="3"/>
  <c r="BJ7" i="3"/>
  <c r="BJ8" i="3"/>
  <c r="BJ9" i="3"/>
  <c r="BJ10" i="3"/>
  <c r="BJ11" i="3"/>
  <c r="BJ12" i="3"/>
  <c r="BJ13" i="3"/>
  <c r="BJ14" i="3"/>
  <c r="BJ15" i="3"/>
  <c r="BJ16" i="3"/>
  <c r="BJ17" i="3"/>
  <c r="BJ18" i="3"/>
  <c r="BJ19" i="3"/>
  <c r="BJ20" i="3"/>
  <c r="BJ21" i="3"/>
  <c r="BJ22" i="3"/>
  <c r="BJ23" i="3"/>
  <c r="BJ24" i="3"/>
  <c r="BJ25" i="3"/>
  <c r="BJ26" i="3"/>
  <c r="BJ27" i="3"/>
  <c r="BJ28" i="3"/>
  <c r="BJ29" i="3"/>
  <c r="BJ30" i="3"/>
  <c r="BJ31" i="3"/>
  <c r="BJ32" i="3"/>
  <c r="BJ33" i="3"/>
  <c r="BJ34" i="3"/>
  <c r="BJ35" i="3"/>
  <c r="BJ36" i="3"/>
  <c r="BJ37" i="3"/>
  <c r="BJ38" i="3"/>
  <c r="BJ39" i="3"/>
  <c r="BJ40" i="3"/>
  <c r="BJ41" i="3"/>
  <c r="BJ42" i="3"/>
  <c r="BJ43" i="3"/>
  <c r="BJ44" i="3"/>
  <c r="BJ45" i="3"/>
  <c r="BJ46" i="3"/>
  <c r="BJ47" i="3"/>
  <c r="BJ48" i="3"/>
  <c r="BJ49" i="3"/>
  <c r="BJ50" i="3"/>
  <c r="BJ51" i="3"/>
  <c r="BJ52" i="3"/>
  <c r="C80" i="2"/>
  <c r="C91" i="2"/>
  <c r="Z2" i="5" s="1"/>
  <c r="CJ2" i="5" s="1"/>
  <c r="AQ3" i="3"/>
  <c r="AQ4" i="3"/>
  <c r="AQ6" i="3"/>
  <c r="AQ8" i="3"/>
  <c r="AQ9" i="3"/>
  <c r="AQ10" i="3"/>
  <c r="AQ11" i="3"/>
  <c r="AQ13" i="3"/>
  <c r="AQ14" i="3"/>
  <c r="AQ15" i="3"/>
  <c r="AQ16" i="3"/>
  <c r="AQ18" i="3"/>
  <c r="AQ19" i="3"/>
  <c r="AQ20" i="3"/>
  <c r="AQ21" i="3"/>
  <c r="AQ23" i="3"/>
  <c r="AQ24" i="3"/>
  <c r="AQ25" i="3"/>
  <c r="AQ26" i="3"/>
  <c r="AQ28" i="3"/>
  <c r="AQ29" i="3"/>
  <c r="AQ30" i="3"/>
  <c r="AQ31" i="3"/>
  <c r="AQ32" i="3"/>
  <c r="AQ33" i="3"/>
  <c r="AQ34" i="3"/>
  <c r="AQ35" i="3"/>
  <c r="AQ36" i="3"/>
  <c r="AQ37" i="3"/>
  <c r="AQ38" i="3"/>
  <c r="AQ39" i="3"/>
  <c r="AQ40" i="3"/>
  <c r="AQ41" i="3"/>
  <c r="AQ42" i="3"/>
  <c r="AQ43" i="3"/>
  <c r="AQ44" i="3"/>
  <c r="AQ45" i="3"/>
  <c r="AQ46" i="3"/>
  <c r="AQ47" i="3"/>
  <c r="AQ48" i="3"/>
  <c r="AQ49" i="3"/>
  <c r="AQ50" i="3"/>
  <c r="AQ51" i="3"/>
  <c r="AQ52" i="3"/>
  <c r="AU2" i="3"/>
  <c r="AR4" i="3"/>
  <c r="AR5" i="3"/>
  <c r="AR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3" i="3"/>
  <c r="AR44" i="3"/>
  <c r="AR45" i="3"/>
  <c r="AR46" i="3"/>
  <c r="AR47" i="3"/>
  <c r="AR48" i="3"/>
  <c r="AR49" i="3"/>
  <c r="AR50" i="3"/>
  <c r="AR51" i="3"/>
  <c r="AR52" i="3"/>
  <c r="C160" i="2"/>
  <c r="GD2" i="7" s="1"/>
  <c r="C156" i="2"/>
  <c r="C69" i="2"/>
  <c r="C2" i="2"/>
  <c r="C139" i="2"/>
  <c r="D75" i="2"/>
  <c r="D172" i="2" s="1"/>
  <c r="FX2" i="8" s="1"/>
  <c r="C112" i="2"/>
  <c r="C162" i="2"/>
  <c r="C97" i="2"/>
  <c r="P38" i="3"/>
  <c r="P39" i="3"/>
  <c r="P40" i="3"/>
  <c r="P41" i="3"/>
  <c r="P42" i="3"/>
  <c r="P43" i="3"/>
  <c r="P44" i="3"/>
  <c r="P45" i="3"/>
  <c r="P46" i="3"/>
  <c r="P47" i="3"/>
  <c r="P48" i="3"/>
  <c r="P49" i="3"/>
  <c r="P50" i="3"/>
  <c r="P51" i="3"/>
  <c r="P52" i="3"/>
  <c r="AP52" i="3"/>
  <c r="AP51" i="3"/>
  <c r="AP50" i="3"/>
  <c r="AP49" i="3"/>
  <c r="AP48" i="3"/>
  <c r="AP47" i="3"/>
  <c r="AP46" i="3"/>
  <c r="AP45" i="3"/>
  <c r="AP44" i="3"/>
  <c r="AP43" i="3"/>
  <c r="AP42" i="3"/>
  <c r="AP41" i="3"/>
  <c r="AP40" i="3"/>
  <c r="AP39" i="3"/>
  <c r="AP38" i="3"/>
  <c r="AP37" i="3"/>
  <c r="AP36" i="3"/>
  <c r="AP35" i="3"/>
  <c r="AP34" i="3"/>
  <c r="AP33" i="3"/>
  <c r="AP32" i="3"/>
  <c r="AP31" i="3"/>
  <c r="AP30" i="3"/>
  <c r="AP29" i="3"/>
  <c r="AP28" i="3"/>
  <c r="AP26" i="3"/>
  <c r="AP25" i="3"/>
  <c r="AP24" i="3"/>
  <c r="AP23" i="3"/>
  <c r="AP21" i="3"/>
  <c r="AP20" i="3"/>
  <c r="AP19" i="3"/>
  <c r="AP18" i="3"/>
  <c r="AP16" i="3"/>
  <c r="AP15" i="3"/>
  <c r="AP14" i="3"/>
  <c r="AP13" i="3"/>
  <c r="AP11" i="3"/>
  <c r="AP10" i="3"/>
  <c r="AP9" i="3"/>
  <c r="AP8" i="3"/>
  <c r="AP6" i="3"/>
  <c r="AP4" i="3"/>
  <c r="AP3" i="3"/>
  <c r="BU11" i="3"/>
  <c r="BU12" i="3"/>
  <c r="BU13" i="3"/>
  <c r="BU14" i="3"/>
  <c r="BU15" i="3"/>
  <c r="BU16" i="3"/>
  <c r="BU17" i="3"/>
  <c r="BU18" i="3"/>
  <c r="BU19" i="3"/>
  <c r="BU20" i="3"/>
  <c r="BU21" i="3"/>
  <c r="BU22" i="3"/>
  <c r="BU23" i="3"/>
  <c r="BU24" i="3"/>
  <c r="BU25" i="3"/>
  <c r="BU26" i="3"/>
  <c r="BU27" i="3"/>
  <c r="BU28" i="3"/>
  <c r="BU29" i="3"/>
  <c r="BU30" i="3"/>
  <c r="BU31" i="3"/>
  <c r="BU32" i="3"/>
  <c r="BU33" i="3"/>
  <c r="BU34" i="3"/>
  <c r="BU35" i="3"/>
  <c r="BU36" i="3"/>
  <c r="BU37" i="3"/>
  <c r="BU38" i="3"/>
  <c r="BU39" i="3"/>
  <c r="BU40" i="3"/>
  <c r="BU41" i="3"/>
  <c r="BU42" i="3"/>
  <c r="BU43" i="3"/>
  <c r="BU44" i="3"/>
  <c r="BU45" i="3"/>
  <c r="BU46" i="3"/>
  <c r="BU47" i="3"/>
  <c r="BU48" i="3"/>
  <c r="BU49" i="3"/>
  <c r="BU50" i="3"/>
  <c r="BU51" i="3"/>
  <c r="BU52" i="3"/>
  <c r="C43" i="2"/>
  <c r="P26" i="5" s="1"/>
  <c r="C42" i="2"/>
  <c r="P14" i="5" s="1"/>
  <c r="C41" i="2"/>
  <c r="P11" i="6" s="1"/>
  <c r="C40" i="2"/>
  <c r="P4" i="5" s="1"/>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D136" i="2"/>
  <c r="EI37" i="10" s="1"/>
  <c r="D95" i="2"/>
  <c r="T37" i="3"/>
  <c r="C102" i="2"/>
  <c r="C113" i="2"/>
  <c r="DO23" i="7" s="1"/>
  <c r="HI2" i="3"/>
  <c r="HI3" i="3" s="1"/>
  <c r="HI4" i="3" s="1"/>
  <c r="HI5" i="3" s="1"/>
  <c r="HI6" i="3" s="1"/>
  <c r="HI7" i="3" s="1"/>
  <c r="HI8" i="3" s="1"/>
  <c r="HI9" i="3" s="1"/>
  <c r="HI10" i="3" s="1"/>
  <c r="HI11" i="3" s="1"/>
  <c r="HI12" i="3" s="1"/>
  <c r="HI13" i="3" s="1"/>
  <c r="HI14" i="3" s="1"/>
  <c r="HI15" i="3" s="1"/>
  <c r="HI16" i="3" s="1"/>
  <c r="HI17" i="3" s="1"/>
  <c r="HI18" i="3" s="1"/>
  <c r="HI19" i="3" s="1"/>
  <c r="HI20" i="3" s="1"/>
  <c r="HI21" i="3" s="1"/>
  <c r="HI22" i="3" s="1"/>
  <c r="HI23" i="3" s="1"/>
  <c r="HI24" i="3" s="1"/>
  <c r="HI25" i="3" s="1"/>
  <c r="HI26" i="3" s="1"/>
  <c r="HI27" i="3" s="1"/>
  <c r="HI28" i="3" s="1"/>
  <c r="HI29" i="3" s="1"/>
  <c r="HI30" i="3" s="1"/>
  <c r="HI31" i="3" s="1"/>
  <c r="HI32" i="3" s="1"/>
  <c r="HI33" i="3" s="1"/>
  <c r="HI34" i="3" s="1"/>
  <c r="HI35" i="3" s="1"/>
  <c r="HI36" i="3" s="1"/>
  <c r="HI37" i="3" s="1"/>
  <c r="HI38" i="3" s="1"/>
  <c r="HI39" i="3" s="1"/>
  <c r="HI40" i="3" s="1"/>
  <c r="HI41" i="3" s="1"/>
  <c r="HI42" i="3" s="1"/>
  <c r="HI43" i="3" s="1"/>
  <c r="HI44" i="3" s="1"/>
  <c r="HI45" i="3" s="1"/>
  <c r="HI46" i="3" s="1"/>
  <c r="HI47" i="3" s="1"/>
  <c r="HI48" i="3" s="1"/>
  <c r="HI49" i="3" s="1"/>
  <c r="HI50" i="3" s="1"/>
  <c r="HI51" i="3" s="1"/>
  <c r="HI52" i="3" s="1"/>
  <c r="BS3" i="3"/>
  <c r="BS4" i="3"/>
  <c r="BS5" i="3"/>
  <c r="BS6" i="3"/>
  <c r="BS7" i="3"/>
  <c r="BS8" i="3"/>
  <c r="BS9" i="3"/>
  <c r="BS10" i="3"/>
  <c r="BS11" i="3"/>
  <c r="BS12" i="3"/>
  <c r="BS13" i="3"/>
  <c r="BS14" i="3"/>
  <c r="BS15" i="3"/>
  <c r="BS16" i="3"/>
  <c r="BS17" i="3"/>
  <c r="BS18" i="3"/>
  <c r="BS19" i="3"/>
  <c r="BS20" i="3"/>
  <c r="BS21" i="3"/>
  <c r="BS22" i="3"/>
  <c r="BS23" i="3"/>
  <c r="BS24" i="3"/>
  <c r="BS25" i="3"/>
  <c r="BS26" i="3"/>
  <c r="BS27" i="3"/>
  <c r="BS28" i="3"/>
  <c r="BS29" i="3"/>
  <c r="BS30" i="3"/>
  <c r="BS31" i="3"/>
  <c r="BS32" i="3"/>
  <c r="BS33" i="3"/>
  <c r="BS34" i="3"/>
  <c r="BS35" i="3"/>
  <c r="BS36" i="3"/>
  <c r="BS37" i="3"/>
  <c r="BS38" i="3"/>
  <c r="BS39" i="3"/>
  <c r="BS40" i="3"/>
  <c r="BS41" i="3"/>
  <c r="BS42" i="3"/>
  <c r="BS43" i="3"/>
  <c r="BS44" i="3"/>
  <c r="BS45" i="3"/>
  <c r="BS46" i="3"/>
  <c r="BS47" i="3"/>
  <c r="BS48" i="3"/>
  <c r="BS49" i="3"/>
  <c r="BS50" i="3"/>
  <c r="BS51" i="3"/>
  <c r="BS52" i="3"/>
  <c r="BS2" i="3"/>
  <c r="C170" i="2"/>
  <c r="C169" i="2" s="1"/>
  <c r="C163" i="2"/>
  <c r="C118" i="2"/>
  <c r="DF32" i="6" s="1"/>
  <c r="C119" i="2"/>
  <c r="DH20" i="6" s="1"/>
  <c r="C110" i="2"/>
  <c r="X2" i="3"/>
  <c r="CI2" i="3" s="1"/>
  <c r="BC47" i="3"/>
  <c r="BC48" i="3"/>
  <c r="BC49" i="3"/>
  <c r="BC50" i="3"/>
  <c r="BC51" i="3"/>
  <c r="BC52" i="3"/>
  <c r="AN2" i="3"/>
  <c r="GL22" i="3"/>
  <c r="GL23" i="3"/>
  <c r="GL24" i="3"/>
  <c r="GL25" i="3"/>
  <c r="GL26" i="3"/>
  <c r="GL27" i="3"/>
  <c r="GL28" i="3"/>
  <c r="GL29" i="3"/>
  <c r="GL30" i="3"/>
  <c r="GL31" i="3"/>
  <c r="GL32" i="3"/>
  <c r="GL33" i="3"/>
  <c r="GL34" i="3"/>
  <c r="GL35" i="3"/>
  <c r="GL36" i="3"/>
  <c r="GL37" i="3"/>
  <c r="GL38" i="3"/>
  <c r="GL39" i="3"/>
  <c r="GL40" i="3"/>
  <c r="GL41" i="3"/>
  <c r="GL52" i="3"/>
  <c r="GJ7" i="3"/>
  <c r="GH7" i="3"/>
  <c r="D154" i="2"/>
  <c r="D156" i="2" s="1"/>
  <c r="FW2" i="12" s="1"/>
  <c r="HK2" i="12" s="1"/>
  <c r="C179" i="2"/>
  <c r="GT17" i="6" s="1"/>
  <c r="C172" i="2"/>
  <c r="GO3" i="9" s="1"/>
  <c r="D72" i="2"/>
  <c r="D16" i="2"/>
  <c r="U2" i="6" s="1"/>
  <c r="U3" i="6" s="1"/>
  <c r="U4" i="6" s="1"/>
  <c r="U5" i="6" s="1"/>
  <c r="U6" i="6" s="1"/>
  <c r="U7" i="6" s="1"/>
  <c r="U8" i="6" s="1"/>
  <c r="U9" i="6" s="1"/>
  <c r="U10" i="6" s="1"/>
  <c r="U11" i="6" s="1"/>
  <c r="U12" i="6" s="1"/>
  <c r="U13" i="6" s="1"/>
  <c r="U14" i="6" s="1"/>
  <c r="U15" i="6" s="1"/>
  <c r="U16" i="6" s="1"/>
  <c r="U17" i="6" s="1"/>
  <c r="U18" i="6" s="1"/>
  <c r="U19" i="6" s="1"/>
  <c r="U20" i="6" s="1"/>
  <c r="U21" i="6" s="1"/>
  <c r="U22" i="6" s="1"/>
  <c r="U23" i="6" s="1"/>
  <c r="U24" i="6" s="1"/>
  <c r="U25" i="6" s="1"/>
  <c r="U26" i="6" s="1"/>
  <c r="U27" i="6" s="1"/>
  <c r="U28" i="6" s="1"/>
  <c r="U29" i="6" s="1"/>
  <c r="U30" i="6" s="1"/>
  <c r="U31" i="6" s="1"/>
  <c r="U32" i="6" s="1"/>
  <c r="U33" i="6" s="1"/>
  <c r="U34" i="6" s="1"/>
  <c r="U35" i="6" s="1"/>
  <c r="U36" i="6" s="1"/>
  <c r="C173" i="2"/>
  <c r="C178" i="2"/>
  <c r="GR50" i="7" s="1"/>
  <c r="C19" i="2"/>
  <c r="V2" i="5" s="1"/>
  <c r="V4" i="5" s="1"/>
  <c r="HK23" i="3"/>
  <c r="HK24" i="3"/>
  <c r="HK25" i="3"/>
  <c r="HK26" i="3"/>
  <c r="HK27" i="3"/>
  <c r="HK28" i="3"/>
  <c r="HK29" i="3"/>
  <c r="HK30" i="3"/>
  <c r="HK31" i="3"/>
  <c r="HK32" i="3"/>
  <c r="HK33" i="3"/>
  <c r="HK34" i="3"/>
  <c r="HK35" i="3"/>
  <c r="HK36" i="3"/>
  <c r="HK37" i="3"/>
  <c r="HK38" i="3"/>
  <c r="HK39" i="3"/>
  <c r="HK40" i="3"/>
  <c r="HK41" i="3"/>
  <c r="HK42" i="3"/>
  <c r="HK43" i="3"/>
  <c r="HK44" i="3"/>
  <c r="HK45" i="3"/>
  <c r="HK46" i="3"/>
  <c r="HK47" i="3"/>
  <c r="HK48" i="3"/>
  <c r="HK49" i="3"/>
  <c r="HK50" i="3"/>
  <c r="HK51" i="3"/>
  <c r="HK52" i="3"/>
  <c r="AN2" i="11"/>
  <c r="D65" i="2"/>
  <c r="AN2" i="12" s="1"/>
  <c r="GJ3" i="3"/>
  <c r="GJ4" i="3"/>
  <c r="GJ5" i="3"/>
  <c r="GJ6" i="3"/>
  <c r="GJ8" i="3"/>
  <c r="GJ9" i="3"/>
  <c r="GJ10" i="3"/>
  <c r="GJ11" i="3"/>
  <c r="GJ12" i="3"/>
  <c r="GJ13" i="3"/>
  <c r="GJ14" i="3"/>
  <c r="GJ15" i="3"/>
  <c r="GJ16" i="3"/>
  <c r="GJ17" i="3"/>
  <c r="GJ18" i="3"/>
  <c r="GJ19" i="3"/>
  <c r="GJ20" i="3"/>
  <c r="GJ21" i="3"/>
  <c r="GJ22" i="3"/>
  <c r="GJ23" i="3"/>
  <c r="GJ24" i="3"/>
  <c r="GJ25" i="3"/>
  <c r="GJ26" i="3"/>
  <c r="GJ27" i="3"/>
  <c r="GJ28" i="3"/>
  <c r="GJ29" i="3"/>
  <c r="GJ30" i="3"/>
  <c r="GJ31" i="3"/>
  <c r="GJ32" i="3"/>
  <c r="GJ33" i="3"/>
  <c r="GJ34" i="3"/>
  <c r="GJ35" i="3"/>
  <c r="GJ36" i="3"/>
  <c r="GJ37" i="3"/>
  <c r="GJ38" i="3"/>
  <c r="GJ39" i="3"/>
  <c r="GJ40" i="3"/>
  <c r="GJ41" i="3"/>
  <c r="GJ42" i="3"/>
  <c r="GJ43" i="3"/>
  <c r="GJ44" i="3"/>
  <c r="GJ45" i="3"/>
  <c r="GJ46" i="3"/>
  <c r="GJ47" i="3"/>
  <c r="GJ48" i="3"/>
  <c r="GJ49" i="3"/>
  <c r="GJ50" i="3"/>
  <c r="GJ51" i="3"/>
  <c r="GJ52" i="3"/>
  <c r="GJ2" i="3"/>
  <c r="GI3" i="3"/>
  <c r="GI4" i="3"/>
  <c r="GI5" i="3"/>
  <c r="GI6" i="3"/>
  <c r="GI8" i="3"/>
  <c r="GI9" i="3"/>
  <c r="GI11" i="3"/>
  <c r="GI13" i="3"/>
  <c r="GI14" i="3"/>
  <c r="GI15" i="3"/>
  <c r="GI16" i="3"/>
  <c r="GI17" i="3"/>
  <c r="GI18" i="3"/>
  <c r="GI19" i="3"/>
  <c r="GI20" i="3"/>
  <c r="GI21" i="3"/>
  <c r="GI22" i="3"/>
  <c r="GI23" i="3"/>
  <c r="GI24" i="3"/>
  <c r="GI25" i="3"/>
  <c r="GI26" i="3"/>
  <c r="GI27" i="3"/>
  <c r="GI28" i="3"/>
  <c r="GI29" i="3"/>
  <c r="GI30" i="3"/>
  <c r="GI31" i="3"/>
  <c r="GI32" i="3"/>
  <c r="GI33" i="3"/>
  <c r="GI34" i="3"/>
  <c r="GI35" i="3"/>
  <c r="GI36" i="3"/>
  <c r="GI37" i="3"/>
  <c r="GI38" i="3"/>
  <c r="GI39" i="3"/>
  <c r="GI40" i="3"/>
  <c r="GI41" i="3"/>
  <c r="GI43" i="3"/>
  <c r="GI44" i="3"/>
  <c r="GI45" i="3"/>
  <c r="GI46" i="3"/>
  <c r="GI47" i="3"/>
  <c r="GI48" i="3"/>
  <c r="GI49" i="3"/>
  <c r="GI50" i="3"/>
  <c r="GI51" i="3"/>
  <c r="GI52" i="3"/>
  <c r="GH3" i="3"/>
  <c r="GH4" i="3"/>
  <c r="GH5" i="3"/>
  <c r="GH6" i="3"/>
  <c r="GH8" i="3"/>
  <c r="GH9" i="3"/>
  <c r="GH11" i="3"/>
  <c r="GH12" i="3"/>
  <c r="GH13" i="3"/>
  <c r="GH14" i="3"/>
  <c r="GH15" i="3"/>
  <c r="GH16" i="3"/>
  <c r="GH17" i="3"/>
  <c r="GH18" i="3"/>
  <c r="GH19" i="3"/>
  <c r="GH20" i="3"/>
  <c r="GH21" i="3"/>
  <c r="GH22" i="3"/>
  <c r="GH23" i="3"/>
  <c r="GH24" i="3"/>
  <c r="GH25" i="3"/>
  <c r="GH26" i="3"/>
  <c r="GH27" i="3"/>
  <c r="GH28" i="3"/>
  <c r="GH29" i="3"/>
  <c r="GH30" i="3"/>
  <c r="GH31" i="3"/>
  <c r="GH32" i="3"/>
  <c r="GH33" i="3"/>
  <c r="GH34" i="3"/>
  <c r="GH35" i="3"/>
  <c r="GH36" i="3"/>
  <c r="GH37" i="3"/>
  <c r="GH38" i="3"/>
  <c r="GH39" i="3"/>
  <c r="GH40" i="3"/>
  <c r="GH41" i="3"/>
  <c r="GH42" i="3"/>
  <c r="GH43" i="3"/>
  <c r="GH44" i="3"/>
  <c r="GH45" i="3"/>
  <c r="GH46" i="3"/>
  <c r="GH47" i="3"/>
  <c r="GH48" i="3"/>
  <c r="GH49" i="3"/>
  <c r="GH50" i="3"/>
  <c r="GH51" i="3"/>
  <c r="GH52" i="3"/>
  <c r="BA3" i="3"/>
  <c r="BA4" i="3"/>
  <c r="BA5" i="3"/>
  <c r="BA6" i="3"/>
  <c r="BA7" i="3"/>
  <c r="BA8" i="3"/>
  <c r="BA9" i="3"/>
  <c r="BA10" i="3"/>
  <c r="BA11" i="3"/>
  <c r="BA12" i="3"/>
  <c r="BA13" i="3"/>
  <c r="BA14" i="3"/>
  <c r="BA15" i="3"/>
  <c r="BA16" i="3"/>
  <c r="BA17" i="3"/>
  <c r="BA18" i="3"/>
  <c r="BA19" i="3"/>
  <c r="BA20" i="3"/>
  <c r="BA21" i="3"/>
  <c r="BA22" i="3"/>
  <c r="BA23" i="3"/>
  <c r="BA24" i="3"/>
  <c r="BA25" i="3"/>
  <c r="BA26" i="3"/>
  <c r="BA27" i="3"/>
  <c r="BA28" i="3"/>
  <c r="BA29" i="3"/>
  <c r="BA30" i="3"/>
  <c r="BA31" i="3"/>
  <c r="BA32" i="3"/>
  <c r="BA33" i="3"/>
  <c r="BA34" i="3"/>
  <c r="BA35" i="3"/>
  <c r="BA36" i="3"/>
  <c r="BA37" i="3"/>
  <c r="BA38" i="3"/>
  <c r="BA39" i="3"/>
  <c r="BA40" i="3"/>
  <c r="BA41" i="3"/>
  <c r="BA42" i="3"/>
  <c r="BA43" i="3"/>
  <c r="BA44" i="3"/>
  <c r="BA45" i="3"/>
  <c r="BA46" i="3"/>
  <c r="BA47" i="3"/>
  <c r="BA48" i="3"/>
  <c r="BA49" i="3"/>
  <c r="BA50" i="3"/>
  <c r="BA51" i="3"/>
  <c r="BA52" i="3"/>
  <c r="BA2" i="3"/>
  <c r="AZ6" i="3"/>
  <c r="AZ13" i="3"/>
  <c r="AZ14" i="3"/>
  <c r="AZ15" i="3"/>
  <c r="AZ16" i="3"/>
  <c r="AZ18" i="3"/>
  <c r="AZ19" i="3"/>
  <c r="AZ20" i="3"/>
  <c r="AZ21" i="3"/>
  <c r="AZ23" i="3"/>
  <c r="AZ24" i="3"/>
  <c r="AZ25" i="3"/>
  <c r="AZ26" i="3"/>
  <c r="AZ28" i="3"/>
  <c r="AZ29" i="3"/>
  <c r="AZ30" i="3"/>
  <c r="AZ31" i="3"/>
  <c r="AZ33" i="3"/>
  <c r="AZ34" i="3"/>
  <c r="AZ35" i="3"/>
  <c r="AZ36" i="3"/>
  <c r="AZ38" i="3"/>
  <c r="AZ39" i="3"/>
  <c r="AZ40" i="3"/>
  <c r="AZ41" i="3"/>
  <c r="AZ42" i="3"/>
  <c r="AZ43" i="3"/>
  <c r="AZ44" i="3"/>
  <c r="AZ45" i="3"/>
  <c r="AZ46" i="3"/>
  <c r="AZ47" i="3"/>
  <c r="AZ48" i="3"/>
  <c r="AZ49" i="3"/>
  <c r="AZ50" i="3"/>
  <c r="AZ51" i="3"/>
  <c r="AZ52" i="3"/>
  <c r="AY3" i="3"/>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Z37" i="3" s="1"/>
  <c r="AY38" i="3"/>
  <c r="AY39" i="3"/>
  <c r="AY40" i="3"/>
  <c r="AY41" i="3"/>
  <c r="AY42" i="3"/>
  <c r="AY43" i="3"/>
  <c r="AY44" i="3"/>
  <c r="AY45" i="3"/>
  <c r="AY46" i="3"/>
  <c r="AY47" i="3"/>
  <c r="AY48" i="3"/>
  <c r="AY49" i="3"/>
  <c r="AY50" i="3"/>
  <c r="AY51" i="3"/>
  <c r="AY52" i="3"/>
  <c r="AY2" i="3"/>
  <c r="AZ3" i="3"/>
  <c r="AZ4" i="3"/>
  <c r="AZ8" i="3"/>
  <c r="AZ9" i="3"/>
  <c r="AZ10" i="3"/>
  <c r="AZ11" i="3"/>
  <c r="R2"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S2" i="3"/>
  <c r="Y2" i="3" s="1"/>
  <c r="A2" i="3"/>
  <c r="FU2" i="3" l="1"/>
  <c r="BI2" i="9"/>
  <c r="BI4" i="11"/>
  <c r="BI4" i="9"/>
  <c r="N40" i="6"/>
  <c r="N40" i="9"/>
  <c r="N41" i="5"/>
  <c r="CR2" i="3"/>
  <c r="DS2" i="3" s="1"/>
  <c r="DR2" i="3"/>
  <c r="N2" i="3"/>
  <c r="T2" i="3"/>
  <c r="U2" i="3"/>
  <c r="U3" i="3" s="1"/>
  <c r="U4" i="3" s="1"/>
  <c r="U5" i="3" s="1"/>
  <c r="U6" i="3" s="1"/>
  <c r="U7" i="3" s="1"/>
  <c r="U8" i="3" s="1"/>
  <c r="U9" i="3" s="1"/>
  <c r="U10" i="3" s="1"/>
  <c r="U11" i="3" s="1"/>
  <c r="U12" i="3" s="1"/>
  <c r="U13" i="3" s="1"/>
  <c r="U14" i="3" s="1"/>
  <c r="U15" i="3" s="1"/>
  <c r="U16" i="3" s="1"/>
  <c r="U17" i="3" s="1"/>
  <c r="U18" i="3" s="1"/>
  <c r="U19" i="3" s="1"/>
  <c r="U20" i="3" s="1"/>
  <c r="U21" i="3" s="1"/>
  <c r="U22" i="3" s="1"/>
  <c r="U23" i="3" s="1"/>
  <c r="U24" i="3" s="1"/>
  <c r="U25" i="3" s="1"/>
  <c r="U26" i="3" s="1"/>
  <c r="U27" i="3" s="1"/>
  <c r="U28" i="3" s="1"/>
  <c r="U29" i="3" s="1"/>
  <c r="U30" i="3" s="1"/>
  <c r="U31" i="3" s="1"/>
  <c r="U32" i="3" s="1"/>
  <c r="U33" i="3" s="1"/>
  <c r="U34" i="3" s="1"/>
  <c r="U35" i="3" s="1"/>
  <c r="U36" i="3" s="1"/>
  <c r="X3" i="3"/>
  <c r="B156" i="2"/>
  <c r="FW2" i="11" s="1"/>
  <c r="HH2" i="11" s="1"/>
  <c r="DV2" i="11"/>
  <c r="HA19" i="12"/>
  <c r="HA8" i="12"/>
  <c r="HB8" i="12" s="1"/>
  <c r="HA3" i="12"/>
  <c r="HB3" i="12" s="1"/>
  <c r="HA12" i="11"/>
  <c r="HA7" i="11"/>
  <c r="HA41" i="10"/>
  <c r="HA29" i="10"/>
  <c r="HA52" i="12"/>
  <c r="HA28" i="12"/>
  <c r="HA21" i="12"/>
  <c r="HA14" i="12"/>
  <c r="HA24" i="11"/>
  <c r="HA19" i="11"/>
  <c r="HA6" i="11"/>
  <c r="HA35" i="10"/>
  <c r="HA33" i="10"/>
  <c r="HA16" i="12"/>
  <c r="HA11" i="12"/>
  <c r="HB11" i="12" s="1"/>
  <c r="HA14" i="11"/>
  <c r="HA31" i="10"/>
  <c r="HA51" i="12"/>
  <c r="HA36" i="12"/>
  <c r="HA30" i="12"/>
  <c r="HA36" i="11"/>
  <c r="HA34" i="11"/>
  <c r="HA30" i="11"/>
  <c r="HA28" i="11"/>
  <c r="HA26" i="11"/>
  <c r="HA21" i="11"/>
  <c r="HA16" i="11"/>
  <c r="HA11" i="11"/>
  <c r="HA22" i="10"/>
  <c r="HA50" i="12"/>
  <c r="HA34" i="12"/>
  <c r="HA32" i="12"/>
  <c r="HA52" i="11"/>
  <c r="HA32" i="11"/>
  <c r="HA4" i="11"/>
  <c r="HA24" i="10"/>
  <c r="HA49" i="12"/>
  <c r="HA7" i="12"/>
  <c r="HB7" i="12" s="1"/>
  <c r="HA51" i="11"/>
  <c r="HA37" i="11"/>
  <c r="HA5" i="11"/>
  <c r="HB5" i="11" s="1"/>
  <c r="HA26" i="10"/>
  <c r="HA19" i="10"/>
  <c r="HA48" i="12"/>
  <c r="HA37" i="12"/>
  <c r="HA25" i="12"/>
  <c r="HA23" i="12"/>
  <c r="HB23" i="12" s="1"/>
  <c r="HA6" i="12"/>
  <c r="HB6" i="12" s="1"/>
  <c r="HA50" i="11"/>
  <c r="HA47" i="12"/>
  <c r="HA18" i="12"/>
  <c r="HA10" i="12"/>
  <c r="HA49" i="11"/>
  <c r="HA38" i="11"/>
  <c r="HA10" i="11"/>
  <c r="HA3" i="11"/>
  <c r="HA28" i="10"/>
  <c r="HA21" i="10"/>
  <c r="HA46" i="12"/>
  <c r="HA45" i="12"/>
  <c r="HA38" i="12"/>
  <c r="HA27" i="12"/>
  <c r="HA48" i="11"/>
  <c r="HA39" i="11"/>
  <c r="HA23" i="11"/>
  <c r="HA18" i="11"/>
  <c r="HA36" i="10"/>
  <c r="HA39" i="12"/>
  <c r="HA20" i="12"/>
  <c r="HA13" i="12"/>
  <c r="HA2" i="12"/>
  <c r="HB2" i="12" s="1"/>
  <c r="HA47" i="11"/>
  <c r="HA46" i="11"/>
  <c r="HA45" i="11"/>
  <c r="HA44" i="11"/>
  <c r="HA43" i="11"/>
  <c r="HA42" i="11"/>
  <c r="HA41" i="11"/>
  <c r="HA40" i="11"/>
  <c r="HA13" i="11"/>
  <c r="HA52" i="10"/>
  <c r="HA34" i="10"/>
  <c r="HA30" i="10"/>
  <c r="HA44" i="12"/>
  <c r="HA40" i="12"/>
  <c r="HA29" i="12"/>
  <c r="HA15" i="12"/>
  <c r="HA25" i="11"/>
  <c r="HA20" i="11"/>
  <c r="HA9" i="11"/>
  <c r="HA51" i="10"/>
  <c r="HA32" i="10"/>
  <c r="HA43" i="12"/>
  <c r="HA42" i="12"/>
  <c r="HA41" i="12"/>
  <c r="HA35" i="12"/>
  <c r="HA5" i="12"/>
  <c r="HB5" i="12" s="1"/>
  <c r="HA4" i="12"/>
  <c r="HB4" i="12" s="1"/>
  <c r="HA35" i="11"/>
  <c r="HA33" i="11"/>
  <c r="HA29" i="11"/>
  <c r="HA27" i="11"/>
  <c r="HA15" i="11"/>
  <c r="HA50" i="10"/>
  <c r="HA37" i="10"/>
  <c r="HA26" i="12"/>
  <c r="HA12" i="12"/>
  <c r="HA22" i="11"/>
  <c r="HA17" i="11"/>
  <c r="HA2" i="11"/>
  <c r="HB2" i="11" s="1"/>
  <c r="HA44" i="10"/>
  <c r="HA43" i="10"/>
  <c r="HA42" i="10"/>
  <c r="HA40" i="10"/>
  <c r="HA20" i="10"/>
  <c r="HA12" i="10"/>
  <c r="HA51" i="9"/>
  <c r="HA37" i="8"/>
  <c r="HA25" i="8"/>
  <c r="HA18" i="8"/>
  <c r="HA17" i="10"/>
  <c r="HA50" i="9"/>
  <c r="HA36" i="9"/>
  <c r="HA34" i="9"/>
  <c r="HA30" i="9"/>
  <c r="HA16" i="9"/>
  <c r="HA14" i="9"/>
  <c r="HA11" i="9"/>
  <c r="HA9" i="12"/>
  <c r="HB9" i="12" s="1"/>
  <c r="HA14" i="10"/>
  <c r="HA7" i="10"/>
  <c r="HA49" i="9"/>
  <c r="HA32" i="9"/>
  <c r="HA27" i="8"/>
  <c r="HA5" i="8"/>
  <c r="HA17" i="12"/>
  <c r="HA31" i="11"/>
  <c r="HA25" i="10"/>
  <c r="HA23" i="10"/>
  <c r="HA11" i="10"/>
  <c r="HA23" i="9"/>
  <c r="HA6" i="9"/>
  <c r="HA38" i="8"/>
  <c r="HA29" i="8"/>
  <c r="HA13" i="8"/>
  <c r="HA10" i="8"/>
  <c r="HA45" i="10"/>
  <c r="HA27" i="10"/>
  <c r="HA16" i="10"/>
  <c r="HA6" i="10"/>
  <c r="HA48" i="9"/>
  <c r="HA37" i="9"/>
  <c r="HA25" i="9"/>
  <c r="HA35" i="8"/>
  <c r="HA15" i="8"/>
  <c r="HA33" i="12"/>
  <c r="HA8" i="11"/>
  <c r="HA2" i="10"/>
  <c r="HA47" i="9"/>
  <c r="HA46" i="9"/>
  <c r="HA39" i="8"/>
  <c r="HA33" i="8"/>
  <c r="HA31" i="8"/>
  <c r="HA22" i="8"/>
  <c r="HA45" i="9"/>
  <c r="HA39" i="9"/>
  <c r="HA38" i="9"/>
  <c r="HA27" i="9"/>
  <c r="HA18" i="9"/>
  <c r="HA10" i="9"/>
  <c r="HA5" i="9"/>
  <c r="HA4" i="9"/>
  <c r="HA9" i="8"/>
  <c r="HA46" i="10"/>
  <c r="HA38" i="10"/>
  <c r="HA44" i="9"/>
  <c r="HA43" i="9"/>
  <c r="HA42" i="9"/>
  <c r="HA40" i="9"/>
  <c r="HA20" i="9"/>
  <c r="HA40" i="8"/>
  <c r="HA24" i="8"/>
  <c r="HA24" i="12"/>
  <c r="HA22" i="12"/>
  <c r="HA10" i="10"/>
  <c r="HA41" i="9"/>
  <c r="HA29" i="9"/>
  <c r="HA15" i="9"/>
  <c r="HA13" i="9"/>
  <c r="HA19" i="8"/>
  <c r="HA17" i="8"/>
  <c r="HA31" i="12"/>
  <c r="HA13" i="10"/>
  <c r="HA5" i="10"/>
  <c r="HA35" i="9"/>
  <c r="HA33" i="9"/>
  <c r="HA3" i="9"/>
  <c r="HA41" i="8"/>
  <c r="HA26" i="8"/>
  <c r="HA21" i="8"/>
  <c r="HA12" i="8"/>
  <c r="HA47" i="10"/>
  <c r="HA4" i="10"/>
  <c r="HA31" i="9"/>
  <c r="HA9" i="9"/>
  <c r="HA42" i="8"/>
  <c r="HA28" i="8"/>
  <c r="HA8" i="8"/>
  <c r="HA48" i="10"/>
  <c r="HA39" i="10"/>
  <c r="HA15" i="10"/>
  <c r="HA9" i="10"/>
  <c r="HA49" i="10"/>
  <c r="HA51" i="8"/>
  <c r="HA50" i="8"/>
  <c r="HA49" i="8"/>
  <c r="HA48" i="8"/>
  <c r="HA47" i="8"/>
  <c r="HA46" i="8"/>
  <c r="HA36" i="8"/>
  <c r="HA34" i="8"/>
  <c r="HA30" i="8"/>
  <c r="HA18" i="10"/>
  <c r="HA8" i="10"/>
  <c r="HA52" i="9"/>
  <c r="HA28" i="9"/>
  <c r="HA21" i="9"/>
  <c r="HA2" i="9"/>
  <c r="HA3" i="10"/>
  <c r="HA7" i="9"/>
  <c r="HA45" i="8"/>
  <c r="HA16" i="8"/>
  <c r="HA11" i="8"/>
  <c r="HA18" i="7"/>
  <c r="HA11" i="7"/>
  <c r="HA26" i="6"/>
  <c r="HA21" i="6"/>
  <c r="HA35" i="7"/>
  <c r="HA30" i="7"/>
  <c r="HA26" i="7"/>
  <c r="HA22" i="7"/>
  <c r="HA2" i="7"/>
  <c r="HA28" i="6"/>
  <c r="HA12" i="9"/>
  <c r="HA8" i="9"/>
  <c r="HA23" i="8"/>
  <c r="HA20" i="8"/>
  <c r="HA14" i="8"/>
  <c r="HA15" i="7"/>
  <c r="HA9" i="7"/>
  <c r="HA30" i="6"/>
  <c r="HA19" i="7"/>
  <c r="HA7" i="7"/>
  <c r="HA5" i="7"/>
  <c r="HA36" i="6"/>
  <c r="HA34" i="6"/>
  <c r="HA32" i="6"/>
  <c r="HA2" i="8"/>
  <c r="HA52" i="7"/>
  <c r="HA36" i="7"/>
  <c r="HA16" i="7"/>
  <c r="HA23" i="6"/>
  <c r="HA18" i="6"/>
  <c r="HA17" i="9"/>
  <c r="HA52" i="8"/>
  <c r="HA51" i="7"/>
  <c r="HA31" i="7"/>
  <c r="HA27" i="7"/>
  <c r="HA23" i="7"/>
  <c r="HA3" i="7"/>
  <c r="HA52" i="6"/>
  <c r="HA50" i="7"/>
  <c r="HA37" i="7"/>
  <c r="HA51" i="6"/>
  <c r="HA37" i="6"/>
  <c r="HA25" i="6"/>
  <c r="HA19" i="9"/>
  <c r="HA6" i="8"/>
  <c r="HA49" i="7"/>
  <c r="HA20" i="7"/>
  <c r="HA12" i="7"/>
  <c r="HA50" i="6"/>
  <c r="HA26" i="9"/>
  <c r="HA7" i="8"/>
  <c r="HA48" i="7"/>
  <c r="HA39" i="7"/>
  <c r="HA38" i="7"/>
  <c r="HA32" i="7"/>
  <c r="HA49" i="6"/>
  <c r="HA38" i="6"/>
  <c r="HA27" i="6"/>
  <c r="HA24" i="9"/>
  <c r="HA22" i="9"/>
  <c r="HA43" i="8"/>
  <c r="HA4" i="8"/>
  <c r="HA47" i="7"/>
  <c r="HA40" i="7"/>
  <c r="HA28" i="7"/>
  <c r="HA24" i="7"/>
  <c r="HA10" i="7"/>
  <c r="HA6" i="7"/>
  <c r="HA48" i="6"/>
  <c r="HA39" i="6"/>
  <c r="HA29" i="6"/>
  <c r="HA46" i="7"/>
  <c r="HA45" i="7"/>
  <c r="HA44" i="7"/>
  <c r="HA43" i="7"/>
  <c r="HA42" i="7"/>
  <c r="HA41" i="7"/>
  <c r="HA21" i="7"/>
  <c r="HA13" i="7"/>
  <c r="HA8" i="7"/>
  <c r="HA4" i="7"/>
  <c r="HA47" i="6"/>
  <c r="HA46" i="6"/>
  <c r="HA45" i="6"/>
  <c r="HA44" i="6"/>
  <c r="HA43" i="6"/>
  <c r="HA40" i="6"/>
  <c r="HA33" i="7"/>
  <c r="HA17" i="7"/>
  <c r="HA42" i="6"/>
  <c r="HA41" i="6"/>
  <c r="HA35" i="6"/>
  <c r="HA33" i="6"/>
  <c r="HA31" i="6"/>
  <c r="HA22" i="6"/>
  <c r="HA17" i="6"/>
  <c r="HA44" i="8"/>
  <c r="HA32" i="8"/>
  <c r="HA34" i="7"/>
  <c r="HA14" i="7"/>
  <c r="CR2" i="9"/>
  <c r="CW2" i="9" s="1"/>
  <c r="CY2" i="9" s="1"/>
  <c r="CZ2" i="9" s="1"/>
  <c r="CR2" i="12"/>
  <c r="CW2" i="12" s="1"/>
  <c r="CY2" i="12" s="1"/>
  <c r="CZ2" i="12" s="1"/>
  <c r="CR2" i="11"/>
  <c r="CW2" i="11" s="1"/>
  <c r="CY2" i="11" s="1"/>
  <c r="CZ2" i="11" s="1"/>
  <c r="CR2" i="8"/>
  <c r="CW2" i="8" s="1"/>
  <c r="CY2" i="8" s="1"/>
  <c r="CZ2" i="8" s="1"/>
  <c r="CR2" i="7"/>
  <c r="CW2" i="7" s="1"/>
  <c r="CY2" i="7" s="1"/>
  <c r="CY3" i="7" s="1"/>
  <c r="CY4" i="7" s="1"/>
  <c r="CY5" i="7" s="1"/>
  <c r="CY6" i="7" s="1"/>
  <c r="CY7" i="7" s="1"/>
  <c r="CY8" i="7" s="1"/>
  <c r="CY9" i="7" s="1"/>
  <c r="CY10" i="7" s="1"/>
  <c r="CY11" i="7" s="1"/>
  <c r="CK2" i="10"/>
  <c r="CK2" i="9"/>
  <c r="CK2" i="8"/>
  <c r="DY2" i="8" s="1"/>
  <c r="CK2" i="7"/>
  <c r="DO31" i="3"/>
  <c r="DO15" i="3"/>
  <c r="GT47" i="3"/>
  <c r="GT31" i="3"/>
  <c r="GT15" i="3"/>
  <c r="HA49" i="3"/>
  <c r="HA33" i="3"/>
  <c r="HA17" i="3"/>
  <c r="DH31" i="3"/>
  <c r="DH23" i="3"/>
  <c r="DH15" i="3"/>
  <c r="DH7" i="3"/>
  <c r="GR48" i="3"/>
  <c r="GR32" i="3"/>
  <c r="GR16" i="3"/>
  <c r="EI37" i="5"/>
  <c r="EI37" i="3"/>
  <c r="EI37" i="8"/>
  <c r="EN37" i="8" s="1"/>
  <c r="EP37" i="8" s="1"/>
  <c r="EQ37" i="8" s="1"/>
  <c r="EI37" i="6"/>
  <c r="EN37" i="6" s="1"/>
  <c r="EP37" i="6" s="1"/>
  <c r="EQ37" i="6" s="1"/>
  <c r="EI37" i="9"/>
  <c r="EN37" i="9" s="1"/>
  <c r="EP37" i="9" s="1"/>
  <c r="EQ37" i="9" s="1"/>
  <c r="EI37" i="11"/>
  <c r="EN37" i="11" s="1"/>
  <c r="EP37" i="11" s="1"/>
  <c r="EQ37" i="11" s="1"/>
  <c r="EI37" i="7"/>
  <c r="EN37" i="7" s="1"/>
  <c r="EP37" i="7" s="1"/>
  <c r="EQ37" i="7" s="1"/>
  <c r="DO3" i="5"/>
  <c r="DO9" i="5"/>
  <c r="DF11" i="5"/>
  <c r="P13" i="5"/>
  <c r="DO13" i="5"/>
  <c r="DF14" i="5"/>
  <c r="DH16" i="5"/>
  <c r="P20" i="5"/>
  <c r="DO20" i="5"/>
  <c r="DF21" i="5"/>
  <c r="DF28" i="5"/>
  <c r="GR32" i="5"/>
  <c r="GR34" i="5"/>
  <c r="GR36" i="5"/>
  <c r="HA41" i="5"/>
  <c r="HA42" i="5"/>
  <c r="HA43" i="5"/>
  <c r="HA44" i="5"/>
  <c r="GT52" i="5"/>
  <c r="T2" i="6"/>
  <c r="HA3" i="6"/>
  <c r="DH6" i="6"/>
  <c r="DH7" i="6"/>
  <c r="HA9" i="6"/>
  <c r="GR11" i="6"/>
  <c r="DF12" i="6"/>
  <c r="HA13" i="6"/>
  <c r="GR14" i="6"/>
  <c r="DF17" i="6"/>
  <c r="DH23" i="6"/>
  <c r="DF14" i="7"/>
  <c r="P27" i="7"/>
  <c r="GT49" i="7"/>
  <c r="DO28" i="3"/>
  <c r="DO12" i="3"/>
  <c r="GT44" i="3"/>
  <c r="GT28" i="3"/>
  <c r="GT12" i="3"/>
  <c r="HA46" i="3"/>
  <c r="HA30" i="3"/>
  <c r="HA14" i="3"/>
  <c r="DF30" i="3"/>
  <c r="DF22" i="3"/>
  <c r="DF14" i="3"/>
  <c r="DF6" i="3"/>
  <c r="GR45" i="3"/>
  <c r="GR29" i="3"/>
  <c r="GR13" i="3"/>
  <c r="S3" i="5"/>
  <c r="GR6" i="5"/>
  <c r="GR7" i="5"/>
  <c r="S9" i="5"/>
  <c r="DO10" i="5"/>
  <c r="GT11" i="5"/>
  <c r="DF12" i="5"/>
  <c r="HA13" i="5"/>
  <c r="GR14" i="5"/>
  <c r="GT16" i="5"/>
  <c r="DH19" i="5"/>
  <c r="HA20" i="5"/>
  <c r="GR21" i="5"/>
  <c r="DF24" i="5"/>
  <c r="HA27" i="5"/>
  <c r="GR28" i="5"/>
  <c r="HA38" i="5"/>
  <c r="HA49" i="5"/>
  <c r="AA2" i="6"/>
  <c r="AA5" i="6" s="1"/>
  <c r="P4" i="6"/>
  <c r="HA4" i="6"/>
  <c r="DO5" i="6"/>
  <c r="DF8" i="6"/>
  <c r="P10" i="6"/>
  <c r="HA10" i="6"/>
  <c r="GR12" i="6"/>
  <c r="GT40" i="12"/>
  <c r="GT29" i="12"/>
  <c r="GT15" i="12"/>
  <c r="GT41" i="11"/>
  <c r="GT25" i="11"/>
  <c r="GT20" i="11"/>
  <c r="GT9" i="11"/>
  <c r="GT51" i="10"/>
  <c r="GT32" i="10"/>
  <c r="GT44" i="12"/>
  <c r="GT43" i="12"/>
  <c r="GT42" i="12"/>
  <c r="GT41" i="12"/>
  <c r="GT5" i="12"/>
  <c r="GT35" i="11"/>
  <c r="GT15" i="11"/>
  <c r="GT50" i="10"/>
  <c r="GT37" i="10"/>
  <c r="GT35" i="12"/>
  <c r="GT33" i="12"/>
  <c r="GT31" i="12"/>
  <c r="GT9" i="12"/>
  <c r="GT4" i="12"/>
  <c r="GT33" i="11"/>
  <c r="GT31" i="11"/>
  <c r="GT29" i="11"/>
  <c r="GT27" i="11"/>
  <c r="GT49" i="10"/>
  <c r="GT23" i="10"/>
  <c r="GT22" i="12"/>
  <c r="GT8" i="11"/>
  <c r="GT48" i="10"/>
  <c r="GT38" i="10"/>
  <c r="GT25" i="10"/>
  <c r="GT18" i="10"/>
  <c r="GT24" i="12"/>
  <c r="GT17" i="12"/>
  <c r="GT47" i="10"/>
  <c r="GT46" i="10"/>
  <c r="GT39" i="10"/>
  <c r="GT27" i="10"/>
  <c r="GT20" i="10"/>
  <c r="GT26" i="12"/>
  <c r="GT12" i="12"/>
  <c r="GT22" i="11"/>
  <c r="GT17" i="11"/>
  <c r="GT2" i="11"/>
  <c r="GT45" i="10"/>
  <c r="GT44" i="10"/>
  <c r="GT43" i="10"/>
  <c r="GT40" i="10"/>
  <c r="GT19" i="12"/>
  <c r="GT8" i="12"/>
  <c r="GT3" i="12"/>
  <c r="GT12" i="11"/>
  <c r="GT42" i="10"/>
  <c r="GT41" i="10"/>
  <c r="GT29" i="10"/>
  <c r="GT28" i="12"/>
  <c r="GT21" i="12"/>
  <c r="GT24" i="11"/>
  <c r="GT19" i="11"/>
  <c r="GT7" i="11"/>
  <c r="GT35" i="10"/>
  <c r="GT52" i="12"/>
  <c r="GT14" i="12"/>
  <c r="GT14" i="11"/>
  <c r="GT6" i="11"/>
  <c r="GT33" i="10"/>
  <c r="GT31" i="10"/>
  <c r="GT51" i="12"/>
  <c r="GT36" i="12"/>
  <c r="GT30" i="12"/>
  <c r="GT16" i="12"/>
  <c r="GT11" i="12"/>
  <c r="GT36" i="11"/>
  <c r="GT34" i="11"/>
  <c r="GT26" i="11"/>
  <c r="GT21" i="11"/>
  <c r="GT11" i="11"/>
  <c r="GT22" i="10"/>
  <c r="GT50" i="12"/>
  <c r="GT34" i="12"/>
  <c r="GT32" i="12"/>
  <c r="GT52" i="11"/>
  <c r="GT32" i="11"/>
  <c r="GT30" i="11"/>
  <c r="GT28" i="11"/>
  <c r="GT16" i="11"/>
  <c r="GT49" i="12"/>
  <c r="GT7" i="12"/>
  <c r="GT51" i="11"/>
  <c r="GT5" i="11"/>
  <c r="GT4" i="11"/>
  <c r="GT24" i="10"/>
  <c r="GT19" i="10"/>
  <c r="GT45" i="12"/>
  <c r="GT39" i="12"/>
  <c r="GT20" i="12"/>
  <c r="GT13" i="12"/>
  <c r="GT2" i="12"/>
  <c r="GS2" i="12" s="1"/>
  <c r="GT47" i="11"/>
  <c r="GT46" i="11"/>
  <c r="GT45" i="11"/>
  <c r="GT44" i="11"/>
  <c r="GT43" i="11"/>
  <c r="GT42" i="11"/>
  <c r="GT40" i="11"/>
  <c r="GT13" i="11"/>
  <c r="GT52" i="10"/>
  <c r="GT36" i="10"/>
  <c r="GT34" i="10"/>
  <c r="GT30" i="10"/>
  <c r="GT16" i="10"/>
  <c r="GT49" i="11"/>
  <c r="GT18" i="11"/>
  <c r="GT5" i="10"/>
  <c r="GT4" i="10"/>
  <c r="GT33" i="9"/>
  <c r="GT31" i="9"/>
  <c r="GT9" i="9"/>
  <c r="GT42" i="8"/>
  <c r="GT21" i="8"/>
  <c r="GT12" i="8"/>
  <c r="GT50" i="11"/>
  <c r="GT10" i="11"/>
  <c r="GT15" i="10"/>
  <c r="GT9" i="10"/>
  <c r="GT22" i="9"/>
  <c r="GT24" i="9"/>
  <c r="GT52" i="8"/>
  <c r="GT51" i="8"/>
  <c r="GT50" i="8"/>
  <c r="GT49" i="8"/>
  <c r="GT48" i="8"/>
  <c r="GT46" i="8"/>
  <c r="GT45" i="8"/>
  <c r="GT44" i="8"/>
  <c r="GT36" i="8"/>
  <c r="GT30" i="8"/>
  <c r="GT37" i="11"/>
  <c r="GT26" i="9"/>
  <c r="GT17" i="9"/>
  <c r="GT8" i="9"/>
  <c r="GT47" i="8"/>
  <c r="GT34" i="8"/>
  <c r="GT32" i="8"/>
  <c r="GT16" i="8"/>
  <c r="GT21" i="10"/>
  <c r="GT3" i="10"/>
  <c r="GT12" i="9"/>
  <c r="GT23" i="8"/>
  <c r="GT11" i="8"/>
  <c r="GT8" i="10"/>
  <c r="GT52" i="9"/>
  <c r="GT28" i="9"/>
  <c r="GT21" i="9"/>
  <c r="GT19" i="9"/>
  <c r="GT2" i="9"/>
  <c r="GT23" i="11"/>
  <c r="GT12" i="10"/>
  <c r="GT51" i="9"/>
  <c r="GT37" i="8"/>
  <c r="GT25" i="8"/>
  <c r="GT18" i="12"/>
  <c r="GT38" i="11"/>
  <c r="GT26" i="10"/>
  <c r="GT17" i="10"/>
  <c r="GT50" i="9"/>
  <c r="GT36" i="9"/>
  <c r="GT34" i="9"/>
  <c r="GT30" i="9"/>
  <c r="GT16" i="9"/>
  <c r="GT14" i="9"/>
  <c r="GT7" i="9"/>
  <c r="GT20" i="8"/>
  <c r="GT18" i="8"/>
  <c r="GT6" i="12"/>
  <c r="GT28" i="10"/>
  <c r="GT14" i="10"/>
  <c r="GT32" i="9"/>
  <c r="GT11" i="9"/>
  <c r="GT27" i="8"/>
  <c r="GT37" i="12"/>
  <c r="GT11" i="10"/>
  <c r="GT7" i="10"/>
  <c r="GT49" i="9"/>
  <c r="GT6" i="9"/>
  <c r="GT38" i="8"/>
  <c r="GT29" i="8"/>
  <c r="GT13" i="8"/>
  <c r="GT10" i="8"/>
  <c r="GT10" i="12"/>
  <c r="GT48" i="9"/>
  <c r="GT37" i="9"/>
  <c r="GT25" i="9"/>
  <c r="GT23" i="9"/>
  <c r="GT35" i="8"/>
  <c r="GT15" i="8"/>
  <c r="GT39" i="11"/>
  <c r="GT6" i="10"/>
  <c r="GT2" i="10"/>
  <c r="GT47" i="9"/>
  <c r="GT46" i="12"/>
  <c r="GT25" i="12"/>
  <c r="GT23" i="12"/>
  <c r="GT46" i="9"/>
  <c r="GT38" i="9"/>
  <c r="GT27" i="9"/>
  <c r="GT18" i="9"/>
  <c r="GT10" i="9"/>
  <c r="GT5" i="9"/>
  <c r="GT4" i="9"/>
  <c r="GT9" i="8"/>
  <c r="GT48" i="12"/>
  <c r="GT47" i="12"/>
  <c r="GT48" i="11"/>
  <c r="GT13" i="10"/>
  <c r="GT35" i="9"/>
  <c r="GT15" i="9"/>
  <c r="GT3" i="9"/>
  <c r="GT41" i="8"/>
  <c r="GT26" i="8"/>
  <c r="GT19" i="8"/>
  <c r="GT17" i="8"/>
  <c r="GT42" i="9"/>
  <c r="GT8" i="8"/>
  <c r="GT40" i="7"/>
  <c r="GT39" i="7"/>
  <c r="GT28" i="7"/>
  <c r="GT24" i="7"/>
  <c r="GT10" i="7"/>
  <c r="GT6" i="7"/>
  <c r="GT48" i="6"/>
  <c r="GT39" i="6"/>
  <c r="GT43" i="9"/>
  <c r="GT33" i="8"/>
  <c r="GT5" i="8"/>
  <c r="GT4" i="8"/>
  <c r="GT47" i="7"/>
  <c r="GT46" i="7"/>
  <c r="GT45" i="7"/>
  <c r="GT44" i="7"/>
  <c r="GT43" i="7"/>
  <c r="GT42" i="7"/>
  <c r="GT41" i="7"/>
  <c r="GT8" i="7"/>
  <c r="GT4" i="7"/>
  <c r="GT47" i="6"/>
  <c r="GT46" i="6"/>
  <c r="GT45" i="6"/>
  <c r="GT44" i="6"/>
  <c r="GT40" i="6"/>
  <c r="GT29" i="6"/>
  <c r="GT40" i="8"/>
  <c r="GT33" i="7"/>
  <c r="GT21" i="7"/>
  <c r="GT17" i="7"/>
  <c r="GT13" i="7"/>
  <c r="GT43" i="6"/>
  <c r="GT42" i="6"/>
  <c r="GT41" i="6"/>
  <c r="GT35" i="6"/>
  <c r="GT33" i="6"/>
  <c r="GT31" i="6"/>
  <c r="GT22" i="6"/>
  <c r="GT44" i="9"/>
  <c r="GT3" i="8"/>
  <c r="GT29" i="7"/>
  <c r="GT25" i="7"/>
  <c r="GT24" i="6"/>
  <c r="GT19" i="6"/>
  <c r="GT3" i="11"/>
  <c r="GT45" i="9"/>
  <c r="GT24" i="8"/>
  <c r="GT34" i="7"/>
  <c r="GT14" i="7"/>
  <c r="GT39" i="9"/>
  <c r="GT31" i="8"/>
  <c r="GT18" i="7"/>
  <c r="GT11" i="7"/>
  <c r="GT26" i="6"/>
  <c r="GT21" i="6"/>
  <c r="GT13" i="9"/>
  <c r="GT28" i="8"/>
  <c r="GT22" i="8"/>
  <c r="GT14" i="8"/>
  <c r="GT35" i="7"/>
  <c r="GT30" i="7"/>
  <c r="GT26" i="7"/>
  <c r="GT22" i="7"/>
  <c r="GT28" i="6"/>
  <c r="GT40" i="9"/>
  <c r="GT15" i="7"/>
  <c r="GT9" i="7"/>
  <c r="GT2" i="7"/>
  <c r="GT30" i="6"/>
  <c r="GT19" i="7"/>
  <c r="GT7" i="7"/>
  <c r="GT5" i="7"/>
  <c r="GT36" i="6"/>
  <c r="GT34" i="6"/>
  <c r="GT32" i="6"/>
  <c r="GT20" i="9"/>
  <c r="GT2" i="8"/>
  <c r="GT52" i="7"/>
  <c r="GT36" i="7"/>
  <c r="GT23" i="6"/>
  <c r="GT18" i="6"/>
  <c r="GT51" i="7"/>
  <c r="GT31" i="7"/>
  <c r="GT27" i="7"/>
  <c r="GT23" i="7"/>
  <c r="GT16" i="7"/>
  <c r="GT3" i="7"/>
  <c r="GT52" i="6"/>
  <c r="GT38" i="12"/>
  <c r="GT27" i="12"/>
  <c r="GT41" i="9"/>
  <c r="GT50" i="7"/>
  <c r="GT37" i="7"/>
  <c r="GT51" i="6"/>
  <c r="GT37" i="6"/>
  <c r="GT25" i="6"/>
  <c r="GT20" i="6"/>
  <c r="GT29" i="9"/>
  <c r="GT43" i="8"/>
  <c r="GT7" i="8"/>
  <c r="GT48" i="7"/>
  <c r="GT38" i="7"/>
  <c r="GT32" i="7"/>
  <c r="GT49" i="6"/>
  <c r="GT38" i="6"/>
  <c r="GT27" i="6"/>
  <c r="DO27" i="3"/>
  <c r="DO11" i="3"/>
  <c r="GT43" i="3"/>
  <c r="GT27" i="3"/>
  <c r="GT11" i="3"/>
  <c r="HA45" i="3"/>
  <c r="HA29" i="3"/>
  <c r="HA13" i="3"/>
  <c r="DH29" i="3"/>
  <c r="DH21" i="3"/>
  <c r="DH13" i="3"/>
  <c r="DH5" i="3"/>
  <c r="GR44" i="3"/>
  <c r="GR28" i="3"/>
  <c r="GR12" i="3"/>
  <c r="AA2" i="5"/>
  <c r="AA13" i="5" s="1"/>
  <c r="GT2" i="5"/>
  <c r="DO4" i="5"/>
  <c r="DO5" i="5"/>
  <c r="GT6" i="5"/>
  <c r="GT7" i="5"/>
  <c r="DH12" i="5"/>
  <c r="GT14" i="5"/>
  <c r="DF17" i="5"/>
  <c r="GT21" i="5"/>
  <c r="DF22" i="5"/>
  <c r="DH24" i="5"/>
  <c r="HA25" i="5"/>
  <c r="GR26" i="5"/>
  <c r="GT28" i="5"/>
  <c r="DO32" i="5"/>
  <c r="DO34" i="5"/>
  <c r="DO36" i="5"/>
  <c r="HA50" i="5"/>
  <c r="DH8" i="6"/>
  <c r="GT12" i="6"/>
  <c r="P14" i="6"/>
  <c r="DO14" i="6"/>
  <c r="DF15" i="6"/>
  <c r="DF18" i="6"/>
  <c r="HA3" i="8"/>
  <c r="DF30" i="9"/>
  <c r="GT10" i="10"/>
  <c r="DO26" i="3"/>
  <c r="DO10" i="3"/>
  <c r="GT42" i="3"/>
  <c r="GT26" i="3"/>
  <c r="GT10" i="3"/>
  <c r="HA44" i="3"/>
  <c r="HA28" i="3"/>
  <c r="HA12" i="3"/>
  <c r="DF29" i="3"/>
  <c r="DF21" i="3"/>
  <c r="DF13" i="3"/>
  <c r="DF5" i="3"/>
  <c r="GR43" i="3"/>
  <c r="GR27" i="3"/>
  <c r="GR11" i="3"/>
  <c r="CK2" i="5"/>
  <c r="DY2" i="5" s="1"/>
  <c r="HA4" i="5"/>
  <c r="HA5" i="5"/>
  <c r="DF8" i="5"/>
  <c r="P10" i="5"/>
  <c r="HA10" i="5"/>
  <c r="DH17" i="5"/>
  <c r="HA18" i="5"/>
  <c r="GR19" i="5"/>
  <c r="DH22" i="5"/>
  <c r="GT26" i="5"/>
  <c r="DO30" i="5"/>
  <c r="DF31" i="5"/>
  <c r="DF33" i="5"/>
  <c r="DF35" i="5"/>
  <c r="HA37" i="5"/>
  <c r="HA51" i="5"/>
  <c r="CK2" i="6"/>
  <c r="DY2" i="6" s="1"/>
  <c r="HA5" i="6"/>
  <c r="GR8" i="6"/>
  <c r="DO11" i="6"/>
  <c r="DH15" i="6"/>
  <c r="DH18" i="6"/>
  <c r="DF19" i="6"/>
  <c r="DH10" i="9"/>
  <c r="S17" i="5"/>
  <c r="U2" i="5"/>
  <c r="U3" i="5" s="1"/>
  <c r="U4" i="5" s="1"/>
  <c r="U5" i="5" s="1"/>
  <c r="U6" i="5" s="1"/>
  <c r="U7" i="5" s="1"/>
  <c r="U8" i="5" s="1"/>
  <c r="U9" i="5" s="1"/>
  <c r="U10" i="5" s="1"/>
  <c r="U11" i="5" s="1"/>
  <c r="U12" i="5" s="1"/>
  <c r="U13" i="5" s="1"/>
  <c r="U14" i="5" s="1"/>
  <c r="U15" i="5" s="1"/>
  <c r="U16" i="5" s="1"/>
  <c r="U17" i="5" s="1"/>
  <c r="U18" i="5" s="1"/>
  <c r="U19" i="5" s="1"/>
  <c r="U20" i="5" s="1"/>
  <c r="U21" i="5" s="1"/>
  <c r="U22" i="5" s="1"/>
  <c r="U23" i="5" s="1"/>
  <c r="U24" i="5" s="1"/>
  <c r="U25" i="5" s="1"/>
  <c r="U26" i="5" s="1"/>
  <c r="U27" i="5" s="1"/>
  <c r="U28" i="5" s="1"/>
  <c r="U29" i="5" s="1"/>
  <c r="U30" i="5" s="1"/>
  <c r="U31" i="5" s="1"/>
  <c r="U32" i="5" s="1"/>
  <c r="U33" i="5" s="1"/>
  <c r="U34" i="5" s="1"/>
  <c r="U35" i="5" s="1"/>
  <c r="U36" i="5" s="1"/>
  <c r="DP4" i="6"/>
  <c r="Z3" i="6"/>
  <c r="CJ3" i="6" s="1"/>
  <c r="C109" i="2"/>
  <c r="DO25" i="3"/>
  <c r="DO9" i="3"/>
  <c r="GT41" i="3"/>
  <c r="GT25" i="3"/>
  <c r="GT9" i="3"/>
  <c r="HA43" i="3"/>
  <c r="HA27" i="3"/>
  <c r="HA11" i="3"/>
  <c r="DH36" i="3"/>
  <c r="DH28" i="3"/>
  <c r="DH20" i="3"/>
  <c r="DH12" i="3"/>
  <c r="DH4" i="3"/>
  <c r="GR42" i="3"/>
  <c r="GR26" i="3"/>
  <c r="GR10" i="3"/>
  <c r="DH8" i="5"/>
  <c r="GR12" i="5"/>
  <c r="N14" i="5"/>
  <c r="P16" i="5"/>
  <c r="DO16" i="5"/>
  <c r="GT19" i="5"/>
  <c r="HA23" i="5"/>
  <c r="GR24" i="5"/>
  <c r="DH31" i="5"/>
  <c r="DH33" i="5"/>
  <c r="DH35" i="5"/>
  <c r="HA52" i="5"/>
  <c r="AO2" i="6"/>
  <c r="AO3" i="6" s="1"/>
  <c r="DO6" i="6"/>
  <c r="DP6" i="6" s="1"/>
  <c r="DO7" i="6"/>
  <c r="DP7" i="6" s="1"/>
  <c r="GT8" i="6"/>
  <c r="DF9" i="6"/>
  <c r="DF13" i="6"/>
  <c r="HA16" i="6"/>
  <c r="DO17" i="6"/>
  <c r="DH19" i="6"/>
  <c r="GR20" i="6"/>
  <c r="GT20" i="7"/>
  <c r="DO10" i="8"/>
  <c r="DH18" i="12"/>
  <c r="DH28" i="10"/>
  <c r="DH21" i="10"/>
  <c r="DH27" i="12"/>
  <c r="DH23" i="11"/>
  <c r="DH18" i="11"/>
  <c r="DH20" i="12"/>
  <c r="DH13" i="12"/>
  <c r="DH5" i="12"/>
  <c r="DH13" i="11"/>
  <c r="DH9" i="11"/>
  <c r="DH36" i="10"/>
  <c r="DH34" i="10"/>
  <c r="DH30" i="10"/>
  <c r="DH29" i="12"/>
  <c r="DH15" i="12"/>
  <c r="DH4" i="12"/>
  <c r="DH2" i="12"/>
  <c r="DH25" i="11"/>
  <c r="DH20" i="11"/>
  <c r="DH32" i="10"/>
  <c r="DH9" i="12"/>
  <c r="DH35" i="11"/>
  <c r="DH15" i="11"/>
  <c r="DH35" i="12"/>
  <c r="DH33" i="12"/>
  <c r="DH31" i="12"/>
  <c r="DH33" i="11"/>
  <c r="DH31" i="11"/>
  <c r="DH29" i="11"/>
  <c r="DH27" i="11"/>
  <c r="DH8" i="11"/>
  <c r="DH23" i="10"/>
  <c r="DH22" i="12"/>
  <c r="DH25" i="10"/>
  <c r="DH24" i="12"/>
  <c r="DH17" i="12"/>
  <c r="DH3" i="12"/>
  <c r="DH27" i="10"/>
  <c r="DH20" i="10"/>
  <c r="DH18" i="10"/>
  <c r="DH26" i="12"/>
  <c r="DH12" i="12"/>
  <c r="DH8" i="12"/>
  <c r="DH22" i="11"/>
  <c r="DH17" i="11"/>
  <c r="DH19" i="12"/>
  <c r="DH12" i="11"/>
  <c r="DH7" i="11"/>
  <c r="DH2" i="11"/>
  <c r="DH29" i="10"/>
  <c r="DH28" i="12"/>
  <c r="DH21" i="12"/>
  <c r="DH24" i="11"/>
  <c r="DH19" i="11"/>
  <c r="DH6" i="11"/>
  <c r="DH35" i="10"/>
  <c r="DH14" i="12"/>
  <c r="DH11" i="12"/>
  <c r="DH14" i="11"/>
  <c r="DH11" i="11"/>
  <c r="DH33" i="10"/>
  <c r="DH31" i="10"/>
  <c r="DH25" i="12"/>
  <c r="DH23" i="12"/>
  <c r="DH10" i="12"/>
  <c r="DH10" i="11"/>
  <c r="DH26" i="10"/>
  <c r="DH21" i="11"/>
  <c r="DH10" i="10"/>
  <c r="DH20" i="9"/>
  <c r="DH3" i="9"/>
  <c r="DH24" i="8"/>
  <c r="DH34" i="11"/>
  <c r="DH5" i="10"/>
  <c r="DH4" i="10"/>
  <c r="DH29" i="9"/>
  <c r="DH13" i="9"/>
  <c r="DH13" i="10"/>
  <c r="DH35" i="9"/>
  <c r="DH15" i="9"/>
  <c r="DH9" i="9"/>
  <c r="DH26" i="8"/>
  <c r="DH19" i="8"/>
  <c r="DH17" i="8"/>
  <c r="DH8" i="8"/>
  <c r="DH36" i="12"/>
  <c r="DH16" i="12"/>
  <c r="DH19" i="10"/>
  <c r="DH9" i="10"/>
  <c r="DH33" i="9"/>
  <c r="DH31" i="9"/>
  <c r="DH21" i="8"/>
  <c r="DH12" i="8"/>
  <c r="DH32" i="11"/>
  <c r="DH15" i="10"/>
  <c r="DH22" i="9"/>
  <c r="DH28" i="8"/>
  <c r="DH14" i="8"/>
  <c r="DH3" i="10"/>
  <c r="DH24" i="9"/>
  <c r="DH8" i="9"/>
  <c r="DH36" i="8"/>
  <c r="DH30" i="8"/>
  <c r="DH34" i="12"/>
  <c r="DH26" i="11"/>
  <c r="DH5" i="11"/>
  <c r="DH22" i="10"/>
  <c r="DH26" i="9"/>
  <c r="DH17" i="9"/>
  <c r="DH34" i="8"/>
  <c r="DH32" i="8"/>
  <c r="DH16" i="8"/>
  <c r="DH11" i="8"/>
  <c r="DH7" i="8"/>
  <c r="DH6" i="8"/>
  <c r="DH30" i="11"/>
  <c r="DH28" i="11"/>
  <c r="DH24" i="10"/>
  <c r="DH8" i="10"/>
  <c r="DH12" i="9"/>
  <c r="DH23" i="8"/>
  <c r="DH6" i="12"/>
  <c r="DH28" i="9"/>
  <c r="DH21" i="9"/>
  <c r="DH19" i="9"/>
  <c r="DH12" i="10"/>
  <c r="DH7" i="9"/>
  <c r="DH2" i="9"/>
  <c r="DH25" i="8"/>
  <c r="DH32" i="12"/>
  <c r="DH16" i="11"/>
  <c r="DH17" i="10"/>
  <c r="DH36" i="9"/>
  <c r="DH34" i="9"/>
  <c r="DH30" i="9"/>
  <c r="DH16" i="9"/>
  <c r="DH14" i="9"/>
  <c r="DH11" i="9"/>
  <c r="DH20" i="8"/>
  <c r="DH18" i="8"/>
  <c r="DH14" i="10"/>
  <c r="DH11" i="10"/>
  <c r="DH7" i="10"/>
  <c r="DH3" i="11"/>
  <c r="DH29" i="8"/>
  <c r="DH13" i="8"/>
  <c r="DH4" i="11"/>
  <c r="DH2" i="10"/>
  <c r="DH27" i="9"/>
  <c r="DH18" i="9"/>
  <c r="DH7" i="12"/>
  <c r="DH4" i="9"/>
  <c r="DH35" i="7"/>
  <c r="DH30" i="7"/>
  <c r="DH26" i="7"/>
  <c r="DH22" i="7"/>
  <c r="DH9" i="7"/>
  <c r="DH5" i="7"/>
  <c r="DH25" i="6"/>
  <c r="DH33" i="8"/>
  <c r="DH9" i="8"/>
  <c r="DH15" i="7"/>
  <c r="DH7" i="7"/>
  <c r="DH5" i="8"/>
  <c r="DH4" i="8"/>
  <c r="DH2" i="8"/>
  <c r="DH19" i="7"/>
  <c r="DH3" i="7"/>
  <c r="DH27" i="6"/>
  <c r="DH10" i="8"/>
  <c r="DH36" i="7"/>
  <c r="DH2" i="7"/>
  <c r="DH6" i="10"/>
  <c r="DH31" i="7"/>
  <c r="DH27" i="7"/>
  <c r="DH23" i="7"/>
  <c r="DH16" i="7"/>
  <c r="DH29" i="6"/>
  <c r="DH3" i="8"/>
  <c r="DH35" i="6"/>
  <c r="DH33" i="6"/>
  <c r="DH31" i="6"/>
  <c r="DH22" i="6"/>
  <c r="DH5" i="9"/>
  <c r="DH31" i="8"/>
  <c r="DH15" i="8"/>
  <c r="DH20" i="7"/>
  <c r="DH12" i="7"/>
  <c r="DH27" i="8"/>
  <c r="DH32" i="7"/>
  <c r="DH10" i="7"/>
  <c r="DH6" i="7"/>
  <c r="DH4" i="7"/>
  <c r="DH24" i="6"/>
  <c r="DH22" i="8"/>
  <c r="DH28" i="7"/>
  <c r="DH24" i="7"/>
  <c r="DH8" i="7"/>
  <c r="DH36" i="11"/>
  <c r="DH26" i="6"/>
  <c r="DH21" i="6"/>
  <c r="DH33" i="7"/>
  <c r="DH21" i="7"/>
  <c r="DH17" i="7"/>
  <c r="DH16" i="10"/>
  <c r="DH32" i="9"/>
  <c r="DH6" i="9"/>
  <c r="DH13" i="7"/>
  <c r="DH28" i="6"/>
  <c r="DH35" i="8"/>
  <c r="DH29" i="7"/>
  <c r="DH25" i="7"/>
  <c r="DH30" i="6"/>
  <c r="DH25" i="9"/>
  <c r="DH23" i="9"/>
  <c r="DH34" i="7"/>
  <c r="DH14" i="7"/>
  <c r="DH11" i="7"/>
  <c r="DH36" i="6"/>
  <c r="DH34" i="6"/>
  <c r="DH32" i="6"/>
  <c r="DH30" i="12"/>
  <c r="P3" i="12"/>
  <c r="P5" i="11"/>
  <c r="P2" i="11"/>
  <c r="P4" i="11"/>
  <c r="P5" i="12"/>
  <c r="P3" i="11"/>
  <c r="N3" i="11" s="1"/>
  <c r="P5" i="9"/>
  <c r="P4" i="12"/>
  <c r="P2" i="9"/>
  <c r="P4" i="9"/>
  <c r="P5" i="10"/>
  <c r="P4" i="10"/>
  <c r="P2" i="10"/>
  <c r="P3" i="9"/>
  <c r="P2" i="7"/>
  <c r="N2" i="7" s="1"/>
  <c r="AC2" i="7" s="1"/>
  <c r="P4" i="7"/>
  <c r="P2" i="12"/>
  <c r="P5" i="8"/>
  <c r="P5" i="7"/>
  <c r="P3" i="10"/>
  <c r="P4" i="8"/>
  <c r="P3" i="7"/>
  <c r="P3" i="8"/>
  <c r="N3" i="8" s="1"/>
  <c r="P2" i="8"/>
  <c r="M2" i="12"/>
  <c r="L2" i="12"/>
  <c r="M2" i="11"/>
  <c r="L2" i="11"/>
  <c r="M2" i="9"/>
  <c r="L2" i="9"/>
  <c r="M2" i="10"/>
  <c r="AD2" i="10" s="1"/>
  <c r="L2" i="10"/>
  <c r="M2" i="8"/>
  <c r="BY2" i="8" s="1"/>
  <c r="L2" i="8"/>
  <c r="M2" i="7"/>
  <c r="BY2" i="7" s="1"/>
  <c r="L2" i="7"/>
  <c r="DO24" i="3"/>
  <c r="DO8" i="3"/>
  <c r="GT40" i="3"/>
  <c r="GT24" i="3"/>
  <c r="GT8" i="3"/>
  <c r="HA42" i="3"/>
  <c r="HA26" i="3"/>
  <c r="HA10" i="3"/>
  <c r="DF36" i="3"/>
  <c r="DF28" i="3"/>
  <c r="DF20" i="3"/>
  <c r="DF12" i="3"/>
  <c r="DF4" i="3"/>
  <c r="GR41" i="3"/>
  <c r="GR25" i="3"/>
  <c r="GR9" i="3"/>
  <c r="CR2" i="5"/>
  <c r="GR8" i="5"/>
  <c r="DO11" i="5"/>
  <c r="DP11" i="5" s="1"/>
  <c r="GT12" i="5"/>
  <c r="DO14" i="5"/>
  <c r="DF15" i="5"/>
  <c r="GR17" i="5"/>
  <c r="P21" i="5"/>
  <c r="DO21" i="5"/>
  <c r="GR22" i="5"/>
  <c r="GT24" i="5"/>
  <c r="P28" i="5"/>
  <c r="DO28" i="5"/>
  <c r="DF29" i="5"/>
  <c r="HA32" i="5"/>
  <c r="HA34" i="5"/>
  <c r="CR2" i="6"/>
  <c r="CW2" i="6" s="1"/>
  <c r="CY2" i="6" s="1"/>
  <c r="CY3" i="6" s="1"/>
  <c r="CY4" i="6" s="1"/>
  <c r="CY5" i="6" s="1"/>
  <c r="CY6" i="6" s="1"/>
  <c r="CY7" i="6" s="1"/>
  <c r="CY8" i="6" s="1"/>
  <c r="CY9" i="6" s="1"/>
  <c r="CY10" i="6" s="1"/>
  <c r="CY11" i="6" s="1"/>
  <c r="P5" i="6"/>
  <c r="DH9" i="6"/>
  <c r="HA11" i="6"/>
  <c r="DO12" i="6"/>
  <c r="DP12" i="6" s="1"/>
  <c r="DH13" i="6"/>
  <c r="HA14" i="6"/>
  <c r="GR15" i="6"/>
  <c r="GT39" i="8"/>
  <c r="GR27" i="9"/>
  <c r="DF25" i="12"/>
  <c r="DF23" i="12"/>
  <c r="DF10" i="12"/>
  <c r="DF10" i="11"/>
  <c r="DF26" i="10"/>
  <c r="DF18" i="12"/>
  <c r="DF28" i="10"/>
  <c r="DF21" i="10"/>
  <c r="DF27" i="12"/>
  <c r="DF23" i="11"/>
  <c r="DF18" i="11"/>
  <c r="DF20" i="12"/>
  <c r="DF13" i="12"/>
  <c r="DF5" i="12"/>
  <c r="DF13" i="11"/>
  <c r="DF9" i="11"/>
  <c r="DF36" i="10"/>
  <c r="DF34" i="10"/>
  <c r="DF30" i="10"/>
  <c r="DF29" i="12"/>
  <c r="DF15" i="12"/>
  <c r="DF4" i="12"/>
  <c r="DF2" i="12"/>
  <c r="DF25" i="11"/>
  <c r="DF20" i="11"/>
  <c r="DF32" i="10"/>
  <c r="DF9" i="12"/>
  <c r="DF35" i="11"/>
  <c r="DF15" i="11"/>
  <c r="DF35" i="12"/>
  <c r="DF33" i="12"/>
  <c r="DF31" i="12"/>
  <c r="DF33" i="11"/>
  <c r="DF31" i="11"/>
  <c r="DF29" i="11"/>
  <c r="DF27" i="11"/>
  <c r="DF8" i="11"/>
  <c r="DF23" i="10"/>
  <c r="DF22" i="12"/>
  <c r="DF25" i="10"/>
  <c r="DF24" i="12"/>
  <c r="DF17" i="12"/>
  <c r="DF3" i="12"/>
  <c r="DF27" i="10"/>
  <c r="DF20" i="10"/>
  <c r="DF26" i="12"/>
  <c r="DF12" i="12"/>
  <c r="DF8" i="12"/>
  <c r="DF22" i="11"/>
  <c r="DF17" i="11"/>
  <c r="DF19" i="12"/>
  <c r="DF12" i="11"/>
  <c r="DF7" i="11"/>
  <c r="DF2" i="11"/>
  <c r="DE2" i="11" s="1"/>
  <c r="DF29" i="10"/>
  <c r="DF28" i="12"/>
  <c r="DF21" i="12"/>
  <c r="DF24" i="11"/>
  <c r="DF19" i="11"/>
  <c r="DF6" i="11"/>
  <c r="DF35" i="10"/>
  <c r="DF6" i="12"/>
  <c r="DF3" i="11"/>
  <c r="DF24" i="10"/>
  <c r="DF19" i="10"/>
  <c r="DF17" i="10"/>
  <c r="DF4" i="11"/>
  <c r="DF2" i="10"/>
  <c r="DE2" i="10" s="1"/>
  <c r="DF27" i="9"/>
  <c r="DF18" i="9"/>
  <c r="DF21" i="11"/>
  <c r="DF10" i="10"/>
  <c r="DF20" i="9"/>
  <c r="DF34" i="11"/>
  <c r="DF5" i="10"/>
  <c r="DF4" i="10"/>
  <c r="DF29" i="9"/>
  <c r="DF13" i="9"/>
  <c r="DF11" i="11"/>
  <c r="DF13" i="10"/>
  <c r="DF35" i="9"/>
  <c r="DF15" i="9"/>
  <c r="DF9" i="9"/>
  <c r="DF26" i="8"/>
  <c r="DF19" i="8"/>
  <c r="DF17" i="8"/>
  <c r="DF8" i="8"/>
  <c r="DF36" i="12"/>
  <c r="DF16" i="12"/>
  <c r="DF14" i="12"/>
  <c r="DF9" i="10"/>
  <c r="DF33" i="9"/>
  <c r="DF31" i="9"/>
  <c r="DF21" i="8"/>
  <c r="DF12" i="8"/>
  <c r="DF32" i="11"/>
  <c r="DF33" i="10"/>
  <c r="DF18" i="10"/>
  <c r="DF15" i="10"/>
  <c r="DF22" i="9"/>
  <c r="DF28" i="8"/>
  <c r="DF14" i="8"/>
  <c r="DF3" i="10"/>
  <c r="DF24" i="9"/>
  <c r="DF8" i="9"/>
  <c r="DF36" i="8"/>
  <c r="DF30" i="8"/>
  <c r="DF34" i="12"/>
  <c r="DF26" i="11"/>
  <c r="DF5" i="11"/>
  <c r="DF22" i="10"/>
  <c r="DF26" i="9"/>
  <c r="DF17" i="9"/>
  <c r="DF34" i="8"/>
  <c r="DF32" i="8"/>
  <c r="DF16" i="8"/>
  <c r="DF30" i="11"/>
  <c r="DF28" i="11"/>
  <c r="DF31" i="10"/>
  <c r="DF8" i="10"/>
  <c r="DF12" i="9"/>
  <c r="DF23" i="8"/>
  <c r="DF28" i="9"/>
  <c r="DF21" i="9"/>
  <c r="DF19" i="9"/>
  <c r="DF12" i="10"/>
  <c r="DF7" i="9"/>
  <c r="DF2" i="9"/>
  <c r="DF25" i="8"/>
  <c r="DF32" i="12"/>
  <c r="DF16" i="11"/>
  <c r="DF14" i="11"/>
  <c r="DF11" i="12"/>
  <c r="DF14" i="10"/>
  <c r="DF11" i="10"/>
  <c r="DF7" i="10"/>
  <c r="DF32" i="9"/>
  <c r="DF6" i="9"/>
  <c r="DF27" i="8"/>
  <c r="DF10" i="8"/>
  <c r="DF10" i="9"/>
  <c r="DF33" i="8"/>
  <c r="DF31" i="8"/>
  <c r="DF22" i="8"/>
  <c r="DF30" i="12"/>
  <c r="DF6" i="8"/>
  <c r="DF7" i="12"/>
  <c r="DF11" i="9"/>
  <c r="DF4" i="9"/>
  <c r="DF7" i="8"/>
  <c r="DF35" i="7"/>
  <c r="DF30" i="7"/>
  <c r="DF26" i="7"/>
  <c r="DF22" i="7"/>
  <c r="DF9" i="7"/>
  <c r="DF5" i="7"/>
  <c r="DF25" i="6"/>
  <c r="DF20" i="6"/>
  <c r="DF9" i="8"/>
  <c r="DF15" i="7"/>
  <c r="DF7" i="7"/>
  <c r="DF5" i="8"/>
  <c r="DF4" i="8"/>
  <c r="DF2" i="8"/>
  <c r="DE2" i="8" s="1"/>
  <c r="DF19" i="7"/>
  <c r="DF3" i="7"/>
  <c r="DF27" i="6"/>
  <c r="DF36" i="7"/>
  <c r="DF2" i="7"/>
  <c r="DE2" i="7" s="1"/>
  <c r="DF6" i="10"/>
  <c r="DF11" i="8"/>
  <c r="DF31" i="7"/>
  <c r="DF27" i="7"/>
  <c r="DF23" i="7"/>
  <c r="DF16" i="7"/>
  <c r="DF29" i="6"/>
  <c r="DF36" i="9"/>
  <c r="DF29" i="8"/>
  <c r="DF3" i="8"/>
  <c r="DF35" i="6"/>
  <c r="DF33" i="6"/>
  <c r="DF31" i="6"/>
  <c r="DF22" i="6"/>
  <c r="DF16" i="9"/>
  <c r="DF14" i="9"/>
  <c r="DF5" i="9"/>
  <c r="DF24" i="8"/>
  <c r="DF20" i="8"/>
  <c r="DF18" i="8"/>
  <c r="DF15" i="8"/>
  <c r="DF20" i="7"/>
  <c r="DF12" i="7"/>
  <c r="DF34" i="9"/>
  <c r="DF13" i="8"/>
  <c r="DF32" i="7"/>
  <c r="DF10" i="7"/>
  <c r="DF6" i="7"/>
  <c r="DF4" i="7"/>
  <c r="DF24" i="6"/>
  <c r="DF28" i="7"/>
  <c r="DF24" i="7"/>
  <c r="DF8" i="7"/>
  <c r="DF36" i="11"/>
  <c r="DF26" i="6"/>
  <c r="DF21" i="6"/>
  <c r="DF33" i="7"/>
  <c r="DF21" i="7"/>
  <c r="DF17" i="7"/>
  <c r="DF16" i="10"/>
  <c r="DF13" i="7"/>
  <c r="DF28" i="6"/>
  <c r="DF3" i="9"/>
  <c r="DF35" i="8"/>
  <c r="DF29" i="7"/>
  <c r="DF25" i="7"/>
  <c r="DF30" i="6"/>
  <c r="DF18" i="7"/>
  <c r="DF23" i="6"/>
  <c r="P12" i="11"/>
  <c r="P8" i="12"/>
  <c r="P7" i="12"/>
  <c r="P6" i="11"/>
  <c r="P11" i="12"/>
  <c r="P11" i="11"/>
  <c r="P6" i="12"/>
  <c r="N6" i="12" s="1"/>
  <c r="P10" i="11"/>
  <c r="P10" i="12"/>
  <c r="P9" i="11"/>
  <c r="P12" i="12"/>
  <c r="P12" i="10"/>
  <c r="P7" i="10"/>
  <c r="P7" i="9"/>
  <c r="P11" i="9"/>
  <c r="P6" i="9"/>
  <c r="P10" i="8"/>
  <c r="P11" i="10"/>
  <c r="N11" i="10" s="1"/>
  <c r="P6" i="10"/>
  <c r="P9" i="8"/>
  <c r="P7" i="11"/>
  <c r="P10" i="9"/>
  <c r="N10" i="9" s="1"/>
  <c r="P10" i="10"/>
  <c r="N10" i="10" s="1"/>
  <c r="P9" i="9"/>
  <c r="P12" i="8"/>
  <c r="P8" i="8"/>
  <c r="P9" i="10"/>
  <c r="P8" i="11"/>
  <c r="P8" i="10"/>
  <c r="P9" i="12"/>
  <c r="P10" i="7"/>
  <c r="P8" i="7"/>
  <c r="N8" i="7" s="1"/>
  <c r="P6" i="7"/>
  <c r="P7" i="8"/>
  <c r="P6" i="8"/>
  <c r="P11" i="7"/>
  <c r="N11" i="7" s="1"/>
  <c r="P7" i="7"/>
  <c r="P9" i="7"/>
  <c r="P12" i="9"/>
  <c r="N12" i="9" s="1"/>
  <c r="P8" i="9"/>
  <c r="P11" i="8"/>
  <c r="P12" i="7"/>
  <c r="DO23" i="3"/>
  <c r="DO7" i="3"/>
  <c r="GT39" i="3"/>
  <c r="GT23" i="3"/>
  <c r="GT7" i="3"/>
  <c r="HA41" i="3"/>
  <c r="HA25" i="3"/>
  <c r="HA9" i="3"/>
  <c r="DH35" i="3"/>
  <c r="DH27" i="3"/>
  <c r="DH19" i="3"/>
  <c r="DH11" i="3"/>
  <c r="DH3" i="3"/>
  <c r="GR40" i="3"/>
  <c r="GR24" i="3"/>
  <c r="GR8" i="3"/>
  <c r="DO6" i="5"/>
  <c r="DP6" i="5" s="1"/>
  <c r="DO7" i="5"/>
  <c r="DP7" i="5" s="1"/>
  <c r="GT8" i="5"/>
  <c r="P11" i="5"/>
  <c r="DH15" i="5"/>
  <c r="GT17" i="5"/>
  <c r="GT22" i="5"/>
  <c r="DO26" i="5"/>
  <c r="DF27" i="5"/>
  <c r="DH29" i="5"/>
  <c r="HA30" i="5"/>
  <c r="GR31" i="5"/>
  <c r="GR33" i="5"/>
  <c r="GR35" i="5"/>
  <c r="HA36" i="5"/>
  <c r="DF3" i="6"/>
  <c r="P6" i="6"/>
  <c r="HA6" i="6"/>
  <c r="HA7" i="6"/>
  <c r="GR9" i="6"/>
  <c r="GT15" i="6"/>
  <c r="DF34" i="6"/>
  <c r="HA29" i="7"/>
  <c r="HH2" i="8"/>
  <c r="P20" i="10"/>
  <c r="P18" i="10"/>
  <c r="N18" i="10" s="1"/>
  <c r="P19" i="12"/>
  <c r="P19" i="11"/>
  <c r="P14" i="12"/>
  <c r="N14" i="12" s="1"/>
  <c r="P14" i="11"/>
  <c r="P16" i="12"/>
  <c r="P16" i="11"/>
  <c r="P19" i="10"/>
  <c r="N19" i="10" s="1"/>
  <c r="P18" i="12"/>
  <c r="P18" i="11"/>
  <c r="P17" i="11"/>
  <c r="P17" i="10"/>
  <c r="P16" i="8"/>
  <c r="P20" i="12"/>
  <c r="P19" i="9"/>
  <c r="P15" i="11"/>
  <c r="P13" i="11"/>
  <c r="P16" i="9"/>
  <c r="P14" i="9"/>
  <c r="P20" i="8"/>
  <c r="N20" i="8" s="1"/>
  <c r="P18" i="8"/>
  <c r="P14" i="10"/>
  <c r="P13" i="8"/>
  <c r="P16" i="10"/>
  <c r="N16" i="10" s="1"/>
  <c r="P15" i="8"/>
  <c r="P18" i="9"/>
  <c r="P17" i="8"/>
  <c r="P20" i="11"/>
  <c r="P20" i="9"/>
  <c r="P17" i="12"/>
  <c r="P19" i="8"/>
  <c r="P17" i="9"/>
  <c r="N17" i="9" s="1"/>
  <c r="P15" i="9"/>
  <c r="P13" i="9"/>
  <c r="P20" i="7"/>
  <c r="P14" i="8"/>
  <c r="N14" i="8" s="1"/>
  <c r="P17" i="7"/>
  <c r="P19" i="6"/>
  <c r="P13" i="10"/>
  <c r="P15" i="10"/>
  <c r="P13" i="7"/>
  <c r="P13" i="12"/>
  <c r="P14" i="7"/>
  <c r="P18" i="7"/>
  <c r="P15" i="12"/>
  <c r="P20" i="6"/>
  <c r="P15" i="7"/>
  <c r="N15" i="7" s="1"/>
  <c r="P19" i="7"/>
  <c r="P16" i="7"/>
  <c r="FW2" i="10"/>
  <c r="FW2" i="7"/>
  <c r="FW2" i="9"/>
  <c r="FW2" i="8"/>
  <c r="DO22" i="3"/>
  <c r="DO6" i="3"/>
  <c r="GT38" i="3"/>
  <c r="GT22" i="3"/>
  <c r="GT6" i="3"/>
  <c r="HA40" i="3"/>
  <c r="HA24" i="3"/>
  <c r="HA8" i="3"/>
  <c r="DF35" i="3"/>
  <c r="DF27" i="3"/>
  <c r="DF19" i="3"/>
  <c r="DF11" i="3"/>
  <c r="DF3" i="3"/>
  <c r="GR39" i="3"/>
  <c r="GR23" i="3"/>
  <c r="GR7" i="3"/>
  <c r="DF3" i="5"/>
  <c r="P5" i="5"/>
  <c r="P6" i="5"/>
  <c r="DF9" i="5"/>
  <c r="DF13" i="5"/>
  <c r="P19" i="5"/>
  <c r="DO19" i="5"/>
  <c r="DF20" i="5"/>
  <c r="DH27" i="5"/>
  <c r="GT31" i="5"/>
  <c r="GT33" i="5"/>
  <c r="GT35" i="5"/>
  <c r="GR41" i="5"/>
  <c r="GR42" i="5"/>
  <c r="GR43" i="5"/>
  <c r="GR44" i="5"/>
  <c r="GR45" i="5"/>
  <c r="L2" i="6"/>
  <c r="HA2" i="6"/>
  <c r="DH3" i="6"/>
  <c r="GR3" i="6"/>
  <c r="GT9" i="6"/>
  <c r="GR13" i="6"/>
  <c r="DF36" i="6"/>
  <c r="HA25" i="7"/>
  <c r="DF34" i="7"/>
  <c r="P25" i="10"/>
  <c r="P24" i="12"/>
  <c r="P27" i="10"/>
  <c r="P26" i="12"/>
  <c r="P29" i="10"/>
  <c r="N29" i="10" s="1"/>
  <c r="P22" i="10"/>
  <c r="N22" i="10" s="1"/>
  <c r="P28" i="12"/>
  <c r="P21" i="12"/>
  <c r="N21" i="12" s="1"/>
  <c r="P24" i="11"/>
  <c r="P26" i="11"/>
  <c r="N26" i="11" s="1"/>
  <c r="P21" i="11"/>
  <c r="P28" i="11"/>
  <c r="P24" i="10"/>
  <c r="P25" i="12"/>
  <c r="P23" i="12"/>
  <c r="P26" i="10"/>
  <c r="P28" i="10"/>
  <c r="N28" i="10" s="1"/>
  <c r="P21" i="10"/>
  <c r="P27" i="12"/>
  <c r="N27" i="12" s="1"/>
  <c r="P23" i="11"/>
  <c r="P29" i="11"/>
  <c r="N29" i="11" s="1"/>
  <c r="P27" i="11"/>
  <c r="P22" i="11"/>
  <c r="P23" i="10"/>
  <c r="N23" i="10" s="1"/>
  <c r="P25" i="11"/>
  <c r="P26" i="9"/>
  <c r="P22" i="12"/>
  <c r="N22" i="12" s="1"/>
  <c r="P28" i="9"/>
  <c r="P21" i="9"/>
  <c r="P25" i="8"/>
  <c r="P27" i="8"/>
  <c r="N27" i="8" s="1"/>
  <c r="P22" i="8"/>
  <c r="P29" i="8"/>
  <c r="N29" i="8" s="1"/>
  <c r="P25" i="9"/>
  <c r="P23" i="9"/>
  <c r="P29" i="12"/>
  <c r="P27" i="9"/>
  <c r="N27" i="9" s="1"/>
  <c r="P24" i="8"/>
  <c r="P26" i="8"/>
  <c r="P24" i="9"/>
  <c r="P28" i="8"/>
  <c r="P23" i="8"/>
  <c r="P24" i="6"/>
  <c r="N24" i="6" s="1"/>
  <c r="P28" i="7"/>
  <c r="P24" i="7"/>
  <c r="P26" i="6"/>
  <c r="P21" i="6"/>
  <c r="P22" i="9"/>
  <c r="P21" i="7"/>
  <c r="P28" i="6"/>
  <c r="N28" i="6" s="1"/>
  <c r="P29" i="7"/>
  <c r="P25" i="7"/>
  <c r="P22" i="7"/>
  <c r="N22" i="7" s="1"/>
  <c r="P29" i="9"/>
  <c r="P23" i="6"/>
  <c r="P26" i="7"/>
  <c r="N26" i="7" s="1"/>
  <c r="P25" i="6"/>
  <c r="N25" i="6" s="1"/>
  <c r="P27" i="6"/>
  <c r="P22" i="6"/>
  <c r="N22" i="6" s="1"/>
  <c r="P21" i="8"/>
  <c r="C166" i="2"/>
  <c r="GD2" i="12"/>
  <c r="GI2" i="12" s="1"/>
  <c r="GK2" i="12" s="1"/>
  <c r="GL2" i="12" s="1"/>
  <c r="GD2" i="11"/>
  <c r="GI2" i="11" s="1"/>
  <c r="GK2" i="11" s="1"/>
  <c r="GK3" i="11" s="1"/>
  <c r="GK4" i="11" s="1"/>
  <c r="GK5" i="11" s="1"/>
  <c r="GK6" i="11" s="1"/>
  <c r="GK7" i="11" s="1"/>
  <c r="GK8" i="11" s="1"/>
  <c r="GK9" i="11" s="1"/>
  <c r="GK10" i="11" s="1"/>
  <c r="GK11" i="11" s="1"/>
  <c r="GD2" i="8"/>
  <c r="GI2" i="8" s="1"/>
  <c r="GK2" i="8" s="1"/>
  <c r="GK3" i="8" s="1"/>
  <c r="GK4" i="8" s="1"/>
  <c r="GK5" i="8" s="1"/>
  <c r="GK6" i="8" s="1"/>
  <c r="GK7" i="8" s="1"/>
  <c r="GK8" i="8" s="1"/>
  <c r="GK9" i="8" s="1"/>
  <c r="GK10" i="8" s="1"/>
  <c r="GK11" i="8" s="1"/>
  <c r="DO21" i="3"/>
  <c r="DO5" i="3"/>
  <c r="GD2" i="3"/>
  <c r="GT37" i="3"/>
  <c r="GT21" i="3"/>
  <c r="GT5" i="3"/>
  <c r="HA39" i="3"/>
  <c r="HA23" i="3"/>
  <c r="HA7" i="3"/>
  <c r="DH34" i="3"/>
  <c r="DH26" i="3"/>
  <c r="DH18" i="3"/>
  <c r="DH10" i="3"/>
  <c r="GT2" i="3"/>
  <c r="GR38" i="3"/>
  <c r="GR22" i="3"/>
  <c r="GR6" i="3"/>
  <c r="HA2" i="5"/>
  <c r="DH3" i="5"/>
  <c r="GR3" i="5"/>
  <c r="HA6" i="5"/>
  <c r="HA7" i="5"/>
  <c r="DH9" i="5"/>
  <c r="HA11" i="5"/>
  <c r="DO12" i="5"/>
  <c r="DP12" i="5" s="1"/>
  <c r="DH13" i="5"/>
  <c r="HA14" i="5"/>
  <c r="GR15" i="5"/>
  <c r="HA16" i="5"/>
  <c r="DH20" i="5"/>
  <c r="HA21" i="5"/>
  <c r="P24" i="5"/>
  <c r="DO24" i="5"/>
  <c r="DF25" i="5"/>
  <c r="HA28" i="5"/>
  <c r="GR29" i="5"/>
  <c r="GR40" i="5"/>
  <c r="GT41" i="5"/>
  <c r="GT42" i="5"/>
  <c r="GT43" i="5"/>
  <c r="GT44" i="5"/>
  <c r="GT45" i="5"/>
  <c r="GR46" i="5"/>
  <c r="GR47" i="5"/>
  <c r="M2" i="6"/>
  <c r="GT3" i="6"/>
  <c r="DF4" i="6"/>
  <c r="DO8" i="6"/>
  <c r="DF10" i="6"/>
  <c r="P12" i="6"/>
  <c r="N12" i="6" s="1"/>
  <c r="HA12" i="6"/>
  <c r="GT13" i="6"/>
  <c r="P17" i="6"/>
  <c r="N17" i="6" s="1"/>
  <c r="DO18" i="6"/>
  <c r="HA19" i="6"/>
  <c r="GT6" i="8"/>
  <c r="CL2" i="5"/>
  <c r="Z2" i="12"/>
  <c r="CJ2" i="12" s="1"/>
  <c r="Z2" i="10"/>
  <c r="CJ2" i="10" s="1"/>
  <c r="Z2" i="9"/>
  <c r="CJ2" i="9" s="1"/>
  <c r="Z2" i="11"/>
  <c r="CJ2" i="11" s="1"/>
  <c r="Z2" i="8"/>
  <c r="CJ2" i="8" s="1"/>
  <c r="Z2" i="7"/>
  <c r="DO36" i="3"/>
  <c r="DO20" i="3"/>
  <c r="DO4" i="3"/>
  <c r="GT52" i="3"/>
  <c r="GT36" i="3"/>
  <c r="GT20" i="3"/>
  <c r="GT4" i="3"/>
  <c r="HA38" i="3"/>
  <c r="HA22" i="3"/>
  <c r="HA6" i="3"/>
  <c r="DF34" i="3"/>
  <c r="DF26" i="3"/>
  <c r="DF18" i="3"/>
  <c r="DF10" i="3"/>
  <c r="GR2" i="3"/>
  <c r="GR37" i="3"/>
  <c r="GR21" i="3"/>
  <c r="GR5" i="3"/>
  <c r="L2" i="5"/>
  <c r="DF2" i="5"/>
  <c r="DE2" i="5" s="1"/>
  <c r="FW2" i="5"/>
  <c r="GQ2" i="5" s="1"/>
  <c r="GT3" i="5"/>
  <c r="S6" i="5"/>
  <c r="GR9" i="5"/>
  <c r="GT15" i="5"/>
  <c r="DO17" i="5"/>
  <c r="DF18" i="5"/>
  <c r="DO22" i="5"/>
  <c r="DF23" i="5"/>
  <c r="DH25" i="5"/>
  <c r="HA26" i="5"/>
  <c r="GR27" i="5"/>
  <c r="GT29" i="5"/>
  <c r="GR39" i="5"/>
  <c r="GT40" i="5"/>
  <c r="GT46" i="5"/>
  <c r="GT47" i="5"/>
  <c r="GR48" i="5"/>
  <c r="DF2" i="6"/>
  <c r="DE2" i="6" s="1"/>
  <c r="FW2" i="6"/>
  <c r="GS2" i="6" s="1"/>
  <c r="DH4" i="6"/>
  <c r="GR4" i="6"/>
  <c r="P7" i="6"/>
  <c r="P8" i="6"/>
  <c r="N8" i="6" s="1"/>
  <c r="DH10" i="6"/>
  <c r="P15" i="6"/>
  <c r="DO15" i="6"/>
  <c r="DF16" i="6"/>
  <c r="P18" i="6"/>
  <c r="HA20" i="6"/>
  <c r="GR51" i="6"/>
  <c r="DF11" i="7"/>
  <c r="DO16" i="7"/>
  <c r="DH18" i="7"/>
  <c r="DF25" i="9"/>
  <c r="DO35" i="3"/>
  <c r="DO19" i="3"/>
  <c r="DO3" i="3"/>
  <c r="GT51" i="3"/>
  <c r="GT35" i="3"/>
  <c r="GT19" i="3"/>
  <c r="GT3" i="3"/>
  <c r="HA2" i="3"/>
  <c r="HA37" i="3"/>
  <c r="HA21" i="3"/>
  <c r="HA5" i="3"/>
  <c r="DH33" i="3"/>
  <c r="DH25" i="3"/>
  <c r="DH17" i="3"/>
  <c r="DH9" i="3"/>
  <c r="GR52" i="3"/>
  <c r="GR36" i="3"/>
  <c r="GR20" i="3"/>
  <c r="GR4" i="3"/>
  <c r="M2" i="5"/>
  <c r="DH2" i="5"/>
  <c r="DG2" i="5" s="1"/>
  <c r="DO8" i="5"/>
  <c r="DP8" i="5" s="1"/>
  <c r="GT9" i="5"/>
  <c r="DF10" i="5"/>
  <c r="GR13" i="5"/>
  <c r="DH18" i="5"/>
  <c r="HA19" i="5"/>
  <c r="GR20" i="5"/>
  <c r="DH23" i="5"/>
  <c r="GT27" i="5"/>
  <c r="DO31" i="5"/>
  <c r="DO33" i="5"/>
  <c r="DO35" i="5"/>
  <c r="GR38" i="5"/>
  <c r="GT39" i="5"/>
  <c r="GT48" i="5"/>
  <c r="GR49" i="5"/>
  <c r="P2" i="6"/>
  <c r="DH2" i="6"/>
  <c r="DG2" i="6" s="1"/>
  <c r="GT4" i="6"/>
  <c r="DF5" i="6"/>
  <c r="HA8" i="6"/>
  <c r="GR10" i="6"/>
  <c r="DH16" i="6"/>
  <c r="DO29" i="6"/>
  <c r="DO34" i="3"/>
  <c r="DO18" i="3"/>
  <c r="DF2" i="3"/>
  <c r="GT50" i="3"/>
  <c r="GT34" i="3"/>
  <c r="GT18" i="3"/>
  <c r="HA52" i="3"/>
  <c r="HA36" i="3"/>
  <c r="HA20" i="3"/>
  <c r="HA4" i="3"/>
  <c r="DF33" i="3"/>
  <c r="DF25" i="3"/>
  <c r="DF17" i="3"/>
  <c r="DF9" i="3"/>
  <c r="GR51" i="3"/>
  <c r="GR35" i="3"/>
  <c r="GR19" i="3"/>
  <c r="GR3" i="3"/>
  <c r="GD2" i="5"/>
  <c r="GI2" i="5" s="1"/>
  <c r="GK2" i="5" s="1"/>
  <c r="GK3" i="5" s="1"/>
  <c r="GK4" i="5" s="1"/>
  <c r="GK5" i="5" s="1"/>
  <c r="GK6" i="5" s="1"/>
  <c r="GK7" i="5" s="1"/>
  <c r="GK8" i="5" s="1"/>
  <c r="DF4" i="5"/>
  <c r="DF5" i="5"/>
  <c r="P7" i="5"/>
  <c r="N7" i="5" s="1"/>
  <c r="DH10" i="5"/>
  <c r="P12" i="5"/>
  <c r="N12" i="5" s="1"/>
  <c r="HA12" i="5"/>
  <c r="GT13" i="5"/>
  <c r="GT20" i="5"/>
  <c r="HA24" i="5"/>
  <c r="GR25" i="5"/>
  <c r="DF32" i="5"/>
  <c r="DF34" i="5"/>
  <c r="DF36" i="5"/>
  <c r="GT38" i="5"/>
  <c r="GT49" i="5"/>
  <c r="GR50" i="5"/>
  <c r="GD2" i="6"/>
  <c r="GI2" i="6" s="1"/>
  <c r="GK2" i="6" s="1"/>
  <c r="GL2" i="6" s="1"/>
  <c r="DH5" i="6"/>
  <c r="GR5" i="6"/>
  <c r="DO9" i="6"/>
  <c r="DP9" i="6" s="1"/>
  <c r="GT10" i="6"/>
  <c r="P13" i="6"/>
  <c r="DO13" i="6"/>
  <c r="DP13" i="6" s="1"/>
  <c r="DF14" i="6"/>
  <c r="GR25" i="6"/>
  <c r="GT50" i="6"/>
  <c r="DO27" i="7"/>
  <c r="DO31" i="7"/>
  <c r="N16" i="6"/>
  <c r="DO33" i="3"/>
  <c r="DO17" i="3"/>
  <c r="DH2" i="3"/>
  <c r="GT49" i="3"/>
  <c r="GT33" i="3"/>
  <c r="GT17" i="3"/>
  <c r="HA51" i="3"/>
  <c r="HA35" i="3"/>
  <c r="HA19" i="3"/>
  <c r="HA3" i="3"/>
  <c r="DH32" i="3"/>
  <c r="DH24" i="3"/>
  <c r="DH16" i="3"/>
  <c r="DH8" i="3"/>
  <c r="GR50" i="3"/>
  <c r="GR34" i="3"/>
  <c r="GR18" i="3"/>
  <c r="P2" i="5"/>
  <c r="N2" i="5" s="1"/>
  <c r="AC2" i="5" s="1"/>
  <c r="DH4" i="5"/>
  <c r="GR4" i="5"/>
  <c r="DH5" i="5"/>
  <c r="GR5" i="5"/>
  <c r="P8" i="5"/>
  <c r="HA8" i="5"/>
  <c r="GR10" i="5"/>
  <c r="P15" i="5"/>
  <c r="DO15" i="5"/>
  <c r="DP15" i="5" s="1"/>
  <c r="P17" i="5"/>
  <c r="HA17" i="5"/>
  <c r="GR18" i="5"/>
  <c r="P22" i="5"/>
  <c r="HA22" i="5"/>
  <c r="GR23" i="5"/>
  <c r="GT25" i="5"/>
  <c r="P29" i="5"/>
  <c r="DO29" i="5"/>
  <c r="DF30" i="5"/>
  <c r="DH32" i="5"/>
  <c r="DH34" i="5"/>
  <c r="DH36" i="5"/>
  <c r="GR37" i="5"/>
  <c r="GT50" i="5"/>
  <c r="GR51" i="5"/>
  <c r="GT5" i="6"/>
  <c r="DF11" i="6"/>
  <c r="DH14" i="6"/>
  <c r="HA15" i="6"/>
  <c r="GR16" i="6"/>
  <c r="GT12" i="7"/>
  <c r="DF23" i="9"/>
  <c r="DP2" i="6"/>
  <c r="GR45" i="12"/>
  <c r="GR39" i="12"/>
  <c r="GR20" i="12"/>
  <c r="GR13" i="12"/>
  <c r="GR2" i="12"/>
  <c r="GQ2" i="12" s="1"/>
  <c r="GR47" i="11"/>
  <c r="GR46" i="11"/>
  <c r="GR45" i="11"/>
  <c r="GR44" i="11"/>
  <c r="GR43" i="11"/>
  <c r="GR42" i="11"/>
  <c r="GR40" i="11"/>
  <c r="GR13" i="11"/>
  <c r="GR52" i="10"/>
  <c r="GR36" i="10"/>
  <c r="GR34" i="10"/>
  <c r="GR30" i="10"/>
  <c r="GR40" i="12"/>
  <c r="GR29" i="12"/>
  <c r="GR15" i="12"/>
  <c r="GR41" i="11"/>
  <c r="GR25" i="11"/>
  <c r="GR20" i="11"/>
  <c r="GR9" i="11"/>
  <c r="GR51" i="10"/>
  <c r="GR32" i="10"/>
  <c r="GR44" i="12"/>
  <c r="GR43" i="12"/>
  <c r="GR42" i="12"/>
  <c r="GR41" i="12"/>
  <c r="GR5" i="12"/>
  <c r="GR35" i="11"/>
  <c r="GR15" i="11"/>
  <c r="GR50" i="10"/>
  <c r="GR37" i="10"/>
  <c r="GR35" i="12"/>
  <c r="GR33" i="12"/>
  <c r="GR31" i="12"/>
  <c r="GR9" i="12"/>
  <c r="GR4" i="12"/>
  <c r="GR33" i="11"/>
  <c r="GR31" i="11"/>
  <c r="GR29" i="11"/>
  <c r="GR27" i="11"/>
  <c r="GR49" i="10"/>
  <c r="GR23" i="10"/>
  <c r="GR22" i="12"/>
  <c r="GR8" i="11"/>
  <c r="GR48" i="10"/>
  <c r="GR38" i="10"/>
  <c r="GR25" i="10"/>
  <c r="GR18" i="10"/>
  <c r="GR24" i="12"/>
  <c r="GR17" i="12"/>
  <c r="GR47" i="10"/>
  <c r="GR46" i="10"/>
  <c r="GR39" i="10"/>
  <c r="GR27" i="10"/>
  <c r="GR20" i="10"/>
  <c r="GR26" i="12"/>
  <c r="GR12" i="12"/>
  <c r="GR22" i="11"/>
  <c r="GR17" i="11"/>
  <c r="GR2" i="11"/>
  <c r="GQ2" i="11" s="1"/>
  <c r="GR45" i="10"/>
  <c r="GR44" i="10"/>
  <c r="GR43" i="10"/>
  <c r="GR40" i="10"/>
  <c r="GR19" i="12"/>
  <c r="GR8" i="12"/>
  <c r="GR3" i="12"/>
  <c r="GR12" i="11"/>
  <c r="GR42" i="10"/>
  <c r="GR41" i="10"/>
  <c r="GR29" i="10"/>
  <c r="GR28" i="12"/>
  <c r="GR21" i="12"/>
  <c r="GR24" i="11"/>
  <c r="GR19" i="11"/>
  <c r="GR7" i="11"/>
  <c r="GR35" i="10"/>
  <c r="GR52" i="12"/>
  <c r="GR14" i="12"/>
  <c r="GR14" i="11"/>
  <c r="GR6" i="11"/>
  <c r="GR33" i="10"/>
  <c r="GR31" i="10"/>
  <c r="GR51" i="12"/>
  <c r="GR36" i="12"/>
  <c r="GR30" i="12"/>
  <c r="GR16" i="12"/>
  <c r="GR11" i="12"/>
  <c r="GR36" i="11"/>
  <c r="GR34" i="11"/>
  <c r="GR26" i="11"/>
  <c r="GR21" i="11"/>
  <c r="GR11" i="11"/>
  <c r="GR22" i="10"/>
  <c r="GR50" i="12"/>
  <c r="GR34" i="12"/>
  <c r="GR32" i="12"/>
  <c r="GR52" i="11"/>
  <c r="GR32" i="11"/>
  <c r="GR30" i="11"/>
  <c r="GR28" i="11"/>
  <c r="GR16" i="11"/>
  <c r="GR47" i="12"/>
  <c r="GR46" i="12"/>
  <c r="GR38" i="12"/>
  <c r="GR27" i="12"/>
  <c r="GR48" i="11"/>
  <c r="GR39" i="11"/>
  <c r="GR23" i="11"/>
  <c r="GR18" i="11"/>
  <c r="GR48" i="12"/>
  <c r="GR13" i="10"/>
  <c r="GR35" i="9"/>
  <c r="GR15" i="9"/>
  <c r="GR3" i="9"/>
  <c r="GR41" i="8"/>
  <c r="GR26" i="8"/>
  <c r="GR19" i="8"/>
  <c r="GR17" i="8"/>
  <c r="GR49" i="12"/>
  <c r="GR49" i="11"/>
  <c r="GR4" i="11"/>
  <c r="GR5" i="10"/>
  <c r="GR4" i="10"/>
  <c r="GR33" i="9"/>
  <c r="GR31" i="9"/>
  <c r="GR9" i="9"/>
  <c r="GR50" i="11"/>
  <c r="GR10" i="11"/>
  <c r="GR15" i="10"/>
  <c r="GR9" i="10"/>
  <c r="GR22" i="9"/>
  <c r="GR43" i="8"/>
  <c r="GR28" i="8"/>
  <c r="GR14" i="8"/>
  <c r="GR51" i="11"/>
  <c r="GR19" i="10"/>
  <c r="GR24" i="9"/>
  <c r="GR52" i="8"/>
  <c r="GR51" i="8"/>
  <c r="GR50" i="8"/>
  <c r="GR49" i="8"/>
  <c r="GR48" i="8"/>
  <c r="GR46" i="8"/>
  <c r="GR45" i="8"/>
  <c r="GR44" i="8"/>
  <c r="GR36" i="8"/>
  <c r="GR30" i="8"/>
  <c r="GR37" i="11"/>
  <c r="GR26" i="9"/>
  <c r="GR17" i="9"/>
  <c r="GR8" i="9"/>
  <c r="GR47" i="8"/>
  <c r="GR34" i="8"/>
  <c r="GR32" i="8"/>
  <c r="GR16" i="8"/>
  <c r="GR21" i="10"/>
  <c r="GR3" i="10"/>
  <c r="GR12" i="9"/>
  <c r="GR23" i="8"/>
  <c r="GR11" i="8"/>
  <c r="GR8" i="10"/>
  <c r="GR52" i="9"/>
  <c r="GR28" i="9"/>
  <c r="GR21" i="9"/>
  <c r="GR19" i="9"/>
  <c r="GR2" i="9"/>
  <c r="GR24" i="10"/>
  <c r="GR12" i="10"/>
  <c r="GR51" i="9"/>
  <c r="GR37" i="8"/>
  <c r="GR25" i="8"/>
  <c r="GR18" i="12"/>
  <c r="GR38" i="11"/>
  <c r="GR5" i="11"/>
  <c r="GR26" i="10"/>
  <c r="GR17" i="10"/>
  <c r="GR50" i="9"/>
  <c r="GR36" i="9"/>
  <c r="GR34" i="9"/>
  <c r="GR30" i="9"/>
  <c r="GR16" i="9"/>
  <c r="GR14" i="9"/>
  <c r="GR7" i="9"/>
  <c r="GR20" i="8"/>
  <c r="GR18" i="8"/>
  <c r="GR6" i="12"/>
  <c r="GR28" i="10"/>
  <c r="GR14" i="10"/>
  <c r="GR32" i="9"/>
  <c r="GR11" i="9"/>
  <c r="GR27" i="8"/>
  <c r="GR37" i="12"/>
  <c r="GR16" i="10"/>
  <c r="GR11" i="10"/>
  <c r="GR7" i="10"/>
  <c r="GR49" i="9"/>
  <c r="GR6" i="9"/>
  <c r="GR38" i="8"/>
  <c r="GR29" i="8"/>
  <c r="GR13" i="8"/>
  <c r="GR10" i="8"/>
  <c r="GR10" i="12"/>
  <c r="GR48" i="9"/>
  <c r="GR37" i="9"/>
  <c r="GR6" i="10"/>
  <c r="GR2" i="10"/>
  <c r="GR47" i="9"/>
  <c r="GR39" i="8"/>
  <c r="GR33" i="8"/>
  <c r="GR31" i="8"/>
  <c r="GR22" i="8"/>
  <c r="GR10" i="10"/>
  <c r="GR42" i="9"/>
  <c r="GR41" i="9"/>
  <c r="GR29" i="9"/>
  <c r="GR13" i="9"/>
  <c r="GR7" i="8"/>
  <c r="GR48" i="7"/>
  <c r="GR38" i="7"/>
  <c r="GR32" i="7"/>
  <c r="GR49" i="6"/>
  <c r="GR38" i="6"/>
  <c r="GR27" i="6"/>
  <c r="GR7" i="12"/>
  <c r="GR9" i="8"/>
  <c r="GR8" i="8"/>
  <c r="GR40" i="7"/>
  <c r="GR39" i="7"/>
  <c r="GR28" i="7"/>
  <c r="GR24" i="7"/>
  <c r="GR10" i="7"/>
  <c r="GR6" i="7"/>
  <c r="GR48" i="6"/>
  <c r="GR39" i="6"/>
  <c r="GR43" i="9"/>
  <c r="GR4" i="9"/>
  <c r="GR5" i="8"/>
  <c r="GR4" i="8"/>
  <c r="GR47" i="7"/>
  <c r="GR46" i="7"/>
  <c r="GR45" i="7"/>
  <c r="GR44" i="7"/>
  <c r="GR43" i="7"/>
  <c r="GR42" i="7"/>
  <c r="GR41" i="7"/>
  <c r="GR8" i="7"/>
  <c r="GR4" i="7"/>
  <c r="GR47" i="6"/>
  <c r="GR46" i="6"/>
  <c r="GR45" i="6"/>
  <c r="GR44" i="6"/>
  <c r="GR40" i="6"/>
  <c r="GR29" i="6"/>
  <c r="GR38" i="9"/>
  <c r="GR40" i="8"/>
  <c r="GR33" i="7"/>
  <c r="GR21" i="7"/>
  <c r="GR17" i="7"/>
  <c r="GR13" i="7"/>
  <c r="GR43" i="6"/>
  <c r="GR42" i="6"/>
  <c r="GR41" i="6"/>
  <c r="GR35" i="6"/>
  <c r="GR33" i="6"/>
  <c r="GR31" i="6"/>
  <c r="GR22" i="6"/>
  <c r="GR44" i="9"/>
  <c r="GR21" i="8"/>
  <c r="GR15" i="8"/>
  <c r="GR3" i="8"/>
  <c r="GR29" i="7"/>
  <c r="GR25" i="7"/>
  <c r="GR24" i="6"/>
  <c r="GR19" i="6"/>
  <c r="GR3" i="11"/>
  <c r="GR45" i="9"/>
  <c r="GR24" i="8"/>
  <c r="GR34" i="7"/>
  <c r="GR14" i="7"/>
  <c r="GR23" i="12"/>
  <c r="GR39" i="9"/>
  <c r="GR12" i="8"/>
  <c r="GR18" i="7"/>
  <c r="GR11" i="7"/>
  <c r="GR26" i="6"/>
  <c r="GR21" i="6"/>
  <c r="GR46" i="9"/>
  <c r="GR5" i="9"/>
  <c r="GR35" i="7"/>
  <c r="GR30" i="7"/>
  <c r="GR26" i="7"/>
  <c r="GR22" i="7"/>
  <c r="GR28" i="6"/>
  <c r="GR25" i="12"/>
  <c r="GR40" i="9"/>
  <c r="GR15" i="7"/>
  <c r="GR9" i="7"/>
  <c r="GR2" i="7"/>
  <c r="GR30" i="6"/>
  <c r="GR18" i="9"/>
  <c r="GR19" i="7"/>
  <c r="GR7" i="7"/>
  <c r="GR5" i="7"/>
  <c r="GR36" i="6"/>
  <c r="GR34" i="6"/>
  <c r="GR32" i="6"/>
  <c r="GR20" i="9"/>
  <c r="GR42" i="8"/>
  <c r="GR35" i="8"/>
  <c r="GR52" i="7"/>
  <c r="GR36" i="7"/>
  <c r="GR23" i="6"/>
  <c r="GR18" i="6"/>
  <c r="GR25" i="9"/>
  <c r="GR23" i="9"/>
  <c r="GR2" i="8"/>
  <c r="GQ2" i="8" s="1"/>
  <c r="GR51" i="7"/>
  <c r="GR31" i="7"/>
  <c r="GR27" i="7"/>
  <c r="GR23" i="7"/>
  <c r="GR16" i="7"/>
  <c r="GR3" i="7"/>
  <c r="GR52" i="6"/>
  <c r="GR10" i="9"/>
  <c r="GR6" i="8"/>
  <c r="GR49" i="7"/>
  <c r="GR20" i="7"/>
  <c r="GR12" i="7"/>
  <c r="GR50" i="6"/>
  <c r="DO22" i="12"/>
  <c r="DO25" i="10"/>
  <c r="DO24" i="12"/>
  <c r="DO17" i="12"/>
  <c r="DO3" i="12"/>
  <c r="DO27" i="10"/>
  <c r="DO20" i="10"/>
  <c r="DO18" i="10"/>
  <c r="DO26" i="12"/>
  <c r="DO12" i="12"/>
  <c r="DO8" i="12"/>
  <c r="DO22" i="11"/>
  <c r="DO17" i="11"/>
  <c r="DO19" i="12"/>
  <c r="DO12" i="11"/>
  <c r="DO7" i="11"/>
  <c r="DO2" i="11"/>
  <c r="DP2" i="11" s="1"/>
  <c r="DO29" i="10"/>
  <c r="DO28" i="12"/>
  <c r="DO21" i="12"/>
  <c r="DO24" i="11"/>
  <c r="DO19" i="11"/>
  <c r="DP19" i="11" s="1"/>
  <c r="DO6" i="11"/>
  <c r="DO35" i="10"/>
  <c r="DO14" i="12"/>
  <c r="DO11" i="12"/>
  <c r="DO14" i="11"/>
  <c r="DO11" i="11"/>
  <c r="DO33" i="10"/>
  <c r="DO31" i="10"/>
  <c r="DO36" i="12"/>
  <c r="DO30" i="12"/>
  <c r="DO16" i="12"/>
  <c r="DO36" i="11"/>
  <c r="DO34" i="11"/>
  <c r="DO26" i="11"/>
  <c r="DO21" i="11"/>
  <c r="DO5" i="11"/>
  <c r="DP5" i="11" s="1"/>
  <c r="DO4" i="11"/>
  <c r="DP4" i="11" s="1"/>
  <c r="DO22" i="10"/>
  <c r="DO34" i="12"/>
  <c r="DO32" i="12"/>
  <c r="DO7" i="12"/>
  <c r="DO32" i="11"/>
  <c r="DO30" i="11"/>
  <c r="DO28" i="11"/>
  <c r="DO16" i="11"/>
  <c r="DO6" i="12"/>
  <c r="DO3" i="11"/>
  <c r="DP3" i="11" s="1"/>
  <c r="DO24" i="10"/>
  <c r="DO19" i="10"/>
  <c r="DO25" i="12"/>
  <c r="DO23" i="12"/>
  <c r="DO10" i="12"/>
  <c r="DO10" i="11"/>
  <c r="DP10" i="11" s="1"/>
  <c r="DO26" i="10"/>
  <c r="DO18" i="12"/>
  <c r="DO28" i="10"/>
  <c r="DO21" i="10"/>
  <c r="DO27" i="12"/>
  <c r="DO23" i="11"/>
  <c r="DO18" i="11"/>
  <c r="DO35" i="12"/>
  <c r="DO33" i="12"/>
  <c r="DO31" i="12"/>
  <c r="DO33" i="11"/>
  <c r="DO31" i="11"/>
  <c r="DO29" i="11"/>
  <c r="DO27" i="11"/>
  <c r="DO8" i="11"/>
  <c r="DO23" i="10"/>
  <c r="DO26" i="9"/>
  <c r="DO17" i="9"/>
  <c r="DO34" i="8"/>
  <c r="DO32" i="8"/>
  <c r="DO16" i="8"/>
  <c r="DO11" i="8"/>
  <c r="DO8" i="10"/>
  <c r="DO12" i="9"/>
  <c r="DO9" i="12"/>
  <c r="DO2" i="12"/>
  <c r="DO25" i="11"/>
  <c r="DO32" i="10"/>
  <c r="DO28" i="9"/>
  <c r="DO21" i="9"/>
  <c r="DO19" i="9"/>
  <c r="DO20" i="12"/>
  <c r="DO12" i="10"/>
  <c r="DO7" i="9"/>
  <c r="DP7" i="9" s="1"/>
  <c r="DO2" i="9"/>
  <c r="DP2" i="9" s="1"/>
  <c r="DO25" i="8"/>
  <c r="DO30" i="10"/>
  <c r="DO17" i="10"/>
  <c r="DO36" i="9"/>
  <c r="DO34" i="9"/>
  <c r="DO30" i="9"/>
  <c r="DO16" i="9"/>
  <c r="DO14" i="9"/>
  <c r="DP14" i="9" s="1"/>
  <c r="DO11" i="9"/>
  <c r="DO20" i="8"/>
  <c r="DO18" i="8"/>
  <c r="DO14" i="10"/>
  <c r="DO11" i="10"/>
  <c r="DO7" i="10"/>
  <c r="DO32" i="9"/>
  <c r="DO6" i="9"/>
  <c r="DO27" i="8"/>
  <c r="DO13" i="11"/>
  <c r="DP13" i="11" s="1"/>
  <c r="DO29" i="8"/>
  <c r="DO13" i="8"/>
  <c r="DO15" i="11"/>
  <c r="DO9" i="11"/>
  <c r="DO16" i="10"/>
  <c r="DO6" i="10"/>
  <c r="DO25" i="9"/>
  <c r="DO23" i="9"/>
  <c r="DO5" i="9"/>
  <c r="DP5" i="9" s="1"/>
  <c r="DO4" i="9"/>
  <c r="DP4" i="9" s="1"/>
  <c r="DO35" i="8"/>
  <c r="DO15" i="8"/>
  <c r="DO4" i="12"/>
  <c r="DO10" i="9"/>
  <c r="DO33" i="8"/>
  <c r="DO31" i="8"/>
  <c r="DO22" i="8"/>
  <c r="DO2" i="10"/>
  <c r="DP2" i="10" s="1"/>
  <c r="DO27" i="9"/>
  <c r="DO18" i="9"/>
  <c r="DO29" i="12"/>
  <c r="DO10" i="10"/>
  <c r="DO20" i="9"/>
  <c r="DO3" i="9"/>
  <c r="DP3" i="9" s="1"/>
  <c r="DO24" i="8"/>
  <c r="DO5" i="10"/>
  <c r="DO4" i="10"/>
  <c r="DO35" i="11"/>
  <c r="DO20" i="11"/>
  <c r="DO13" i="10"/>
  <c r="DO35" i="9"/>
  <c r="DO15" i="9"/>
  <c r="DO9" i="9"/>
  <c r="DP9" i="9" s="1"/>
  <c r="DO26" i="8"/>
  <c r="DO19" i="8"/>
  <c r="DP19" i="8" s="1"/>
  <c r="DO17" i="8"/>
  <c r="DO8" i="8"/>
  <c r="DO15" i="12"/>
  <c r="DO13" i="12"/>
  <c r="DO5" i="12"/>
  <c r="DO34" i="10"/>
  <c r="DO3" i="10"/>
  <c r="DP3" i="10" s="1"/>
  <c r="DO24" i="9"/>
  <c r="DO8" i="9"/>
  <c r="DP8" i="9" s="1"/>
  <c r="DO36" i="8"/>
  <c r="DO30" i="8"/>
  <c r="DO20" i="7"/>
  <c r="DO12" i="7"/>
  <c r="DO21" i="8"/>
  <c r="DO32" i="7"/>
  <c r="DO10" i="7"/>
  <c r="DO6" i="7"/>
  <c r="DO4" i="7"/>
  <c r="DP4" i="7" s="1"/>
  <c r="DO24" i="6"/>
  <c r="DO19" i="6"/>
  <c r="DO28" i="7"/>
  <c r="DO24" i="7"/>
  <c r="DO8" i="7"/>
  <c r="DO9" i="10"/>
  <c r="DO13" i="9"/>
  <c r="DO28" i="8"/>
  <c r="DO23" i="8"/>
  <c r="DO12" i="8"/>
  <c r="DO26" i="6"/>
  <c r="DO21" i="6"/>
  <c r="DO14" i="8"/>
  <c r="DO33" i="7"/>
  <c r="DO21" i="7"/>
  <c r="DO17" i="7"/>
  <c r="DO33" i="9"/>
  <c r="DO13" i="7"/>
  <c r="DO28" i="6"/>
  <c r="DO29" i="7"/>
  <c r="DO25" i="7"/>
  <c r="DO30" i="6"/>
  <c r="DO36" i="10"/>
  <c r="DO15" i="10"/>
  <c r="DO34" i="7"/>
  <c r="DO14" i="7"/>
  <c r="DO11" i="7"/>
  <c r="DO36" i="6"/>
  <c r="DO34" i="6"/>
  <c r="DO32" i="6"/>
  <c r="DO18" i="7"/>
  <c r="DO23" i="6"/>
  <c r="DO31" i="9"/>
  <c r="DO22" i="9"/>
  <c r="DO6" i="8"/>
  <c r="DO35" i="7"/>
  <c r="DO30" i="7"/>
  <c r="DO26" i="7"/>
  <c r="DO22" i="7"/>
  <c r="DO9" i="7"/>
  <c r="DO5" i="7"/>
  <c r="DP5" i="7" s="1"/>
  <c r="DO25" i="6"/>
  <c r="DO20" i="6"/>
  <c r="DO29" i="9"/>
  <c r="DO7" i="8"/>
  <c r="DP7" i="8" s="1"/>
  <c r="DO15" i="7"/>
  <c r="DO7" i="7"/>
  <c r="DO9" i="8"/>
  <c r="DO5" i="8"/>
  <c r="DO4" i="8"/>
  <c r="DO2" i="8"/>
  <c r="DP2" i="8" s="1"/>
  <c r="DO19" i="7"/>
  <c r="DO3" i="7"/>
  <c r="DO27" i="6"/>
  <c r="DO36" i="7"/>
  <c r="DO2" i="7"/>
  <c r="DO3" i="8"/>
  <c r="DP3" i="8" s="1"/>
  <c r="DO35" i="6"/>
  <c r="DO33" i="6"/>
  <c r="DO31" i="6"/>
  <c r="DO22" i="6"/>
  <c r="DO32" i="3"/>
  <c r="DO16" i="3"/>
  <c r="GT48" i="3"/>
  <c r="GT32" i="3"/>
  <c r="GT16" i="3"/>
  <c r="HA50" i="3"/>
  <c r="HA34" i="3"/>
  <c r="HA18" i="3"/>
  <c r="DF32" i="3"/>
  <c r="DF24" i="3"/>
  <c r="DF16" i="3"/>
  <c r="DF8" i="3"/>
  <c r="GR49" i="3"/>
  <c r="GR33" i="3"/>
  <c r="GR17" i="3"/>
  <c r="GT4" i="5"/>
  <c r="GT5" i="5"/>
  <c r="GT10" i="5"/>
  <c r="DF16" i="5"/>
  <c r="GT18" i="5"/>
  <c r="GT23" i="5"/>
  <c r="P27" i="5"/>
  <c r="DO27" i="5"/>
  <c r="DH30" i="5"/>
  <c r="HA31" i="5"/>
  <c r="HA33" i="5"/>
  <c r="HA35" i="5"/>
  <c r="GT37" i="5"/>
  <c r="GT51" i="5"/>
  <c r="GR52" i="5"/>
  <c r="P3" i="6"/>
  <c r="DO3" i="6"/>
  <c r="DP3" i="6" s="1"/>
  <c r="DF6" i="6"/>
  <c r="DF7" i="6"/>
  <c r="P9" i="6"/>
  <c r="N9" i="6" s="1"/>
  <c r="DH11" i="6"/>
  <c r="GT16" i="6"/>
  <c r="P29" i="6"/>
  <c r="N29" i="6" s="1"/>
  <c r="S4" i="7"/>
  <c r="T4" i="7" s="1"/>
  <c r="S8" i="7"/>
  <c r="EW41" i="7"/>
  <c r="S16" i="7"/>
  <c r="HI3" i="8"/>
  <c r="HI4" i="8" s="1"/>
  <c r="HI5" i="8" s="1"/>
  <c r="N36" i="6"/>
  <c r="HH2" i="9"/>
  <c r="N6" i="8"/>
  <c r="N41" i="7"/>
  <c r="N44" i="7"/>
  <c r="N48" i="7"/>
  <c r="S11" i="7"/>
  <c r="S5" i="7"/>
  <c r="T5" i="7" s="1"/>
  <c r="GK18" i="10"/>
  <c r="GK16" i="10"/>
  <c r="N35" i="6"/>
  <c r="S3" i="10"/>
  <c r="GO3" i="10" s="1"/>
  <c r="BI34" i="9"/>
  <c r="S9" i="10"/>
  <c r="C7" i="2"/>
  <c r="N45" i="12"/>
  <c r="N52" i="8"/>
  <c r="N29" i="12"/>
  <c r="EW37" i="9"/>
  <c r="N4" i="12"/>
  <c r="N10" i="8"/>
  <c r="S6" i="10"/>
  <c r="S8" i="12"/>
  <c r="N31" i="12"/>
  <c r="BI10" i="11"/>
  <c r="N40" i="10"/>
  <c r="N49" i="10"/>
  <c r="N50" i="10"/>
  <c r="N32" i="12"/>
  <c r="N44" i="12"/>
  <c r="HH2" i="12"/>
  <c r="N41" i="12"/>
  <c r="N44" i="11"/>
  <c r="N46" i="11"/>
  <c r="N48" i="11"/>
  <c r="N30" i="12"/>
  <c r="N35" i="10"/>
  <c r="ED30" i="12"/>
  <c r="EK30" i="12" s="1"/>
  <c r="EF33" i="12"/>
  <c r="EI36" i="12"/>
  <c r="EF44" i="12"/>
  <c r="D90" i="2"/>
  <c r="D174" i="2" s="1"/>
  <c r="N47" i="12"/>
  <c r="N48" i="12"/>
  <c r="C114" i="2"/>
  <c r="N5" i="11"/>
  <c r="N52" i="11"/>
  <c r="EI30" i="12"/>
  <c r="EE34" i="12"/>
  <c r="ED38" i="12"/>
  <c r="EK38" i="12" s="1"/>
  <c r="ED47" i="12"/>
  <c r="EK47" i="12" s="1"/>
  <c r="AD2" i="11"/>
  <c r="N12" i="11"/>
  <c r="N35" i="11"/>
  <c r="EG34" i="12"/>
  <c r="ED39" i="12"/>
  <c r="EK39" i="12" s="1"/>
  <c r="EF47" i="12"/>
  <c r="BI10" i="8"/>
  <c r="BI36" i="9"/>
  <c r="BI20" i="5"/>
  <c r="BI42" i="9"/>
  <c r="N41" i="6"/>
  <c r="N48" i="6"/>
  <c r="N16" i="7"/>
  <c r="N2" i="10"/>
  <c r="AC2" i="10" s="1"/>
  <c r="AE2" i="10" s="1"/>
  <c r="AF2" i="10" s="1"/>
  <c r="N26" i="12"/>
  <c r="N7" i="7"/>
  <c r="N17" i="10"/>
  <c r="N45" i="10"/>
  <c r="N30" i="11"/>
  <c r="N39" i="6"/>
  <c r="N38" i="7"/>
  <c r="N15" i="10"/>
  <c r="N48" i="10"/>
  <c r="N32" i="11"/>
  <c r="N52" i="7"/>
  <c r="N47" i="8"/>
  <c r="N39" i="10"/>
  <c r="N32" i="5"/>
  <c r="N27" i="6"/>
  <c r="N38" i="10"/>
  <c r="N41" i="11"/>
  <c r="N17" i="12"/>
  <c r="N39" i="12"/>
  <c r="N31" i="6"/>
  <c r="N33" i="6"/>
  <c r="N47" i="5"/>
  <c r="N31" i="10"/>
  <c r="N49" i="5"/>
  <c r="N49" i="9"/>
  <c r="N50" i="12"/>
  <c r="N10" i="6"/>
  <c r="N12" i="8"/>
  <c r="N24" i="8"/>
  <c r="N10" i="11"/>
  <c r="N6" i="6"/>
  <c r="N34" i="8"/>
  <c r="N20" i="10"/>
  <c r="N31" i="11"/>
  <c r="N37" i="12"/>
  <c r="N37" i="11"/>
  <c r="N29" i="5"/>
  <c r="N20" i="6"/>
  <c r="N12" i="10"/>
  <c r="N7" i="6"/>
  <c r="N42" i="5"/>
  <c r="N44" i="5"/>
  <c r="N45" i="5"/>
  <c r="N43" i="6"/>
  <c r="N12" i="7"/>
  <c r="N28" i="7"/>
  <c r="N42" i="7"/>
  <c r="N47" i="7"/>
  <c r="N7" i="9"/>
  <c r="N8" i="10"/>
  <c r="N14" i="10"/>
  <c r="N52" i="10"/>
  <c r="N34" i="12"/>
  <c r="N52" i="9"/>
  <c r="N40" i="11"/>
  <c r="N19" i="5"/>
  <c r="N23" i="5"/>
  <c r="N49" i="6"/>
  <c r="N9" i="7"/>
  <c r="N49" i="7"/>
  <c r="N50" i="7"/>
  <c r="N4" i="11"/>
  <c r="N47" i="11"/>
  <c r="N25" i="8"/>
  <c r="N4" i="10"/>
  <c r="N2" i="11"/>
  <c r="N6" i="11"/>
  <c r="N33" i="11"/>
  <c r="N50" i="11"/>
  <c r="N46" i="12"/>
  <c r="N51" i="5"/>
  <c r="N52" i="5"/>
  <c r="N37" i="6"/>
  <c r="N32" i="7"/>
  <c r="N8" i="9"/>
  <c r="N30" i="10"/>
  <c r="N25" i="12"/>
  <c r="N10" i="5"/>
  <c r="N31" i="5"/>
  <c r="N4" i="7"/>
  <c r="N35" i="8"/>
  <c r="N49" i="8"/>
  <c r="N51" i="8"/>
  <c r="N26" i="9"/>
  <c r="N32" i="9"/>
  <c r="N5" i="10"/>
  <c r="N36" i="10"/>
  <c r="N34" i="9"/>
  <c r="N11" i="11"/>
  <c r="N7" i="12"/>
  <c r="N36" i="7"/>
  <c r="N2" i="8"/>
  <c r="AC2" i="8" s="1"/>
  <c r="N8" i="8"/>
  <c r="N9" i="9"/>
  <c r="N42" i="9"/>
  <c r="N44" i="10"/>
  <c r="N20" i="11"/>
  <c r="N22" i="11"/>
  <c r="N24" i="11"/>
  <c r="N19" i="7"/>
  <c r="N4" i="9"/>
  <c r="N43" i="9"/>
  <c r="N44" i="9"/>
  <c r="N7" i="11"/>
  <c r="N28" i="11"/>
  <c r="N11" i="12"/>
  <c r="N14" i="6"/>
  <c r="N26" i="6"/>
  <c r="N30" i="7"/>
  <c r="N15" i="9"/>
  <c r="N19" i="9"/>
  <c r="N47" i="10"/>
  <c r="N18" i="12"/>
  <c r="N20" i="12"/>
  <c r="N18" i="5"/>
  <c r="N13" i="7"/>
  <c r="N35" i="7"/>
  <c r="N22" i="8"/>
  <c r="N21" i="9"/>
  <c r="N48" i="9"/>
  <c r="N52" i="12"/>
  <c r="N3" i="6"/>
  <c r="N10" i="7"/>
  <c r="N18" i="7"/>
  <c r="N24" i="7"/>
  <c r="N28" i="8"/>
  <c r="N5" i="9"/>
  <c r="N6" i="9"/>
  <c r="N13" i="9"/>
  <c r="N34" i="11"/>
  <c r="N3" i="5"/>
  <c r="N36" i="8"/>
  <c r="N29" i="9"/>
  <c r="N31" i="9"/>
  <c r="N33" i="9"/>
  <c r="N7" i="10"/>
  <c r="N34" i="5"/>
  <c r="N4" i="6"/>
  <c r="N23" i="7"/>
  <c r="N37" i="10"/>
  <c r="N9" i="11"/>
  <c r="BI4" i="10"/>
  <c r="BI2" i="11"/>
  <c r="BI33" i="5"/>
  <c r="BI35" i="5"/>
  <c r="BI35" i="8"/>
  <c r="BI3" i="9"/>
  <c r="BI30" i="9"/>
  <c r="BI5" i="10"/>
  <c r="BI16" i="8"/>
  <c r="BI14" i="8"/>
  <c r="BI3" i="6"/>
  <c r="BI4" i="8"/>
  <c r="BI2" i="5"/>
  <c r="BI5" i="8"/>
  <c r="BI34" i="8"/>
  <c r="BI3" i="5"/>
  <c r="BI4" i="6"/>
  <c r="BI23" i="7"/>
  <c r="BI3" i="11"/>
  <c r="BI5" i="11"/>
  <c r="BI13" i="5"/>
  <c r="BI31" i="5"/>
  <c r="BI10" i="6"/>
  <c r="BI31" i="6"/>
  <c r="BI33" i="6"/>
  <c r="BI9" i="10"/>
  <c r="BI28" i="10"/>
  <c r="BI32" i="10"/>
  <c r="BI38" i="12"/>
  <c r="BI12" i="9"/>
  <c r="BI36" i="7"/>
  <c r="BI30" i="7"/>
  <c r="BI52" i="12"/>
  <c r="BI30" i="6"/>
  <c r="BI32" i="6"/>
  <c r="BI24" i="12"/>
  <c r="BI41" i="9"/>
  <c r="BI31" i="10"/>
  <c r="BI16" i="7"/>
  <c r="BI11" i="9"/>
  <c r="BI34" i="12"/>
  <c r="BI38" i="6"/>
  <c r="BI14" i="9"/>
  <c r="BI18" i="9"/>
  <c r="BI12" i="10"/>
  <c r="BI24" i="10"/>
  <c r="BI37" i="10"/>
  <c r="BI41" i="12"/>
  <c r="BI20" i="11"/>
  <c r="BI14" i="12"/>
  <c r="BI6" i="7"/>
  <c r="BI15" i="11"/>
  <c r="BI13" i="11"/>
  <c r="BI17" i="11"/>
  <c r="BI39" i="11"/>
  <c r="BI12" i="7"/>
  <c r="BI17" i="7"/>
  <c r="BI5" i="9"/>
  <c r="BI41" i="11"/>
  <c r="BI42" i="11"/>
  <c r="BI17" i="9"/>
  <c r="BI6" i="10"/>
  <c r="BI15" i="10"/>
  <c r="BI31" i="11"/>
  <c r="BI6" i="9"/>
  <c r="BI17" i="10"/>
  <c r="BI42" i="10"/>
  <c r="BI45" i="9"/>
  <c r="BI40" i="10"/>
  <c r="BI33" i="11"/>
  <c r="BI38" i="11"/>
  <c r="BI12" i="5"/>
  <c r="BI27" i="8"/>
  <c r="BI33" i="10"/>
  <c r="BI38" i="10"/>
  <c r="BI26" i="11"/>
  <c r="BI28" i="11"/>
  <c r="BI9" i="5"/>
  <c r="BI26" i="7"/>
  <c r="BI24" i="11"/>
  <c r="BI46" i="5"/>
  <c r="BI36" i="6"/>
  <c r="BI39" i="12"/>
  <c r="BI17" i="5"/>
  <c r="BI36" i="5"/>
  <c r="BI39" i="5"/>
  <c r="BI42" i="8"/>
  <c r="BI31" i="12"/>
  <c r="BI49" i="5"/>
  <c r="BI28" i="9"/>
  <c r="BI29" i="7"/>
  <c r="BI38" i="5"/>
  <c r="BI41" i="6"/>
  <c r="BI45" i="6"/>
  <c r="BI26" i="10"/>
  <c r="BI16" i="5"/>
  <c r="BI14" i="5"/>
  <c r="BI18" i="5"/>
  <c r="BI7" i="6"/>
  <c r="BI16" i="6"/>
  <c r="BI13" i="8"/>
  <c r="BI19" i="8"/>
  <c r="BI19" i="10"/>
  <c r="BI38" i="7"/>
  <c r="BI29" i="9"/>
  <c r="BI39" i="10"/>
  <c r="BI8" i="5"/>
  <c r="BI20" i="7"/>
  <c r="BI35" i="9"/>
  <c r="BI46" i="10"/>
  <c r="BI37" i="11"/>
  <c r="BI40" i="12"/>
  <c r="BI25" i="9"/>
  <c r="BI35" i="11"/>
  <c r="BI44" i="12"/>
  <c r="N44" i="6"/>
  <c r="N45" i="6"/>
  <c r="N46" i="6"/>
  <c r="N47" i="6"/>
  <c r="N29" i="7"/>
  <c r="N5" i="8"/>
  <c r="N37" i="8"/>
  <c r="N33" i="10"/>
  <c r="N49" i="11"/>
  <c r="N5" i="12"/>
  <c r="N11" i="5"/>
  <c r="N38" i="5"/>
  <c r="N44" i="8"/>
  <c r="N45" i="8"/>
  <c r="N48" i="8"/>
  <c r="N12" i="12"/>
  <c r="N16" i="5"/>
  <c r="N33" i="5"/>
  <c r="N50" i="8"/>
  <c r="N3" i="9"/>
  <c r="N50" i="9"/>
  <c r="N3" i="10"/>
  <c r="N51" i="9"/>
  <c r="N20" i="5"/>
  <c r="N22" i="5"/>
  <c r="N37" i="5"/>
  <c r="N18" i="6"/>
  <c r="N5" i="7"/>
  <c r="N27" i="7"/>
  <c r="N33" i="7"/>
  <c r="N17" i="11"/>
  <c r="N19" i="11"/>
  <c r="N28" i="12"/>
  <c r="N51" i="6"/>
  <c r="N15" i="8"/>
  <c r="N11" i="9"/>
  <c r="N23" i="9"/>
  <c r="N15" i="11"/>
  <c r="N23" i="11"/>
  <c r="N24" i="5"/>
  <c r="N26" i="5"/>
  <c r="N52" i="6"/>
  <c r="N14" i="7"/>
  <c r="N2" i="9"/>
  <c r="N27" i="11"/>
  <c r="N19" i="12"/>
  <c r="N51" i="12"/>
  <c r="N4" i="5"/>
  <c r="N30" i="6"/>
  <c r="N39" i="7"/>
  <c r="N43" i="7"/>
  <c r="N40" i="8"/>
  <c r="N21" i="10"/>
  <c r="N36" i="11"/>
  <c r="N10" i="12"/>
  <c r="N15" i="12"/>
  <c r="N23" i="12"/>
  <c r="N9" i="5"/>
  <c r="N7" i="8"/>
  <c r="N39" i="9"/>
  <c r="N41" i="9"/>
  <c r="N51" i="10"/>
  <c r="N2" i="12"/>
  <c r="AC2" i="12" s="1"/>
  <c r="N18" i="9"/>
  <c r="N36" i="12"/>
  <c r="N5" i="5"/>
  <c r="N15" i="6"/>
  <c r="N34" i="6"/>
  <c r="N31" i="7"/>
  <c r="N16" i="9"/>
  <c r="N38" i="9"/>
  <c r="N25" i="10"/>
  <c r="N42" i="12"/>
  <c r="N36" i="5"/>
  <c r="N19" i="6"/>
  <c r="N4" i="8"/>
  <c r="N20" i="9"/>
  <c r="N45" i="9"/>
  <c r="N27" i="10"/>
  <c r="N21" i="6"/>
  <c r="N16" i="8"/>
  <c r="N18" i="8"/>
  <c r="N33" i="8"/>
  <c r="N46" i="9"/>
  <c r="N39" i="11"/>
  <c r="N17" i="7"/>
  <c r="N35" i="9"/>
  <c r="N37" i="9"/>
  <c r="N47" i="9"/>
  <c r="N9" i="10"/>
  <c r="N25" i="5"/>
  <c r="N27" i="5"/>
  <c r="N24" i="9"/>
  <c r="N6" i="10"/>
  <c r="N41" i="10"/>
  <c r="N14" i="11"/>
  <c r="N38" i="12"/>
  <c r="BE2" i="5"/>
  <c r="BI15" i="5"/>
  <c r="BI28" i="6"/>
  <c r="BI37" i="6"/>
  <c r="BI33" i="7"/>
  <c r="BI28" i="8"/>
  <c r="BI43" i="8"/>
  <c r="BI51" i="8"/>
  <c r="BE2" i="9"/>
  <c r="BI14" i="10"/>
  <c r="BI27" i="10"/>
  <c r="BI15" i="12"/>
  <c r="BI28" i="5"/>
  <c r="BI37" i="9"/>
  <c r="BI2" i="12"/>
  <c r="BI6" i="5"/>
  <c r="BI17" i="6"/>
  <c r="BI34" i="6"/>
  <c r="BI13" i="7"/>
  <c r="BI32" i="7"/>
  <c r="BI7" i="8"/>
  <c r="BI21" i="8"/>
  <c r="BI21" i="5"/>
  <c r="BI23" i="5"/>
  <c r="BI9" i="6"/>
  <c r="BI19" i="6"/>
  <c r="BI40" i="7"/>
  <c r="BI41" i="7"/>
  <c r="BI42" i="7"/>
  <c r="BI43" i="7"/>
  <c r="BI41" i="8"/>
  <c r="BI10" i="10"/>
  <c r="BI11" i="11"/>
  <c r="BI27" i="5"/>
  <c r="BI6" i="6"/>
  <c r="BI23" i="8"/>
  <c r="BE2" i="10"/>
  <c r="BI40" i="5"/>
  <c r="BI41" i="5"/>
  <c r="BI42" i="5"/>
  <c r="BI21" i="6"/>
  <c r="BI23" i="6"/>
  <c r="BI47" i="7"/>
  <c r="BI11" i="8"/>
  <c r="BI12" i="11"/>
  <c r="BI47" i="11"/>
  <c r="BI27" i="12"/>
  <c r="BI36" i="12"/>
  <c r="BI4" i="12"/>
  <c r="BI11" i="5"/>
  <c r="BI45" i="5"/>
  <c r="BI27" i="6"/>
  <c r="BI12" i="12"/>
  <c r="BI33" i="12"/>
  <c r="BI50" i="9"/>
  <c r="BI45" i="10"/>
  <c r="BI47" i="10"/>
  <c r="BI29" i="5"/>
  <c r="BI44" i="5"/>
  <c r="BI47" i="5"/>
  <c r="BI29" i="8"/>
  <c r="BI46" i="6"/>
  <c r="BI24" i="5"/>
  <c r="BI22" i="7"/>
  <c r="BI18" i="8"/>
  <c r="BI24" i="8"/>
  <c r="BI50" i="10"/>
  <c r="BI45" i="12"/>
  <c r="BI12" i="6"/>
  <c r="BI22" i="6"/>
  <c r="BI26" i="6"/>
  <c r="BI39" i="6"/>
  <c r="BI15" i="7"/>
  <c r="BI26" i="8"/>
  <c r="BI37" i="8"/>
  <c r="BI7" i="11"/>
  <c r="BI3" i="12"/>
  <c r="BI28" i="12"/>
  <c r="BI30" i="5"/>
  <c r="BI44" i="8"/>
  <c r="BI34" i="11"/>
  <c r="BI10" i="12"/>
  <c r="BI40" i="6"/>
  <c r="BI36" i="10"/>
  <c r="BI9" i="11"/>
  <c r="BI52" i="11"/>
  <c r="BI19" i="5"/>
  <c r="BI50" i="5"/>
  <c r="BI47" i="6"/>
  <c r="BI49" i="7"/>
  <c r="BI50" i="7"/>
  <c r="BI8" i="8"/>
  <c r="BI46" i="9"/>
  <c r="BI20" i="10"/>
  <c r="BI51" i="7"/>
  <c r="BI15" i="9"/>
  <c r="BI47" i="9"/>
  <c r="BI8" i="10"/>
  <c r="BI36" i="11"/>
  <c r="BI49" i="6"/>
  <c r="BI26" i="9"/>
  <c r="BI16" i="12"/>
  <c r="BI20" i="12"/>
  <c r="BI52" i="7"/>
  <c r="BI52" i="10"/>
  <c r="BI52" i="5"/>
  <c r="BI51" i="6"/>
  <c r="BI45" i="8"/>
  <c r="BI47" i="8"/>
  <c r="BI45" i="11"/>
  <c r="BI22" i="12"/>
  <c r="BI29" i="12"/>
  <c r="BI52" i="6"/>
  <c r="BI42" i="12"/>
  <c r="BI43" i="12"/>
  <c r="BI51" i="12"/>
  <c r="BI19" i="7"/>
  <c r="BI49" i="8"/>
  <c r="BI51" i="9"/>
  <c r="BI25" i="7"/>
  <c r="BI46" i="7"/>
  <c r="BI52" i="9"/>
  <c r="BI21" i="10"/>
  <c r="BI52" i="8"/>
  <c r="BI8" i="11"/>
  <c r="BI37" i="12"/>
  <c r="BI39" i="7"/>
  <c r="BI7" i="9"/>
  <c r="BI25" i="11"/>
  <c r="BI7" i="7"/>
  <c r="BI39" i="8"/>
  <c r="BI20" i="9"/>
  <c r="BI31" i="9"/>
  <c r="BI40" i="9"/>
  <c r="BI7" i="10"/>
  <c r="BI49" i="10"/>
  <c r="BI23" i="11"/>
  <c r="BI51" i="11"/>
  <c r="BI21" i="12"/>
  <c r="BI46" i="12"/>
  <c r="BI45" i="7"/>
  <c r="BI22" i="9"/>
  <c r="BI33" i="9"/>
  <c r="BI39" i="9"/>
  <c r="BI18" i="10"/>
  <c r="BI26" i="12"/>
  <c r="BI7" i="5"/>
  <c r="BI31" i="8"/>
  <c r="BI33" i="8"/>
  <c r="BI38" i="8"/>
  <c r="BI13" i="9"/>
  <c r="BI24" i="9"/>
  <c r="BI43" i="9"/>
  <c r="BI23" i="12"/>
  <c r="BR2" i="5"/>
  <c r="BT2" i="5" s="1"/>
  <c r="FF2" i="8"/>
  <c r="FF2" i="5"/>
  <c r="FF2" i="10"/>
  <c r="FF2" i="9"/>
  <c r="FF2" i="6"/>
  <c r="FF2" i="12"/>
  <c r="BG2" i="9"/>
  <c r="BE2" i="12"/>
  <c r="BR2" i="12"/>
  <c r="BT2" i="12" s="1"/>
  <c r="BG2" i="12"/>
  <c r="BE2" i="8"/>
  <c r="BE2" i="6"/>
  <c r="BG2" i="8"/>
  <c r="BG2" i="11"/>
  <c r="BG2" i="6"/>
  <c r="BE2" i="7"/>
  <c r="BG2" i="7"/>
  <c r="BG2" i="10"/>
  <c r="BR2" i="8"/>
  <c r="BT2" i="8" s="1"/>
  <c r="BR2" i="6"/>
  <c r="BT2" i="6" s="1"/>
  <c r="BR2" i="7"/>
  <c r="BT2" i="7" s="1"/>
  <c r="BR2" i="9"/>
  <c r="BT2" i="9" s="1"/>
  <c r="BR2" i="10"/>
  <c r="BT2" i="10" s="1"/>
  <c r="V2" i="6"/>
  <c r="DZ38" i="7"/>
  <c r="DZ39" i="6"/>
  <c r="V2" i="7"/>
  <c r="V2" i="12"/>
  <c r="V3" i="12" s="1"/>
  <c r="V2" i="9"/>
  <c r="V2" i="11"/>
  <c r="V2" i="8"/>
  <c r="V2" i="10"/>
  <c r="V33" i="10" s="1"/>
  <c r="EN37" i="5"/>
  <c r="EP37" i="5" s="1"/>
  <c r="EQ37" i="5" s="1"/>
  <c r="DZ42" i="10"/>
  <c r="DZ49" i="8"/>
  <c r="DZ50" i="8"/>
  <c r="DZ44" i="6"/>
  <c r="DZ40" i="10"/>
  <c r="D114" i="2"/>
  <c r="GO6" i="5"/>
  <c r="EC8" i="5"/>
  <c r="EC9" i="5"/>
  <c r="Y7" i="5"/>
  <c r="Y8" i="5"/>
  <c r="CL2" i="12"/>
  <c r="FX2" i="9"/>
  <c r="FX9" i="9" s="1"/>
  <c r="GO2" i="10"/>
  <c r="GO2" i="11"/>
  <c r="EC2" i="12"/>
  <c r="DZ38" i="5"/>
  <c r="CL2" i="6"/>
  <c r="EC43" i="6" s="1"/>
  <c r="GO3" i="5"/>
  <c r="GO7" i="9"/>
  <c r="DZ38" i="11"/>
  <c r="DZ44" i="11"/>
  <c r="DZ38" i="12"/>
  <c r="EC2" i="5"/>
  <c r="EB3" i="5" s="1"/>
  <c r="Y2" i="6"/>
  <c r="Y6" i="6" s="1"/>
  <c r="FX2" i="6"/>
  <c r="FX45" i="6" s="1"/>
  <c r="GO2" i="9"/>
  <c r="CL2" i="10"/>
  <c r="DZ37" i="11"/>
  <c r="DZ52" i="6"/>
  <c r="AO2" i="8"/>
  <c r="AO17" i="8" s="1"/>
  <c r="DZ48" i="8"/>
  <c r="Y2" i="12"/>
  <c r="EC2" i="9"/>
  <c r="GO8" i="12"/>
  <c r="FX2" i="11"/>
  <c r="FX49" i="11" s="1"/>
  <c r="AO2" i="7"/>
  <c r="GO2" i="6"/>
  <c r="GO5" i="10"/>
  <c r="EF34" i="9"/>
  <c r="EF37" i="9"/>
  <c r="ED43" i="9"/>
  <c r="EK43" i="9" s="1"/>
  <c r="EE48" i="9"/>
  <c r="EI36" i="9"/>
  <c r="EI20" i="9"/>
  <c r="EI4" i="9"/>
  <c r="EF4" i="10"/>
  <c r="ED7" i="10"/>
  <c r="EK7" i="10" s="1"/>
  <c r="EH9" i="10"/>
  <c r="EF12" i="10"/>
  <c r="ED15" i="10"/>
  <c r="EK15" i="10" s="1"/>
  <c r="EH17" i="10"/>
  <c r="EF20" i="10"/>
  <c r="ED23" i="10"/>
  <c r="EK23" i="10" s="1"/>
  <c r="EH25" i="10"/>
  <c r="EF28" i="10"/>
  <c r="ED31" i="10"/>
  <c r="EK31" i="10" s="1"/>
  <c r="EH33" i="10"/>
  <c r="EF36" i="10"/>
  <c r="EF41" i="10"/>
  <c r="ED47" i="10"/>
  <c r="EK47" i="10" s="1"/>
  <c r="EE52" i="10"/>
  <c r="EI24" i="10"/>
  <c r="EI8" i="10"/>
  <c r="EG3" i="11"/>
  <c r="EI5" i="11"/>
  <c r="ED8" i="11"/>
  <c r="EK8" i="11" s="1"/>
  <c r="EF10" i="11"/>
  <c r="EH12" i="11"/>
  <c r="EJ14" i="11"/>
  <c r="EE17" i="11"/>
  <c r="EG19" i="11"/>
  <c r="EI21" i="11"/>
  <c r="ED24" i="11"/>
  <c r="EK24" i="11" s="1"/>
  <c r="EF26" i="11"/>
  <c r="EH28" i="11"/>
  <c r="EJ30" i="11"/>
  <c r="EE33" i="11"/>
  <c r="EG35" i="11"/>
  <c r="ED39" i="11"/>
  <c r="EK39" i="11" s="1"/>
  <c r="EE44" i="11"/>
  <c r="EF49" i="11"/>
  <c r="EJ2" i="12"/>
  <c r="EE5" i="12"/>
  <c r="EG7" i="12"/>
  <c r="EI9" i="12"/>
  <c r="ED12" i="12"/>
  <c r="EK12" i="12" s="1"/>
  <c r="EF14" i="12"/>
  <c r="EH16" i="12"/>
  <c r="EJ18" i="12"/>
  <c r="EE21" i="12"/>
  <c r="EG23" i="12"/>
  <c r="EI25" i="12"/>
  <c r="ED28" i="12"/>
  <c r="EK28" i="12" s="1"/>
  <c r="EF30" i="12"/>
  <c r="EH32" i="12"/>
  <c r="EJ34" i="12"/>
  <c r="EI37" i="12"/>
  <c r="EN37" i="12" s="1"/>
  <c r="EP37" i="12" s="1"/>
  <c r="EQ37" i="12" s="1"/>
  <c r="ED43" i="12"/>
  <c r="EK43" i="12" s="1"/>
  <c r="EE48" i="12"/>
  <c r="EI34" i="9"/>
  <c r="EI18" i="9"/>
  <c r="ED2" i="10"/>
  <c r="EK2" i="10" s="1"/>
  <c r="EH4" i="10"/>
  <c r="EF7" i="10"/>
  <c r="ED10" i="10"/>
  <c r="EK10" i="10" s="1"/>
  <c r="EH12" i="10"/>
  <c r="EF15" i="10"/>
  <c r="ED18" i="10"/>
  <c r="EK18" i="10" s="1"/>
  <c r="EH20" i="10"/>
  <c r="EF23" i="10"/>
  <c r="ED26" i="10"/>
  <c r="EK26" i="10" s="1"/>
  <c r="EH28" i="10"/>
  <c r="EF31" i="10"/>
  <c r="ED34" i="10"/>
  <c r="EK34" i="10" s="1"/>
  <c r="EH36" i="10"/>
  <c r="EE42" i="10"/>
  <c r="EF47" i="10"/>
  <c r="EI2" i="10"/>
  <c r="EI22" i="10"/>
  <c r="EI6" i="10"/>
  <c r="EI3" i="11"/>
  <c r="ED6" i="11"/>
  <c r="EK6" i="11" s="1"/>
  <c r="EF8" i="11"/>
  <c r="EH10" i="11"/>
  <c r="EJ12" i="11"/>
  <c r="EE15" i="11"/>
  <c r="EG17" i="11"/>
  <c r="EI19" i="11"/>
  <c r="ED22" i="11"/>
  <c r="EK22" i="11" s="1"/>
  <c r="EF24" i="11"/>
  <c r="EH26" i="11"/>
  <c r="EJ28" i="11"/>
  <c r="EE31" i="11"/>
  <c r="EG33" i="11"/>
  <c r="EI35" i="11"/>
  <c r="EF39" i="11"/>
  <c r="ED45" i="11"/>
  <c r="EK45" i="11" s="1"/>
  <c r="EE50" i="11"/>
  <c r="EE3" i="12"/>
  <c r="EG5" i="12"/>
  <c r="EI7" i="12"/>
  <c r="ED10" i="12"/>
  <c r="EK10" i="12" s="1"/>
  <c r="EF12" i="12"/>
  <c r="EH14" i="12"/>
  <c r="EJ16" i="12"/>
  <c r="EE19" i="12"/>
  <c r="EG21" i="12"/>
  <c r="EI23" i="12"/>
  <c r="ED26" i="12"/>
  <c r="EK26" i="12" s="1"/>
  <c r="EF28" i="12"/>
  <c r="EH30" i="12"/>
  <c r="EJ32" i="12"/>
  <c r="EE35" i="12"/>
  <c r="EE38" i="12"/>
  <c r="EF43" i="12"/>
  <c r="ED49" i="12"/>
  <c r="EK49" i="12" s="1"/>
  <c r="EF39" i="12"/>
  <c r="ED45" i="12"/>
  <c r="EK45" i="12" s="1"/>
  <c r="EE50" i="12"/>
  <c r="EE22" i="9"/>
  <c r="EJ24" i="9"/>
  <c r="EG27" i="9"/>
  <c r="EE30" i="9"/>
  <c r="EJ32" i="9"/>
  <c r="EG35" i="9"/>
  <c r="ED40" i="9"/>
  <c r="EK40" i="9" s="1"/>
  <c r="EE45" i="9"/>
  <c r="EF50" i="9"/>
  <c r="EI29" i="9"/>
  <c r="EI13" i="9"/>
  <c r="EJ2" i="10"/>
  <c r="EG5" i="10"/>
  <c r="EE8" i="10"/>
  <c r="EJ10" i="10"/>
  <c r="EG13" i="10"/>
  <c r="EE16" i="10"/>
  <c r="EJ18" i="10"/>
  <c r="EG21" i="10"/>
  <c r="EE24" i="10"/>
  <c r="EJ26" i="10"/>
  <c r="EG29" i="10"/>
  <c r="EE32" i="10"/>
  <c r="EJ34" i="10"/>
  <c r="EF38" i="10"/>
  <c r="ED44" i="10"/>
  <c r="EK44" i="10" s="1"/>
  <c r="EE49" i="10"/>
  <c r="EI33" i="10"/>
  <c r="EI17" i="10"/>
  <c r="EE2" i="11"/>
  <c r="EG4" i="11"/>
  <c r="EI6" i="11"/>
  <c r="ED9" i="11"/>
  <c r="EK9" i="11" s="1"/>
  <c r="EF11" i="11"/>
  <c r="EH13" i="11"/>
  <c r="EJ15" i="11"/>
  <c r="EE18" i="11"/>
  <c r="EG20" i="11"/>
  <c r="EI22" i="11"/>
  <c r="ED25" i="11"/>
  <c r="EK25" i="11" s="1"/>
  <c r="EF27" i="11"/>
  <c r="EH29" i="11"/>
  <c r="EJ31" i="11"/>
  <c r="EE34" i="11"/>
  <c r="EG36" i="11"/>
  <c r="EE41" i="11"/>
  <c r="EF46" i="11"/>
  <c r="ED52" i="11"/>
  <c r="EK52" i="11" s="1"/>
  <c r="EJ3" i="12"/>
  <c r="EE6" i="12"/>
  <c r="EG8" i="12"/>
  <c r="EI10" i="12"/>
  <c r="ED13" i="12"/>
  <c r="EK13" i="12" s="1"/>
  <c r="EF15" i="12"/>
  <c r="EH17" i="12"/>
  <c r="EJ19" i="12"/>
  <c r="EE22" i="12"/>
  <c r="EG24" i="12"/>
  <c r="EI26" i="12"/>
  <c r="ED29" i="12"/>
  <c r="EK29" i="12" s="1"/>
  <c r="EF31" i="12"/>
  <c r="EH33" i="12"/>
  <c r="EJ35" i="12"/>
  <c r="ED40" i="12"/>
  <c r="EK40" i="12" s="1"/>
  <c r="EE45" i="12"/>
  <c r="EF50" i="12"/>
  <c r="EF22" i="9"/>
  <c r="ED25" i="9"/>
  <c r="EK25" i="9" s="1"/>
  <c r="EH27" i="9"/>
  <c r="EF30" i="9"/>
  <c r="ED33" i="9"/>
  <c r="EK33" i="9" s="1"/>
  <c r="EH35" i="9"/>
  <c r="EE40" i="9"/>
  <c r="EF45" i="9"/>
  <c r="ED51" i="9"/>
  <c r="EK51" i="9" s="1"/>
  <c r="EI28" i="9"/>
  <c r="EI12" i="9"/>
  <c r="ED3" i="10"/>
  <c r="EK3" i="10" s="1"/>
  <c r="EH5" i="10"/>
  <c r="EF8" i="10"/>
  <c r="ED11" i="10"/>
  <c r="EK11" i="10" s="1"/>
  <c r="EH13" i="10"/>
  <c r="EF16" i="10"/>
  <c r="ED19" i="10"/>
  <c r="EK19" i="10" s="1"/>
  <c r="EH21" i="10"/>
  <c r="EF24" i="10"/>
  <c r="ED27" i="10"/>
  <c r="EK27" i="10" s="1"/>
  <c r="EH29" i="10"/>
  <c r="EF32" i="10"/>
  <c r="ED35" i="10"/>
  <c r="EK35" i="10" s="1"/>
  <c r="ED39" i="10"/>
  <c r="EK39" i="10" s="1"/>
  <c r="EE44" i="10"/>
  <c r="EF49" i="10"/>
  <c r="EI32" i="10"/>
  <c r="EI16" i="10"/>
  <c r="EF2" i="11"/>
  <c r="EH4" i="11"/>
  <c r="EJ6" i="11"/>
  <c r="EE9" i="11"/>
  <c r="EG11" i="11"/>
  <c r="EI13" i="11"/>
  <c r="ED16" i="11"/>
  <c r="EK16" i="11" s="1"/>
  <c r="EF18" i="11"/>
  <c r="EH20" i="11"/>
  <c r="EJ22" i="11"/>
  <c r="EE25" i="11"/>
  <c r="EG27" i="11"/>
  <c r="EI29" i="11"/>
  <c r="ED32" i="11"/>
  <c r="EK32" i="11" s="1"/>
  <c r="EF34" i="11"/>
  <c r="EH36" i="11"/>
  <c r="EF41" i="11"/>
  <c r="ED47" i="11"/>
  <c r="EK47" i="11" s="1"/>
  <c r="EE52" i="11"/>
  <c r="ED4" i="12"/>
  <c r="EK4" i="12" s="1"/>
  <c r="EF6" i="12"/>
  <c r="EH8" i="12"/>
  <c r="EJ10" i="12"/>
  <c r="EE13" i="12"/>
  <c r="EG15" i="12"/>
  <c r="EI17" i="12"/>
  <c r="ED20" i="12"/>
  <c r="EK20" i="12" s="1"/>
  <c r="EF22" i="12"/>
  <c r="EH24" i="12"/>
  <c r="EJ26" i="12"/>
  <c r="EE29" i="12"/>
  <c r="EG31" i="12"/>
  <c r="EI33" i="12"/>
  <c r="ED36" i="12"/>
  <c r="EK36" i="12" s="1"/>
  <c r="EE40" i="12"/>
  <c r="EF45" i="12"/>
  <c r="ED51" i="12"/>
  <c r="EK51" i="12" s="1"/>
  <c r="ED41" i="9"/>
  <c r="EK41" i="9" s="1"/>
  <c r="EE46" i="9"/>
  <c r="EF51" i="9"/>
  <c r="EI26" i="9"/>
  <c r="EI10" i="9"/>
  <c r="EF3" i="10"/>
  <c r="ED6" i="10"/>
  <c r="EK6" i="10" s="1"/>
  <c r="EH8" i="10"/>
  <c r="EF11" i="10"/>
  <c r="ED14" i="10"/>
  <c r="EK14" i="10" s="1"/>
  <c r="EH16" i="10"/>
  <c r="EF19" i="10"/>
  <c r="ED22" i="10"/>
  <c r="EK22" i="10" s="1"/>
  <c r="EH24" i="10"/>
  <c r="EF27" i="10"/>
  <c r="ED30" i="10"/>
  <c r="EK30" i="10" s="1"/>
  <c r="EH32" i="10"/>
  <c r="EF35" i="10"/>
  <c r="EF39" i="10"/>
  <c r="ED45" i="10"/>
  <c r="EK45" i="10" s="1"/>
  <c r="EE50" i="10"/>
  <c r="EI30" i="10"/>
  <c r="EI14" i="10"/>
  <c r="EH2" i="11"/>
  <c r="EJ4" i="11"/>
  <c r="EE7" i="11"/>
  <c r="EG9" i="11"/>
  <c r="EI11" i="11"/>
  <c r="ED14" i="11"/>
  <c r="EK14" i="11" s="1"/>
  <c r="EF16" i="11"/>
  <c r="EH18" i="11"/>
  <c r="EJ20" i="11"/>
  <c r="EE23" i="11"/>
  <c r="EG25" i="11"/>
  <c r="EI27" i="11"/>
  <c r="ED30" i="11"/>
  <c r="EK30" i="11" s="1"/>
  <c r="EF32" i="11"/>
  <c r="EH34" i="11"/>
  <c r="EJ36" i="11"/>
  <c r="EE42" i="11"/>
  <c r="EF47" i="11"/>
  <c r="ED2" i="12"/>
  <c r="EK2" i="12" s="1"/>
  <c r="EF4" i="12"/>
  <c r="EH6" i="12"/>
  <c r="EJ8" i="12"/>
  <c r="EE11" i="12"/>
  <c r="EG13" i="12"/>
  <c r="EI15" i="12"/>
  <c r="ED18" i="12"/>
  <c r="EK18" i="12" s="1"/>
  <c r="EF20" i="12"/>
  <c r="EH22" i="12"/>
  <c r="EJ24" i="12"/>
  <c r="EE27" i="12"/>
  <c r="EG29" i="12"/>
  <c r="EI31" i="12"/>
  <c r="ED34" i="12"/>
  <c r="EK34" i="12" s="1"/>
  <c r="EF36" i="12"/>
  <c r="ED41" i="12"/>
  <c r="EK41" i="12" s="1"/>
  <c r="EE46" i="12"/>
  <c r="EW45" i="9"/>
  <c r="EW49" i="6"/>
  <c r="EW38" i="12"/>
  <c r="EW37" i="11"/>
  <c r="EW47" i="11"/>
  <c r="EW37" i="12"/>
  <c r="EW47" i="8"/>
  <c r="EW42" i="8"/>
  <c r="EW39" i="9"/>
  <c r="EW39" i="10"/>
  <c r="EW43" i="10"/>
  <c r="EW41" i="6"/>
  <c r="DZ49" i="6"/>
  <c r="DZ45" i="12"/>
  <c r="DZ40" i="8"/>
  <c r="DZ45" i="5"/>
  <c r="DZ49" i="9"/>
  <c r="DZ40" i="12"/>
  <c r="DZ44" i="8"/>
  <c r="DZ51" i="9"/>
  <c r="DZ41" i="5"/>
  <c r="DZ51" i="10"/>
  <c r="DZ44" i="12"/>
  <c r="DZ52" i="8"/>
  <c r="DZ39" i="9"/>
  <c r="DZ41" i="9"/>
  <c r="DZ39" i="7"/>
  <c r="DZ52" i="10"/>
  <c r="DZ46" i="5"/>
  <c r="DZ40" i="7"/>
  <c r="DZ38" i="10"/>
  <c r="DZ37" i="10"/>
  <c r="DZ51" i="6"/>
  <c r="DZ50" i="5"/>
  <c r="DZ37" i="8"/>
  <c r="DZ50" i="7"/>
  <c r="DZ42" i="11"/>
  <c r="DZ43" i="11"/>
  <c r="EW40" i="5"/>
  <c r="EW46" i="9"/>
  <c r="EW42" i="5"/>
  <c r="EW39" i="6"/>
  <c r="EW43" i="6"/>
  <c r="EW48" i="9"/>
  <c r="EW46" i="12"/>
  <c r="EW51" i="8"/>
  <c r="EW49" i="11"/>
  <c r="EW37" i="6"/>
  <c r="EW50" i="8"/>
  <c r="EW49" i="9"/>
  <c r="EW37" i="5"/>
  <c r="EW47" i="5"/>
  <c r="EW48" i="6"/>
  <c r="EW37" i="7"/>
  <c r="EW49" i="8"/>
  <c r="EW51" i="11"/>
  <c r="EW48" i="5"/>
  <c r="EW44" i="11"/>
  <c r="EW49" i="12"/>
  <c r="EW42" i="7"/>
  <c r="EW47" i="7"/>
  <c r="EW39" i="11"/>
  <c r="EW42" i="11"/>
  <c r="EW42" i="9"/>
  <c r="EP48" i="11"/>
  <c r="EW48" i="7"/>
  <c r="EW50" i="5"/>
  <c r="EW51" i="5"/>
  <c r="EW37" i="10"/>
  <c r="EW41" i="12"/>
  <c r="EW44" i="12"/>
  <c r="EW49" i="7"/>
  <c r="EW43" i="9"/>
  <c r="EW38" i="10"/>
  <c r="EW40" i="10"/>
  <c r="EW52" i="12"/>
  <c r="EW37" i="8"/>
  <c r="FU2" i="6"/>
  <c r="DZ52" i="5"/>
  <c r="DZ41" i="10"/>
  <c r="DZ49" i="5"/>
  <c r="DZ42" i="6"/>
  <c r="DZ47" i="6"/>
  <c r="DZ45" i="8"/>
  <c r="DZ40" i="9"/>
  <c r="DZ44" i="9"/>
  <c r="DZ48" i="9"/>
  <c r="DZ48" i="12"/>
  <c r="DZ46" i="10"/>
  <c r="DV2" i="5"/>
  <c r="DX2" i="5" s="1"/>
  <c r="DZ2" i="5" s="1"/>
  <c r="DZ37" i="5"/>
  <c r="DZ39" i="5"/>
  <c r="DP15" i="6"/>
  <c r="DZ49" i="11"/>
  <c r="DZ39" i="8"/>
  <c r="DZ52" i="9"/>
  <c r="DZ47" i="10"/>
  <c r="DZ50" i="10"/>
  <c r="DZ42" i="9"/>
  <c r="DZ43" i="12"/>
  <c r="DZ49" i="7"/>
  <c r="DZ45" i="6"/>
  <c r="DZ44" i="10"/>
  <c r="DZ48" i="5"/>
  <c r="DZ51" i="5"/>
  <c r="DZ40" i="6"/>
  <c r="DZ37" i="9"/>
  <c r="DZ50" i="9"/>
  <c r="DW3" i="6"/>
  <c r="DW4" i="6" s="1"/>
  <c r="DZ47" i="5"/>
  <c r="DZ45" i="11"/>
  <c r="DZ46" i="7"/>
  <c r="DZ39" i="10"/>
  <c r="DZ49" i="10"/>
  <c r="DZ48" i="6"/>
  <c r="DZ41" i="8"/>
  <c r="DZ43" i="10"/>
  <c r="DZ51" i="7"/>
  <c r="DZ47" i="8"/>
  <c r="DP5" i="10"/>
  <c r="DZ46" i="12"/>
  <c r="DZ52" i="12"/>
  <c r="DZ42" i="5"/>
  <c r="DZ41" i="6"/>
  <c r="DZ41" i="7"/>
  <c r="DZ45" i="9"/>
  <c r="DW3" i="11"/>
  <c r="DW4" i="11" s="1"/>
  <c r="DZ42" i="7"/>
  <c r="DZ52" i="7"/>
  <c r="DZ38" i="9"/>
  <c r="DZ46" i="6"/>
  <c r="DZ50" i="12"/>
  <c r="DZ43" i="5"/>
  <c r="DZ45" i="10"/>
  <c r="DZ48" i="10"/>
  <c r="DZ39" i="11"/>
  <c r="DZ41" i="12"/>
  <c r="DZ43" i="6"/>
  <c r="DZ50" i="6"/>
  <c r="DZ44" i="7"/>
  <c r="DZ47" i="9"/>
  <c r="DZ48" i="11"/>
  <c r="DZ44" i="5"/>
  <c r="DZ42" i="12"/>
  <c r="EW45" i="6"/>
  <c r="EW39" i="8"/>
  <c r="EW44" i="9"/>
  <c r="EN37" i="10"/>
  <c r="EP37" i="10" s="1"/>
  <c r="EQ37" i="10" s="1"/>
  <c r="EW45" i="10"/>
  <c r="EW50" i="10"/>
  <c r="EW46" i="6"/>
  <c r="EW38" i="9"/>
  <c r="EW40" i="12"/>
  <c r="EW49" i="5"/>
  <c r="EW52" i="6"/>
  <c r="EW41" i="8"/>
  <c r="EW41" i="9"/>
  <c r="EW51" i="10"/>
  <c r="EW46" i="8"/>
  <c r="EW47" i="6"/>
  <c r="EW42" i="10"/>
  <c r="EW43" i="7"/>
  <c r="EW51" i="9"/>
  <c r="EW47" i="12"/>
  <c r="EW52" i="7"/>
  <c r="EW49" i="10"/>
  <c r="EW48" i="11"/>
  <c r="EW43" i="8"/>
  <c r="EW52" i="9"/>
  <c r="EW52" i="10"/>
  <c r="EW52" i="8"/>
  <c r="EW44" i="6"/>
  <c r="EW42" i="12"/>
  <c r="EW45" i="12"/>
  <c r="EW38" i="5"/>
  <c r="EW47" i="10"/>
  <c r="EW51" i="12"/>
  <c r="EW45" i="8"/>
  <c r="EW52" i="11"/>
  <c r="EW43" i="12"/>
  <c r="EW48" i="12"/>
  <c r="EW46" i="5"/>
  <c r="EW51" i="6"/>
  <c r="EW43" i="11"/>
  <c r="EW38" i="6"/>
  <c r="HW2" i="10"/>
  <c r="DZ51" i="12"/>
  <c r="DZ49" i="12"/>
  <c r="DZ37" i="12"/>
  <c r="DZ47" i="12"/>
  <c r="AZ2" i="12"/>
  <c r="BB2" i="12" s="1"/>
  <c r="BC2" i="12" s="1"/>
  <c r="DZ50" i="11"/>
  <c r="DZ40" i="11"/>
  <c r="DZ41" i="11"/>
  <c r="DZ51" i="11"/>
  <c r="DZ46" i="11"/>
  <c r="DZ52" i="11"/>
  <c r="DZ47" i="11"/>
  <c r="FU2" i="10"/>
  <c r="DZ51" i="8"/>
  <c r="DZ42" i="8"/>
  <c r="DZ43" i="8"/>
  <c r="DZ38" i="8"/>
  <c r="DZ47" i="7"/>
  <c r="DZ45" i="7"/>
  <c r="DZ48" i="7"/>
  <c r="AZ2" i="7"/>
  <c r="BB2" i="7" s="1"/>
  <c r="BC2" i="7" s="1"/>
  <c r="HW2" i="6"/>
  <c r="HS3" i="6"/>
  <c r="FQ3" i="6"/>
  <c r="FU2" i="5"/>
  <c r="FQ3" i="5"/>
  <c r="T21" i="12"/>
  <c r="GO21" i="12"/>
  <c r="L3" i="12"/>
  <c r="FQ3" i="12"/>
  <c r="FU2" i="12"/>
  <c r="AD2" i="12"/>
  <c r="BY2" i="12"/>
  <c r="GO3" i="12"/>
  <c r="BI6" i="12"/>
  <c r="CL5" i="12"/>
  <c r="T3" i="12"/>
  <c r="HW2" i="12"/>
  <c r="DW4" i="12"/>
  <c r="HS3" i="12"/>
  <c r="BI5" i="12"/>
  <c r="T8" i="12"/>
  <c r="S7" i="12"/>
  <c r="S46" i="12"/>
  <c r="S47" i="12"/>
  <c r="S48" i="12"/>
  <c r="S49" i="12"/>
  <c r="S51" i="12"/>
  <c r="S52" i="12"/>
  <c r="S44" i="12"/>
  <c r="S50" i="12"/>
  <c r="S45" i="12"/>
  <c r="S39" i="12"/>
  <c r="S35" i="12"/>
  <c r="S43" i="12"/>
  <c r="S36" i="12"/>
  <c r="S42" i="12"/>
  <c r="S34" i="12"/>
  <c r="S38" i="12"/>
  <c r="S30" i="12"/>
  <c r="S37" i="12"/>
  <c r="S31" i="12"/>
  <c r="S41" i="12"/>
  <c r="S40" i="12"/>
  <c r="S23" i="12"/>
  <c r="S32" i="12"/>
  <c r="S26" i="12"/>
  <c r="S20" i="12"/>
  <c r="S15" i="12"/>
  <c r="S25" i="12"/>
  <c r="S29" i="12"/>
  <c r="S28" i="12"/>
  <c r="S33" i="12"/>
  <c r="S19" i="12"/>
  <c r="S12" i="12"/>
  <c r="S13" i="12"/>
  <c r="S22" i="12"/>
  <c r="S27" i="12"/>
  <c r="S18" i="12"/>
  <c r="S24" i="12"/>
  <c r="S17" i="12"/>
  <c r="S9" i="12"/>
  <c r="S16" i="12"/>
  <c r="S6" i="12"/>
  <c r="S11" i="12"/>
  <c r="S5" i="12"/>
  <c r="FX2" i="12"/>
  <c r="S10" i="12"/>
  <c r="S14" i="12"/>
  <c r="GO2" i="12"/>
  <c r="AA2" i="12"/>
  <c r="S4" i="12"/>
  <c r="AO2" i="12"/>
  <c r="U2" i="12"/>
  <c r="Y7" i="12"/>
  <c r="EC6" i="12"/>
  <c r="V40" i="12"/>
  <c r="V44" i="12"/>
  <c r="V20" i="12"/>
  <c r="V18" i="12"/>
  <c r="CL7" i="12"/>
  <c r="Y43" i="12"/>
  <c r="Y46" i="12"/>
  <c r="Y47" i="12"/>
  <c r="Y34" i="12"/>
  <c r="Y14" i="12"/>
  <c r="DY2" i="12"/>
  <c r="GK51" i="12"/>
  <c r="GK43" i="12"/>
  <c r="GK52" i="12"/>
  <c r="GK44" i="12"/>
  <c r="GK45" i="12"/>
  <c r="GK46" i="12"/>
  <c r="GK47" i="12"/>
  <c r="GK49" i="12"/>
  <c r="GK50" i="12"/>
  <c r="GK38" i="12"/>
  <c r="GK39" i="12"/>
  <c r="GK48" i="12"/>
  <c r="GK41" i="12"/>
  <c r="GK40" i="12"/>
  <c r="GK42" i="12"/>
  <c r="GK33" i="12"/>
  <c r="GK32" i="12"/>
  <c r="GK37" i="12"/>
  <c r="GK35" i="12"/>
  <c r="GK34" i="12"/>
  <c r="GK29" i="12"/>
  <c r="GK22" i="12"/>
  <c r="GK36" i="12"/>
  <c r="GK30" i="12"/>
  <c r="GK21" i="12"/>
  <c r="GK20" i="12"/>
  <c r="GK31" i="12"/>
  <c r="GK26" i="12"/>
  <c r="GK13" i="12"/>
  <c r="GK27" i="12"/>
  <c r="GK23" i="12"/>
  <c r="GK16" i="12"/>
  <c r="GK18" i="12"/>
  <c r="GK25" i="12"/>
  <c r="GK17" i="12"/>
  <c r="GK14" i="12"/>
  <c r="GK28" i="12"/>
  <c r="GK15" i="12"/>
  <c r="GK24" i="12"/>
  <c r="GK19" i="12"/>
  <c r="N3" i="12"/>
  <c r="CL52" i="12"/>
  <c r="EC48" i="12"/>
  <c r="EC49" i="12"/>
  <c r="EC50" i="12"/>
  <c r="CL46" i="12"/>
  <c r="EC51" i="12"/>
  <c r="CL47" i="12"/>
  <c r="EC43" i="12"/>
  <c r="CL48" i="12"/>
  <c r="EC44" i="12"/>
  <c r="CL50" i="12"/>
  <c r="EC46" i="12"/>
  <c r="CL51" i="12"/>
  <c r="EC47" i="12"/>
  <c r="CL43" i="12"/>
  <c r="CL39" i="12"/>
  <c r="EC45" i="12"/>
  <c r="EC39" i="12"/>
  <c r="EC42" i="12"/>
  <c r="CL41" i="12"/>
  <c r="EC40" i="12"/>
  <c r="CL38" i="12"/>
  <c r="EC31" i="12"/>
  <c r="CL33" i="12"/>
  <c r="EC37" i="12"/>
  <c r="CL42" i="12"/>
  <c r="EC38" i="12"/>
  <c r="CL37" i="12"/>
  <c r="EC36" i="12"/>
  <c r="EC34" i="12"/>
  <c r="CL36" i="12"/>
  <c r="CL35" i="12"/>
  <c r="EC25" i="12"/>
  <c r="EC32" i="12"/>
  <c r="CL30" i="12"/>
  <c r="EC28" i="12"/>
  <c r="CL28" i="12"/>
  <c r="EC30" i="12"/>
  <c r="CL20" i="12"/>
  <c r="EC24" i="12"/>
  <c r="CL22" i="12"/>
  <c r="CL32" i="12"/>
  <c r="EC27" i="12"/>
  <c r="CL24" i="12"/>
  <c r="EC18" i="12"/>
  <c r="CL14" i="12"/>
  <c r="CL34" i="12"/>
  <c r="CL27" i="12"/>
  <c r="EC23" i="12"/>
  <c r="CL17" i="12"/>
  <c r="EC13" i="12"/>
  <c r="EC19" i="12"/>
  <c r="CL25" i="12"/>
  <c r="EC22" i="12"/>
  <c r="CL26" i="12"/>
  <c r="CL18" i="12"/>
  <c r="CL15" i="12"/>
  <c r="EC17" i="12"/>
  <c r="CL11" i="12"/>
  <c r="EC7" i="12"/>
  <c r="EC14" i="12"/>
  <c r="CL23" i="12"/>
  <c r="CL16" i="12"/>
  <c r="EC16" i="12"/>
  <c r="CL4" i="12"/>
  <c r="CL8" i="12"/>
  <c r="CL19" i="12"/>
  <c r="EC10" i="12"/>
  <c r="EC20" i="12"/>
  <c r="CL12" i="12"/>
  <c r="EC15" i="12"/>
  <c r="CL9" i="12"/>
  <c r="EC3" i="12"/>
  <c r="CL13" i="12"/>
  <c r="EC5" i="12"/>
  <c r="HI4" i="12"/>
  <c r="EC9" i="12"/>
  <c r="CL10" i="12"/>
  <c r="Y6" i="12"/>
  <c r="BB45" i="12"/>
  <c r="BB46" i="12"/>
  <c r="BB47" i="12"/>
  <c r="BB48" i="12"/>
  <c r="BB49" i="12"/>
  <c r="BB51" i="12"/>
  <c r="BB43" i="12"/>
  <c r="BB52" i="12"/>
  <c r="BB44" i="12"/>
  <c r="BB40" i="12"/>
  <c r="BB41" i="12"/>
  <c r="BB42" i="12"/>
  <c r="BB39" i="12"/>
  <c r="BB38" i="12"/>
  <c r="BB50" i="12"/>
  <c r="BB37" i="12"/>
  <c r="BB35" i="12"/>
  <c r="BB36" i="12"/>
  <c r="BB34" i="12"/>
  <c r="BB32" i="12"/>
  <c r="BB33" i="12"/>
  <c r="BI7" i="12"/>
  <c r="N9" i="12"/>
  <c r="GK12" i="12"/>
  <c r="EB3" i="12"/>
  <c r="BI11" i="12"/>
  <c r="CY36" i="12"/>
  <c r="CY33" i="12"/>
  <c r="CY34" i="12"/>
  <c r="CY35" i="12"/>
  <c r="CY32" i="12"/>
  <c r="CY27" i="12"/>
  <c r="CY28" i="12"/>
  <c r="CY30" i="12"/>
  <c r="CY31" i="12"/>
  <c r="CY23" i="12"/>
  <c r="CY29" i="12"/>
  <c r="CY26" i="12"/>
  <c r="CY20" i="12"/>
  <c r="CY12" i="12"/>
  <c r="CY25" i="12"/>
  <c r="CY22" i="12"/>
  <c r="CY16" i="12"/>
  <c r="CY24" i="12"/>
  <c r="CY19" i="12"/>
  <c r="CY13" i="12"/>
  <c r="CY21" i="12"/>
  <c r="CY15" i="12"/>
  <c r="CY18" i="12"/>
  <c r="CY17" i="12"/>
  <c r="HB51" i="12"/>
  <c r="HB43" i="12"/>
  <c r="HB44" i="12"/>
  <c r="HB45" i="12"/>
  <c r="HB46" i="12"/>
  <c r="HB49" i="12"/>
  <c r="HB41" i="12"/>
  <c r="HB40" i="12"/>
  <c r="HB36" i="12"/>
  <c r="HB33" i="12"/>
  <c r="HB32" i="12"/>
  <c r="HB37" i="12"/>
  <c r="HB35" i="12"/>
  <c r="HB34" i="12"/>
  <c r="HB30" i="12"/>
  <c r="HB28" i="12"/>
  <c r="HB24" i="12"/>
  <c r="HB20" i="12"/>
  <c r="HB27" i="12"/>
  <c r="HB31" i="12"/>
  <c r="HB29" i="12"/>
  <c r="HB25" i="12"/>
  <c r="HB17" i="12"/>
  <c r="HB18" i="12"/>
  <c r="HJ2" i="12"/>
  <c r="HL2" i="12" s="1"/>
  <c r="N8" i="12"/>
  <c r="HB10" i="12"/>
  <c r="HB22" i="12"/>
  <c r="BI9" i="12"/>
  <c r="HB15" i="12"/>
  <c r="N13" i="12"/>
  <c r="HB16" i="12"/>
  <c r="HB12" i="12"/>
  <c r="BI8" i="12"/>
  <c r="HB13" i="12"/>
  <c r="BI19" i="12"/>
  <c r="HB19" i="12"/>
  <c r="BI17" i="12"/>
  <c r="HB14" i="12"/>
  <c r="BI18" i="12"/>
  <c r="HB26" i="12"/>
  <c r="HB21" i="12"/>
  <c r="BI13" i="12"/>
  <c r="N16" i="12"/>
  <c r="BI30" i="12"/>
  <c r="DP39" i="12"/>
  <c r="DP31" i="12"/>
  <c r="BI25" i="12"/>
  <c r="N35" i="12"/>
  <c r="N33" i="12"/>
  <c r="BI32" i="12"/>
  <c r="N24" i="12"/>
  <c r="BI35" i="12"/>
  <c r="DP38" i="12"/>
  <c r="DQ38" i="12"/>
  <c r="DZ39" i="12"/>
  <c r="HB39" i="12"/>
  <c r="EP48" i="12"/>
  <c r="EP49" i="12"/>
  <c r="EP50" i="12"/>
  <c r="EP51" i="12"/>
  <c r="EP52" i="12"/>
  <c r="EN38" i="12"/>
  <c r="HB50" i="12"/>
  <c r="HB48" i="12"/>
  <c r="HB38" i="12"/>
  <c r="N40" i="12"/>
  <c r="DQ43" i="12"/>
  <c r="N43" i="12"/>
  <c r="HB42" i="12"/>
  <c r="BI49" i="12"/>
  <c r="EW39" i="12"/>
  <c r="DQ51" i="12"/>
  <c r="DP52" i="12"/>
  <c r="BI48" i="12"/>
  <c r="N49" i="12"/>
  <c r="BI47" i="12"/>
  <c r="EW50" i="12"/>
  <c r="HB47" i="12"/>
  <c r="HB52" i="12"/>
  <c r="BI50" i="12"/>
  <c r="GO16" i="11"/>
  <c r="T16" i="11"/>
  <c r="T3" i="11"/>
  <c r="L3" i="11" s="1"/>
  <c r="GO3" i="11"/>
  <c r="BB48" i="11"/>
  <c r="BB49" i="11"/>
  <c r="BB50" i="11"/>
  <c r="BB51" i="11"/>
  <c r="BB43" i="11"/>
  <c r="BB52" i="11"/>
  <c r="BB41" i="11"/>
  <c r="BB47" i="11"/>
  <c r="BB42" i="11"/>
  <c r="BB44" i="11"/>
  <c r="BB37" i="11"/>
  <c r="BB46" i="11"/>
  <c r="BB45" i="11"/>
  <c r="BB36" i="11"/>
  <c r="BB34" i="11"/>
  <c r="BB38" i="11"/>
  <c r="BB35" i="11"/>
  <c r="BB40" i="11"/>
  <c r="BB33" i="11"/>
  <c r="BB39" i="11"/>
  <c r="BB32" i="11"/>
  <c r="AZ2" i="11"/>
  <c r="BB2" i="11" s="1"/>
  <c r="BB3" i="11" s="1"/>
  <c r="BB4" i="11" s="1"/>
  <c r="FX45" i="11"/>
  <c r="FX48" i="11"/>
  <c r="FX43" i="11"/>
  <c r="FX44" i="11"/>
  <c r="FX50" i="11"/>
  <c r="FX47" i="11"/>
  <c r="FX37" i="11"/>
  <c r="FX40" i="11"/>
  <c r="FX39" i="11"/>
  <c r="FX36" i="11"/>
  <c r="FX32" i="11"/>
  <c r="FX27" i="11"/>
  <c r="FX28" i="11"/>
  <c r="FX25" i="11"/>
  <c r="FX29" i="11"/>
  <c r="FX22" i="11"/>
  <c r="FX18" i="11"/>
  <c r="FX10" i="11"/>
  <c r="FX7" i="11"/>
  <c r="FX11" i="11"/>
  <c r="FX21" i="11"/>
  <c r="FX12" i="11"/>
  <c r="FX9" i="11"/>
  <c r="FX15" i="11"/>
  <c r="FX4" i="11"/>
  <c r="FX5" i="11"/>
  <c r="FX6" i="11"/>
  <c r="HI5" i="11"/>
  <c r="S6" i="11"/>
  <c r="BR2" i="11"/>
  <c r="BT2" i="11" s="1"/>
  <c r="DP52" i="11"/>
  <c r="DP42" i="11"/>
  <c r="DP50" i="11"/>
  <c r="DP45" i="11"/>
  <c r="DP43" i="11"/>
  <c r="DP48" i="11"/>
  <c r="DP33" i="11"/>
  <c r="DP34" i="11"/>
  <c r="DP31" i="11"/>
  <c r="DP29" i="11"/>
  <c r="DP35" i="11"/>
  <c r="DP30" i="11"/>
  <c r="DP18" i="11"/>
  <c r="DP12" i="11"/>
  <c r="DP17" i="11"/>
  <c r="DP21" i="11"/>
  <c r="DP9" i="11"/>
  <c r="FU2" i="11"/>
  <c r="S4" i="11"/>
  <c r="CY14" i="11"/>
  <c r="CY16" i="11"/>
  <c r="DP40" i="11"/>
  <c r="CL2" i="11"/>
  <c r="HB51" i="11"/>
  <c r="HB47" i="11"/>
  <c r="HB49" i="11"/>
  <c r="HB50" i="11"/>
  <c r="HB39" i="11"/>
  <c r="HB43" i="11"/>
  <c r="HB44" i="11"/>
  <c r="HB40" i="11"/>
  <c r="HB41" i="11"/>
  <c r="HB48" i="11"/>
  <c r="HB33" i="11"/>
  <c r="HB25" i="11"/>
  <c r="HB27" i="11"/>
  <c r="HB24" i="11"/>
  <c r="HB28" i="11"/>
  <c r="HB23" i="11"/>
  <c r="HB18" i="11"/>
  <c r="HB34" i="11"/>
  <c r="HB20" i="11"/>
  <c r="HB29" i="11"/>
  <c r="HB15" i="11"/>
  <c r="HB31" i="11"/>
  <c r="HB11" i="11"/>
  <c r="HB13" i="11"/>
  <c r="HW2" i="11"/>
  <c r="V5" i="11"/>
  <c r="HB7" i="11"/>
  <c r="BI18" i="11"/>
  <c r="DP6" i="11"/>
  <c r="S46" i="11"/>
  <c r="S49" i="11"/>
  <c r="S50" i="11"/>
  <c r="S51" i="11"/>
  <c r="S52" i="11"/>
  <c r="S44" i="11"/>
  <c r="S47" i="11"/>
  <c r="S43" i="11"/>
  <c r="S40" i="11"/>
  <c r="S41" i="11"/>
  <c r="S48" i="11"/>
  <c r="S42" i="11"/>
  <c r="S34" i="11"/>
  <c r="S35" i="11"/>
  <c r="S39" i="11"/>
  <c r="S37" i="11"/>
  <c r="S36" i="11"/>
  <c r="S38" i="11"/>
  <c r="S45" i="11"/>
  <c r="S30" i="11"/>
  <c r="S32" i="11"/>
  <c r="S31" i="11"/>
  <c r="S28" i="11"/>
  <c r="S29" i="11"/>
  <c r="S27" i="11"/>
  <c r="S33" i="11"/>
  <c r="S24" i="11"/>
  <c r="S26" i="11"/>
  <c r="S18" i="11"/>
  <c r="S23" i="11"/>
  <c r="S19" i="11"/>
  <c r="S25" i="11"/>
  <c r="S21" i="11"/>
  <c r="S14" i="11"/>
  <c r="S22" i="11"/>
  <c r="S11" i="11"/>
  <c r="S20" i="11"/>
  <c r="S15" i="11"/>
  <c r="S9" i="11"/>
  <c r="S17" i="11"/>
  <c r="S13" i="11"/>
  <c r="S10" i="11"/>
  <c r="S8" i="11"/>
  <c r="S12" i="11"/>
  <c r="T2" i="11"/>
  <c r="BE2" i="11"/>
  <c r="DG2" i="11"/>
  <c r="DX2" i="11"/>
  <c r="HB10" i="11"/>
  <c r="U2" i="11"/>
  <c r="AO2" i="11"/>
  <c r="AN3" i="11" s="1"/>
  <c r="BY2" i="11"/>
  <c r="DY2" i="11"/>
  <c r="GS2" i="11"/>
  <c r="HJ2" i="11"/>
  <c r="BI6" i="11"/>
  <c r="V47" i="11"/>
  <c r="V50" i="11"/>
  <c r="V42" i="11"/>
  <c r="V51" i="11"/>
  <c r="V52" i="11"/>
  <c r="V45" i="11"/>
  <c r="V49" i="11"/>
  <c r="V46" i="11"/>
  <c r="V39" i="11"/>
  <c r="V40" i="11"/>
  <c r="V48" i="11"/>
  <c r="V44" i="11"/>
  <c r="V43" i="11"/>
  <c r="V37" i="11"/>
  <c r="V36" i="11"/>
  <c r="V31" i="11"/>
  <c r="V26" i="11"/>
  <c r="V41" i="11"/>
  <c r="V32" i="11"/>
  <c r="V28" i="11"/>
  <c r="V30" i="11"/>
  <c r="V29" i="11"/>
  <c r="V33" i="11"/>
  <c r="V18" i="11"/>
  <c r="V35" i="11"/>
  <c r="V23" i="11"/>
  <c r="V20" i="11"/>
  <c r="V25" i="11"/>
  <c r="V21" i="11"/>
  <c r="V22" i="11"/>
  <c r="V34" i="11"/>
  <c r="V15" i="11"/>
  <c r="V11" i="11"/>
  <c r="V12" i="11"/>
  <c r="V16" i="11"/>
  <c r="V14" i="11"/>
  <c r="V17" i="11"/>
  <c r="V19" i="11"/>
  <c r="V13" i="11"/>
  <c r="V8" i="11"/>
  <c r="V10" i="11"/>
  <c r="V24" i="11"/>
  <c r="HK2" i="11"/>
  <c r="V6" i="11"/>
  <c r="S7" i="11"/>
  <c r="HB8" i="11"/>
  <c r="Y2" i="11"/>
  <c r="X3" i="11" s="1"/>
  <c r="EC2" i="11"/>
  <c r="EB3" i="11" s="1"/>
  <c r="V7" i="11"/>
  <c r="DP14" i="11"/>
  <c r="DP16" i="11"/>
  <c r="AA2" i="11"/>
  <c r="Z3" i="11" s="1"/>
  <c r="HB6" i="11"/>
  <c r="AC2" i="11"/>
  <c r="AE2" i="11" s="1"/>
  <c r="DP7" i="11"/>
  <c r="CY32" i="11"/>
  <c r="CY36" i="11"/>
  <c r="CY33" i="11"/>
  <c r="CY25" i="11"/>
  <c r="CY35" i="11"/>
  <c r="CY34" i="11"/>
  <c r="CY28" i="11"/>
  <c r="CY24" i="11"/>
  <c r="CY31" i="11"/>
  <c r="CY26" i="11"/>
  <c r="CY20" i="11"/>
  <c r="CY29" i="11"/>
  <c r="CY15" i="11"/>
  <c r="CY30" i="11"/>
  <c r="CY22" i="11"/>
  <c r="CY27" i="11"/>
  <c r="CY18" i="11"/>
  <c r="CY23" i="11"/>
  <c r="CY21" i="11"/>
  <c r="CY17" i="11"/>
  <c r="CY19" i="11"/>
  <c r="HB3" i="11"/>
  <c r="HB17" i="11"/>
  <c r="GK51" i="11"/>
  <c r="GK52" i="11"/>
  <c r="GK46" i="11"/>
  <c r="GK47" i="11"/>
  <c r="GK49" i="11"/>
  <c r="GK50" i="11"/>
  <c r="GK48" i="11"/>
  <c r="GK39" i="11"/>
  <c r="GK42" i="11"/>
  <c r="GK44" i="11"/>
  <c r="GK40" i="11"/>
  <c r="GK41" i="11"/>
  <c r="GK35" i="11"/>
  <c r="GK36" i="11"/>
  <c r="GK43" i="11"/>
  <c r="GK37" i="11"/>
  <c r="GK45" i="11"/>
  <c r="GK38" i="11"/>
  <c r="GK32" i="11"/>
  <c r="GK30" i="11"/>
  <c r="GK34" i="11"/>
  <c r="GK25" i="11"/>
  <c r="GK33" i="11"/>
  <c r="GK31" i="11"/>
  <c r="GK21" i="11"/>
  <c r="GK24" i="11"/>
  <c r="GK28" i="11"/>
  <c r="GK26" i="11"/>
  <c r="GK16" i="11"/>
  <c r="GK23" i="11"/>
  <c r="GK29" i="11"/>
  <c r="GK18" i="11"/>
  <c r="GK27" i="11"/>
  <c r="GK19" i="11"/>
  <c r="GK14" i="11"/>
  <c r="GK15" i="11"/>
  <c r="GK22" i="11"/>
  <c r="GK17" i="11"/>
  <c r="GK20" i="11"/>
  <c r="GK13" i="11"/>
  <c r="GK12" i="11"/>
  <c r="S5" i="11"/>
  <c r="HB9" i="11"/>
  <c r="CY12" i="11"/>
  <c r="HB19" i="11"/>
  <c r="DP26" i="11"/>
  <c r="DP23" i="11"/>
  <c r="N8" i="11"/>
  <c r="HB14" i="11"/>
  <c r="N13" i="11"/>
  <c r="BI16" i="11"/>
  <c r="DP22" i="11"/>
  <c r="BI14" i="11"/>
  <c r="N18" i="11"/>
  <c r="DP8" i="11"/>
  <c r="HB22" i="11"/>
  <c r="HB16" i="11"/>
  <c r="N21" i="11"/>
  <c r="DP15" i="11"/>
  <c r="N16" i="11"/>
  <c r="BI21" i="11"/>
  <c r="DP11" i="11"/>
  <c r="BI22" i="11"/>
  <c r="BI19" i="11"/>
  <c r="DP20" i="11"/>
  <c r="HB21" i="11"/>
  <c r="DP27" i="11"/>
  <c r="HB26" i="11"/>
  <c r="BI29" i="11"/>
  <c r="DP24" i="11"/>
  <c r="N25" i="11"/>
  <c r="N38" i="11"/>
  <c r="HB38" i="11"/>
  <c r="DP28" i="11"/>
  <c r="HB30" i="11"/>
  <c r="DP32" i="11"/>
  <c r="BI27" i="11"/>
  <c r="BI30" i="11"/>
  <c r="HB32" i="11"/>
  <c r="DP25" i="11"/>
  <c r="DP36" i="11"/>
  <c r="BI32" i="11"/>
  <c r="EW38" i="11"/>
  <c r="HB42" i="11"/>
  <c r="BI44" i="11"/>
  <c r="DP37" i="11"/>
  <c r="EW40" i="11"/>
  <c r="N42" i="11"/>
  <c r="HB35" i="11"/>
  <c r="EW41" i="11"/>
  <c r="HB36" i="11"/>
  <c r="DP38" i="11"/>
  <c r="HB37" i="11"/>
  <c r="EN38" i="11"/>
  <c r="DQ41" i="11"/>
  <c r="DP41" i="11"/>
  <c r="DP39" i="11"/>
  <c r="BI40" i="11"/>
  <c r="DQ45" i="11"/>
  <c r="BI43" i="11"/>
  <c r="DP44" i="11"/>
  <c r="N43" i="11"/>
  <c r="BI46" i="11"/>
  <c r="EW46" i="11"/>
  <c r="BI48" i="11"/>
  <c r="BI49" i="11"/>
  <c r="EW45" i="11"/>
  <c r="DP47" i="11"/>
  <c r="HB46" i="11"/>
  <c r="N45" i="11"/>
  <c r="HB45" i="11"/>
  <c r="EP50" i="11"/>
  <c r="EP51" i="11"/>
  <c r="EP52" i="11"/>
  <c r="DQ49" i="11"/>
  <c r="DQ51" i="11"/>
  <c r="N51" i="11"/>
  <c r="DP46" i="11"/>
  <c r="EW50" i="11"/>
  <c r="DP49" i="11"/>
  <c r="DP51" i="11"/>
  <c r="HB52" i="11"/>
  <c r="BI50" i="11"/>
  <c r="T4" i="10"/>
  <c r="GO4" i="10"/>
  <c r="DP4" i="10"/>
  <c r="AZ2" i="10"/>
  <c r="BB2" i="10" s="1"/>
  <c r="BC2" i="10" s="1"/>
  <c r="CY27" i="10"/>
  <c r="CY35" i="10"/>
  <c r="CY28" i="10"/>
  <c r="CY34" i="10"/>
  <c r="CY30" i="10"/>
  <c r="CY31" i="10"/>
  <c r="CY22" i="10"/>
  <c r="CY36" i="10"/>
  <c r="CY32" i="10"/>
  <c r="CY24" i="10"/>
  <c r="CY33" i="10"/>
  <c r="CY23" i="10"/>
  <c r="CY25" i="10"/>
  <c r="CY16" i="10"/>
  <c r="CY29" i="10"/>
  <c r="CY17" i="10"/>
  <c r="CY19" i="10"/>
  <c r="CY21" i="10"/>
  <c r="CY20" i="10"/>
  <c r="CY14" i="10"/>
  <c r="CY18" i="10"/>
  <c r="CY26" i="10"/>
  <c r="CY15" i="10"/>
  <c r="CY12" i="10"/>
  <c r="CY13" i="10"/>
  <c r="DP7" i="10"/>
  <c r="T9" i="10"/>
  <c r="GO9" i="10"/>
  <c r="BB45" i="10"/>
  <c r="BB48" i="10"/>
  <c r="BB49" i="10"/>
  <c r="BB50" i="10"/>
  <c r="BB51" i="10"/>
  <c r="BB52" i="10"/>
  <c r="BB46" i="10"/>
  <c r="BB44" i="10"/>
  <c r="BB42" i="10"/>
  <c r="BB47" i="10"/>
  <c r="BB38" i="10"/>
  <c r="BB43" i="10"/>
  <c r="BB40" i="10"/>
  <c r="BB41" i="10"/>
  <c r="BB32" i="10"/>
  <c r="BB33" i="10"/>
  <c r="BB35" i="10"/>
  <c r="BB34" i="10"/>
  <c r="BB39" i="10"/>
  <c r="BB37" i="10"/>
  <c r="BB36" i="10"/>
  <c r="GK51" i="10"/>
  <c r="GK43" i="10"/>
  <c r="GK52" i="10"/>
  <c r="GK46" i="10"/>
  <c r="GK47" i="10"/>
  <c r="GK49" i="10"/>
  <c r="GK42" i="10"/>
  <c r="GK45" i="10"/>
  <c r="GK50" i="10"/>
  <c r="GK40" i="10"/>
  <c r="GK48" i="10"/>
  <c r="GK41" i="10"/>
  <c r="GK44" i="10"/>
  <c r="GK37" i="10"/>
  <c r="GK31" i="10"/>
  <c r="GK36" i="10"/>
  <c r="GK35" i="10"/>
  <c r="GK27" i="10"/>
  <c r="GK39" i="10"/>
  <c r="GK34" i="10"/>
  <c r="GK28" i="10"/>
  <c r="GK33" i="10"/>
  <c r="GK29" i="10"/>
  <c r="GK38" i="10"/>
  <c r="GK25" i="10"/>
  <c r="GK30" i="10"/>
  <c r="GK26" i="10"/>
  <c r="GK23" i="10"/>
  <c r="GK20" i="10"/>
  <c r="GK17" i="10"/>
  <c r="GK21" i="10"/>
  <c r="GK19" i="10"/>
  <c r="GK32" i="10"/>
  <c r="GK14" i="10"/>
  <c r="GK24" i="10"/>
  <c r="GK22" i="10"/>
  <c r="GK15" i="10"/>
  <c r="GK13" i="10"/>
  <c r="GK12" i="10"/>
  <c r="DP21" i="10"/>
  <c r="CL10" i="10"/>
  <c r="DW4" i="10"/>
  <c r="HB7" i="10"/>
  <c r="BY2" i="10"/>
  <c r="DV2" i="10"/>
  <c r="DX2" i="10" s="1"/>
  <c r="T5" i="10"/>
  <c r="HB8" i="10"/>
  <c r="DP50" i="10"/>
  <c r="DP45" i="10"/>
  <c r="DP40" i="10"/>
  <c r="DP31" i="10"/>
  <c r="DP36" i="10"/>
  <c r="DP25" i="10"/>
  <c r="DP34" i="10"/>
  <c r="DP29" i="10"/>
  <c r="DP26" i="10"/>
  <c r="DP18" i="10"/>
  <c r="DP11" i="10"/>
  <c r="DY2" i="10"/>
  <c r="DG2" i="10"/>
  <c r="DP15" i="10"/>
  <c r="DP13" i="10"/>
  <c r="DP8" i="10"/>
  <c r="T3" i="10"/>
  <c r="L3" i="10" s="1"/>
  <c r="CL52" i="10"/>
  <c r="EC48" i="10"/>
  <c r="CL44" i="10"/>
  <c r="EC49" i="10"/>
  <c r="EC51" i="10"/>
  <c r="CL47" i="10"/>
  <c r="EC43" i="10"/>
  <c r="EC52" i="10"/>
  <c r="CL48" i="10"/>
  <c r="EC44" i="10"/>
  <c r="CL49" i="10"/>
  <c r="CL50" i="10"/>
  <c r="EC41" i="10"/>
  <c r="EC46" i="10"/>
  <c r="CL45" i="10"/>
  <c r="CL39" i="10"/>
  <c r="CL46" i="10"/>
  <c r="EC50" i="10"/>
  <c r="EC47" i="10"/>
  <c r="CL40" i="10"/>
  <c r="CL51" i="10"/>
  <c r="CL41" i="10"/>
  <c r="EC42" i="10"/>
  <c r="CL42" i="10"/>
  <c r="CL43" i="10"/>
  <c r="EC45" i="10"/>
  <c r="EC34" i="10"/>
  <c r="EC39" i="10"/>
  <c r="EC36" i="10"/>
  <c r="EC29" i="10"/>
  <c r="EC40" i="10"/>
  <c r="CL35" i="10"/>
  <c r="EC37" i="10"/>
  <c r="CL36" i="10"/>
  <c r="EC38" i="10"/>
  <c r="CL28" i="10"/>
  <c r="EC32" i="10"/>
  <c r="CL29" i="10"/>
  <c r="EC25" i="10"/>
  <c r="CL38" i="10"/>
  <c r="CL33" i="10"/>
  <c r="CL32" i="10"/>
  <c r="CL30" i="10"/>
  <c r="EC28" i="10"/>
  <c r="CL26" i="10"/>
  <c r="EC30" i="10"/>
  <c r="EC22" i="10"/>
  <c r="EC33" i="10"/>
  <c r="EC23" i="10"/>
  <c r="CL25" i="10"/>
  <c r="EC24" i="10"/>
  <c r="CL22" i="10"/>
  <c r="CL24" i="10"/>
  <c r="EC20" i="10"/>
  <c r="EC21" i="10"/>
  <c r="CL18" i="10"/>
  <c r="CL21" i="10"/>
  <c r="CL27" i="10"/>
  <c r="CL20" i="10"/>
  <c r="EC16" i="10"/>
  <c r="CL34" i="10"/>
  <c r="EC31" i="10"/>
  <c r="EC18" i="10"/>
  <c r="CL31" i="10"/>
  <c r="EC11" i="10"/>
  <c r="EC27" i="10"/>
  <c r="EC17" i="10"/>
  <c r="CL19" i="10"/>
  <c r="EC12" i="10"/>
  <c r="CL15" i="10"/>
  <c r="EC13" i="10"/>
  <c r="EC14" i="10"/>
  <c r="CL14" i="10"/>
  <c r="EC8" i="10"/>
  <c r="EC19" i="10"/>
  <c r="CL5" i="10"/>
  <c r="EC10" i="10"/>
  <c r="CL6" i="10"/>
  <c r="CL7" i="10"/>
  <c r="EC3" i="10"/>
  <c r="CL12" i="10"/>
  <c r="EC15" i="10"/>
  <c r="CL8" i="10"/>
  <c r="EC4" i="10"/>
  <c r="CL11" i="10"/>
  <c r="EC9" i="10"/>
  <c r="CL9" i="10"/>
  <c r="EC5" i="10"/>
  <c r="EC6" i="10"/>
  <c r="EC7" i="10"/>
  <c r="CL3" i="10"/>
  <c r="GO6" i="10"/>
  <c r="HB46" i="10"/>
  <c r="HB47" i="10"/>
  <c r="HB49" i="10"/>
  <c r="HB39" i="10"/>
  <c r="HB42" i="10"/>
  <c r="HB38" i="10"/>
  <c r="HB27" i="10"/>
  <c r="HB37" i="10"/>
  <c r="HB41" i="10"/>
  <c r="HB33" i="10"/>
  <c r="HB50" i="10"/>
  <c r="HB30" i="10"/>
  <c r="HB23" i="10"/>
  <c r="HB32" i="10"/>
  <c r="HB17" i="10"/>
  <c r="HB22" i="10"/>
  <c r="HB20" i="10"/>
  <c r="HB21" i="10"/>
  <c r="HB16" i="10"/>
  <c r="HB15" i="10"/>
  <c r="HB11" i="10"/>
  <c r="HB4" i="10"/>
  <c r="HB24" i="10"/>
  <c r="HB6" i="10"/>
  <c r="HK2" i="10"/>
  <c r="HB9" i="10"/>
  <c r="CK3" i="10"/>
  <c r="DG3" i="10" s="1"/>
  <c r="T6" i="10"/>
  <c r="DP6" i="10"/>
  <c r="S49" i="10"/>
  <c r="S50" i="10"/>
  <c r="S42" i="10"/>
  <c r="S51" i="10"/>
  <c r="S52" i="10"/>
  <c r="S44" i="10"/>
  <c r="S45" i="10"/>
  <c r="S48" i="10"/>
  <c r="S46" i="10"/>
  <c r="S40" i="10"/>
  <c r="S47" i="10"/>
  <c r="S41" i="10"/>
  <c r="S43" i="10"/>
  <c r="S39" i="10"/>
  <c r="S38" i="10"/>
  <c r="S35" i="10"/>
  <c r="S36" i="10"/>
  <c r="S30" i="10"/>
  <c r="S33" i="10"/>
  <c r="S31" i="10"/>
  <c r="S26" i="10"/>
  <c r="S37" i="10"/>
  <c r="S29" i="10"/>
  <c r="S27" i="10"/>
  <c r="S32" i="10"/>
  <c r="S34" i="10"/>
  <c r="S17" i="10"/>
  <c r="S25" i="10"/>
  <c r="S23" i="10"/>
  <c r="S18" i="10"/>
  <c r="S19" i="10"/>
  <c r="S20" i="10"/>
  <c r="S24" i="10"/>
  <c r="S10" i="10"/>
  <c r="S11" i="10"/>
  <c r="S21" i="10"/>
  <c r="S12" i="10"/>
  <c r="S22" i="10"/>
  <c r="S13" i="10"/>
  <c r="S28" i="10"/>
  <c r="S15" i="10"/>
  <c r="AA2" i="10"/>
  <c r="S7" i="10"/>
  <c r="EC2" i="10"/>
  <c r="EB3" i="10" s="1"/>
  <c r="FF3" i="10" s="1"/>
  <c r="Y2" i="10"/>
  <c r="X3" i="10" s="1"/>
  <c r="S8" i="10"/>
  <c r="S14" i="10"/>
  <c r="AO2" i="10"/>
  <c r="U2" i="10"/>
  <c r="S16" i="10"/>
  <c r="T2" i="10"/>
  <c r="FX2" i="10"/>
  <c r="HB12" i="10"/>
  <c r="HI7" i="10"/>
  <c r="V6" i="10"/>
  <c r="V9" i="10"/>
  <c r="V5" i="10"/>
  <c r="BI13" i="10"/>
  <c r="V4" i="10"/>
  <c r="DP10" i="10"/>
  <c r="V15" i="10"/>
  <c r="V11" i="10"/>
  <c r="V3" i="10"/>
  <c r="V16" i="10"/>
  <c r="V47" i="10"/>
  <c r="V50" i="10"/>
  <c r="V51" i="10"/>
  <c r="V52" i="10"/>
  <c r="V46" i="10"/>
  <c r="V44" i="10"/>
  <c r="V40" i="10"/>
  <c r="V49" i="10"/>
  <c r="V43" i="10"/>
  <c r="V42" i="10"/>
  <c r="V48" i="10"/>
  <c r="V34" i="10"/>
  <c r="V41" i="10"/>
  <c r="V28" i="10"/>
  <c r="V38" i="10"/>
  <c r="V45" i="10"/>
  <c r="V31" i="10"/>
  <c r="V37" i="10"/>
  <c r="V35" i="10"/>
  <c r="V36" i="10"/>
  <c r="V32" i="10"/>
  <c r="V21" i="10"/>
  <c r="V22" i="10"/>
  <c r="V23" i="10"/>
  <c r="V19" i="10"/>
  <c r="V27" i="10"/>
  <c r="V29" i="10"/>
  <c r="V26" i="10"/>
  <c r="V30" i="10"/>
  <c r="V10" i="10"/>
  <c r="V17" i="10"/>
  <c r="V12" i="10"/>
  <c r="V25" i="10"/>
  <c r="V20" i="10"/>
  <c r="V39" i="10"/>
  <c r="V13" i="10"/>
  <c r="BI11" i="10"/>
  <c r="DP12" i="10"/>
  <c r="HB13" i="10"/>
  <c r="V14" i="10"/>
  <c r="DP14" i="10"/>
  <c r="V8" i="10"/>
  <c r="DP9" i="10"/>
  <c r="HB18" i="10"/>
  <c r="HB34" i="10"/>
  <c r="N13" i="10"/>
  <c r="DP23" i="10"/>
  <c r="HB26" i="10"/>
  <c r="BI16" i="10"/>
  <c r="DP19" i="10"/>
  <c r="N24" i="10"/>
  <c r="HB19" i="10"/>
  <c r="DP20" i="10"/>
  <c r="DP17" i="10"/>
  <c r="DP16" i="10"/>
  <c r="HB36" i="10"/>
  <c r="DP22" i="10"/>
  <c r="DP24" i="10"/>
  <c r="HB25" i="10"/>
  <c r="DP28" i="10"/>
  <c r="BI25" i="10"/>
  <c r="HB28" i="10"/>
  <c r="DP39" i="10"/>
  <c r="DP33" i="10"/>
  <c r="BI23" i="10"/>
  <c r="DP30" i="10"/>
  <c r="DP35" i="10"/>
  <c r="N34" i="10"/>
  <c r="BI22" i="10"/>
  <c r="N26" i="10"/>
  <c r="BI30" i="10"/>
  <c r="HB31" i="10"/>
  <c r="N32" i="10"/>
  <c r="EP50" i="10"/>
  <c r="EP51" i="10"/>
  <c r="EP52" i="10"/>
  <c r="EP48" i="10"/>
  <c r="EP49" i="10"/>
  <c r="EN38" i="10"/>
  <c r="DP32" i="10"/>
  <c r="BI29" i="10"/>
  <c r="DP27" i="10"/>
  <c r="DP38" i="10"/>
  <c r="HB29" i="10"/>
  <c r="DQ41" i="10"/>
  <c r="HB35" i="10"/>
  <c r="DP37" i="10"/>
  <c r="BI34" i="10"/>
  <c r="DP41" i="10"/>
  <c r="BI35" i="10"/>
  <c r="DP44" i="10"/>
  <c r="EW41" i="10"/>
  <c r="DP43" i="10"/>
  <c r="HB40" i="10"/>
  <c r="HB48" i="10"/>
  <c r="BI41" i="10"/>
  <c r="HB44" i="10"/>
  <c r="DQ45" i="10"/>
  <c r="N42" i="10"/>
  <c r="N43" i="10"/>
  <c r="HB43" i="10"/>
  <c r="EW44" i="10"/>
  <c r="HB45" i="10"/>
  <c r="DP48" i="10"/>
  <c r="DP46" i="10"/>
  <c r="DP49" i="10"/>
  <c r="DP42" i="10"/>
  <c r="DP52" i="10"/>
  <c r="BI44" i="10"/>
  <c r="N46" i="10"/>
  <c r="EW46" i="10"/>
  <c r="BI48" i="10"/>
  <c r="EW48" i="10"/>
  <c r="BI51" i="10"/>
  <c r="HB51" i="10"/>
  <c r="HB52" i="10"/>
  <c r="DP51" i="10"/>
  <c r="BI43" i="10"/>
  <c r="DP47" i="10"/>
  <c r="DW5" i="9"/>
  <c r="HB51" i="9"/>
  <c r="HB48" i="9"/>
  <c r="HB49" i="9"/>
  <c r="HB39" i="9"/>
  <c r="HB38" i="9"/>
  <c r="HB37" i="9"/>
  <c r="HB35" i="9"/>
  <c r="HB31" i="9"/>
  <c r="HB32" i="9"/>
  <c r="HB28" i="9"/>
  <c r="HB30" i="9"/>
  <c r="HB24" i="9"/>
  <c r="HB29" i="9"/>
  <c r="HB18" i="9"/>
  <c r="HB22" i="9"/>
  <c r="HB26" i="9"/>
  <c r="HB23" i="9"/>
  <c r="HB12" i="9"/>
  <c r="HB20" i="9"/>
  <c r="HB10" i="9"/>
  <c r="HB17" i="9"/>
  <c r="HJ2" i="9"/>
  <c r="GQ2" i="9"/>
  <c r="GO5" i="9"/>
  <c r="HB9" i="9"/>
  <c r="HB15" i="9"/>
  <c r="FX41" i="9"/>
  <c r="FX26" i="9"/>
  <c r="FX12" i="9"/>
  <c r="HK2" i="9"/>
  <c r="T5" i="9"/>
  <c r="GO10" i="9"/>
  <c r="GS2" i="9"/>
  <c r="HB6" i="9"/>
  <c r="T10" i="9"/>
  <c r="S50" i="9"/>
  <c r="S51" i="9"/>
  <c r="S52" i="9"/>
  <c r="S38" i="9"/>
  <c r="S39" i="9"/>
  <c r="S48" i="9"/>
  <c r="S46" i="9"/>
  <c r="S44" i="9"/>
  <c r="S42" i="9"/>
  <c r="S49" i="9"/>
  <c r="S43" i="9"/>
  <c r="S41" i="9"/>
  <c r="S45" i="9"/>
  <c r="S47" i="9"/>
  <c r="S40" i="9"/>
  <c r="S35" i="9"/>
  <c r="S30" i="9"/>
  <c r="S31" i="9"/>
  <c r="S37" i="9"/>
  <c r="S32" i="9"/>
  <c r="S24" i="9"/>
  <c r="S34" i="9"/>
  <c r="S33" i="9"/>
  <c r="S36" i="9"/>
  <c r="S27" i="9"/>
  <c r="S28" i="9"/>
  <c r="S18" i="9"/>
  <c r="S29" i="9"/>
  <c r="S25" i="9"/>
  <c r="S22" i="9"/>
  <c r="S23" i="9"/>
  <c r="S14" i="9"/>
  <c r="S26" i="9"/>
  <c r="S19" i="9"/>
  <c r="S15" i="9"/>
  <c r="S20" i="9"/>
  <c r="S11" i="9"/>
  <c r="S17" i="9"/>
  <c r="S12" i="9"/>
  <c r="S21" i="9"/>
  <c r="S13" i="9"/>
  <c r="S16" i="9"/>
  <c r="S6" i="9"/>
  <c r="AA2" i="9"/>
  <c r="S9" i="9"/>
  <c r="AO2" i="9"/>
  <c r="U2" i="9"/>
  <c r="V5" i="9"/>
  <c r="FX7" i="9"/>
  <c r="V10" i="9"/>
  <c r="DP23" i="9"/>
  <c r="HB5" i="9"/>
  <c r="GK20" i="9"/>
  <c r="V47" i="9"/>
  <c r="V48" i="9"/>
  <c r="V50" i="9"/>
  <c r="V42" i="9"/>
  <c r="V51" i="9"/>
  <c r="V43" i="9"/>
  <c r="V52" i="9"/>
  <c r="V39" i="9"/>
  <c r="V44" i="9"/>
  <c r="V36" i="9"/>
  <c r="V41" i="9"/>
  <c r="V37" i="9"/>
  <c r="V49" i="9"/>
  <c r="V45" i="9"/>
  <c r="V35" i="9"/>
  <c r="V31" i="9"/>
  <c r="V34" i="9"/>
  <c r="V33" i="9"/>
  <c r="V40" i="9"/>
  <c r="V38" i="9"/>
  <c r="V20" i="9"/>
  <c r="V26" i="9"/>
  <c r="V29" i="9"/>
  <c r="V28" i="9"/>
  <c r="V27" i="9"/>
  <c r="V19" i="9"/>
  <c r="V32" i="9"/>
  <c r="V30" i="9"/>
  <c r="V21" i="9"/>
  <c r="V24" i="9"/>
  <c r="V15" i="9"/>
  <c r="V16" i="9"/>
  <c r="V17" i="9"/>
  <c r="V13" i="9"/>
  <c r="V23" i="9"/>
  <c r="V14" i="9"/>
  <c r="V7" i="9"/>
  <c r="V9" i="9"/>
  <c r="V22" i="9"/>
  <c r="V25" i="9"/>
  <c r="HB4" i="9"/>
  <c r="AC2" i="9"/>
  <c r="DP50" i="9"/>
  <c r="DP49" i="9"/>
  <c r="DP46" i="9"/>
  <c r="DP45" i="9"/>
  <c r="DP38" i="9"/>
  <c r="DP34" i="9"/>
  <c r="DP40" i="9"/>
  <c r="DP35" i="9"/>
  <c r="DP27" i="9"/>
  <c r="DP25" i="9"/>
  <c r="DP17" i="9"/>
  <c r="DP10" i="9"/>
  <c r="DP16" i="9"/>
  <c r="DP13" i="9"/>
  <c r="DP22" i="9"/>
  <c r="DP26" i="9"/>
  <c r="DY2" i="9"/>
  <c r="T4" i="9"/>
  <c r="S8" i="9"/>
  <c r="BI8" i="9"/>
  <c r="V12" i="9"/>
  <c r="Y2" i="9"/>
  <c r="X3" i="9" s="1"/>
  <c r="CL2" i="9"/>
  <c r="CK3" i="9" s="1"/>
  <c r="DE2" i="9"/>
  <c r="DV2" i="9"/>
  <c r="DX2" i="9" s="1"/>
  <c r="HB3" i="9"/>
  <c r="CM2" i="9"/>
  <c r="HW2" i="9"/>
  <c r="V3" i="9"/>
  <c r="V4" i="9"/>
  <c r="DP6" i="9"/>
  <c r="BI10" i="9"/>
  <c r="AZ2" i="9"/>
  <c r="BB2" i="9" s="1"/>
  <c r="BC2" i="9" s="1"/>
  <c r="DG2" i="9"/>
  <c r="GO4" i="9"/>
  <c r="HB19" i="9"/>
  <c r="N22" i="9"/>
  <c r="N25" i="9"/>
  <c r="BB46" i="9"/>
  <c r="BB48" i="9"/>
  <c r="BB49" i="9"/>
  <c r="BB50" i="9"/>
  <c r="BB51" i="9"/>
  <c r="BB52" i="9"/>
  <c r="BB44" i="9"/>
  <c r="BB43" i="9"/>
  <c r="BB34" i="9"/>
  <c r="BB35" i="9"/>
  <c r="BB45" i="9"/>
  <c r="BB47" i="9"/>
  <c r="BB36" i="9"/>
  <c r="BB41" i="9"/>
  <c r="BB39" i="9"/>
  <c r="BB38" i="9"/>
  <c r="BB32" i="9"/>
  <c r="BB42" i="9"/>
  <c r="BB40" i="9"/>
  <c r="BB33" i="9"/>
  <c r="BB37" i="9"/>
  <c r="GK51" i="9"/>
  <c r="GK52" i="9"/>
  <c r="GK46" i="9"/>
  <c r="GK47" i="9"/>
  <c r="GK48" i="9"/>
  <c r="GK50" i="9"/>
  <c r="GK42" i="9"/>
  <c r="GK49" i="9"/>
  <c r="GK45" i="9"/>
  <c r="GK41" i="9"/>
  <c r="GK33" i="9"/>
  <c r="GK36" i="9"/>
  <c r="GK43" i="9"/>
  <c r="GK39" i="9"/>
  <c r="GK38" i="9"/>
  <c r="GK37" i="9"/>
  <c r="GK40" i="9"/>
  <c r="GK35" i="9"/>
  <c r="GK31" i="9"/>
  <c r="GK44" i="9"/>
  <c r="GK32" i="9"/>
  <c r="GK34" i="9"/>
  <c r="GK30" i="9"/>
  <c r="GK27" i="9"/>
  <c r="GK29" i="9"/>
  <c r="GK25" i="9"/>
  <c r="GK21" i="9"/>
  <c r="GK18" i="9"/>
  <c r="GK26" i="9"/>
  <c r="GK19" i="9"/>
  <c r="GK16" i="9"/>
  <c r="GK12" i="9"/>
  <c r="GK14" i="9"/>
  <c r="GK24" i="9"/>
  <c r="GK23" i="9"/>
  <c r="GK17" i="9"/>
  <c r="GK28" i="9"/>
  <c r="GK22" i="9"/>
  <c r="GK15" i="9"/>
  <c r="GK13" i="9"/>
  <c r="HB2" i="9"/>
  <c r="EB3" i="9"/>
  <c r="FF3" i="9" s="1"/>
  <c r="L3" i="9"/>
  <c r="AD2" i="9"/>
  <c r="BY2" i="9"/>
  <c r="HI3" i="9"/>
  <c r="HB8" i="9"/>
  <c r="HB11" i="9"/>
  <c r="FU2" i="9"/>
  <c r="BI9" i="9"/>
  <c r="HB13" i="9"/>
  <c r="DP15" i="9"/>
  <c r="HB16" i="9"/>
  <c r="CY19" i="9"/>
  <c r="BI23" i="9"/>
  <c r="HB14" i="9"/>
  <c r="BI16" i="9"/>
  <c r="N14" i="9"/>
  <c r="CY14" i="9"/>
  <c r="DP11" i="9"/>
  <c r="CY23" i="9"/>
  <c r="DP12" i="9"/>
  <c r="CY33" i="9"/>
  <c r="CY35" i="9"/>
  <c r="CY28" i="9"/>
  <c r="CY34" i="9"/>
  <c r="CY29" i="9"/>
  <c r="CY30" i="9"/>
  <c r="CY31" i="9"/>
  <c r="CY36" i="9"/>
  <c r="CY32" i="9"/>
  <c r="CY24" i="9"/>
  <c r="CY20" i="9"/>
  <c r="CY27" i="9"/>
  <c r="CY25" i="9"/>
  <c r="CY26" i="9"/>
  <c r="CY18" i="9"/>
  <c r="CY16" i="9"/>
  <c r="CY12" i="9"/>
  <c r="CY13" i="9"/>
  <c r="DP19" i="9"/>
  <c r="CY22" i="9"/>
  <c r="BI19" i="9"/>
  <c r="DP21" i="9"/>
  <c r="CY17" i="9"/>
  <c r="HB27" i="9"/>
  <c r="BI21" i="9"/>
  <c r="DP18" i="9"/>
  <c r="HB21" i="9"/>
  <c r="BI27" i="9"/>
  <c r="N28" i="9"/>
  <c r="DP20" i="9"/>
  <c r="HB25" i="9"/>
  <c r="DP28" i="9"/>
  <c r="DP36" i="9"/>
  <c r="DP30" i="9"/>
  <c r="N30" i="9"/>
  <c r="BI32" i="9"/>
  <c r="HB34" i="9"/>
  <c r="DP33" i="9"/>
  <c r="DP24" i="9"/>
  <c r="DP29" i="9"/>
  <c r="DP31" i="9"/>
  <c r="DP32" i="9"/>
  <c r="HB41" i="9"/>
  <c r="HB40" i="9"/>
  <c r="DP37" i="9"/>
  <c r="HB33" i="9"/>
  <c r="HB43" i="9"/>
  <c r="EN38" i="9"/>
  <c r="DP41" i="9"/>
  <c r="HB36" i="9"/>
  <c r="EW40" i="9"/>
  <c r="EP50" i="9"/>
  <c r="EP51" i="9"/>
  <c r="EP52" i="9"/>
  <c r="EP49" i="9"/>
  <c r="EP48" i="9"/>
  <c r="BI38" i="9"/>
  <c r="DQ39" i="9"/>
  <c r="N36" i="9"/>
  <c r="DP42" i="9"/>
  <c r="DP43" i="9"/>
  <c r="BI44" i="9"/>
  <c r="EW47" i="9"/>
  <c r="BI48" i="9"/>
  <c r="DQ46" i="9"/>
  <c r="DQ47" i="9"/>
  <c r="DP52" i="9"/>
  <c r="HB45" i="9"/>
  <c r="DQ45" i="9"/>
  <c r="DQ42" i="9"/>
  <c r="BI49" i="9"/>
  <c r="DQ50" i="9"/>
  <c r="DP51" i="9"/>
  <c r="DP39" i="9"/>
  <c r="HB42" i="9"/>
  <c r="HB50" i="9"/>
  <c r="DP44" i="9"/>
  <c r="HB44" i="9"/>
  <c r="DQ51" i="9"/>
  <c r="HB52" i="9"/>
  <c r="HB47" i="9"/>
  <c r="HB46" i="9"/>
  <c r="EW50" i="9"/>
  <c r="DZ43" i="9"/>
  <c r="DZ46" i="9"/>
  <c r="DP48" i="9"/>
  <c r="DP47" i="9"/>
  <c r="DW4" i="8"/>
  <c r="S48" i="8"/>
  <c r="S49" i="8"/>
  <c r="S50" i="8"/>
  <c r="S51" i="8"/>
  <c r="S52" i="8"/>
  <c r="S47" i="8"/>
  <c r="S39" i="8"/>
  <c r="S44" i="8"/>
  <c r="S45" i="8"/>
  <c r="S41" i="8"/>
  <c r="S46" i="8"/>
  <c r="S42" i="8"/>
  <c r="S43" i="8"/>
  <c r="S33" i="8"/>
  <c r="S40" i="8"/>
  <c r="S36" i="8"/>
  <c r="S35" i="8"/>
  <c r="S30" i="8"/>
  <c r="S38" i="8"/>
  <c r="S37" i="8"/>
  <c r="S32" i="8"/>
  <c r="S24" i="8"/>
  <c r="S34" i="8"/>
  <c r="S27" i="8"/>
  <c r="S26" i="8"/>
  <c r="S29" i="8"/>
  <c r="S21" i="8"/>
  <c r="S31" i="8"/>
  <c r="S28" i="8"/>
  <c r="S25" i="8"/>
  <c r="S16" i="8"/>
  <c r="S23" i="8"/>
  <c r="S13" i="8"/>
  <c r="S19" i="8"/>
  <c r="S15" i="8"/>
  <c r="S18" i="8"/>
  <c r="S7" i="8"/>
  <c r="S8" i="8"/>
  <c r="S17" i="8"/>
  <c r="T2" i="8"/>
  <c r="S10" i="8"/>
  <c r="S20" i="8"/>
  <c r="S11" i="8"/>
  <c r="S22" i="8"/>
  <c r="S12" i="8"/>
  <c r="S4" i="8"/>
  <c r="U2" i="8"/>
  <c r="HW2" i="8"/>
  <c r="DP4" i="8"/>
  <c r="S6" i="8"/>
  <c r="AZ2" i="8"/>
  <c r="BB2" i="8" s="1"/>
  <c r="BC2" i="8" s="1"/>
  <c r="HI6" i="8"/>
  <c r="DP6" i="8"/>
  <c r="AO51" i="8"/>
  <c r="AO28" i="8"/>
  <c r="AO20" i="8"/>
  <c r="S14" i="8"/>
  <c r="AA2" i="8"/>
  <c r="Z3" i="8" s="1"/>
  <c r="CY36" i="8"/>
  <c r="CY35" i="8"/>
  <c r="CY27" i="8"/>
  <c r="CY33" i="8"/>
  <c r="CY30" i="8"/>
  <c r="CY34" i="8"/>
  <c r="CY31" i="8"/>
  <c r="CY24" i="8"/>
  <c r="CY32" i="8"/>
  <c r="CY19" i="8"/>
  <c r="CY29" i="8"/>
  <c r="CY25" i="8"/>
  <c r="CY26" i="8"/>
  <c r="CY23" i="8"/>
  <c r="CY22" i="8"/>
  <c r="CY28" i="8"/>
  <c r="CY18" i="8"/>
  <c r="CY14" i="8"/>
  <c r="CY21" i="8"/>
  <c r="CY15" i="8"/>
  <c r="CY13" i="8"/>
  <c r="CY12" i="8"/>
  <c r="CY17" i="8"/>
  <c r="CY20" i="8"/>
  <c r="CY16" i="8"/>
  <c r="DV2" i="8"/>
  <c r="DX2" i="8" s="1"/>
  <c r="DZ2" i="8" s="1"/>
  <c r="GK51" i="8"/>
  <c r="GK52" i="8"/>
  <c r="GK46" i="8"/>
  <c r="GK47" i="8"/>
  <c r="GK49" i="8"/>
  <c r="GK50" i="8"/>
  <c r="GK42" i="8"/>
  <c r="GK45" i="8"/>
  <c r="GK43" i="8"/>
  <c r="GK48" i="8"/>
  <c r="GK41" i="8"/>
  <c r="GK44" i="8"/>
  <c r="GK39" i="8"/>
  <c r="GK38" i="8"/>
  <c r="GK40" i="8"/>
  <c r="GK34" i="8"/>
  <c r="GK37" i="8"/>
  <c r="GK27" i="8"/>
  <c r="GK36" i="8"/>
  <c r="GK35" i="8"/>
  <c r="GK28" i="8"/>
  <c r="GK21" i="8"/>
  <c r="GK33" i="8"/>
  <c r="GK30" i="8"/>
  <c r="GK32" i="8"/>
  <c r="GK31" i="8"/>
  <c r="GK23" i="8"/>
  <c r="GK29" i="8"/>
  <c r="GK19" i="8"/>
  <c r="GK26" i="8"/>
  <c r="GK25" i="8"/>
  <c r="GK24" i="8"/>
  <c r="GK22" i="8"/>
  <c r="GK14" i="8"/>
  <c r="GK15" i="8"/>
  <c r="GK20" i="8"/>
  <c r="GK18" i="8"/>
  <c r="GK17" i="8"/>
  <c r="GK12" i="8"/>
  <c r="GK16" i="8"/>
  <c r="GK13" i="8"/>
  <c r="BI3" i="8"/>
  <c r="AD2" i="8"/>
  <c r="AE2" i="8" s="1"/>
  <c r="BB45" i="8"/>
  <c r="BB48" i="8"/>
  <c r="BB49" i="8"/>
  <c r="BB50" i="8"/>
  <c r="BB51" i="8"/>
  <c r="BB52" i="8"/>
  <c r="BB44" i="8"/>
  <c r="BB46" i="8"/>
  <c r="BB40" i="8"/>
  <c r="BB42" i="8"/>
  <c r="BB39" i="8"/>
  <c r="BB33" i="8"/>
  <c r="BB43" i="8"/>
  <c r="BB47" i="8"/>
  <c r="BB36" i="8"/>
  <c r="BB38" i="8"/>
  <c r="BB35" i="8"/>
  <c r="BB37" i="8"/>
  <c r="BB34" i="8"/>
  <c r="BB41" i="8"/>
  <c r="BB32" i="8"/>
  <c r="DP9" i="8"/>
  <c r="DP12" i="8"/>
  <c r="N9" i="8"/>
  <c r="DP15" i="8"/>
  <c r="FQ3" i="8"/>
  <c r="FU2" i="8"/>
  <c r="DP5" i="8"/>
  <c r="N11" i="8"/>
  <c r="BI2" i="8"/>
  <c r="DG2" i="8"/>
  <c r="S3" i="8"/>
  <c r="S9" i="8"/>
  <c r="DP52" i="8"/>
  <c r="DP45" i="8"/>
  <c r="DP49" i="8"/>
  <c r="DP50" i="8"/>
  <c r="DP42" i="8"/>
  <c r="DP44" i="8"/>
  <c r="DP47" i="8"/>
  <c r="DP43" i="8"/>
  <c r="DP35" i="8"/>
  <c r="DP31" i="8"/>
  <c r="DP36" i="8"/>
  <c r="DP37" i="8"/>
  <c r="DP34" i="8"/>
  <c r="DP14" i="8"/>
  <c r="DP22" i="8"/>
  <c r="DP18" i="8"/>
  <c r="DP10" i="8"/>
  <c r="DP11" i="8"/>
  <c r="DP21" i="8"/>
  <c r="DP17" i="8"/>
  <c r="DP8" i="8"/>
  <c r="DP20" i="8"/>
  <c r="DP16" i="8"/>
  <c r="S5" i="8"/>
  <c r="BI6" i="8"/>
  <c r="BI9" i="8"/>
  <c r="DP13" i="8"/>
  <c r="N13" i="8"/>
  <c r="HB52" i="8"/>
  <c r="HB46" i="8"/>
  <c r="HB49" i="8"/>
  <c r="HB44" i="8"/>
  <c r="HB45" i="8"/>
  <c r="HB41" i="8"/>
  <c r="HB39" i="8"/>
  <c r="HB38" i="8"/>
  <c r="HB37" i="8"/>
  <c r="HB27" i="8"/>
  <c r="HB30" i="8"/>
  <c r="HB31" i="8"/>
  <c r="HB40" i="8"/>
  <c r="HB36" i="8"/>
  <c r="HB19" i="8"/>
  <c r="HB29" i="8"/>
  <c r="HB26" i="8"/>
  <c r="HB25" i="8"/>
  <c r="HB22" i="8"/>
  <c r="HB14" i="8"/>
  <c r="HB24" i="8"/>
  <c r="HB17" i="8"/>
  <c r="HB16" i="8"/>
  <c r="V5" i="8"/>
  <c r="V14" i="8"/>
  <c r="HB21" i="8"/>
  <c r="N17" i="8"/>
  <c r="BI12" i="8"/>
  <c r="DP23" i="8"/>
  <c r="V47" i="8"/>
  <c r="V49" i="8"/>
  <c r="V50" i="8"/>
  <c r="V51" i="8"/>
  <c r="V52" i="8"/>
  <c r="V46" i="8"/>
  <c r="V39" i="8"/>
  <c r="V40" i="8"/>
  <c r="V44" i="8"/>
  <c r="V41" i="8"/>
  <c r="V45" i="8"/>
  <c r="V42" i="8"/>
  <c r="V43" i="8"/>
  <c r="V35" i="8"/>
  <c r="V48" i="8"/>
  <c r="V38" i="8"/>
  <c r="V36" i="8"/>
  <c r="V31" i="8"/>
  <c r="V32" i="8"/>
  <c r="V30" i="8"/>
  <c r="V24" i="8"/>
  <c r="V33" i="8"/>
  <c r="V25" i="8"/>
  <c r="V27" i="8"/>
  <c r="V34" i="8"/>
  <c r="V28" i="8"/>
  <c r="V26" i="8"/>
  <c r="V37" i="8"/>
  <c r="V29" i="8"/>
  <c r="V16" i="8"/>
  <c r="V19" i="8"/>
  <c r="V21" i="8"/>
  <c r="V23" i="8"/>
  <c r="V20" i="8"/>
  <c r="V17" i="8"/>
  <c r="V22" i="8"/>
  <c r="HK2" i="8"/>
  <c r="V10" i="8"/>
  <c r="V13" i="8"/>
  <c r="V9" i="8"/>
  <c r="N19" i="8"/>
  <c r="HB18" i="8"/>
  <c r="BI15" i="8"/>
  <c r="BI20" i="8"/>
  <c r="BI17" i="8"/>
  <c r="V18" i="8"/>
  <c r="N21" i="8"/>
  <c r="HB20" i="8"/>
  <c r="N31" i="8"/>
  <c r="HB32" i="8"/>
  <c r="DP25" i="8"/>
  <c r="BI22" i="8"/>
  <c r="N23" i="8"/>
  <c r="DP26" i="8"/>
  <c r="DP29" i="8"/>
  <c r="N26" i="8"/>
  <c r="HB28" i="8"/>
  <c r="N30" i="8"/>
  <c r="BI25" i="8"/>
  <c r="N32" i="8"/>
  <c r="HB33" i="8"/>
  <c r="HB23" i="8"/>
  <c r="DP24" i="8"/>
  <c r="DP28" i="8"/>
  <c r="BI30" i="8"/>
  <c r="DP33" i="8"/>
  <c r="DP27" i="8"/>
  <c r="DP38" i="8"/>
  <c r="HB35" i="8"/>
  <c r="N41" i="8"/>
  <c r="DP30" i="8"/>
  <c r="BI32" i="8"/>
  <c r="HB34" i="8"/>
  <c r="BI36" i="8"/>
  <c r="DQ37" i="8"/>
  <c r="DP32" i="8"/>
  <c r="N39" i="8"/>
  <c r="BI40" i="8"/>
  <c r="EW38" i="8"/>
  <c r="DP40" i="8"/>
  <c r="N38" i="8"/>
  <c r="HB43" i="8"/>
  <c r="DP39" i="8"/>
  <c r="EP49" i="8"/>
  <c r="EP50" i="8"/>
  <c r="EP51" i="8"/>
  <c r="EP52" i="8"/>
  <c r="EP48" i="8"/>
  <c r="DZ46" i="8"/>
  <c r="EW44" i="8"/>
  <c r="HB48" i="8"/>
  <c r="N42" i="8"/>
  <c r="DP48" i="8"/>
  <c r="EN38" i="8"/>
  <c r="DQ40" i="8"/>
  <c r="HB42" i="8"/>
  <c r="BI46" i="8"/>
  <c r="HB50" i="8"/>
  <c r="EW40" i="8"/>
  <c r="DP41" i="8"/>
  <c r="DQ44" i="8"/>
  <c r="DP46" i="8"/>
  <c r="DP51" i="8"/>
  <c r="HB47" i="8"/>
  <c r="BI48" i="8"/>
  <c r="BI50" i="8"/>
  <c r="N46" i="8"/>
  <c r="EW48" i="8"/>
  <c r="DQ51" i="8"/>
  <c r="HB51" i="8"/>
  <c r="DG2" i="7"/>
  <c r="FU2" i="7"/>
  <c r="N6" i="7"/>
  <c r="DP45" i="7"/>
  <c r="DP50" i="7"/>
  <c r="DP39" i="7"/>
  <c r="DP38" i="7"/>
  <c r="DP35" i="7"/>
  <c r="DP36" i="7"/>
  <c r="DP31" i="7"/>
  <c r="DP43" i="7"/>
  <c r="DP29" i="7"/>
  <c r="DP25" i="7"/>
  <c r="DP26" i="7"/>
  <c r="DP24" i="7"/>
  <c r="DP19" i="7"/>
  <c r="DP6" i="7"/>
  <c r="DY2" i="7"/>
  <c r="DP10" i="7"/>
  <c r="DP9" i="7"/>
  <c r="DP8" i="7"/>
  <c r="DP13" i="7"/>
  <c r="HB46" i="7"/>
  <c r="HB40" i="7"/>
  <c r="HB41" i="7"/>
  <c r="HB49" i="7"/>
  <c r="HB48" i="7"/>
  <c r="HB38" i="7"/>
  <c r="HB29" i="7"/>
  <c r="HB39" i="7"/>
  <c r="HB45" i="7"/>
  <c r="HB27" i="7"/>
  <c r="HB31" i="7"/>
  <c r="HB23" i="7"/>
  <c r="HB33" i="7"/>
  <c r="HB28" i="7"/>
  <c r="HB25" i="7"/>
  <c r="HB20" i="7"/>
  <c r="HB7" i="7"/>
  <c r="HB13" i="7"/>
  <c r="HK2" i="7"/>
  <c r="GS2" i="7"/>
  <c r="HB12" i="7"/>
  <c r="HH2" i="7"/>
  <c r="HJ2" i="7" s="1"/>
  <c r="GQ2" i="7"/>
  <c r="FY2" i="7"/>
  <c r="HB16" i="7"/>
  <c r="HW2" i="7"/>
  <c r="GI2" i="7"/>
  <c r="GK2" i="7" s="1"/>
  <c r="GL2" i="7" s="1"/>
  <c r="BI3" i="7"/>
  <c r="HB3" i="7"/>
  <c r="HI5" i="7"/>
  <c r="AA10" i="7"/>
  <c r="T11" i="7"/>
  <c r="T16" i="7"/>
  <c r="BI4" i="7"/>
  <c r="BI5" i="7"/>
  <c r="T7" i="7"/>
  <c r="BI9" i="7"/>
  <c r="HB9" i="7"/>
  <c r="AA11" i="7"/>
  <c r="DP2" i="7"/>
  <c r="FF2" i="7"/>
  <c r="GK51" i="7"/>
  <c r="GK43" i="7"/>
  <c r="GK52" i="7"/>
  <c r="GK46" i="7"/>
  <c r="GK47" i="7"/>
  <c r="GK40" i="7"/>
  <c r="GK41" i="7"/>
  <c r="GK49" i="7"/>
  <c r="GK50" i="7"/>
  <c r="GK39" i="7"/>
  <c r="GK35" i="7"/>
  <c r="GK48" i="7"/>
  <c r="GK45" i="7"/>
  <c r="GK42" i="7"/>
  <c r="GK37" i="7"/>
  <c r="GK32" i="7"/>
  <c r="GK29" i="7"/>
  <c r="GK33" i="7"/>
  <c r="GK44" i="7"/>
  <c r="GK27" i="7"/>
  <c r="GK31" i="7"/>
  <c r="GK36" i="7"/>
  <c r="GK34" i="7"/>
  <c r="GK23" i="7"/>
  <c r="GK38" i="7"/>
  <c r="GK30" i="7"/>
  <c r="GK26" i="7"/>
  <c r="GK21" i="7"/>
  <c r="GK22" i="7"/>
  <c r="GK28" i="7"/>
  <c r="GK25" i="7"/>
  <c r="GK14" i="7"/>
  <c r="GK24" i="7"/>
  <c r="GK19" i="7"/>
  <c r="GK18" i="7"/>
  <c r="GK20" i="7"/>
  <c r="GK16" i="7"/>
  <c r="GK12" i="7"/>
  <c r="GK17" i="7"/>
  <c r="GK15" i="7"/>
  <c r="N3" i="7"/>
  <c r="DP3" i="7"/>
  <c r="T8" i="7"/>
  <c r="HB8" i="7"/>
  <c r="HB11" i="7"/>
  <c r="HB17" i="7"/>
  <c r="BI8" i="7"/>
  <c r="AA49" i="7"/>
  <c r="AA52" i="7"/>
  <c r="AA44" i="7"/>
  <c r="AA45" i="7"/>
  <c r="AA48" i="7"/>
  <c r="AA38" i="7"/>
  <c r="AA51" i="7"/>
  <c r="AA47" i="7"/>
  <c r="AA43" i="7"/>
  <c r="AA42" i="7"/>
  <c r="AA50" i="7"/>
  <c r="AA32" i="7"/>
  <c r="AA46" i="7"/>
  <c r="AA36" i="7"/>
  <c r="AA37" i="7"/>
  <c r="AA40" i="7"/>
  <c r="AA41" i="7"/>
  <c r="AA25" i="7"/>
  <c r="AA35" i="7"/>
  <c r="AA31" i="7"/>
  <c r="AA39" i="7"/>
  <c r="AA34" i="7"/>
  <c r="AA28" i="7"/>
  <c r="AA27" i="7"/>
  <c r="AA29" i="7"/>
  <c r="AA19" i="7"/>
  <c r="AA20" i="7"/>
  <c r="AA33" i="7"/>
  <c r="AA26" i="7"/>
  <c r="AA30" i="7"/>
  <c r="AA22" i="7"/>
  <c r="AA23" i="7"/>
  <c r="AA12" i="7"/>
  <c r="AA24" i="7"/>
  <c r="AA17" i="7"/>
  <c r="AA15" i="7"/>
  <c r="AA16" i="7"/>
  <c r="AA13" i="7"/>
  <c r="AA18" i="7"/>
  <c r="AA9" i="7"/>
  <c r="AA21" i="7"/>
  <c r="AA14" i="7"/>
  <c r="AA4" i="7"/>
  <c r="AA8" i="7"/>
  <c r="AA5" i="7"/>
  <c r="AA6" i="7"/>
  <c r="DV2" i="7"/>
  <c r="DX2" i="7" s="1"/>
  <c r="DP15" i="7"/>
  <c r="DP7" i="7"/>
  <c r="DP11" i="7"/>
  <c r="HB15" i="7"/>
  <c r="AD2" i="7"/>
  <c r="AA3" i="7"/>
  <c r="CY36" i="7"/>
  <c r="CY28" i="7"/>
  <c r="CY33" i="7"/>
  <c r="CY32" i="7"/>
  <c r="CY27" i="7"/>
  <c r="CY35" i="7"/>
  <c r="CY34" i="7"/>
  <c r="CY23" i="7"/>
  <c r="CY30" i="7"/>
  <c r="CY17" i="7"/>
  <c r="CY31" i="7"/>
  <c r="CY29" i="7"/>
  <c r="CY20" i="7"/>
  <c r="CY21" i="7"/>
  <c r="CY26" i="7"/>
  <c r="CY25" i="7"/>
  <c r="CY19" i="7"/>
  <c r="CY16" i="7"/>
  <c r="CY18" i="7"/>
  <c r="CY24" i="7"/>
  <c r="CY12" i="7"/>
  <c r="CY22" i="7"/>
  <c r="CY15" i="7"/>
  <c r="CY13" i="7"/>
  <c r="DP16" i="7"/>
  <c r="DP18" i="7"/>
  <c r="BB45" i="7"/>
  <c r="BB48" i="7"/>
  <c r="BB49" i="7"/>
  <c r="BB51" i="7"/>
  <c r="BB39" i="7"/>
  <c r="BB52" i="7"/>
  <c r="BB46" i="7"/>
  <c r="BB42" i="7"/>
  <c r="BB47" i="7"/>
  <c r="BB50" i="7"/>
  <c r="BB44" i="7"/>
  <c r="BB36" i="7"/>
  <c r="BB41" i="7"/>
  <c r="BB40" i="7"/>
  <c r="BB38" i="7"/>
  <c r="BB32" i="7"/>
  <c r="BB43" i="7"/>
  <c r="BB33" i="7"/>
  <c r="BB35" i="7"/>
  <c r="BB34" i="7"/>
  <c r="BB37" i="7"/>
  <c r="S3" i="7"/>
  <c r="DW3" i="7"/>
  <c r="V4" i="7"/>
  <c r="HB6" i="7"/>
  <c r="BI10" i="7"/>
  <c r="V12" i="7"/>
  <c r="S46" i="7"/>
  <c r="S49" i="7"/>
  <c r="S50" i="7"/>
  <c r="S52" i="7"/>
  <c r="S44" i="7"/>
  <c r="S43" i="7"/>
  <c r="S47" i="7"/>
  <c r="S33" i="7"/>
  <c r="S48" i="7"/>
  <c r="S36" i="7"/>
  <c r="S51" i="7"/>
  <c r="S42" i="7"/>
  <c r="S31" i="7"/>
  <c r="S45" i="7"/>
  <c r="S35" i="7"/>
  <c r="S32" i="7"/>
  <c r="S34" i="7"/>
  <c r="S40" i="7"/>
  <c r="S39" i="7"/>
  <c r="S25" i="7"/>
  <c r="S41" i="7"/>
  <c r="S30" i="7"/>
  <c r="S26" i="7"/>
  <c r="S37" i="7"/>
  <c r="S38" i="7"/>
  <c r="S20" i="7"/>
  <c r="S28" i="7"/>
  <c r="S27" i="7"/>
  <c r="S23" i="7"/>
  <c r="S24" i="7"/>
  <c r="S29" i="7"/>
  <c r="S18" i="7"/>
  <c r="S21" i="7"/>
  <c r="S12" i="7"/>
  <c r="S13" i="7"/>
  <c r="S15" i="7"/>
  <c r="S17" i="7"/>
  <c r="S22" i="7"/>
  <c r="S9" i="7"/>
  <c r="S14" i="7"/>
  <c r="S10" i="7"/>
  <c r="S19" i="7"/>
  <c r="V8" i="7"/>
  <c r="T2" i="7"/>
  <c r="V3" i="7"/>
  <c r="U2" i="7"/>
  <c r="DP14" i="7"/>
  <c r="V47" i="7"/>
  <c r="V50" i="7"/>
  <c r="V51" i="7"/>
  <c r="V52" i="7"/>
  <c r="V45" i="7"/>
  <c r="V41" i="7"/>
  <c r="V44" i="7"/>
  <c r="V46" i="7"/>
  <c r="V43" i="7"/>
  <c r="V40" i="7"/>
  <c r="V49" i="7"/>
  <c r="V48" i="7"/>
  <c r="V38" i="7"/>
  <c r="V37" i="7"/>
  <c r="V42" i="7"/>
  <c r="V30" i="7"/>
  <c r="V34" i="7"/>
  <c r="V36" i="7"/>
  <c r="V39" i="7"/>
  <c r="V33" i="7"/>
  <c r="V32" i="7"/>
  <c r="V29" i="7"/>
  <c r="V35" i="7"/>
  <c r="V26" i="7"/>
  <c r="V31" i="7"/>
  <c r="V27" i="7"/>
  <c r="V28" i="7"/>
  <c r="V17" i="7"/>
  <c r="V25" i="7"/>
  <c r="V20" i="7"/>
  <c r="V21" i="7"/>
  <c r="V24" i="7"/>
  <c r="V13" i="7"/>
  <c r="V14" i="7"/>
  <c r="V22" i="7"/>
  <c r="V23" i="7"/>
  <c r="V10" i="7"/>
  <c r="V18" i="7"/>
  <c r="V19" i="7"/>
  <c r="V11" i="7"/>
  <c r="V7" i="7"/>
  <c r="BI14" i="7"/>
  <c r="HB10" i="7"/>
  <c r="DP12" i="7"/>
  <c r="CY14" i="7"/>
  <c r="HB14" i="7"/>
  <c r="HB19" i="7"/>
  <c r="DP20" i="7"/>
  <c r="HB18" i="7"/>
  <c r="DP22" i="7"/>
  <c r="BI11" i="7"/>
  <c r="BI18" i="7"/>
  <c r="N21" i="7"/>
  <c r="N20" i="7"/>
  <c r="HB22" i="7"/>
  <c r="DP17" i="7"/>
  <c r="BI21" i="7"/>
  <c r="HB24" i="7"/>
  <c r="DP21" i="7"/>
  <c r="HB21" i="7"/>
  <c r="N25" i="7"/>
  <c r="HB26" i="7"/>
  <c r="DP30" i="7"/>
  <c r="BI27" i="7"/>
  <c r="HB30" i="7"/>
  <c r="DP23" i="7"/>
  <c r="BI28" i="7"/>
  <c r="DP34" i="7"/>
  <c r="BI24" i="7"/>
  <c r="DP27" i="7"/>
  <c r="DP37" i="7"/>
  <c r="HB32" i="7"/>
  <c r="DP28" i="7"/>
  <c r="BI31" i="7"/>
  <c r="BI35" i="7"/>
  <c r="EW38" i="7"/>
  <c r="N34" i="7"/>
  <c r="HB34" i="7"/>
  <c r="HB37" i="7"/>
  <c r="HB35" i="7"/>
  <c r="HB36" i="7"/>
  <c r="DP33" i="7"/>
  <c r="DP32" i="7"/>
  <c r="BI34" i="7"/>
  <c r="N37" i="7"/>
  <c r="EP50" i="7"/>
  <c r="EP51" i="7"/>
  <c r="EP52" i="7"/>
  <c r="EP49" i="7"/>
  <c r="EP48" i="7"/>
  <c r="EN38" i="7"/>
  <c r="BI37" i="7"/>
  <c r="DZ37" i="7"/>
  <c r="DP40" i="7"/>
  <c r="EW40" i="7"/>
  <c r="EW39" i="7"/>
  <c r="EW44" i="7"/>
  <c r="DP44" i="7"/>
  <c r="HB43" i="7"/>
  <c r="DQ51" i="7"/>
  <c r="DQ42" i="7"/>
  <c r="DP41" i="7"/>
  <c r="DZ43" i="7"/>
  <c r="N45" i="7"/>
  <c r="DP48" i="7"/>
  <c r="DP46" i="7"/>
  <c r="HB50" i="7"/>
  <c r="HB42" i="7"/>
  <c r="HB44" i="7"/>
  <c r="N40" i="7"/>
  <c r="DP42" i="7"/>
  <c r="EW51" i="7"/>
  <c r="EW45" i="7"/>
  <c r="HB51" i="7"/>
  <c r="N51" i="7"/>
  <c r="DP52" i="7"/>
  <c r="BI44" i="7"/>
  <c r="N46" i="7"/>
  <c r="DP49" i="7"/>
  <c r="HB47" i="7"/>
  <c r="EW46" i="7"/>
  <c r="BI48" i="7"/>
  <c r="EW50" i="7"/>
  <c r="DP51" i="7"/>
  <c r="DP47" i="7"/>
  <c r="HB52" i="7"/>
  <c r="CL46" i="6"/>
  <c r="EC51" i="6"/>
  <c r="CL47" i="6"/>
  <c r="CL49" i="6"/>
  <c r="EC46" i="6"/>
  <c r="EC42" i="6"/>
  <c r="CL43" i="6"/>
  <c r="CL40" i="6"/>
  <c r="EC38" i="6"/>
  <c r="EC34" i="6"/>
  <c r="CL37" i="6"/>
  <c r="EC32" i="6"/>
  <c r="EC31" i="6"/>
  <c r="EC33" i="6"/>
  <c r="CL27" i="6"/>
  <c r="CL21" i="6"/>
  <c r="CL32" i="6"/>
  <c r="CL22" i="6"/>
  <c r="EC19" i="6"/>
  <c r="EC26" i="6"/>
  <c r="CL17" i="6"/>
  <c r="EC16" i="6"/>
  <c r="CL12" i="6"/>
  <c r="EC11" i="6"/>
  <c r="CL8" i="6"/>
  <c r="CL11" i="6"/>
  <c r="CL13" i="6"/>
  <c r="EC5" i="6"/>
  <c r="EC10" i="6"/>
  <c r="CK3" i="6"/>
  <c r="DV3" i="6" s="1"/>
  <c r="EC7" i="6"/>
  <c r="CL7" i="6"/>
  <c r="BB46" i="6"/>
  <c r="BB47" i="6"/>
  <c r="BB48" i="6"/>
  <c r="BB49" i="6"/>
  <c r="BB50" i="6"/>
  <c r="BB52" i="6"/>
  <c r="BB45" i="6"/>
  <c r="BB44" i="6"/>
  <c r="BB42" i="6"/>
  <c r="BB39" i="6"/>
  <c r="BB40" i="6"/>
  <c r="BB41" i="6"/>
  <c r="BB51" i="6"/>
  <c r="BB43" i="6"/>
  <c r="BB38" i="6"/>
  <c r="BB36" i="6"/>
  <c r="BB32" i="6"/>
  <c r="BB37" i="6"/>
  <c r="BB34" i="6"/>
  <c r="BB33" i="6"/>
  <c r="BB35" i="6"/>
  <c r="BB3" i="6"/>
  <c r="BC3" i="6" s="1"/>
  <c r="BI5" i="6"/>
  <c r="AA49" i="6"/>
  <c r="AA50" i="6"/>
  <c r="AA51" i="6"/>
  <c r="AA43" i="6"/>
  <c r="AA52" i="6"/>
  <c r="AA44" i="6"/>
  <c r="AA45" i="6"/>
  <c r="AA48" i="6"/>
  <c r="AA40" i="6"/>
  <c r="AA41" i="6"/>
  <c r="AA46" i="6"/>
  <c r="AA47" i="6"/>
  <c r="AA42" i="6"/>
  <c r="AA37" i="6"/>
  <c r="AA38" i="6"/>
  <c r="AA35" i="6"/>
  <c r="AA39" i="6"/>
  <c r="AA36" i="6"/>
  <c r="AA33" i="6"/>
  <c r="AA29" i="6"/>
  <c r="AA34" i="6"/>
  <c r="AA31" i="6"/>
  <c r="AA32" i="6"/>
  <c r="AA28" i="6"/>
  <c r="AA24" i="6"/>
  <c r="AA19" i="6"/>
  <c r="AA30" i="6"/>
  <c r="AA20" i="6"/>
  <c r="AA25" i="6"/>
  <c r="AA21" i="6"/>
  <c r="AA26" i="6"/>
  <c r="AA18" i="6"/>
  <c r="AA16" i="6"/>
  <c r="AA12" i="6"/>
  <c r="AA17" i="6"/>
  <c r="AA23" i="6"/>
  <c r="AA15" i="6"/>
  <c r="AA22" i="6"/>
  <c r="AA27" i="6"/>
  <c r="AA9" i="6"/>
  <c r="AA10" i="6"/>
  <c r="AA6" i="6"/>
  <c r="AA14" i="6"/>
  <c r="AA11" i="6"/>
  <c r="AA7" i="6"/>
  <c r="AA3" i="6"/>
  <c r="AA13" i="6"/>
  <c r="AA8" i="6"/>
  <c r="AA4" i="6"/>
  <c r="HB9" i="6"/>
  <c r="X3" i="6"/>
  <c r="HB51" i="6"/>
  <c r="HB47" i="6"/>
  <c r="HB48" i="6"/>
  <c r="HB39" i="6"/>
  <c r="HB49" i="6"/>
  <c r="HB41" i="6"/>
  <c r="HB43" i="6"/>
  <c r="HB38" i="6"/>
  <c r="HB37" i="6"/>
  <c r="HB36" i="6"/>
  <c r="HB35" i="6"/>
  <c r="HB31" i="6"/>
  <c r="HB30" i="6"/>
  <c r="HB33" i="6"/>
  <c r="HB26" i="6"/>
  <c r="HB19" i="6"/>
  <c r="HB27" i="6"/>
  <c r="HB34" i="6"/>
  <c r="HB22" i="6"/>
  <c r="HB25" i="6"/>
  <c r="HB24" i="6"/>
  <c r="HB17" i="6"/>
  <c r="HB16" i="6"/>
  <c r="HB6" i="6"/>
  <c r="HK2" i="6"/>
  <c r="HB10" i="6"/>
  <c r="FX46" i="6"/>
  <c r="FX40" i="6"/>
  <c r="FX36" i="6"/>
  <c r="FX30" i="6"/>
  <c r="FX21" i="6"/>
  <c r="FX17" i="6"/>
  <c r="FX10" i="6"/>
  <c r="FX4" i="6"/>
  <c r="FX16" i="6"/>
  <c r="GO8" i="6"/>
  <c r="T8" i="6"/>
  <c r="N2" i="6"/>
  <c r="AC2" i="6" s="1"/>
  <c r="AN3" i="6"/>
  <c r="AO49" i="6"/>
  <c r="AO50" i="6"/>
  <c r="AO51" i="6"/>
  <c r="AO43" i="6"/>
  <c r="AO52" i="6"/>
  <c r="AO45" i="6"/>
  <c r="AO46" i="6"/>
  <c r="AO47" i="6"/>
  <c r="AO39" i="6"/>
  <c r="AO41" i="6"/>
  <c r="AO44" i="6"/>
  <c r="AO31" i="6"/>
  <c r="AO37" i="6"/>
  <c r="AO42" i="6"/>
  <c r="AO33" i="6"/>
  <c r="AO34" i="6"/>
  <c r="AO40" i="6"/>
  <c r="AO35" i="6"/>
  <c r="AO48" i="6"/>
  <c r="AO38" i="6"/>
  <c r="AO26" i="6"/>
  <c r="AO30" i="6"/>
  <c r="AO27" i="6"/>
  <c r="AO29" i="6"/>
  <c r="AO36" i="6"/>
  <c r="AO32" i="6"/>
  <c r="AO22" i="6"/>
  <c r="AO25" i="6"/>
  <c r="AO23" i="6"/>
  <c r="AO18" i="6"/>
  <c r="AO24" i="6"/>
  <c r="AO19" i="6"/>
  <c r="AO28" i="6"/>
  <c r="AO20" i="6"/>
  <c r="AO21" i="6"/>
  <c r="AO13" i="6"/>
  <c r="AO14" i="6"/>
  <c r="AO10" i="6"/>
  <c r="AO16" i="6"/>
  <c r="AO17" i="6"/>
  <c r="AO11" i="6"/>
  <c r="AO7" i="6"/>
  <c r="AO5" i="6"/>
  <c r="AO8" i="6"/>
  <c r="AO6" i="6"/>
  <c r="AO15" i="6"/>
  <c r="AO12" i="6"/>
  <c r="AO9" i="6"/>
  <c r="DW5" i="6"/>
  <c r="N11" i="6"/>
  <c r="Y4" i="6"/>
  <c r="S48" i="6"/>
  <c r="U49" i="6" s="1"/>
  <c r="S49" i="6"/>
  <c r="U50" i="6" s="1"/>
  <c r="S50" i="6"/>
  <c r="U51" i="6" s="1"/>
  <c r="S42" i="6"/>
  <c r="U43" i="6" s="1"/>
  <c r="S51" i="6"/>
  <c r="U52" i="6" s="1"/>
  <c r="S52" i="6"/>
  <c r="S44" i="6"/>
  <c r="U45" i="6" s="1"/>
  <c r="S38" i="6"/>
  <c r="U39" i="6" s="1"/>
  <c r="S45" i="6"/>
  <c r="U46" i="6" s="1"/>
  <c r="S40" i="6"/>
  <c r="U41" i="6" s="1"/>
  <c r="S41" i="6"/>
  <c r="U42" i="6" s="1"/>
  <c r="S47" i="6"/>
  <c r="U48" i="6" s="1"/>
  <c r="S46" i="6"/>
  <c r="U47" i="6" s="1"/>
  <c r="S43" i="6"/>
  <c r="U44" i="6" s="1"/>
  <c r="S30" i="6"/>
  <c r="S37" i="6"/>
  <c r="U38" i="6" s="1"/>
  <c r="S32" i="6"/>
  <c r="S33" i="6"/>
  <c r="S34" i="6"/>
  <c r="S36" i="6"/>
  <c r="U37" i="6" s="1"/>
  <c r="S25" i="6"/>
  <c r="S26" i="6"/>
  <c r="S28" i="6"/>
  <c r="S29" i="6"/>
  <c r="S35" i="6"/>
  <c r="S31" i="6"/>
  <c r="S22" i="6"/>
  <c r="S39" i="6"/>
  <c r="U40" i="6" s="1"/>
  <c r="S17" i="6"/>
  <c r="S24" i="6"/>
  <c r="S18" i="6"/>
  <c r="S19" i="6"/>
  <c r="S27" i="6"/>
  <c r="S20" i="6"/>
  <c r="S12" i="6"/>
  <c r="S13" i="6"/>
  <c r="S21" i="6"/>
  <c r="S9" i="6"/>
  <c r="S14" i="6"/>
  <c r="S10" i="6"/>
  <c r="S15" i="6"/>
  <c r="S7" i="6"/>
  <c r="S4" i="6"/>
  <c r="S5" i="6"/>
  <c r="S6" i="6"/>
  <c r="S23" i="6"/>
  <c r="S11" i="6"/>
  <c r="S16" i="6"/>
  <c r="EC2" i="6"/>
  <c r="EB3" i="6" s="1"/>
  <c r="HB2" i="6"/>
  <c r="Z4" i="6"/>
  <c r="HB4" i="6"/>
  <c r="N5" i="6"/>
  <c r="HI5" i="6"/>
  <c r="HH2" i="6"/>
  <c r="AO4" i="6"/>
  <c r="HB7" i="6"/>
  <c r="Y48" i="6"/>
  <c r="Y49" i="6"/>
  <c r="Y50" i="6"/>
  <c r="Y51" i="6"/>
  <c r="Y43" i="6"/>
  <c r="Y52" i="6"/>
  <c r="Y44" i="6"/>
  <c r="Y45" i="6"/>
  <c r="Y40" i="6"/>
  <c r="Y41" i="6"/>
  <c r="Y47" i="6"/>
  <c r="Y46" i="6"/>
  <c r="Y42" i="6"/>
  <c r="Y37" i="6"/>
  <c r="Y38" i="6"/>
  <c r="Y34" i="6"/>
  <c r="Y35" i="6"/>
  <c r="Y39" i="6"/>
  <c r="Y32" i="6"/>
  <c r="Y28" i="6"/>
  <c r="Y33" i="6"/>
  <c r="Y29" i="6"/>
  <c r="Y36" i="6"/>
  <c r="Y24" i="6"/>
  <c r="Y18" i="6"/>
  <c r="Y19" i="6"/>
  <c r="Y30" i="6"/>
  <c r="Y20" i="6"/>
  <c r="Y25" i="6"/>
  <c r="Y31" i="6"/>
  <c r="Y26" i="6"/>
  <c r="Y23" i="6"/>
  <c r="Y15" i="6"/>
  <c r="Y16" i="6"/>
  <c r="Y27" i="6"/>
  <c r="Y21" i="6"/>
  <c r="Y14" i="6"/>
  <c r="Y12" i="6"/>
  <c r="Y22" i="6"/>
  <c r="Y8" i="6"/>
  <c r="Y9" i="6"/>
  <c r="Y13" i="6"/>
  <c r="Y17" i="6"/>
  <c r="Y5" i="6"/>
  <c r="Y10" i="6"/>
  <c r="Y11" i="6"/>
  <c r="Y7" i="6"/>
  <c r="Y3" i="6"/>
  <c r="HJ2" i="6"/>
  <c r="T3" i="6"/>
  <c r="L3" i="6" s="1"/>
  <c r="GO3" i="6"/>
  <c r="V48" i="6"/>
  <c r="V49" i="6"/>
  <c r="V50" i="6"/>
  <c r="V51" i="6"/>
  <c r="V43" i="6"/>
  <c r="V52" i="6"/>
  <c r="V45" i="6"/>
  <c r="V39" i="6"/>
  <c r="V44" i="6"/>
  <c r="V41" i="6"/>
  <c r="V46" i="6"/>
  <c r="V47" i="6"/>
  <c r="V40" i="6"/>
  <c r="V37" i="6"/>
  <c r="V33" i="6"/>
  <c r="V38" i="6"/>
  <c r="V34" i="6"/>
  <c r="V42" i="6"/>
  <c r="V36" i="6"/>
  <c r="V32" i="6"/>
  <c r="V27" i="6"/>
  <c r="V28" i="6"/>
  <c r="V29" i="6"/>
  <c r="V35" i="6"/>
  <c r="V26" i="6"/>
  <c r="V23" i="6"/>
  <c r="V24" i="6"/>
  <c r="V30" i="6"/>
  <c r="V19" i="6"/>
  <c r="V25" i="6"/>
  <c r="V31" i="6"/>
  <c r="V14" i="6"/>
  <c r="V15" i="6"/>
  <c r="V22" i="6"/>
  <c r="V21" i="6"/>
  <c r="V20" i="6"/>
  <c r="V18" i="6"/>
  <c r="V17" i="6"/>
  <c r="V13" i="6"/>
  <c r="V12" i="6"/>
  <c r="V11" i="6"/>
  <c r="V7" i="6"/>
  <c r="DP11" i="6"/>
  <c r="DP8" i="6"/>
  <c r="HB8" i="6"/>
  <c r="BI15" i="6"/>
  <c r="DP16" i="6"/>
  <c r="HB15" i="6"/>
  <c r="V16" i="6"/>
  <c r="DP10" i="6"/>
  <c r="CY35" i="6"/>
  <c r="CY30" i="6"/>
  <c r="CY31" i="6"/>
  <c r="CY33" i="6"/>
  <c r="CY32" i="6"/>
  <c r="CY36" i="6"/>
  <c r="CY34" i="6"/>
  <c r="CY26" i="6"/>
  <c r="CY27" i="6"/>
  <c r="CY19" i="6"/>
  <c r="CY24" i="6"/>
  <c r="CY22" i="6"/>
  <c r="CY28" i="6"/>
  <c r="CY23" i="6"/>
  <c r="CY29" i="6"/>
  <c r="CY20" i="6"/>
  <c r="CY18" i="6"/>
  <c r="CY25" i="6"/>
  <c r="CY21" i="6"/>
  <c r="CY15" i="6"/>
  <c r="CY17" i="6"/>
  <c r="CY16" i="6"/>
  <c r="CY12" i="6"/>
  <c r="GK51" i="6"/>
  <c r="GK52" i="6"/>
  <c r="GK44" i="6"/>
  <c r="GK45" i="6"/>
  <c r="GK46" i="6"/>
  <c r="GK47" i="6"/>
  <c r="GK48" i="6"/>
  <c r="GK50" i="6"/>
  <c r="GK49" i="6"/>
  <c r="GK39" i="6"/>
  <c r="GK42" i="6"/>
  <c r="GK43" i="6"/>
  <c r="GK40" i="6"/>
  <c r="GK38" i="6"/>
  <c r="GK37" i="6"/>
  <c r="GK32" i="6"/>
  <c r="GK41" i="6"/>
  <c r="GK29" i="6"/>
  <c r="GK31" i="6"/>
  <c r="GK30" i="6"/>
  <c r="GK33" i="6"/>
  <c r="GK34" i="6"/>
  <c r="GK36" i="6"/>
  <c r="GK35" i="6"/>
  <c r="GK28" i="6"/>
  <c r="GK19" i="6"/>
  <c r="GK21" i="6"/>
  <c r="GK25" i="6"/>
  <c r="GK22" i="6"/>
  <c r="GK24" i="6"/>
  <c r="GK23" i="6"/>
  <c r="GK27" i="6"/>
  <c r="GK26" i="6"/>
  <c r="GK13" i="6"/>
  <c r="GK14" i="6"/>
  <c r="GK17" i="6"/>
  <c r="GK18" i="6"/>
  <c r="GK15" i="6"/>
  <c r="GK16" i="6"/>
  <c r="GK20" i="6"/>
  <c r="GK12" i="6"/>
  <c r="V6" i="6"/>
  <c r="V10" i="6"/>
  <c r="DP51" i="6"/>
  <c r="DP52" i="6"/>
  <c r="DP45" i="6"/>
  <c r="DP46" i="6"/>
  <c r="DP50" i="6"/>
  <c r="DP44" i="6"/>
  <c r="DP40" i="6"/>
  <c r="DP42" i="6"/>
  <c r="DP38" i="6"/>
  <c r="DP43" i="6"/>
  <c r="DP36" i="6"/>
  <c r="DP25" i="6"/>
  <c r="DP32" i="6"/>
  <c r="DP24" i="6"/>
  <c r="DP20" i="6"/>
  <c r="DP18" i="6"/>
  <c r="DP21" i="6"/>
  <c r="BI8" i="6"/>
  <c r="HB13" i="6"/>
  <c r="BI14" i="6"/>
  <c r="DP14" i="6"/>
  <c r="V4" i="6"/>
  <c r="BI11" i="6"/>
  <c r="V9" i="6"/>
  <c r="HB12" i="6"/>
  <c r="BI13" i="6"/>
  <c r="CY14" i="6"/>
  <c r="BI18" i="6"/>
  <c r="HB18" i="6"/>
  <c r="BI25" i="6"/>
  <c r="N13" i="6"/>
  <c r="HB11" i="6"/>
  <c r="HB21" i="6"/>
  <c r="HB14" i="6"/>
  <c r="DP19" i="6"/>
  <c r="DP22" i="6"/>
  <c r="HB20" i="6"/>
  <c r="DP17" i="6"/>
  <c r="BI20" i="6"/>
  <c r="BI24" i="6"/>
  <c r="DP27" i="6"/>
  <c r="HB28" i="6"/>
  <c r="DP23" i="6"/>
  <c r="HB23" i="6"/>
  <c r="DP28" i="6"/>
  <c r="N23" i="6"/>
  <c r="HB29" i="6"/>
  <c r="DP34" i="6"/>
  <c r="DP26" i="6"/>
  <c r="BI29" i="6"/>
  <c r="DP29" i="6"/>
  <c r="N32" i="6"/>
  <c r="N38" i="6"/>
  <c r="DP33" i="6"/>
  <c r="DP31" i="6"/>
  <c r="HB32" i="6"/>
  <c r="DQ41" i="6"/>
  <c r="DZ37" i="6"/>
  <c r="DP30" i="6"/>
  <c r="BI35" i="6"/>
  <c r="DP35" i="6"/>
  <c r="N42" i="6"/>
  <c r="HB42" i="6"/>
  <c r="EN38" i="6"/>
  <c r="BI42" i="6"/>
  <c r="DP47" i="6"/>
  <c r="DP39" i="6"/>
  <c r="HB40" i="6"/>
  <c r="EW42" i="6"/>
  <c r="DP37" i="6"/>
  <c r="DP41" i="6"/>
  <c r="DQ51" i="6"/>
  <c r="EW40" i="6"/>
  <c r="HB44" i="6"/>
  <c r="DP48" i="6"/>
  <c r="HB50" i="6"/>
  <c r="BI43" i="6"/>
  <c r="BI44" i="6"/>
  <c r="BI50" i="6"/>
  <c r="DP49" i="6"/>
  <c r="DQ45" i="6"/>
  <c r="N50" i="6"/>
  <c r="EW50" i="6"/>
  <c r="HB52" i="6"/>
  <c r="EP48" i="6"/>
  <c r="EP49" i="6"/>
  <c r="EP50" i="6"/>
  <c r="EP51" i="6"/>
  <c r="EP52" i="6"/>
  <c r="HB45" i="6"/>
  <c r="BI48" i="6"/>
  <c r="HB46" i="6"/>
  <c r="DQ47" i="6"/>
  <c r="DQ46" i="6"/>
  <c r="DQ52" i="6"/>
  <c r="FF3" i="5"/>
  <c r="T17" i="5"/>
  <c r="GO17" i="5"/>
  <c r="HW2" i="5"/>
  <c r="T3" i="5"/>
  <c r="L3" i="5" s="1"/>
  <c r="Y5" i="5"/>
  <c r="CL5" i="5"/>
  <c r="AA8" i="5"/>
  <c r="BY2" i="5"/>
  <c r="V3" i="5"/>
  <c r="DC3" i="5"/>
  <c r="AA5" i="5"/>
  <c r="N15" i="5"/>
  <c r="DW10" i="5"/>
  <c r="BG2" i="5"/>
  <c r="X3" i="5"/>
  <c r="HI4" i="5"/>
  <c r="EC5" i="5"/>
  <c r="T6" i="5"/>
  <c r="CL6" i="5"/>
  <c r="HB12" i="5"/>
  <c r="S46" i="5"/>
  <c r="U47" i="5" s="1"/>
  <c r="S48" i="5"/>
  <c r="U49" i="5" s="1"/>
  <c r="S49" i="5"/>
  <c r="U50" i="5" s="1"/>
  <c r="S50" i="5"/>
  <c r="U51" i="5" s="1"/>
  <c r="S42" i="5"/>
  <c r="U43" i="5" s="1"/>
  <c r="S51" i="5"/>
  <c r="U52" i="5" s="1"/>
  <c r="S52" i="5"/>
  <c r="S45" i="5"/>
  <c r="U46" i="5" s="1"/>
  <c r="S41" i="5"/>
  <c r="U42" i="5" s="1"/>
  <c r="S43" i="5"/>
  <c r="U44" i="5" s="1"/>
  <c r="S44" i="5"/>
  <c r="U45" i="5" s="1"/>
  <c r="S34" i="5"/>
  <c r="S37" i="5"/>
  <c r="U38" i="5" s="1"/>
  <c r="S47" i="5"/>
  <c r="U48" i="5" s="1"/>
  <c r="S40" i="5"/>
  <c r="U41" i="5" s="1"/>
  <c r="S31" i="5"/>
  <c r="S39" i="5"/>
  <c r="U40" i="5" s="1"/>
  <c r="S33" i="5"/>
  <c r="S35" i="5"/>
  <c r="S24" i="5"/>
  <c r="S30" i="5"/>
  <c r="S29" i="5"/>
  <c r="S26" i="5"/>
  <c r="S38" i="5"/>
  <c r="U39" i="5" s="1"/>
  <c r="S27" i="5"/>
  <c r="S28" i="5"/>
  <c r="S36" i="5"/>
  <c r="U37" i="5" s="1"/>
  <c r="S32" i="5"/>
  <c r="S20" i="5"/>
  <c r="S23" i="5"/>
  <c r="S22" i="5"/>
  <c r="S19" i="5"/>
  <c r="S21" i="5"/>
  <c r="S25" i="5"/>
  <c r="S11" i="5"/>
  <c r="S13" i="5"/>
  <c r="S18" i="5"/>
  <c r="S10" i="5"/>
  <c r="S4" i="5"/>
  <c r="S5" i="5"/>
  <c r="S16" i="5"/>
  <c r="S12" i="5"/>
  <c r="S15" i="5"/>
  <c r="S7" i="5"/>
  <c r="S14" i="5"/>
  <c r="S8" i="5"/>
  <c r="AO2" i="5"/>
  <c r="AN3" i="5" s="1"/>
  <c r="Y3" i="5"/>
  <c r="CL3" i="5"/>
  <c r="V6" i="5"/>
  <c r="CL7" i="5"/>
  <c r="HB11" i="5"/>
  <c r="T2" i="5"/>
  <c r="AP2" i="5"/>
  <c r="AV2" i="5" s="1"/>
  <c r="CW2" i="5"/>
  <c r="CY2" i="5" s="1"/>
  <c r="CZ2" i="5" s="1"/>
  <c r="HB46" i="5"/>
  <c r="HB47" i="5"/>
  <c r="HB49" i="5"/>
  <c r="HB50" i="5"/>
  <c r="HB42" i="5"/>
  <c r="HB45" i="5"/>
  <c r="HB40" i="5"/>
  <c r="HB38" i="5"/>
  <c r="HB37" i="5"/>
  <c r="HB36" i="5"/>
  <c r="HB41" i="5"/>
  <c r="HB34" i="5"/>
  <c r="HB24" i="5"/>
  <c r="HB32" i="5"/>
  <c r="HB31" i="5"/>
  <c r="HB35" i="5"/>
  <c r="HB29" i="5"/>
  <c r="HB20" i="5"/>
  <c r="HB18" i="5"/>
  <c r="HB8" i="5"/>
  <c r="HB15" i="5"/>
  <c r="HB17" i="5"/>
  <c r="GO2" i="5"/>
  <c r="AA3" i="5"/>
  <c r="Y6" i="5"/>
  <c r="HB23" i="5"/>
  <c r="CY34" i="5"/>
  <c r="CY35" i="5"/>
  <c r="CY33" i="5"/>
  <c r="CY29" i="5"/>
  <c r="CY36" i="5"/>
  <c r="CY31" i="5"/>
  <c r="CY30" i="5"/>
  <c r="CY32" i="5"/>
  <c r="CY24" i="5"/>
  <c r="CY25" i="5"/>
  <c r="CY28" i="5"/>
  <c r="CY23" i="5"/>
  <c r="CY20" i="5"/>
  <c r="CY18" i="5"/>
  <c r="CY27" i="5"/>
  <c r="CY19" i="5"/>
  <c r="CY26" i="5"/>
  <c r="CY22" i="5"/>
  <c r="CY21" i="5"/>
  <c r="CY13" i="5"/>
  <c r="CY17" i="5"/>
  <c r="CY15" i="5"/>
  <c r="CY12" i="5"/>
  <c r="CY16" i="5"/>
  <c r="CY14" i="5"/>
  <c r="FX2" i="5"/>
  <c r="EC7" i="5"/>
  <c r="V47" i="5"/>
  <c r="V49" i="5"/>
  <c r="V50" i="5"/>
  <c r="V51" i="5"/>
  <c r="V43" i="5"/>
  <c r="V52" i="5"/>
  <c r="V44" i="5"/>
  <c r="V42" i="5"/>
  <c r="V38" i="5"/>
  <c r="V48" i="5"/>
  <c r="V40" i="5"/>
  <c r="V36" i="5"/>
  <c r="V39" i="5"/>
  <c r="V41" i="5"/>
  <c r="V45" i="5"/>
  <c r="V32" i="5"/>
  <c r="V37" i="5"/>
  <c r="V46" i="5"/>
  <c r="V33" i="5"/>
  <c r="V30" i="5"/>
  <c r="V29" i="5"/>
  <c r="V28" i="5"/>
  <c r="V31" i="5"/>
  <c r="V21" i="5"/>
  <c r="V34" i="5"/>
  <c r="V22" i="5"/>
  <c r="V24" i="5"/>
  <c r="V25" i="5"/>
  <c r="V23" i="5"/>
  <c r="V20" i="5"/>
  <c r="V35" i="5"/>
  <c r="V27" i="5"/>
  <c r="V18" i="5"/>
  <c r="V26" i="5"/>
  <c r="V19" i="5"/>
  <c r="V13" i="5"/>
  <c r="V14" i="5"/>
  <c r="V17" i="5"/>
  <c r="V10" i="5"/>
  <c r="V16" i="5"/>
  <c r="V15" i="5"/>
  <c r="V12" i="5"/>
  <c r="EC3" i="5"/>
  <c r="EB4" i="5" s="1"/>
  <c r="AA6" i="5"/>
  <c r="V7" i="5"/>
  <c r="N8" i="5"/>
  <c r="CL8" i="5"/>
  <c r="T9" i="5"/>
  <c r="GO9" i="5"/>
  <c r="HK2" i="5"/>
  <c r="Y4" i="5"/>
  <c r="CL4" i="5"/>
  <c r="V9" i="5"/>
  <c r="HB13" i="5"/>
  <c r="Y48" i="5"/>
  <c r="Y50" i="5"/>
  <c r="Y51" i="5"/>
  <c r="Y43" i="5"/>
  <c r="Y52" i="5"/>
  <c r="Y44" i="5"/>
  <c r="Y45" i="5"/>
  <c r="Y49" i="5"/>
  <c r="Y37" i="5"/>
  <c r="Y39" i="5"/>
  <c r="Y47" i="5"/>
  <c r="Y41" i="5"/>
  <c r="Y42" i="5"/>
  <c r="Y46" i="5"/>
  <c r="Y38" i="5"/>
  <c r="Y35" i="5"/>
  <c r="Y31" i="5"/>
  <c r="Y40" i="5"/>
  <c r="Y34" i="5"/>
  <c r="Y22" i="5"/>
  <c r="Y23" i="5"/>
  <c r="Y36" i="5"/>
  <c r="Y32" i="5"/>
  <c r="Y25" i="5"/>
  <c r="Y33" i="5"/>
  <c r="Y26" i="5"/>
  <c r="Y18" i="5"/>
  <c r="Y28" i="5"/>
  <c r="Y27" i="5"/>
  <c r="Y30" i="5"/>
  <c r="Y24" i="5"/>
  <c r="Y19" i="5"/>
  <c r="Y14" i="5"/>
  <c r="Y21" i="5"/>
  <c r="Y29" i="5"/>
  <c r="Y15" i="5"/>
  <c r="Y10" i="5"/>
  <c r="Y13" i="5"/>
  <c r="Y20" i="5"/>
  <c r="Y16" i="5"/>
  <c r="Y12" i="5"/>
  <c r="Y17" i="5"/>
  <c r="Y9" i="5"/>
  <c r="Z3" i="5"/>
  <c r="CK3" i="5"/>
  <c r="DV3" i="5" s="1"/>
  <c r="AA4" i="5"/>
  <c r="HB16" i="5"/>
  <c r="AA49" i="5"/>
  <c r="AA51" i="5"/>
  <c r="AA52" i="5"/>
  <c r="AA44" i="5"/>
  <c r="AA45" i="5"/>
  <c r="AA46" i="5"/>
  <c r="AA38" i="5"/>
  <c r="AA40" i="5"/>
  <c r="AA47" i="5"/>
  <c r="AA48" i="5"/>
  <c r="AA50" i="5"/>
  <c r="AA37" i="5"/>
  <c r="AA36" i="5"/>
  <c r="AA43" i="5"/>
  <c r="AA42" i="5"/>
  <c r="AA41" i="5"/>
  <c r="AA33" i="5"/>
  <c r="AA39" i="5"/>
  <c r="AA30" i="5"/>
  <c r="AA28" i="5"/>
  <c r="AA31" i="5"/>
  <c r="AA34" i="5"/>
  <c r="AA23" i="5"/>
  <c r="AA24" i="5"/>
  <c r="AA32" i="5"/>
  <c r="AA35" i="5"/>
  <c r="AA29" i="5"/>
  <c r="AA26" i="5"/>
  <c r="AA27" i="5"/>
  <c r="AA19" i="5"/>
  <c r="AA18" i="5"/>
  <c r="AA22" i="5"/>
  <c r="AA21" i="5"/>
  <c r="AA15" i="5"/>
  <c r="AA16" i="5"/>
  <c r="AA25" i="5"/>
  <c r="AA20" i="5"/>
  <c r="AA11" i="5"/>
  <c r="AA12" i="5"/>
  <c r="AA7" i="5"/>
  <c r="AA17" i="5"/>
  <c r="AA14" i="5"/>
  <c r="AA10" i="5"/>
  <c r="CL52" i="5"/>
  <c r="EC48" i="5"/>
  <c r="CL44" i="5"/>
  <c r="EC50" i="5"/>
  <c r="EC51" i="5"/>
  <c r="CL47" i="5"/>
  <c r="EC43" i="5"/>
  <c r="EC52" i="5"/>
  <c r="CL48" i="5"/>
  <c r="EC44" i="5"/>
  <c r="CL49" i="5"/>
  <c r="EC45" i="5"/>
  <c r="CL50" i="5"/>
  <c r="CL51" i="5"/>
  <c r="EC42" i="5"/>
  <c r="CL45" i="5"/>
  <c r="CL41" i="5"/>
  <c r="EC37" i="5"/>
  <c r="EC39" i="5"/>
  <c r="CL35" i="5"/>
  <c r="CL39" i="5"/>
  <c r="EC47" i="5"/>
  <c r="EC46" i="5"/>
  <c r="CL40" i="5"/>
  <c r="EC36" i="5"/>
  <c r="EC49" i="5"/>
  <c r="EC38" i="5"/>
  <c r="CL42" i="5"/>
  <c r="CL37" i="5"/>
  <c r="CL38" i="5"/>
  <c r="CL36" i="5"/>
  <c r="CL29" i="5"/>
  <c r="CL34" i="5"/>
  <c r="CL46" i="5"/>
  <c r="CL43" i="5"/>
  <c r="EC40" i="5"/>
  <c r="EC41" i="5"/>
  <c r="EC32" i="5"/>
  <c r="EC35" i="5"/>
  <c r="EC29" i="5"/>
  <c r="CL32" i="5"/>
  <c r="CL30" i="5"/>
  <c r="EC34" i="5"/>
  <c r="EC27" i="5"/>
  <c r="EC28" i="5"/>
  <c r="CL25" i="5"/>
  <c r="CL26" i="5"/>
  <c r="EC22" i="5"/>
  <c r="CL18" i="5"/>
  <c r="CL33" i="5"/>
  <c r="EC31" i="5"/>
  <c r="CL31" i="5"/>
  <c r="CL27" i="5"/>
  <c r="EC23" i="5"/>
  <c r="CL19" i="5"/>
  <c r="EC33" i="5"/>
  <c r="CL28" i="5"/>
  <c r="EC25" i="5"/>
  <c r="EC26" i="5"/>
  <c r="CL22" i="5"/>
  <c r="EC18" i="5"/>
  <c r="EC21" i="5"/>
  <c r="EC14" i="5"/>
  <c r="CL10" i="5"/>
  <c r="CL21" i="5"/>
  <c r="EC15" i="5"/>
  <c r="CL11" i="5"/>
  <c r="CL24" i="5"/>
  <c r="EC24" i="5"/>
  <c r="EC20" i="5"/>
  <c r="EC19" i="5"/>
  <c r="CL14" i="5"/>
  <c r="EC10" i="5"/>
  <c r="CL13" i="5"/>
  <c r="CL20" i="5"/>
  <c r="EC30" i="5"/>
  <c r="EC17" i="5"/>
  <c r="CL17" i="5"/>
  <c r="EC12" i="5"/>
  <c r="CL15" i="5"/>
  <c r="CL12" i="5"/>
  <c r="CL9" i="5"/>
  <c r="EC6" i="5"/>
  <c r="EC16" i="5"/>
  <c r="EC11" i="5"/>
  <c r="CL16" i="5"/>
  <c r="CL23" i="5"/>
  <c r="EC13" i="5"/>
  <c r="AA9" i="5"/>
  <c r="V11" i="5"/>
  <c r="Y11" i="5"/>
  <c r="AD2" i="5"/>
  <c r="AZ2" i="5"/>
  <c r="BB2" i="5" s="1"/>
  <c r="BB3" i="5" s="1"/>
  <c r="BB4" i="5" s="1"/>
  <c r="EC4" i="5"/>
  <c r="N6" i="5"/>
  <c r="V8" i="5"/>
  <c r="HB9" i="5"/>
  <c r="HB14" i="5"/>
  <c r="BB45" i="5"/>
  <c r="BB48" i="5"/>
  <c r="BB49" i="5"/>
  <c r="BB50" i="5"/>
  <c r="BB42" i="5"/>
  <c r="BB51" i="5"/>
  <c r="BB52" i="5"/>
  <c r="BB44" i="5"/>
  <c r="BB46" i="5"/>
  <c r="BB36" i="5"/>
  <c r="BB47" i="5"/>
  <c r="BB40" i="5"/>
  <c r="BB41" i="5"/>
  <c r="BB35" i="5"/>
  <c r="BB37" i="5"/>
  <c r="BB43" i="5"/>
  <c r="BB39" i="5"/>
  <c r="BB38" i="5"/>
  <c r="BB34" i="5"/>
  <c r="BB32" i="5"/>
  <c r="BB33" i="5"/>
  <c r="V5" i="5"/>
  <c r="HB10" i="5"/>
  <c r="DP16" i="5"/>
  <c r="HB27" i="5"/>
  <c r="HB19" i="5"/>
  <c r="DP21" i="5"/>
  <c r="DP23" i="5"/>
  <c r="DP17" i="5"/>
  <c r="GK51" i="5"/>
  <c r="GK43" i="5"/>
  <c r="GK52" i="5"/>
  <c r="GK46" i="5"/>
  <c r="GK47" i="5"/>
  <c r="GK48" i="5"/>
  <c r="GK49" i="5"/>
  <c r="GK50" i="5"/>
  <c r="GK40" i="5"/>
  <c r="GK44" i="5"/>
  <c r="GK39" i="5"/>
  <c r="GK35" i="5"/>
  <c r="GK45" i="5"/>
  <c r="GK37" i="5"/>
  <c r="GK41" i="5"/>
  <c r="GK36" i="5"/>
  <c r="GK28" i="5"/>
  <c r="GK42" i="5"/>
  <c r="GK33" i="5"/>
  <c r="GK38" i="5"/>
  <c r="GK34" i="5"/>
  <c r="GK32" i="5"/>
  <c r="GK24" i="5"/>
  <c r="GK31" i="5"/>
  <c r="GK25" i="5"/>
  <c r="GK26" i="5"/>
  <c r="GK29" i="5"/>
  <c r="GK21" i="5"/>
  <c r="GK22" i="5"/>
  <c r="GK20" i="5"/>
  <c r="GK18" i="5"/>
  <c r="GK9" i="5"/>
  <c r="GK10" i="5" s="1"/>
  <c r="GK11" i="5" s="1"/>
  <c r="GK27" i="5"/>
  <c r="GK30" i="5"/>
  <c r="GK23" i="5"/>
  <c r="GK19" i="5"/>
  <c r="GK13" i="5"/>
  <c r="GK14" i="5"/>
  <c r="HB22" i="5"/>
  <c r="DP51" i="5"/>
  <c r="DP52" i="5"/>
  <c r="DP41" i="5"/>
  <c r="DP37" i="5"/>
  <c r="DP39" i="5"/>
  <c r="DP31" i="5"/>
  <c r="DP43" i="5"/>
  <c r="DP33" i="5"/>
  <c r="DP35" i="5"/>
  <c r="DP30" i="5"/>
  <c r="DP24" i="5"/>
  <c r="DP25" i="5"/>
  <c r="DP20" i="5"/>
  <c r="DP19" i="5"/>
  <c r="DP27" i="5"/>
  <c r="DP26" i="5"/>
  <c r="GL2" i="5"/>
  <c r="GL3" i="5" s="1"/>
  <c r="GL4" i="5" s="1"/>
  <c r="GL5" i="5" s="1"/>
  <c r="GL6" i="5" s="1"/>
  <c r="GL7" i="5" s="1"/>
  <c r="GL8" i="5" s="1"/>
  <c r="N13" i="5"/>
  <c r="DP10" i="5"/>
  <c r="GK16" i="5"/>
  <c r="GK17" i="5"/>
  <c r="DP22" i="5"/>
  <c r="BI10" i="5"/>
  <c r="DP18" i="5"/>
  <c r="GK15" i="5"/>
  <c r="N17" i="5"/>
  <c r="DP14" i="5"/>
  <c r="N21" i="5"/>
  <c r="HB25" i="5"/>
  <c r="BI25" i="5"/>
  <c r="HB21" i="5"/>
  <c r="BI22" i="5"/>
  <c r="N39" i="5"/>
  <c r="HB26" i="5"/>
  <c r="N28" i="5"/>
  <c r="DP28" i="5"/>
  <c r="HB30" i="5"/>
  <c r="BI26" i="5"/>
  <c r="BI34" i="5"/>
  <c r="HB39" i="5"/>
  <c r="DP32" i="5"/>
  <c r="DP34" i="5"/>
  <c r="N30" i="5"/>
  <c r="DP29" i="5"/>
  <c r="N35" i="5"/>
  <c r="HB28" i="5"/>
  <c r="HB33" i="5"/>
  <c r="BI32" i="5"/>
  <c r="EW41" i="5"/>
  <c r="DP36" i="5"/>
  <c r="DQ40" i="5"/>
  <c r="DZ40" i="5"/>
  <c r="EW43" i="5"/>
  <c r="DP38" i="5"/>
  <c r="HB44" i="5"/>
  <c r="N43" i="5"/>
  <c r="EW39" i="5"/>
  <c r="DP40" i="5"/>
  <c r="DP45" i="5"/>
  <c r="EW44" i="5"/>
  <c r="BI37" i="5"/>
  <c r="N40" i="5"/>
  <c r="HB48" i="5"/>
  <c r="DP47" i="5"/>
  <c r="EP49" i="5"/>
  <c r="EP50" i="5"/>
  <c r="EP51" i="5"/>
  <c r="EP52" i="5"/>
  <c r="EP48" i="5"/>
  <c r="BI48" i="5"/>
  <c r="DP50" i="5"/>
  <c r="DP48" i="5"/>
  <c r="BI51" i="5"/>
  <c r="DP44" i="5"/>
  <c r="DP42" i="5"/>
  <c r="HB43" i="5"/>
  <c r="HB51" i="5"/>
  <c r="DP46" i="5"/>
  <c r="DP49" i="5"/>
  <c r="EW52" i="5"/>
  <c r="EW45" i="5"/>
  <c r="N46" i="5"/>
  <c r="HB52" i="5"/>
  <c r="BI43" i="5"/>
  <c r="N50" i="5"/>
  <c r="N48" i="5"/>
  <c r="DQ52" i="5"/>
  <c r="CY22" i="3"/>
  <c r="CY24" i="3"/>
  <c r="CY23" i="3"/>
  <c r="GO2" i="3"/>
  <c r="BE2" i="3"/>
  <c r="BG2" i="3"/>
  <c r="DI48" i="3"/>
  <c r="DI41" i="3"/>
  <c r="BI3" i="3"/>
  <c r="BI2" i="3"/>
  <c r="BI6" i="3"/>
  <c r="BI5" i="3"/>
  <c r="BI4" i="3"/>
  <c r="CW2" i="3"/>
  <c r="CY2" i="3" s="1"/>
  <c r="CZ2" i="3" s="1"/>
  <c r="CY31" i="3"/>
  <c r="CY30" i="3"/>
  <c r="CY27" i="3"/>
  <c r="CY26" i="3"/>
  <c r="CY25" i="3"/>
  <c r="EL14" i="3"/>
  <c r="EQ9" i="3"/>
  <c r="EO25" i="3"/>
  <c r="FB48" i="3"/>
  <c r="EX41" i="3"/>
  <c r="EV29" i="3"/>
  <c r="EZ12" i="3"/>
  <c r="FB3" i="3"/>
  <c r="FH7" i="3"/>
  <c r="EL13" i="3"/>
  <c r="FB2" i="3"/>
  <c r="EZ32" i="3"/>
  <c r="ET15" i="3"/>
  <c r="FA36" i="3"/>
  <c r="EZ6" i="3"/>
  <c r="EQ6" i="3"/>
  <c r="EO20" i="3"/>
  <c r="EZ36" i="3"/>
  <c r="EW9" i="3"/>
  <c r="EL10" i="3"/>
  <c r="EP10" i="3"/>
  <c r="EM46" i="3"/>
  <c r="EO44" i="3"/>
  <c r="EZ52" i="3"/>
  <c r="FA39" i="3"/>
  <c r="EV32" i="3"/>
  <c r="EY20" i="3"/>
  <c r="FA14" i="3"/>
  <c r="FA8" i="3"/>
  <c r="EX3" i="3"/>
  <c r="EN34" i="3"/>
  <c r="EP9" i="3"/>
  <c r="EQ35" i="3"/>
  <c r="EM15" i="3"/>
  <c r="EO13" i="3"/>
  <c r="EV52" i="3"/>
  <c r="FB43" i="3"/>
  <c r="ET36" i="3"/>
  <c r="FA27" i="3"/>
  <c r="EZ14" i="3"/>
  <c r="EZ11" i="3"/>
  <c r="EU6" i="3"/>
  <c r="EW3" i="3"/>
  <c r="EL8" i="3"/>
  <c r="EN33" i="3"/>
  <c r="EN11" i="3"/>
  <c r="EP5" i="3"/>
  <c r="EQ34" i="3"/>
  <c r="EM42" i="3"/>
  <c r="EM14" i="3"/>
  <c r="EO42" i="3"/>
  <c r="EO12" i="3"/>
  <c r="ET52" i="3"/>
  <c r="ET48" i="3"/>
  <c r="FA43" i="3"/>
  <c r="EY39" i="3"/>
  <c r="EV35" i="3"/>
  <c r="EZ31" i="3"/>
  <c r="EZ27" i="3"/>
  <c r="EX23" i="3"/>
  <c r="FB19" i="3"/>
  <c r="EY14" i="3"/>
  <c r="EY11" i="3"/>
  <c r="EY8" i="3"/>
  <c r="EY5" i="3"/>
  <c r="ET3" i="3"/>
  <c r="EM50" i="3"/>
  <c r="EU15" i="3"/>
  <c r="EP15" i="3"/>
  <c r="EO52" i="3"/>
  <c r="EV45" i="3"/>
  <c r="ET21" i="3"/>
  <c r="FH4" i="3"/>
  <c r="EN15" i="3"/>
  <c r="EQ7" i="3"/>
  <c r="EM48" i="3"/>
  <c r="EO23" i="3"/>
  <c r="EZ48" i="3"/>
  <c r="EY32" i="3"/>
  <c r="ES21" i="3"/>
  <c r="ES12" i="3"/>
  <c r="EN14" i="3"/>
  <c r="EM47" i="3"/>
  <c r="EO45" i="3"/>
  <c r="EX32" i="3"/>
  <c r="FA23" i="3"/>
  <c r="EY3" i="3"/>
  <c r="EN13" i="3"/>
  <c r="EQ36" i="3"/>
  <c r="EQ5" i="3"/>
  <c r="EM16" i="3"/>
  <c r="EO19" i="3"/>
  <c r="EX48" i="3"/>
  <c r="ET44" i="3"/>
  <c r="EV36" i="3"/>
  <c r="FB27" i="3"/>
  <c r="EZ23" i="3"/>
  <c r="FA17" i="3"/>
  <c r="FA11" i="3"/>
  <c r="EV6" i="3"/>
  <c r="EL9" i="3"/>
  <c r="EN12" i="3"/>
  <c r="EM43" i="3"/>
  <c r="EO43" i="3"/>
  <c r="EV48" i="3"/>
  <c r="EZ39" i="3"/>
  <c r="ET32" i="3"/>
  <c r="EY23" i="3"/>
  <c r="EX17" i="3"/>
  <c r="EZ8" i="3"/>
  <c r="EL7" i="3"/>
  <c r="EN32" i="3"/>
  <c r="EN10" i="3"/>
  <c r="EP4" i="3"/>
  <c r="EQ33" i="3"/>
  <c r="EM36" i="3"/>
  <c r="EM11" i="3"/>
  <c r="EO41" i="3"/>
  <c r="EO11" i="3"/>
  <c r="EV51" i="3"/>
  <c r="EZ47" i="3"/>
  <c r="EZ43" i="3"/>
  <c r="EX39" i="3"/>
  <c r="ET35" i="3"/>
  <c r="EY31" i="3"/>
  <c r="EY27" i="3"/>
  <c r="EV23" i="3"/>
  <c r="FA19" i="3"/>
  <c r="FA16" i="3"/>
  <c r="EV14" i="3"/>
  <c r="EX11" i="3"/>
  <c r="EX8" i="3"/>
  <c r="EX5" i="3"/>
  <c r="ES3" i="3"/>
  <c r="FG2" i="3"/>
  <c r="FF2" i="3" s="1"/>
  <c r="EN16" i="3"/>
  <c r="EN9" i="3"/>
  <c r="EZ16" i="3"/>
  <c r="EN30" i="3"/>
  <c r="ET11" i="3"/>
  <c r="EN5" i="3"/>
  <c r="EQ51" i="3"/>
  <c r="EM33" i="3"/>
  <c r="EM3" i="3"/>
  <c r="EO36" i="3"/>
  <c r="EO8" i="3"/>
  <c r="FA50" i="3"/>
  <c r="EY46" i="3"/>
  <c r="FB42" i="3"/>
  <c r="FB38" i="3"/>
  <c r="EZ34" i="3"/>
  <c r="EX30" i="3"/>
  <c r="ET26" i="3"/>
  <c r="EY22" i="3"/>
  <c r="EX19" i="3"/>
  <c r="EW19" i="3" s="1"/>
  <c r="EX16" i="3"/>
  <c r="EX13" i="3"/>
  <c r="ES11" i="3"/>
  <c r="EU8" i="3"/>
  <c r="EU5" i="3"/>
  <c r="FI45" i="3"/>
  <c r="FH13" i="3"/>
  <c r="EP16" i="3"/>
  <c r="EM20" i="3"/>
  <c r="FA2" i="3"/>
  <c r="EX45" i="3"/>
  <c r="FA32" i="3"/>
  <c r="EU21" i="3"/>
  <c r="FB6" i="3"/>
  <c r="EQ8" i="3"/>
  <c r="EM49" i="3"/>
  <c r="EO24" i="3"/>
  <c r="EV41" i="3"/>
  <c r="ET18" i="3"/>
  <c r="FA3" i="3"/>
  <c r="EN42" i="3"/>
  <c r="FA40" i="3"/>
  <c r="EX9" i="3"/>
  <c r="EL11" i="3"/>
  <c r="FA52" i="3"/>
  <c r="EZ20" i="3"/>
  <c r="EV39" i="3"/>
  <c r="ET23" i="3"/>
  <c r="EW8" i="3"/>
  <c r="EM4" i="3"/>
  <c r="ET43" i="3"/>
  <c r="FB26" i="3"/>
  <c r="EY13" i="3"/>
  <c r="EN49" i="3"/>
  <c r="EN28" i="3"/>
  <c r="EQ50" i="3"/>
  <c r="EM32" i="3"/>
  <c r="EO35" i="3"/>
  <c r="EO7" i="3"/>
  <c r="EZ50" i="3"/>
  <c r="EX46" i="3"/>
  <c r="ET42" i="3"/>
  <c r="EY38" i="3"/>
  <c r="EY34" i="3"/>
  <c r="EV30" i="3"/>
  <c r="FB25" i="3"/>
  <c r="EX22" i="3"/>
  <c r="EW16" i="3"/>
  <c r="EW13" i="3"/>
  <c r="EW10" i="3"/>
  <c r="FB7" i="3"/>
  <c r="ET5" i="3"/>
  <c r="FI44" i="3"/>
  <c r="FH12" i="3"/>
  <c r="FH14" i="3"/>
  <c r="FI48" i="3"/>
  <c r="ET4" i="3"/>
  <c r="EZ5" i="3"/>
  <c r="EV7" i="3"/>
  <c r="FB8" i="3"/>
  <c r="EX10" i="3"/>
  <c r="ET12" i="3"/>
  <c r="EZ13" i="3"/>
  <c r="EV15" i="3"/>
  <c r="FB16" i="3"/>
  <c r="EX18" i="3"/>
  <c r="ET20" i="3"/>
  <c r="ES20" i="3" s="1"/>
  <c r="EZ21" i="3"/>
  <c r="EW21" i="3" s="1"/>
  <c r="FB23" i="3"/>
  <c r="EV26" i="3"/>
  <c r="EY28" i="3"/>
  <c r="FA30" i="3"/>
  <c r="ET33" i="3"/>
  <c r="EX35" i="3"/>
  <c r="EZ37" i="3"/>
  <c r="FB39" i="3"/>
  <c r="EV42" i="3"/>
  <c r="EY44" i="3"/>
  <c r="FA46" i="3"/>
  <c r="ET49" i="3"/>
  <c r="EX51" i="3"/>
  <c r="EX2" i="3"/>
  <c r="EO14" i="3"/>
  <c r="EO30" i="3"/>
  <c r="EO46" i="3"/>
  <c r="EM5" i="3"/>
  <c r="EM21" i="3"/>
  <c r="EM37" i="3"/>
  <c r="EM2" i="3"/>
  <c r="FH15" i="3"/>
  <c r="FI49" i="3"/>
  <c r="EU4" i="3"/>
  <c r="FA5" i="3"/>
  <c r="EW7" i="3"/>
  <c r="ES9" i="3"/>
  <c r="EY10" i="3"/>
  <c r="EU12" i="3"/>
  <c r="FA13" i="3"/>
  <c r="EW15" i="3"/>
  <c r="EY18" i="3"/>
  <c r="EU20" i="3"/>
  <c r="FA21" i="3"/>
  <c r="ET24" i="3"/>
  <c r="EX26" i="3"/>
  <c r="EZ28" i="3"/>
  <c r="FB30" i="3"/>
  <c r="EV33" i="3"/>
  <c r="EY35" i="3"/>
  <c r="FA37" i="3"/>
  <c r="ET40" i="3"/>
  <c r="EX42" i="3"/>
  <c r="EZ44" i="3"/>
  <c r="FB46" i="3"/>
  <c r="EV49" i="3"/>
  <c r="EY51" i="3"/>
  <c r="EW2" i="3"/>
  <c r="EO15" i="3"/>
  <c r="EO31" i="3"/>
  <c r="EO47" i="3"/>
  <c r="EM6" i="3"/>
  <c r="EM22" i="3"/>
  <c r="EM38" i="3"/>
  <c r="FH16" i="3"/>
  <c r="FI50" i="3"/>
  <c r="EV4" i="3"/>
  <c r="FB5" i="3"/>
  <c r="EX7" i="3"/>
  <c r="ET9" i="3"/>
  <c r="EZ10" i="3"/>
  <c r="EV12" i="3"/>
  <c r="FB13" i="3"/>
  <c r="EX15" i="3"/>
  <c r="ET17" i="3"/>
  <c r="ES17" i="3" s="1"/>
  <c r="EZ18" i="3"/>
  <c r="EV20" i="3"/>
  <c r="FB21" i="3"/>
  <c r="EV24" i="3"/>
  <c r="EY26" i="3"/>
  <c r="EW26" i="3" s="1"/>
  <c r="FA28" i="3"/>
  <c r="ET31" i="3"/>
  <c r="EX33" i="3"/>
  <c r="EZ35" i="3"/>
  <c r="FB37" i="3"/>
  <c r="EV40" i="3"/>
  <c r="EY42" i="3"/>
  <c r="FA44" i="3"/>
  <c r="ET47" i="3"/>
  <c r="EX49" i="3"/>
  <c r="EZ51" i="3"/>
  <c r="EV2" i="3"/>
  <c r="EO16" i="3"/>
  <c r="EO32" i="3"/>
  <c r="EO48" i="3"/>
  <c r="EM7" i="3"/>
  <c r="EM23" i="3"/>
  <c r="EM39" i="3"/>
  <c r="EQ14" i="3"/>
  <c r="EP6" i="3"/>
  <c r="EP2" i="3"/>
  <c r="EN18" i="3"/>
  <c r="EN35" i="3"/>
  <c r="EN51" i="3"/>
  <c r="EL16" i="3"/>
  <c r="FI51" i="3"/>
  <c r="EW4" i="3"/>
  <c r="ES6" i="3"/>
  <c r="EY7" i="3"/>
  <c r="EU9" i="3"/>
  <c r="FA10" i="3"/>
  <c r="EW12" i="3"/>
  <c r="ES14" i="3"/>
  <c r="EY15" i="3"/>
  <c r="FA18" i="3"/>
  <c r="EW20" i="3"/>
  <c r="ET22" i="3"/>
  <c r="EX24" i="3"/>
  <c r="EZ26" i="3"/>
  <c r="FB28" i="3"/>
  <c r="EV31" i="3"/>
  <c r="EY33" i="3"/>
  <c r="FA35" i="3"/>
  <c r="ET38" i="3"/>
  <c r="EX40" i="3"/>
  <c r="EZ42" i="3"/>
  <c r="FB44" i="3"/>
  <c r="EV47" i="3"/>
  <c r="EY49" i="3"/>
  <c r="FA51" i="3"/>
  <c r="ET2" i="3"/>
  <c r="EO17" i="3"/>
  <c r="EO33" i="3"/>
  <c r="EO49" i="3"/>
  <c r="EM8" i="3"/>
  <c r="EM24" i="3"/>
  <c r="EM40" i="3"/>
  <c r="EQ15" i="3"/>
  <c r="EP7" i="3"/>
  <c r="EN3" i="3"/>
  <c r="EN19" i="3"/>
  <c r="EN36" i="3"/>
  <c r="EN52" i="3"/>
  <c r="FI52" i="3"/>
  <c r="EX4" i="3"/>
  <c r="ET6" i="3"/>
  <c r="EZ7" i="3"/>
  <c r="EV9" i="3"/>
  <c r="FB10" i="3"/>
  <c r="EX12" i="3"/>
  <c r="ET14" i="3"/>
  <c r="EZ15" i="3"/>
  <c r="EV17" i="3"/>
  <c r="EU17" i="3" s="1"/>
  <c r="FB18" i="3"/>
  <c r="EW18" i="3" s="1"/>
  <c r="EX20" i="3"/>
  <c r="EV22" i="3"/>
  <c r="EY24" i="3"/>
  <c r="FA26" i="3"/>
  <c r="ET29" i="3"/>
  <c r="EX31" i="3"/>
  <c r="EW31" i="3" s="1"/>
  <c r="EZ33" i="3"/>
  <c r="FB35" i="3"/>
  <c r="EV38" i="3"/>
  <c r="EY40" i="3"/>
  <c r="FA42" i="3"/>
  <c r="ET45" i="3"/>
  <c r="EX47" i="3"/>
  <c r="EZ49" i="3"/>
  <c r="FB51" i="3"/>
  <c r="EU2" i="3"/>
  <c r="EO18" i="3"/>
  <c r="EO34" i="3"/>
  <c r="EO50" i="3"/>
  <c r="EM9" i="3"/>
  <c r="EM25" i="3"/>
  <c r="EM41" i="3"/>
  <c r="EQ16" i="3"/>
  <c r="EP8" i="3"/>
  <c r="EN4" i="3"/>
  <c r="EN20" i="3"/>
  <c r="EN2" i="3"/>
  <c r="FH5" i="3"/>
  <c r="EU3" i="3"/>
  <c r="FA4" i="3"/>
  <c r="EW6" i="3"/>
  <c r="ES8" i="3"/>
  <c r="EY9" i="3"/>
  <c r="EU11" i="3"/>
  <c r="FA12" i="3"/>
  <c r="EW14" i="3"/>
  <c r="ES16" i="3"/>
  <c r="EY17" i="3"/>
  <c r="EW17" i="3" s="1"/>
  <c r="EU19" i="3"/>
  <c r="FA20" i="3"/>
  <c r="EZ22" i="3"/>
  <c r="FB24" i="3"/>
  <c r="EV27" i="3"/>
  <c r="EY29" i="3"/>
  <c r="EW29" i="3" s="1"/>
  <c r="FA31" i="3"/>
  <c r="ET34" i="3"/>
  <c r="EX36" i="3"/>
  <c r="EZ38" i="3"/>
  <c r="FB40" i="3"/>
  <c r="EV43" i="3"/>
  <c r="EY45" i="3"/>
  <c r="FA47" i="3"/>
  <c r="ET50" i="3"/>
  <c r="EX52" i="3"/>
  <c r="EO5" i="3"/>
  <c r="EO21" i="3"/>
  <c r="EO37" i="3"/>
  <c r="EO2" i="3"/>
  <c r="EM12" i="3"/>
  <c r="EM28" i="3"/>
  <c r="EM44" i="3"/>
  <c r="EQ3" i="3"/>
  <c r="EP11" i="3"/>
  <c r="EN7" i="3"/>
  <c r="EN24" i="3"/>
  <c r="EN40" i="3"/>
  <c r="EL5" i="3"/>
  <c r="FH6" i="3"/>
  <c r="FH2" i="3"/>
  <c r="EV3" i="3"/>
  <c r="FB4" i="3"/>
  <c r="EX6" i="3"/>
  <c r="ET8" i="3"/>
  <c r="EZ9" i="3"/>
  <c r="EV11" i="3"/>
  <c r="FB12" i="3"/>
  <c r="EX14" i="3"/>
  <c r="ET16" i="3"/>
  <c r="EZ17" i="3"/>
  <c r="EV19" i="3"/>
  <c r="FB20" i="3"/>
  <c r="FA22" i="3"/>
  <c r="ET25" i="3"/>
  <c r="EX27" i="3"/>
  <c r="EZ29" i="3"/>
  <c r="FB31" i="3"/>
  <c r="EV34" i="3"/>
  <c r="EY36" i="3"/>
  <c r="FA38" i="3"/>
  <c r="ET41" i="3"/>
  <c r="EX43" i="3"/>
  <c r="EZ45" i="3"/>
  <c r="FB47" i="3"/>
  <c r="EV50" i="3"/>
  <c r="EY52" i="3"/>
  <c r="EO6" i="3"/>
  <c r="EO22" i="3"/>
  <c r="EO38" i="3"/>
  <c r="EM13" i="3"/>
  <c r="EM29" i="3"/>
  <c r="EM45" i="3"/>
  <c r="EQ4" i="3"/>
  <c r="EP12" i="3"/>
  <c r="EN8" i="3"/>
  <c r="EN25" i="3"/>
  <c r="EN41" i="3"/>
  <c r="EL6" i="3"/>
  <c r="EL2" i="3"/>
  <c r="ET37" i="3"/>
  <c r="FB9" i="3"/>
  <c r="FA48" i="3"/>
  <c r="FA24" i="3"/>
  <c r="EW24" i="3" s="1"/>
  <c r="FA9" i="3"/>
  <c r="EL12" i="3"/>
  <c r="EP14" i="3"/>
  <c r="EM18" i="3"/>
  <c r="EO51" i="3"/>
  <c r="EX44" i="3"/>
  <c r="EV28" i="3"/>
  <c r="ES18" i="3"/>
  <c r="EZ3" i="3"/>
  <c r="EP13" i="3"/>
  <c r="EM17" i="3"/>
  <c r="EZ40" i="3"/>
  <c r="ET28" i="3"/>
  <c r="FB17" i="3"/>
  <c r="FB11" i="3"/>
  <c r="EN31" i="3"/>
  <c r="ET51" i="3"/>
  <c r="ET27" i="3"/>
  <c r="EW11" i="3"/>
  <c r="FI47" i="3"/>
  <c r="EL3" i="3"/>
  <c r="ET39" i="3"/>
  <c r="FB22" i="3"/>
  <c r="FI46" i="3"/>
  <c r="EN48" i="3"/>
  <c r="EN27" i="3"/>
  <c r="EQ49" i="3"/>
  <c r="EQ13" i="3"/>
  <c r="EM31" i="3"/>
  <c r="EO29" i="3"/>
  <c r="EO4" i="3"/>
  <c r="EQ2" i="3"/>
  <c r="EY50" i="3"/>
  <c r="EV46" i="3"/>
  <c r="FB41" i="3"/>
  <c r="EX38" i="3"/>
  <c r="EX34" i="3"/>
  <c r="ET30" i="3"/>
  <c r="FA25" i="3"/>
  <c r="EY21" i="3"/>
  <c r="ET19" i="3"/>
  <c r="EV16" i="3"/>
  <c r="EV13" i="3"/>
  <c r="EV10" i="3"/>
  <c r="FA7" i="3"/>
  <c r="ES5" i="3"/>
  <c r="FI43" i="3"/>
  <c r="FH11" i="3"/>
  <c r="EV25" i="3"/>
  <c r="EX28" i="3"/>
  <c r="EW28" i="3" s="1"/>
  <c r="FA6" i="3"/>
  <c r="EZ24" i="3"/>
  <c r="FH3" i="3"/>
  <c r="EN39" i="3"/>
  <c r="EV44" i="3"/>
  <c r="EY6" i="3"/>
  <c r="EQ32" i="3"/>
  <c r="EM35" i="3"/>
  <c r="EO10" i="3"/>
  <c r="EY47" i="3"/>
  <c r="FB34" i="3"/>
  <c r="EZ19" i="3"/>
  <c r="EW5" i="3"/>
  <c r="EQ52" i="3"/>
  <c r="EO9" i="3"/>
  <c r="FB50" i="3"/>
  <c r="FA34" i="3"/>
  <c r="EY19" i="3"/>
  <c r="EV8" i="3"/>
  <c r="EN29" i="3"/>
  <c r="EN47" i="3"/>
  <c r="EN26" i="3"/>
  <c r="EQ48" i="3"/>
  <c r="EQ12" i="3"/>
  <c r="EM30" i="3"/>
  <c r="EO28" i="3"/>
  <c r="EO3" i="3"/>
  <c r="ES2" i="3"/>
  <c r="EX50" i="3"/>
  <c r="ET46" i="3"/>
  <c r="FA41" i="3"/>
  <c r="EY37" i="3"/>
  <c r="FB33" i="3"/>
  <c r="FB29" i="3"/>
  <c r="EZ25" i="3"/>
  <c r="EW25" i="3" s="1"/>
  <c r="EX21" i="3"/>
  <c r="ES19" i="3"/>
  <c r="EU16" i="3"/>
  <c r="EU13" i="3"/>
  <c r="EU10" i="3"/>
  <c r="EU7" i="3"/>
  <c r="EZ4" i="3"/>
  <c r="FI42" i="3"/>
  <c r="FH10" i="3"/>
  <c r="EU18" i="3"/>
  <c r="EN43" i="3"/>
  <c r="EM19" i="3"/>
  <c r="FB36" i="3"/>
  <c r="EW36" i="3" s="1"/>
  <c r="EY12" i="3"/>
  <c r="FB52" i="3"/>
  <c r="ES15" i="3"/>
  <c r="EY48" i="3"/>
  <c r="FB14" i="3"/>
  <c r="EL4" i="3"/>
  <c r="EP3" i="3"/>
  <c r="EM10" i="3"/>
  <c r="EO40" i="3"/>
  <c r="EY43" i="3"/>
  <c r="EZ30" i="3"/>
  <c r="EU14" i="3"/>
  <c r="EN6" i="3"/>
  <c r="EM34" i="3"/>
  <c r="EO39" i="3"/>
  <c r="EZ46" i="3"/>
  <c r="EY30" i="3"/>
  <c r="EW30" i="3" s="1"/>
  <c r="EY16" i="3"/>
  <c r="EV5" i="3"/>
  <c r="EN50" i="3"/>
  <c r="EN46" i="3"/>
  <c r="EN23" i="3"/>
  <c r="EQ11" i="3"/>
  <c r="EM52" i="3"/>
  <c r="EM27" i="3"/>
  <c r="EO27" i="3"/>
  <c r="EY2" i="3"/>
  <c r="FB49" i="3"/>
  <c r="FB45" i="3"/>
  <c r="EZ41" i="3"/>
  <c r="EX37" i="3"/>
  <c r="FA33" i="3"/>
  <c r="FA29" i="3"/>
  <c r="EY25" i="3"/>
  <c r="FB15" i="3"/>
  <c r="ET13" i="3"/>
  <c r="ET10" i="3"/>
  <c r="ET7" i="3"/>
  <c r="EY4" i="3"/>
  <c r="FH9" i="3"/>
  <c r="GH10" i="3"/>
  <c r="FX2" i="3"/>
  <c r="EW32" i="3"/>
  <c r="EW34" i="3"/>
  <c r="BT2" i="3"/>
  <c r="EW23" i="3"/>
  <c r="EW27" i="3"/>
  <c r="EW35" i="3"/>
  <c r="EW33" i="3"/>
  <c r="EW22" i="3"/>
  <c r="BI8" i="3"/>
  <c r="EN22" i="3"/>
  <c r="EC2" i="3"/>
  <c r="BI25" i="3"/>
  <c r="BI26" i="3"/>
  <c r="BI44" i="3"/>
  <c r="BI28" i="3"/>
  <c r="BI12" i="3"/>
  <c r="BI43" i="3"/>
  <c r="BI27" i="3"/>
  <c r="BI11" i="3"/>
  <c r="BI42" i="3"/>
  <c r="BI10" i="3"/>
  <c r="BI41" i="3"/>
  <c r="BI9" i="3"/>
  <c r="BI37" i="3"/>
  <c r="BI21" i="3"/>
  <c r="BI50" i="3"/>
  <c r="BI34" i="3"/>
  <c r="BI18" i="3"/>
  <c r="BI49" i="3"/>
  <c r="BI33" i="3"/>
  <c r="BI17" i="3"/>
  <c r="BI48" i="3"/>
  <c r="BI32" i="3"/>
  <c r="BI16" i="3"/>
  <c r="BI47" i="3"/>
  <c r="BI31" i="3"/>
  <c r="BI15" i="3"/>
  <c r="BI45" i="3"/>
  <c r="BI29" i="3"/>
  <c r="BI13" i="3"/>
  <c r="BI38" i="3"/>
  <c r="BI22" i="3"/>
  <c r="BI46" i="3"/>
  <c r="BI30" i="3"/>
  <c r="BI14" i="3"/>
  <c r="BI52" i="3"/>
  <c r="BI36" i="3"/>
  <c r="BI20" i="3"/>
  <c r="BI40" i="3"/>
  <c r="BI24" i="3"/>
  <c r="BI39" i="3"/>
  <c r="BI23" i="3"/>
  <c r="BI7" i="3"/>
  <c r="BI51" i="3"/>
  <c r="BI35" i="3"/>
  <c r="BI19" i="3"/>
  <c r="C125" i="2"/>
  <c r="C185" i="2"/>
  <c r="Z2" i="3"/>
  <c r="CJ2" i="3" s="1"/>
  <c r="P8" i="3"/>
  <c r="Y2" i="7"/>
  <c r="Y6" i="7" s="1"/>
  <c r="Y2" i="8"/>
  <c r="D112" i="2"/>
  <c r="D109" i="2"/>
  <c r="P31" i="3"/>
  <c r="P7" i="3"/>
  <c r="P37" i="3"/>
  <c r="P34" i="3"/>
  <c r="P32" i="3"/>
  <c r="P29" i="3"/>
  <c r="P23" i="3"/>
  <c r="P16" i="3"/>
  <c r="P15" i="3"/>
  <c r="P13" i="3"/>
  <c r="P10" i="3"/>
  <c r="P9" i="3"/>
  <c r="P33" i="3"/>
  <c r="P17" i="3"/>
  <c r="BB40" i="3"/>
  <c r="BB38" i="3"/>
  <c r="P30" i="3"/>
  <c r="P14" i="3"/>
  <c r="BB37" i="3"/>
  <c r="BB39" i="3"/>
  <c r="P28" i="3"/>
  <c r="P12" i="3"/>
  <c r="BB51" i="3"/>
  <c r="BB52" i="3"/>
  <c r="P27" i="3"/>
  <c r="P11" i="3"/>
  <c r="BB50" i="3"/>
  <c r="P26" i="3"/>
  <c r="BB49" i="3"/>
  <c r="P25" i="3"/>
  <c r="BB48" i="3"/>
  <c r="P24" i="3"/>
  <c r="BB47" i="3"/>
  <c r="BB46" i="3"/>
  <c r="P22" i="3"/>
  <c r="P6" i="3"/>
  <c r="BB45" i="3"/>
  <c r="P21" i="3"/>
  <c r="P5" i="3"/>
  <c r="BB44" i="3"/>
  <c r="P36" i="3"/>
  <c r="P20" i="3"/>
  <c r="P4" i="3"/>
  <c r="BB43" i="3"/>
  <c r="P35" i="3"/>
  <c r="P19" i="3"/>
  <c r="P3" i="3"/>
  <c r="BB42" i="3"/>
  <c r="P18" i="3"/>
  <c r="BB41" i="3"/>
  <c r="DW2" i="3"/>
  <c r="DY49" i="3"/>
  <c r="DY33" i="3"/>
  <c r="DY17" i="3"/>
  <c r="DY48" i="3"/>
  <c r="DY32" i="3"/>
  <c r="DY16" i="3"/>
  <c r="DY47" i="3"/>
  <c r="DY31" i="3"/>
  <c r="DY15" i="3"/>
  <c r="DY46" i="3"/>
  <c r="DY30" i="3"/>
  <c r="DY14" i="3"/>
  <c r="DY45" i="3"/>
  <c r="DY29" i="3"/>
  <c r="DY13" i="3"/>
  <c r="DY44" i="3"/>
  <c r="DY28" i="3"/>
  <c r="DY12" i="3"/>
  <c r="DY43" i="3"/>
  <c r="DY27" i="3"/>
  <c r="DY11" i="3"/>
  <c r="DY42" i="3"/>
  <c r="DY26" i="3"/>
  <c r="DY10" i="3"/>
  <c r="DY41" i="3"/>
  <c r="DY25" i="3"/>
  <c r="DY9" i="3"/>
  <c r="DY40" i="3"/>
  <c r="DY24" i="3"/>
  <c r="DY39" i="3"/>
  <c r="DY23" i="3"/>
  <c r="DY38" i="3"/>
  <c r="DY22" i="3"/>
  <c r="DY37" i="3"/>
  <c r="DY21" i="3"/>
  <c r="DY52" i="3"/>
  <c r="DY36" i="3"/>
  <c r="DY20" i="3"/>
  <c r="DY51" i="3"/>
  <c r="DY35" i="3"/>
  <c r="DY19" i="3"/>
  <c r="DY50" i="3"/>
  <c r="DY34" i="3"/>
  <c r="DY18" i="3"/>
  <c r="D139" i="2"/>
  <c r="L2" i="3"/>
  <c r="V2" i="3"/>
  <c r="V6" i="3" s="1"/>
  <c r="DO2" i="3"/>
  <c r="D102" i="2"/>
  <c r="CR2" i="10" s="1"/>
  <c r="CW2" i="10" s="1"/>
  <c r="CY2" i="10" s="1"/>
  <c r="CZ2" i="10" s="1"/>
  <c r="DC5" i="10"/>
  <c r="D97" i="2"/>
  <c r="CK2" i="12" s="1"/>
  <c r="DP41" i="12" s="1"/>
  <c r="FG47" i="3"/>
  <c r="FG25" i="3"/>
  <c r="FG46" i="3"/>
  <c r="FG24" i="3"/>
  <c r="FG45" i="3"/>
  <c r="FG22" i="3"/>
  <c r="FG44" i="3"/>
  <c r="FG21" i="3"/>
  <c r="FG38" i="3"/>
  <c r="FG12" i="3"/>
  <c r="FG37" i="3"/>
  <c r="FG11" i="3"/>
  <c r="FG33" i="3"/>
  <c r="FG10" i="3"/>
  <c r="FG31" i="3"/>
  <c r="FG9" i="3"/>
  <c r="FG30" i="3"/>
  <c r="FG8" i="3"/>
  <c r="FG29" i="3"/>
  <c r="FG7" i="3"/>
  <c r="AZ32" i="3"/>
  <c r="FG43" i="3"/>
  <c r="FG23" i="3"/>
  <c r="FG39" i="3"/>
  <c r="FG15" i="3"/>
  <c r="FG52" i="3"/>
  <c r="FG36" i="3"/>
  <c r="FG20" i="3"/>
  <c r="FG4" i="3"/>
  <c r="FG51" i="3"/>
  <c r="FG35" i="3"/>
  <c r="FG19" i="3"/>
  <c r="FG3" i="3"/>
  <c r="FG50" i="3"/>
  <c r="FG34" i="3"/>
  <c r="FG18" i="3"/>
  <c r="FG48" i="3"/>
  <c r="FG32" i="3"/>
  <c r="FG16" i="3"/>
  <c r="CL2" i="3"/>
  <c r="CK3" i="3" s="1"/>
  <c r="AA2" i="3"/>
  <c r="AO2" i="3"/>
  <c r="AO41" i="3" s="1"/>
  <c r="GI12" i="3"/>
  <c r="FW2" i="3"/>
  <c r="FY2" i="3" s="1"/>
  <c r="GB2" i="3" s="1"/>
  <c r="GC2" i="3" s="1"/>
  <c r="D169" i="2"/>
  <c r="C106" i="2"/>
  <c r="D160" i="2"/>
  <c r="D69" i="2"/>
  <c r="S13" i="3"/>
  <c r="GK32" i="3"/>
  <c r="GK31" i="3"/>
  <c r="GK28" i="3"/>
  <c r="GK27" i="3"/>
  <c r="GK25" i="3"/>
  <c r="GK52" i="3"/>
  <c r="GK30" i="3"/>
  <c r="GK29" i="3"/>
  <c r="GK41" i="3"/>
  <c r="GK36" i="3"/>
  <c r="GK35" i="3"/>
  <c r="GK34" i="3"/>
  <c r="GK33" i="3"/>
  <c r="GI7" i="3"/>
  <c r="GK26" i="3"/>
  <c r="AZ2" i="3"/>
  <c r="BB2" i="3" s="1"/>
  <c r="BB3" i="3" s="1"/>
  <c r="BB4" i="3" s="1"/>
  <c r="GK40" i="3"/>
  <c r="GK24" i="3"/>
  <c r="GK39" i="3"/>
  <c r="GK23" i="3"/>
  <c r="GK38" i="3"/>
  <c r="GK22" i="3"/>
  <c r="GK37" i="3"/>
  <c r="N44" i="3"/>
  <c r="N41" i="3"/>
  <c r="N45" i="3"/>
  <c r="N42" i="3"/>
  <c r="N39" i="3"/>
  <c r="N52" i="3"/>
  <c r="N50" i="3"/>
  <c r="N49" i="3"/>
  <c r="N46" i="3"/>
  <c r="N48" i="3"/>
  <c r="N47" i="3"/>
  <c r="N43" i="3"/>
  <c r="N40" i="3"/>
  <c r="N38" i="3"/>
  <c r="N51" i="3"/>
  <c r="S6" i="3"/>
  <c r="S8" i="3"/>
  <c r="S44" i="3"/>
  <c r="S14" i="3"/>
  <c r="S16" i="3"/>
  <c r="S18" i="3"/>
  <c r="S5" i="3"/>
  <c r="S7" i="3"/>
  <c r="S26" i="3"/>
  <c r="S3" i="3"/>
  <c r="S9" i="3"/>
  <c r="S11" i="3"/>
  <c r="S15" i="3"/>
  <c r="S38" i="3"/>
  <c r="S50" i="3"/>
  <c r="GO50" i="3" s="1"/>
  <c r="S46" i="3"/>
  <c r="S41" i="3"/>
  <c r="S10" i="3"/>
  <c r="S51" i="3"/>
  <c r="GO51" i="3" s="1"/>
  <c r="S47" i="3"/>
  <c r="S43" i="3"/>
  <c r="S39" i="3"/>
  <c r="S35" i="3"/>
  <c r="S31" i="3"/>
  <c r="S27" i="3"/>
  <c r="S45" i="3"/>
  <c r="S28" i="3"/>
  <c r="S23" i="3"/>
  <c r="S19" i="3"/>
  <c r="S33" i="3"/>
  <c r="S29" i="3"/>
  <c r="S42" i="3"/>
  <c r="S40" i="3"/>
  <c r="S49" i="3"/>
  <c r="GO49" i="3" s="1"/>
  <c r="S17" i="3"/>
  <c r="S32" i="3"/>
  <c r="S24" i="3"/>
  <c r="S22" i="3"/>
  <c r="S52" i="3"/>
  <c r="S48" i="3"/>
  <c r="GO48" i="3" s="1"/>
  <c r="S36" i="3"/>
  <c r="DC36" i="3" s="1"/>
  <c r="S30" i="3"/>
  <c r="S34" i="3"/>
  <c r="S37" i="3"/>
  <c r="GO37" i="3" s="1"/>
  <c r="S12" i="3"/>
  <c r="S21" i="3"/>
  <c r="S4" i="3"/>
  <c r="S20" i="3"/>
  <c r="S25" i="3"/>
  <c r="FL2" i="3" l="1"/>
  <c r="CS2" i="9"/>
  <c r="AE2" i="5"/>
  <c r="AE2" i="7"/>
  <c r="CZ2" i="7"/>
  <c r="CZ3" i="7" s="1"/>
  <c r="CZ4" i="7" s="1"/>
  <c r="CZ5" i="7" s="1"/>
  <c r="CZ6" i="7" s="1"/>
  <c r="CZ7" i="7" s="1"/>
  <c r="CZ8" i="7" s="1"/>
  <c r="CZ9" i="7" s="1"/>
  <c r="CZ10" i="7" s="1"/>
  <c r="CZ11" i="7" s="1"/>
  <c r="CS2" i="3"/>
  <c r="CS3" i="3" s="1"/>
  <c r="EP38" i="6"/>
  <c r="EQ38" i="6" s="1"/>
  <c r="CY3" i="11"/>
  <c r="CY4" i="11" s="1"/>
  <c r="CY5" i="11" s="1"/>
  <c r="CY6" i="11" s="1"/>
  <c r="CY7" i="11" s="1"/>
  <c r="CY8" i="11" s="1"/>
  <c r="CY9" i="11" s="1"/>
  <c r="CY10" i="11" s="1"/>
  <c r="CY11" i="11" s="1"/>
  <c r="GE3" i="3"/>
  <c r="HS2" i="5"/>
  <c r="FQ2" i="5"/>
  <c r="HB4" i="11"/>
  <c r="HB12" i="11"/>
  <c r="GL2" i="11"/>
  <c r="GL3" i="11" s="1"/>
  <c r="GL4" i="11" s="1"/>
  <c r="GL5" i="11" s="1"/>
  <c r="GL6" i="11" s="1"/>
  <c r="GL7" i="11" s="1"/>
  <c r="GL8" i="11" s="1"/>
  <c r="GL9" i="11" s="1"/>
  <c r="GL10" i="11" s="1"/>
  <c r="GL11" i="11" s="1"/>
  <c r="Q2" i="3"/>
  <c r="Q2" i="11"/>
  <c r="Q2" i="9"/>
  <c r="Q2" i="10"/>
  <c r="Q2" i="12"/>
  <c r="Q2" i="7"/>
  <c r="Q2" i="5"/>
  <c r="Q2" i="6"/>
  <c r="Q2" i="8"/>
  <c r="FX9" i="6"/>
  <c r="FX42" i="6"/>
  <c r="FX37" i="6"/>
  <c r="DP24" i="12"/>
  <c r="DP6" i="12"/>
  <c r="DP9" i="12"/>
  <c r="V30" i="12"/>
  <c r="V43" i="12"/>
  <c r="FX13" i="6"/>
  <c r="FX25" i="6"/>
  <c r="FX52" i="6"/>
  <c r="DP27" i="12"/>
  <c r="DP22" i="12"/>
  <c r="DP21" i="12"/>
  <c r="V5" i="12"/>
  <c r="DP13" i="12"/>
  <c r="V22" i="12"/>
  <c r="V52" i="12"/>
  <c r="FX8" i="6"/>
  <c r="FX34" i="6"/>
  <c r="FX44" i="6"/>
  <c r="DP40" i="12"/>
  <c r="DP18" i="12"/>
  <c r="DP19" i="12"/>
  <c r="DP17" i="12"/>
  <c r="V27" i="12"/>
  <c r="V46" i="12"/>
  <c r="V9" i="12"/>
  <c r="FX12" i="6"/>
  <c r="FX24" i="6"/>
  <c r="FX43" i="6"/>
  <c r="DP51" i="12"/>
  <c r="DP8" i="12"/>
  <c r="DP16" i="12"/>
  <c r="V32" i="12"/>
  <c r="V51" i="12"/>
  <c r="FX11" i="6"/>
  <c r="FX35" i="6"/>
  <c r="FX51" i="6"/>
  <c r="DP44" i="12"/>
  <c r="DP45" i="12"/>
  <c r="DP12" i="12"/>
  <c r="DP10" i="12"/>
  <c r="V6" i="12"/>
  <c r="DP29" i="12"/>
  <c r="DV2" i="12"/>
  <c r="DX2" i="12" s="1"/>
  <c r="V25" i="12"/>
  <c r="V50" i="12"/>
  <c r="D166" i="2"/>
  <c r="GD2" i="10"/>
  <c r="GI2" i="10" s="1"/>
  <c r="GK2" i="10" s="1"/>
  <c r="GL2" i="10" s="1"/>
  <c r="FX22" i="6"/>
  <c r="FX33" i="6"/>
  <c r="FX50" i="6"/>
  <c r="DP4" i="12"/>
  <c r="V4" i="12"/>
  <c r="V28" i="12"/>
  <c r="V48" i="12"/>
  <c r="V12" i="12"/>
  <c r="V47" i="12"/>
  <c r="V36" i="12"/>
  <c r="V16" i="12"/>
  <c r="V45" i="12"/>
  <c r="V35" i="12"/>
  <c r="V19" i="12"/>
  <c r="DP15" i="12"/>
  <c r="DP7" i="12"/>
  <c r="DP47" i="12"/>
  <c r="FX14" i="6"/>
  <c r="FX20" i="6"/>
  <c r="FX32" i="6"/>
  <c r="FX49" i="6"/>
  <c r="DP34" i="12"/>
  <c r="DP32" i="12"/>
  <c r="V14" i="12"/>
  <c r="V29" i="12"/>
  <c r="FX19" i="6"/>
  <c r="FX31" i="6"/>
  <c r="FX48" i="6"/>
  <c r="DP46" i="12"/>
  <c r="DP43" i="12"/>
  <c r="DP35" i="12"/>
  <c r="V8" i="12"/>
  <c r="V24" i="12"/>
  <c r="GZ26" i="12"/>
  <c r="GZ12" i="12"/>
  <c r="GZ22" i="11"/>
  <c r="GZ17" i="11"/>
  <c r="GZ2" i="11"/>
  <c r="GZ44" i="10"/>
  <c r="GZ43" i="10"/>
  <c r="GZ42" i="10"/>
  <c r="GZ40" i="10"/>
  <c r="GZ19" i="12"/>
  <c r="GZ8" i="12"/>
  <c r="GZ3" i="12"/>
  <c r="GZ12" i="11"/>
  <c r="GZ7" i="11"/>
  <c r="GZ41" i="10"/>
  <c r="GZ29" i="10"/>
  <c r="GZ52" i="12"/>
  <c r="GZ28" i="12"/>
  <c r="GZ21" i="12"/>
  <c r="GZ14" i="12"/>
  <c r="GZ24" i="11"/>
  <c r="GU24" i="11" s="1"/>
  <c r="GZ19" i="11"/>
  <c r="GZ6" i="11"/>
  <c r="GZ35" i="10"/>
  <c r="GZ33" i="10"/>
  <c r="GZ16" i="12"/>
  <c r="GZ11" i="12"/>
  <c r="GZ14" i="11"/>
  <c r="GZ31" i="10"/>
  <c r="GZ51" i="12"/>
  <c r="GZ36" i="12"/>
  <c r="GZ30" i="12"/>
  <c r="GZ36" i="11"/>
  <c r="GZ34" i="11"/>
  <c r="GZ30" i="11"/>
  <c r="GZ28" i="11"/>
  <c r="GZ26" i="11"/>
  <c r="GZ21" i="11"/>
  <c r="GZ16" i="11"/>
  <c r="GZ11" i="11"/>
  <c r="GZ22" i="10"/>
  <c r="GZ50" i="12"/>
  <c r="GZ34" i="12"/>
  <c r="GZ32" i="12"/>
  <c r="GZ52" i="11"/>
  <c r="GZ32" i="11"/>
  <c r="GZ4" i="11"/>
  <c r="GZ24" i="10"/>
  <c r="GZ49" i="12"/>
  <c r="GZ7" i="12"/>
  <c r="GZ51" i="11"/>
  <c r="GZ37" i="11"/>
  <c r="GZ5" i="11"/>
  <c r="GZ26" i="10"/>
  <c r="GZ19" i="10"/>
  <c r="GZ48" i="12"/>
  <c r="GZ37" i="12"/>
  <c r="GZ25" i="12"/>
  <c r="GZ23" i="12"/>
  <c r="GZ6" i="12"/>
  <c r="GZ50" i="11"/>
  <c r="GZ47" i="12"/>
  <c r="GZ18" i="12"/>
  <c r="GZ10" i="12"/>
  <c r="GZ49" i="11"/>
  <c r="GZ38" i="11"/>
  <c r="GZ10" i="11"/>
  <c r="GZ3" i="11"/>
  <c r="GZ28" i="10"/>
  <c r="GZ21" i="10"/>
  <c r="GZ46" i="12"/>
  <c r="GZ45" i="12"/>
  <c r="GZ38" i="12"/>
  <c r="GZ27" i="12"/>
  <c r="GZ48" i="11"/>
  <c r="GZ39" i="11"/>
  <c r="GZ23" i="11"/>
  <c r="GZ18" i="11"/>
  <c r="GZ36" i="10"/>
  <c r="GZ39" i="12"/>
  <c r="GZ20" i="12"/>
  <c r="GZ13" i="12"/>
  <c r="GZ2" i="12"/>
  <c r="GZ47" i="11"/>
  <c r="GZ46" i="11"/>
  <c r="GZ45" i="11"/>
  <c r="GZ44" i="11"/>
  <c r="GZ43" i="11"/>
  <c r="GZ42" i="11"/>
  <c r="GZ41" i="11"/>
  <c r="GZ40" i="11"/>
  <c r="GZ13" i="11"/>
  <c r="GZ52" i="10"/>
  <c r="GZ34" i="10"/>
  <c r="GZ30" i="10"/>
  <c r="GZ44" i="12"/>
  <c r="GZ40" i="12"/>
  <c r="GZ29" i="12"/>
  <c r="GZ15" i="12"/>
  <c r="GZ25" i="11"/>
  <c r="GZ20" i="11"/>
  <c r="GZ9" i="11"/>
  <c r="GZ51" i="10"/>
  <c r="GZ32" i="10"/>
  <c r="GZ17" i="12"/>
  <c r="GZ47" i="10"/>
  <c r="GZ46" i="10"/>
  <c r="GZ45" i="10"/>
  <c r="GZ39" i="10"/>
  <c r="GZ27" i="10"/>
  <c r="GZ20" i="10"/>
  <c r="GZ33" i="11"/>
  <c r="GZ18" i="10"/>
  <c r="GZ8" i="10"/>
  <c r="GZ52" i="9"/>
  <c r="GZ28" i="9"/>
  <c r="GZ21" i="9"/>
  <c r="GU21" i="9" s="1"/>
  <c r="GZ2" i="9"/>
  <c r="GZ5" i="12"/>
  <c r="GZ12" i="10"/>
  <c r="GZ51" i="9"/>
  <c r="GZ35" i="12"/>
  <c r="GZ17" i="10"/>
  <c r="GZ50" i="9"/>
  <c r="GZ36" i="9"/>
  <c r="GZ34" i="9"/>
  <c r="GZ30" i="9"/>
  <c r="GZ16" i="9"/>
  <c r="GZ14" i="9"/>
  <c r="GZ11" i="9"/>
  <c r="GZ7" i="9"/>
  <c r="GZ20" i="8"/>
  <c r="GZ9" i="12"/>
  <c r="GZ37" i="10"/>
  <c r="GZ14" i="10"/>
  <c r="GZ7" i="10"/>
  <c r="GZ49" i="9"/>
  <c r="GZ32" i="9"/>
  <c r="GZ27" i="8"/>
  <c r="GZ31" i="11"/>
  <c r="GZ27" i="11"/>
  <c r="GZ25" i="10"/>
  <c r="GZ23" i="10"/>
  <c r="GZ11" i="10"/>
  <c r="GZ23" i="9"/>
  <c r="GZ6" i="9"/>
  <c r="GZ38" i="8"/>
  <c r="GZ29" i="8"/>
  <c r="GZ13" i="8"/>
  <c r="GZ10" i="8"/>
  <c r="GZ29" i="11"/>
  <c r="GZ16" i="10"/>
  <c r="GZ6" i="10"/>
  <c r="GZ48" i="9"/>
  <c r="GZ37" i="9"/>
  <c r="GZ25" i="9"/>
  <c r="GZ35" i="8"/>
  <c r="GZ15" i="8"/>
  <c r="GZ33" i="12"/>
  <c r="GZ8" i="11"/>
  <c r="GZ2" i="10"/>
  <c r="GZ47" i="9"/>
  <c r="GZ46" i="9"/>
  <c r="GZ39" i="8"/>
  <c r="GZ33" i="8"/>
  <c r="GZ31" i="8"/>
  <c r="GZ22" i="8"/>
  <c r="GZ15" i="11"/>
  <c r="GZ45" i="9"/>
  <c r="GZ39" i="9"/>
  <c r="GZ38" i="9"/>
  <c r="GZ27" i="9"/>
  <c r="GZ18" i="9"/>
  <c r="GZ10" i="9"/>
  <c r="GZ5" i="9"/>
  <c r="GZ4" i="9"/>
  <c r="GZ41" i="12"/>
  <c r="GZ38" i="10"/>
  <c r="GZ44" i="9"/>
  <c r="GZ43" i="9"/>
  <c r="GZ42" i="9"/>
  <c r="GZ40" i="9"/>
  <c r="GZ20" i="9"/>
  <c r="GZ40" i="8"/>
  <c r="GZ24" i="8"/>
  <c r="GZ24" i="12"/>
  <c r="GZ22" i="12"/>
  <c r="GZ10" i="10"/>
  <c r="GZ41" i="9"/>
  <c r="GZ29" i="9"/>
  <c r="GZ15" i="9"/>
  <c r="GZ13" i="9"/>
  <c r="GZ19" i="8"/>
  <c r="GZ17" i="8"/>
  <c r="GZ31" i="12"/>
  <c r="GZ4" i="12"/>
  <c r="GZ13" i="10"/>
  <c r="GZ5" i="10"/>
  <c r="GZ35" i="9"/>
  <c r="GZ33" i="9"/>
  <c r="GZ3" i="9"/>
  <c r="GZ41" i="8"/>
  <c r="GZ26" i="8"/>
  <c r="GZ21" i="8"/>
  <c r="GZ12" i="8"/>
  <c r="GZ42" i="12"/>
  <c r="GZ4" i="10"/>
  <c r="GZ35" i="11"/>
  <c r="GZ48" i="10"/>
  <c r="GZ15" i="10"/>
  <c r="GZ9" i="10"/>
  <c r="GZ24" i="9"/>
  <c r="GZ22" i="9"/>
  <c r="GZ52" i="8"/>
  <c r="GZ45" i="8"/>
  <c r="GZ44" i="8"/>
  <c r="GZ43" i="8"/>
  <c r="GZ14" i="8"/>
  <c r="GZ3" i="10"/>
  <c r="GZ19" i="9"/>
  <c r="GZ12" i="9"/>
  <c r="GZ23" i="8"/>
  <c r="GZ32" i="8"/>
  <c r="GZ34" i="7"/>
  <c r="GZ14" i="7"/>
  <c r="GZ49" i="10"/>
  <c r="GZ50" i="8"/>
  <c r="GZ16" i="8"/>
  <c r="GZ11" i="8"/>
  <c r="GZ18" i="7"/>
  <c r="GZ11" i="7"/>
  <c r="GZ26" i="6"/>
  <c r="GZ21" i="6"/>
  <c r="GZ28" i="8"/>
  <c r="GZ25" i="8"/>
  <c r="GZ50" i="10"/>
  <c r="GZ30" i="8"/>
  <c r="GZ18" i="8"/>
  <c r="GZ35" i="7"/>
  <c r="GZ30" i="7"/>
  <c r="GZ26" i="7"/>
  <c r="GZ22" i="7"/>
  <c r="GZ2" i="7"/>
  <c r="GZ28" i="6"/>
  <c r="GZ8" i="9"/>
  <c r="GZ51" i="8"/>
  <c r="GZ46" i="8"/>
  <c r="GZ15" i="7"/>
  <c r="GZ9" i="7"/>
  <c r="GZ30" i="6"/>
  <c r="GZ19" i="7"/>
  <c r="GZ7" i="7"/>
  <c r="GZ5" i="7"/>
  <c r="GZ36" i="6"/>
  <c r="GZ34" i="6"/>
  <c r="GZ32" i="6"/>
  <c r="GZ2" i="8"/>
  <c r="GZ52" i="7"/>
  <c r="GZ36" i="7"/>
  <c r="GZ16" i="7"/>
  <c r="GZ23" i="6"/>
  <c r="GZ18" i="6"/>
  <c r="GZ17" i="9"/>
  <c r="GZ9" i="9"/>
  <c r="GZ42" i="8"/>
  <c r="GZ36" i="8"/>
  <c r="GZ51" i="7"/>
  <c r="GZ31" i="7"/>
  <c r="GZ27" i="7"/>
  <c r="GZ23" i="7"/>
  <c r="GZ3" i="7"/>
  <c r="GZ52" i="6"/>
  <c r="GZ47" i="8"/>
  <c r="GZ50" i="7"/>
  <c r="GZ37" i="7"/>
  <c r="GZ51" i="6"/>
  <c r="GZ37" i="6"/>
  <c r="GZ25" i="6"/>
  <c r="GZ20" i="6"/>
  <c r="GZ31" i="9"/>
  <c r="GZ6" i="8"/>
  <c r="GZ49" i="7"/>
  <c r="GZ20" i="7"/>
  <c r="GZ12" i="7"/>
  <c r="GZ50" i="6"/>
  <c r="GZ26" i="9"/>
  <c r="GZ7" i="8"/>
  <c r="GZ48" i="7"/>
  <c r="GZ39" i="7"/>
  <c r="GZ38" i="7"/>
  <c r="GZ32" i="7"/>
  <c r="GZ49" i="6"/>
  <c r="GZ38" i="6"/>
  <c r="GZ27" i="6"/>
  <c r="GZ48" i="8"/>
  <c r="GZ34" i="8"/>
  <c r="GZ8" i="8"/>
  <c r="GZ5" i="8"/>
  <c r="GZ4" i="8"/>
  <c r="GZ47" i="7"/>
  <c r="GZ40" i="7"/>
  <c r="GZ28" i="7"/>
  <c r="GZ24" i="7"/>
  <c r="GZ10" i="7"/>
  <c r="GZ6" i="7"/>
  <c r="GZ48" i="6"/>
  <c r="GZ39" i="6"/>
  <c r="GZ29" i="6"/>
  <c r="GZ9" i="8"/>
  <c r="GZ46" i="7"/>
  <c r="GZ45" i="7"/>
  <c r="GZ44" i="7"/>
  <c r="GZ43" i="7"/>
  <c r="GZ42" i="7"/>
  <c r="GZ41" i="7"/>
  <c r="GZ21" i="7"/>
  <c r="GZ13" i="7"/>
  <c r="GZ8" i="7"/>
  <c r="GZ4" i="7"/>
  <c r="GZ47" i="6"/>
  <c r="GZ46" i="6"/>
  <c r="GZ45" i="6"/>
  <c r="GZ44" i="6"/>
  <c r="GZ43" i="6"/>
  <c r="GZ40" i="6"/>
  <c r="GZ33" i="7"/>
  <c r="GZ17" i="7"/>
  <c r="GZ42" i="6"/>
  <c r="GZ41" i="6"/>
  <c r="GZ35" i="6"/>
  <c r="GZ33" i="6"/>
  <c r="GZ31" i="6"/>
  <c r="GZ22" i="6"/>
  <c r="GZ17" i="6"/>
  <c r="GZ43" i="12"/>
  <c r="GZ3" i="8"/>
  <c r="GZ29" i="7"/>
  <c r="GZ25" i="7"/>
  <c r="GZ24" i="6"/>
  <c r="GZ19" i="6"/>
  <c r="GZ13" i="6"/>
  <c r="GZ9" i="6"/>
  <c r="GZ3" i="6"/>
  <c r="GZ44" i="5"/>
  <c r="GZ43" i="5"/>
  <c r="GZ42" i="5"/>
  <c r="GZ41" i="5"/>
  <c r="GZ15" i="3"/>
  <c r="GZ31" i="3"/>
  <c r="GZ47" i="3"/>
  <c r="GZ4" i="6"/>
  <c r="GZ13" i="3"/>
  <c r="GZ35" i="5"/>
  <c r="GZ33" i="5"/>
  <c r="GZ31" i="5"/>
  <c r="GZ16" i="3"/>
  <c r="GZ32" i="3"/>
  <c r="GZ48" i="3"/>
  <c r="GZ49" i="5"/>
  <c r="GZ15" i="6"/>
  <c r="GZ22" i="5"/>
  <c r="GZ17" i="5"/>
  <c r="GZ8" i="5"/>
  <c r="GZ17" i="3"/>
  <c r="GZ33" i="3"/>
  <c r="GZ49" i="3"/>
  <c r="GZ29" i="3"/>
  <c r="GZ24" i="5"/>
  <c r="GZ12" i="5"/>
  <c r="GZ18" i="3"/>
  <c r="GZ34" i="3"/>
  <c r="GZ50" i="3"/>
  <c r="GZ27" i="5"/>
  <c r="GZ8" i="6"/>
  <c r="GZ19" i="5"/>
  <c r="GZ3" i="3"/>
  <c r="GZ19" i="3"/>
  <c r="GZ35" i="3"/>
  <c r="GZ51" i="3"/>
  <c r="GZ20" i="5"/>
  <c r="GZ49" i="8"/>
  <c r="GZ26" i="5"/>
  <c r="GZ4" i="3"/>
  <c r="GZ20" i="3"/>
  <c r="GZ36" i="3"/>
  <c r="GZ52" i="3"/>
  <c r="GZ13" i="5"/>
  <c r="GZ48" i="5"/>
  <c r="GZ12" i="6"/>
  <c r="GZ28" i="5"/>
  <c r="GZ21" i="5"/>
  <c r="GZ16" i="5"/>
  <c r="GZ14" i="5"/>
  <c r="GZ11" i="5"/>
  <c r="GZ7" i="5"/>
  <c r="GZ6" i="5"/>
  <c r="GZ2" i="5"/>
  <c r="GZ5" i="3"/>
  <c r="GZ21" i="3"/>
  <c r="GZ37" i="3"/>
  <c r="GZ2" i="3"/>
  <c r="GZ2" i="6"/>
  <c r="GZ6" i="3"/>
  <c r="GZ22" i="3"/>
  <c r="GZ38" i="3"/>
  <c r="GZ38" i="5"/>
  <c r="GZ15" i="5"/>
  <c r="GZ37" i="8"/>
  <c r="GZ7" i="6"/>
  <c r="GZ6" i="6"/>
  <c r="GZ36" i="5"/>
  <c r="GZ30" i="5"/>
  <c r="GZ7" i="3"/>
  <c r="GZ23" i="3"/>
  <c r="GZ39" i="3"/>
  <c r="GZ9" i="5"/>
  <c r="GZ14" i="6"/>
  <c r="GZ11" i="6"/>
  <c r="GZ34" i="5"/>
  <c r="GZ32" i="5"/>
  <c r="GZ8" i="3"/>
  <c r="GZ24" i="3"/>
  <c r="GZ40" i="3"/>
  <c r="GZ44" i="3"/>
  <c r="GZ16" i="6"/>
  <c r="GZ52" i="5"/>
  <c r="GZ23" i="5"/>
  <c r="GZ9" i="3"/>
  <c r="GZ25" i="3"/>
  <c r="GZ41" i="3"/>
  <c r="GZ12" i="3"/>
  <c r="GZ5" i="6"/>
  <c r="GZ51" i="5"/>
  <c r="GZ37" i="5"/>
  <c r="GZ18" i="5"/>
  <c r="GZ10" i="5"/>
  <c r="GZ5" i="5"/>
  <c r="GZ4" i="5"/>
  <c r="GZ10" i="3"/>
  <c r="GZ26" i="3"/>
  <c r="GZ42" i="3"/>
  <c r="GZ50" i="5"/>
  <c r="GZ25" i="5"/>
  <c r="GZ11" i="3"/>
  <c r="GZ27" i="3"/>
  <c r="GZ43" i="3"/>
  <c r="GZ10" i="6"/>
  <c r="GZ47" i="5"/>
  <c r="GZ46" i="5"/>
  <c r="GZ45" i="5"/>
  <c r="GZ40" i="5"/>
  <c r="GZ29" i="5"/>
  <c r="GZ3" i="5"/>
  <c r="C180" i="2"/>
  <c r="GZ14" i="3"/>
  <c r="GZ30" i="3"/>
  <c r="GZ46" i="3"/>
  <c r="GZ28" i="3"/>
  <c r="GZ39" i="5"/>
  <c r="GZ45" i="3"/>
  <c r="FX18" i="6"/>
  <c r="FX29" i="6"/>
  <c r="FX47" i="6"/>
  <c r="CY3" i="10"/>
  <c r="CY4" i="10" s="1"/>
  <c r="CY5" i="10" s="1"/>
  <c r="CY6" i="10" s="1"/>
  <c r="CY7" i="10" s="1"/>
  <c r="CY8" i="10" s="1"/>
  <c r="CY9" i="10" s="1"/>
  <c r="CY10" i="10" s="1"/>
  <c r="CY11" i="10" s="1"/>
  <c r="DP23" i="12"/>
  <c r="DP25" i="12"/>
  <c r="DP37" i="12"/>
  <c r="V13" i="12"/>
  <c r="V31" i="12"/>
  <c r="DP5" i="12"/>
  <c r="Y40" i="12"/>
  <c r="Y31" i="12"/>
  <c r="Y10" i="12"/>
  <c r="DP48" i="12"/>
  <c r="V7" i="12"/>
  <c r="V37" i="12"/>
  <c r="DP14" i="12"/>
  <c r="GD2" i="9"/>
  <c r="GI2" i="9" s="1"/>
  <c r="GK2" i="9" s="1"/>
  <c r="GL2" i="9" s="1"/>
  <c r="FX15" i="6"/>
  <c r="FX26" i="6"/>
  <c r="FX38" i="6"/>
  <c r="DP42" i="12"/>
  <c r="DP33" i="12"/>
  <c r="DP20" i="12"/>
  <c r="DP50" i="12"/>
  <c r="V10" i="12"/>
  <c r="V38" i="12"/>
  <c r="DN35" i="12"/>
  <c r="DN33" i="12"/>
  <c r="DN31" i="12"/>
  <c r="DN33" i="11"/>
  <c r="DN31" i="11"/>
  <c r="DN29" i="11"/>
  <c r="DN27" i="11"/>
  <c r="DN8" i="11"/>
  <c r="DN23" i="10"/>
  <c r="DN22" i="12"/>
  <c r="DN25" i="10"/>
  <c r="DN24" i="12"/>
  <c r="DN17" i="12"/>
  <c r="DN3" i="12"/>
  <c r="DN27" i="10"/>
  <c r="DN20" i="10"/>
  <c r="DN26" i="12"/>
  <c r="DN12" i="12"/>
  <c r="DN8" i="12"/>
  <c r="DN22" i="11"/>
  <c r="DN17" i="11"/>
  <c r="DN19" i="12"/>
  <c r="DN12" i="11"/>
  <c r="DN7" i="11"/>
  <c r="DN2" i="11"/>
  <c r="DN29" i="10"/>
  <c r="DN28" i="12"/>
  <c r="DN21" i="12"/>
  <c r="DN24" i="11"/>
  <c r="DN19" i="11"/>
  <c r="DN6" i="11"/>
  <c r="DN35" i="10"/>
  <c r="DN14" i="12"/>
  <c r="DN11" i="12"/>
  <c r="DN14" i="11"/>
  <c r="DN11" i="11"/>
  <c r="DN33" i="10"/>
  <c r="DN31" i="10"/>
  <c r="DN36" i="12"/>
  <c r="DN30" i="12"/>
  <c r="DN16" i="12"/>
  <c r="DN36" i="11"/>
  <c r="DN34" i="11"/>
  <c r="DN26" i="11"/>
  <c r="DN21" i="11"/>
  <c r="DN5" i="11"/>
  <c r="DN4" i="11"/>
  <c r="DN22" i="10"/>
  <c r="DN34" i="12"/>
  <c r="DN32" i="12"/>
  <c r="DN7" i="12"/>
  <c r="DN32" i="11"/>
  <c r="DN30" i="11"/>
  <c r="DN28" i="11"/>
  <c r="DN16" i="11"/>
  <c r="DN6" i="12"/>
  <c r="DN3" i="11"/>
  <c r="DN24" i="10"/>
  <c r="DN19" i="10"/>
  <c r="DN25" i="12"/>
  <c r="DN23" i="12"/>
  <c r="DN10" i="12"/>
  <c r="DN10" i="11"/>
  <c r="DN26" i="10"/>
  <c r="DN18" i="12"/>
  <c r="DN28" i="10"/>
  <c r="DN21" i="10"/>
  <c r="DN9" i="12"/>
  <c r="DN35" i="11"/>
  <c r="DN15" i="11"/>
  <c r="DN15" i="12"/>
  <c r="DN13" i="12"/>
  <c r="DN5" i="12"/>
  <c r="DN34" i="10"/>
  <c r="DN18" i="10"/>
  <c r="DN3" i="10"/>
  <c r="DN24" i="9"/>
  <c r="DN8" i="9"/>
  <c r="DN36" i="8"/>
  <c r="DN30" i="8"/>
  <c r="DN26" i="9"/>
  <c r="DN17" i="9"/>
  <c r="DN23" i="11"/>
  <c r="DN8" i="10"/>
  <c r="DN12" i="9"/>
  <c r="DN23" i="8"/>
  <c r="DN2" i="12"/>
  <c r="DN25" i="11"/>
  <c r="DN32" i="10"/>
  <c r="DN28" i="9"/>
  <c r="DN21" i="9"/>
  <c r="DN19" i="9"/>
  <c r="DN20" i="12"/>
  <c r="DN12" i="10"/>
  <c r="DN7" i="9"/>
  <c r="DN2" i="9"/>
  <c r="DN25" i="8"/>
  <c r="DN30" i="10"/>
  <c r="DN17" i="10"/>
  <c r="DN36" i="9"/>
  <c r="DN34" i="9"/>
  <c r="DN30" i="9"/>
  <c r="DN16" i="9"/>
  <c r="DN14" i="9"/>
  <c r="DN11" i="9"/>
  <c r="DN20" i="8"/>
  <c r="DN18" i="8"/>
  <c r="DN14" i="10"/>
  <c r="DN11" i="10"/>
  <c r="DN7" i="10"/>
  <c r="DN32" i="9"/>
  <c r="DN6" i="9"/>
  <c r="DN27" i="8"/>
  <c r="DN10" i="8"/>
  <c r="DN13" i="11"/>
  <c r="DN29" i="8"/>
  <c r="DN13" i="8"/>
  <c r="DN9" i="11"/>
  <c r="DN16" i="10"/>
  <c r="DN6" i="10"/>
  <c r="DN25" i="9"/>
  <c r="DN23" i="9"/>
  <c r="DN5" i="9"/>
  <c r="DN4" i="9"/>
  <c r="DN35" i="8"/>
  <c r="DN4" i="12"/>
  <c r="DN10" i="9"/>
  <c r="DN33" i="8"/>
  <c r="DN31" i="8"/>
  <c r="DN22" i="8"/>
  <c r="DN9" i="8"/>
  <c r="DN27" i="12"/>
  <c r="DN2" i="10"/>
  <c r="DN27" i="9"/>
  <c r="DN18" i="9"/>
  <c r="DN29" i="12"/>
  <c r="DN10" i="10"/>
  <c r="DN18" i="11"/>
  <c r="DN5" i="10"/>
  <c r="DN4" i="10"/>
  <c r="DN29" i="9"/>
  <c r="DN13" i="9"/>
  <c r="DN15" i="10"/>
  <c r="DN22" i="9"/>
  <c r="DN28" i="8"/>
  <c r="DN14" i="8"/>
  <c r="DN20" i="11"/>
  <c r="DN32" i="8"/>
  <c r="DN11" i="8"/>
  <c r="DN3" i="8"/>
  <c r="DN35" i="6"/>
  <c r="DN33" i="6"/>
  <c r="DN31" i="6"/>
  <c r="DN22" i="6"/>
  <c r="DN16" i="8"/>
  <c r="DN15" i="8"/>
  <c r="DN20" i="7"/>
  <c r="DN12" i="7"/>
  <c r="DN17" i="6"/>
  <c r="DN26" i="8"/>
  <c r="DN24" i="8"/>
  <c r="DN21" i="8"/>
  <c r="DN32" i="7"/>
  <c r="DN10" i="7"/>
  <c r="DN6" i="7"/>
  <c r="DN4" i="7"/>
  <c r="DN24" i="6"/>
  <c r="DN19" i="6"/>
  <c r="DN35" i="9"/>
  <c r="DN15" i="9"/>
  <c r="DN19" i="8"/>
  <c r="DN17" i="8"/>
  <c r="DN28" i="7"/>
  <c r="DN24" i="7"/>
  <c r="DN8" i="7"/>
  <c r="DN9" i="10"/>
  <c r="DN12" i="8"/>
  <c r="DN26" i="6"/>
  <c r="DN21" i="6"/>
  <c r="DN13" i="10"/>
  <c r="DN33" i="7"/>
  <c r="DN21" i="7"/>
  <c r="DN17" i="7"/>
  <c r="DN33" i="9"/>
  <c r="DN9" i="9"/>
  <c r="DN13" i="7"/>
  <c r="DN28" i="6"/>
  <c r="DN29" i="7"/>
  <c r="DN25" i="7"/>
  <c r="DN30" i="6"/>
  <c r="DN36" i="10"/>
  <c r="DN20" i="9"/>
  <c r="DN3" i="9"/>
  <c r="DN34" i="7"/>
  <c r="DN14" i="7"/>
  <c r="DN11" i="7"/>
  <c r="DN36" i="6"/>
  <c r="DN34" i="6"/>
  <c r="DN32" i="6"/>
  <c r="DN18" i="7"/>
  <c r="DN23" i="6"/>
  <c r="DN18" i="6"/>
  <c r="DN31" i="9"/>
  <c r="DN34" i="8"/>
  <c r="DN6" i="8"/>
  <c r="DN35" i="7"/>
  <c r="DN30" i="7"/>
  <c r="DN26" i="7"/>
  <c r="DN22" i="7"/>
  <c r="DN9" i="7"/>
  <c r="DN5" i="7"/>
  <c r="DN25" i="6"/>
  <c r="DN20" i="6"/>
  <c r="DN8" i="8"/>
  <c r="DN7" i="8"/>
  <c r="DN15" i="7"/>
  <c r="DN7" i="7"/>
  <c r="DN5" i="8"/>
  <c r="DN4" i="8"/>
  <c r="DN2" i="8"/>
  <c r="DN19" i="7"/>
  <c r="DN3" i="7"/>
  <c r="DN27" i="6"/>
  <c r="DN31" i="7"/>
  <c r="DN27" i="7"/>
  <c r="DN23" i="7"/>
  <c r="DN16" i="7"/>
  <c r="DN29" i="6"/>
  <c r="DN20" i="5"/>
  <c r="DN13" i="5"/>
  <c r="DN9" i="5"/>
  <c r="DN3" i="5"/>
  <c r="DN17" i="3"/>
  <c r="DN33" i="3"/>
  <c r="DN18" i="5"/>
  <c r="DN3" i="6"/>
  <c r="DN27" i="5"/>
  <c r="DN18" i="3"/>
  <c r="DN34" i="3"/>
  <c r="DN29" i="5"/>
  <c r="DN15" i="5"/>
  <c r="DN3" i="3"/>
  <c r="DN19" i="3"/>
  <c r="DN35" i="3"/>
  <c r="DN2" i="5"/>
  <c r="DN15" i="3"/>
  <c r="DN13" i="6"/>
  <c r="DN9" i="6"/>
  <c r="DN4" i="3"/>
  <c r="DN20" i="3"/>
  <c r="DN36" i="3"/>
  <c r="DN35" i="5"/>
  <c r="DN33" i="5"/>
  <c r="DN31" i="5"/>
  <c r="DN8" i="5"/>
  <c r="DN5" i="3"/>
  <c r="DN21" i="3"/>
  <c r="DN2" i="3"/>
  <c r="DN15" i="6"/>
  <c r="DN22" i="5"/>
  <c r="DN17" i="5"/>
  <c r="DN6" i="3"/>
  <c r="DN22" i="3"/>
  <c r="DN16" i="6"/>
  <c r="DN2" i="7"/>
  <c r="DN8" i="6"/>
  <c r="DN24" i="5"/>
  <c r="DN12" i="5"/>
  <c r="DN7" i="3"/>
  <c r="DN23" i="3"/>
  <c r="DN36" i="7"/>
  <c r="DN19" i="5"/>
  <c r="DN8" i="3"/>
  <c r="DN24" i="3"/>
  <c r="DN30" i="3"/>
  <c r="DN31" i="3"/>
  <c r="DN26" i="5"/>
  <c r="DN7" i="5"/>
  <c r="DN6" i="5"/>
  <c r="DN9" i="3"/>
  <c r="DN25" i="3"/>
  <c r="DN12" i="6"/>
  <c r="DN28" i="5"/>
  <c r="DN21" i="5"/>
  <c r="DN14" i="5"/>
  <c r="DN11" i="5"/>
  <c r="DN10" i="3"/>
  <c r="DN26" i="3"/>
  <c r="DN5" i="6"/>
  <c r="DN14" i="3"/>
  <c r="DN7" i="6"/>
  <c r="DN6" i="6"/>
  <c r="DN16" i="5"/>
  <c r="DN11" i="3"/>
  <c r="DN27" i="3"/>
  <c r="DN11" i="6"/>
  <c r="DN30" i="5"/>
  <c r="DN12" i="3"/>
  <c r="DN28" i="3"/>
  <c r="DN14" i="6"/>
  <c r="DN36" i="5"/>
  <c r="DN34" i="5"/>
  <c r="DN32" i="5"/>
  <c r="DN5" i="5"/>
  <c r="DN4" i="5"/>
  <c r="DN13" i="3"/>
  <c r="DN29" i="3"/>
  <c r="DN10" i="6"/>
  <c r="DN4" i="6"/>
  <c r="DN25" i="5"/>
  <c r="DN16" i="3"/>
  <c r="DN32" i="3"/>
  <c r="DN10" i="5"/>
  <c r="DN2" i="6"/>
  <c r="DN23" i="5"/>
  <c r="FX5" i="6"/>
  <c r="FX23" i="6"/>
  <c r="FX41" i="6"/>
  <c r="FW3" i="6"/>
  <c r="DP49" i="12"/>
  <c r="DP30" i="12"/>
  <c r="V15" i="12"/>
  <c r="V34" i="12"/>
  <c r="DP36" i="12"/>
  <c r="FX6" i="6"/>
  <c r="FX3" i="6"/>
  <c r="FX28" i="6"/>
  <c r="FX39" i="6"/>
  <c r="V26" i="12"/>
  <c r="V39" i="12"/>
  <c r="CL37" i="10"/>
  <c r="EC35" i="10"/>
  <c r="EC26" i="10"/>
  <c r="CL23" i="10"/>
  <c r="CL13" i="10"/>
  <c r="CL16" i="10"/>
  <c r="V38" i="11"/>
  <c r="V27" i="11"/>
  <c r="FX7" i="6"/>
  <c r="FX27" i="6"/>
  <c r="DP28" i="12"/>
  <c r="DP26" i="12"/>
  <c r="DP11" i="12"/>
  <c r="DP2" i="12"/>
  <c r="V21" i="12"/>
  <c r="V41" i="12"/>
  <c r="EC52" i="12"/>
  <c r="CL45" i="12"/>
  <c r="EC41" i="12"/>
  <c r="CL21" i="12"/>
  <c r="EC29" i="12"/>
  <c r="EC11" i="12"/>
  <c r="V46" i="9"/>
  <c r="V18" i="9"/>
  <c r="V8" i="9"/>
  <c r="HB2" i="5"/>
  <c r="HB4" i="7"/>
  <c r="GN2" i="12"/>
  <c r="GN3" i="12" s="1"/>
  <c r="HC3" i="12" s="1"/>
  <c r="DB2" i="12"/>
  <c r="GN2" i="11"/>
  <c r="GN3" i="11" s="1"/>
  <c r="HC3" i="11" s="1"/>
  <c r="DB2" i="11"/>
  <c r="DQ2" i="11" s="1"/>
  <c r="DB2" i="10"/>
  <c r="DQ2" i="10" s="1"/>
  <c r="GN2" i="9"/>
  <c r="GN2" i="10"/>
  <c r="DB2" i="8"/>
  <c r="DQ2" i="8" s="1"/>
  <c r="DB2" i="7"/>
  <c r="GN2" i="7"/>
  <c r="HC2" i="7" s="1"/>
  <c r="DB2" i="9"/>
  <c r="DQ2" i="9" s="1"/>
  <c r="GN2" i="8"/>
  <c r="HC2" i="8" s="1"/>
  <c r="DB2" i="6"/>
  <c r="DQ2" i="6" s="1"/>
  <c r="DB2" i="5"/>
  <c r="DQ2" i="5" s="1"/>
  <c r="GN2" i="3"/>
  <c r="HC2" i="3" s="1"/>
  <c r="GN2" i="6"/>
  <c r="GN3" i="6" s="1"/>
  <c r="HC3" i="6" s="1"/>
  <c r="GN2" i="5"/>
  <c r="HB5" i="5"/>
  <c r="HB11" i="8"/>
  <c r="HB12" i="8"/>
  <c r="HB10" i="10"/>
  <c r="BY2" i="6"/>
  <c r="AD2" i="6"/>
  <c r="AE2" i="6" s="1"/>
  <c r="GQ2" i="10"/>
  <c r="HH2" i="10"/>
  <c r="HJ2" i="10" s="1"/>
  <c r="HB4" i="5"/>
  <c r="DG2" i="12"/>
  <c r="DP5" i="6"/>
  <c r="HB4" i="8"/>
  <c r="HB5" i="8"/>
  <c r="DP3" i="12"/>
  <c r="GS2" i="10"/>
  <c r="HB6" i="8"/>
  <c r="HB7" i="9"/>
  <c r="HB3" i="10"/>
  <c r="DV2" i="6"/>
  <c r="DX2" i="6" s="1"/>
  <c r="DZ2" i="6" s="1"/>
  <c r="HB3" i="6"/>
  <c r="HB3" i="8"/>
  <c r="DP13" i="5"/>
  <c r="V24" i="10"/>
  <c r="FX17" i="11"/>
  <c r="GQ2" i="6"/>
  <c r="HB2" i="8"/>
  <c r="HB2" i="7"/>
  <c r="HB5" i="10"/>
  <c r="HB10" i="8"/>
  <c r="HB14" i="10"/>
  <c r="HB13" i="8"/>
  <c r="DP9" i="5"/>
  <c r="HB8" i="8"/>
  <c r="HB7" i="5"/>
  <c r="HB5" i="7"/>
  <c r="HB2" i="10"/>
  <c r="HB6" i="5"/>
  <c r="DE2" i="12"/>
  <c r="DP5" i="5"/>
  <c r="GS2" i="8"/>
  <c r="DP3" i="5"/>
  <c r="HB9" i="8"/>
  <c r="DP4" i="5"/>
  <c r="HB7" i="8"/>
  <c r="DP2" i="5"/>
  <c r="HH2" i="5"/>
  <c r="HJ2" i="5" s="1"/>
  <c r="HL2" i="5" s="1"/>
  <c r="CJ2" i="7"/>
  <c r="Z3" i="7"/>
  <c r="CJ3" i="7" s="1"/>
  <c r="HJ2" i="8"/>
  <c r="HL2" i="8" s="1"/>
  <c r="HB5" i="6"/>
  <c r="GS2" i="5"/>
  <c r="HB15" i="8"/>
  <c r="HB3" i="5"/>
  <c r="AI2" i="10"/>
  <c r="BB3" i="9"/>
  <c r="BB4" i="9" s="1"/>
  <c r="V11" i="12"/>
  <c r="V17" i="12"/>
  <c r="V42" i="12"/>
  <c r="V23" i="12"/>
  <c r="V33" i="12"/>
  <c r="V49" i="12"/>
  <c r="V18" i="10"/>
  <c r="V7" i="10"/>
  <c r="V11" i="8"/>
  <c r="V12" i="8"/>
  <c r="V6" i="8"/>
  <c r="V15" i="8"/>
  <c r="V8" i="8"/>
  <c r="V4" i="8"/>
  <c r="V7" i="8"/>
  <c r="V3" i="8"/>
  <c r="V4" i="11"/>
  <c r="V3" i="11"/>
  <c r="V9" i="11"/>
  <c r="V11" i="9"/>
  <c r="V6" i="9"/>
  <c r="V9" i="7"/>
  <c r="V6" i="7"/>
  <c r="V15" i="7"/>
  <c r="V16" i="7"/>
  <c r="V5" i="7"/>
  <c r="V3" i="6"/>
  <c r="DY3" i="6" s="1"/>
  <c r="V8" i="6"/>
  <c r="V5" i="6"/>
  <c r="EP38" i="7"/>
  <c r="EQ38" i="7" s="1"/>
  <c r="FX3" i="11"/>
  <c r="FX30" i="11"/>
  <c r="FX52" i="11"/>
  <c r="FX26" i="11"/>
  <c r="FX51" i="11"/>
  <c r="FX13" i="11"/>
  <c r="FX38" i="11"/>
  <c r="FX14" i="11"/>
  <c r="FX35" i="11"/>
  <c r="FX5" i="9"/>
  <c r="FX40" i="9"/>
  <c r="FX38" i="9"/>
  <c r="FX6" i="9"/>
  <c r="FX15" i="9"/>
  <c r="FX32" i="9"/>
  <c r="FX48" i="9"/>
  <c r="FX10" i="9"/>
  <c r="FX34" i="9"/>
  <c r="FX37" i="9"/>
  <c r="FX20" i="9"/>
  <c r="FX42" i="9"/>
  <c r="FX46" i="9"/>
  <c r="FX14" i="9"/>
  <c r="FX23" i="9"/>
  <c r="FX51" i="9"/>
  <c r="FX3" i="9"/>
  <c r="FX13" i="9"/>
  <c r="FX31" i="9"/>
  <c r="FX50" i="9"/>
  <c r="FX19" i="9"/>
  <c r="FX30" i="9"/>
  <c r="FX49" i="9"/>
  <c r="FX4" i="9"/>
  <c r="FX28" i="9"/>
  <c r="FX33" i="9"/>
  <c r="FX24" i="11"/>
  <c r="FX34" i="11"/>
  <c r="FX17" i="9"/>
  <c r="FX36" i="9"/>
  <c r="FX20" i="11"/>
  <c r="FX33" i="11"/>
  <c r="FW3" i="9"/>
  <c r="GQ3" i="9" s="1"/>
  <c r="FX27" i="9"/>
  <c r="FX44" i="9"/>
  <c r="FX8" i="9"/>
  <c r="FX22" i="9"/>
  <c r="FX43" i="9"/>
  <c r="FX16" i="9"/>
  <c r="FX25" i="9"/>
  <c r="FX39" i="9"/>
  <c r="FX21" i="9"/>
  <c r="FX29" i="9"/>
  <c r="FX47" i="9"/>
  <c r="FX11" i="9"/>
  <c r="FX35" i="9"/>
  <c r="FX52" i="9"/>
  <c r="FX18" i="9"/>
  <c r="FX24" i="9"/>
  <c r="FX45" i="9"/>
  <c r="FX16" i="11"/>
  <c r="FX31" i="11"/>
  <c r="FX41" i="11"/>
  <c r="Y30" i="12"/>
  <c r="BB3" i="8"/>
  <c r="BB4" i="8" s="1"/>
  <c r="Y24" i="12"/>
  <c r="AO14" i="8"/>
  <c r="AO36" i="8"/>
  <c r="AO42" i="8"/>
  <c r="FX8" i="11"/>
  <c r="FX23" i="11"/>
  <c r="FX46" i="11"/>
  <c r="EC12" i="12"/>
  <c r="CL29" i="12"/>
  <c r="EC33" i="12"/>
  <c r="EC35" i="12"/>
  <c r="CL49" i="12"/>
  <c r="CL44" i="12"/>
  <c r="AO3" i="8"/>
  <c r="AO16" i="8"/>
  <c r="AO38" i="8"/>
  <c r="AO50" i="8"/>
  <c r="AO6" i="8"/>
  <c r="AO24" i="8"/>
  <c r="AO35" i="8"/>
  <c r="AO49" i="8"/>
  <c r="AO4" i="8"/>
  <c r="AO18" i="8"/>
  <c r="AO31" i="8"/>
  <c r="AN3" i="8"/>
  <c r="BG3" i="8" s="1"/>
  <c r="AO22" i="8"/>
  <c r="AO34" i="8"/>
  <c r="AO23" i="8"/>
  <c r="AO43" i="8"/>
  <c r="HL2" i="6"/>
  <c r="AO5" i="8"/>
  <c r="AO26" i="8"/>
  <c r="AO46" i="8"/>
  <c r="AO7" i="8"/>
  <c r="AO12" i="8"/>
  <c r="AO21" i="8"/>
  <c r="AO44" i="8"/>
  <c r="AO11" i="8"/>
  <c r="AO29" i="8"/>
  <c r="AO47" i="8"/>
  <c r="FW3" i="11"/>
  <c r="GS3" i="11" s="1"/>
  <c r="FX19" i="11"/>
  <c r="FX42" i="11"/>
  <c r="EC26" i="12"/>
  <c r="EC8" i="12"/>
  <c r="EC21" i="12"/>
  <c r="CL31" i="12"/>
  <c r="CL40" i="12"/>
  <c r="AO13" i="8"/>
  <c r="AO30" i="8"/>
  <c r="AO41" i="8"/>
  <c r="AO10" i="8"/>
  <c r="AO33" i="8"/>
  <c r="AO40" i="8"/>
  <c r="AO19" i="8"/>
  <c r="AO37" i="8"/>
  <c r="AO39" i="8"/>
  <c r="AO9" i="8"/>
  <c r="AO27" i="8"/>
  <c r="AO48" i="8"/>
  <c r="AO15" i="8"/>
  <c r="AO25" i="8"/>
  <c r="AO45" i="8"/>
  <c r="AO8" i="8"/>
  <c r="AO32" i="8"/>
  <c r="AO52" i="8"/>
  <c r="Y22" i="12"/>
  <c r="Y52" i="12"/>
  <c r="Y27" i="12"/>
  <c r="Y49" i="12"/>
  <c r="Y4" i="12"/>
  <c r="Y25" i="12"/>
  <c r="Y48" i="12"/>
  <c r="Y12" i="12"/>
  <c r="Y17" i="12"/>
  <c r="Y33" i="12"/>
  <c r="Y11" i="12"/>
  <c r="Y32" i="12"/>
  <c r="Y16" i="12"/>
  <c r="Y38" i="12"/>
  <c r="X3" i="12"/>
  <c r="CI3" i="12" s="1"/>
  <c r="Y15" i="12"/>
  <c r="Y41" i="12"/>
  <c r="Y26" i="12"/>
  <c r="Y39" i="12"/>
  <c r="Y9" i="12"/>
  <c r="Y19" i="12"/>
  <c r="Y37" i="12"/>
  <c r="Y13" i="12"/>
  <c r="Y42" i="12"/>
  <c r="Y3" i="12"/>
  <c r="Y28" i="12"/>
  <c r="Y45" i="12"/>
  <c r="Y18" i="12"/>
  <c r="Y44" i="12"/>
  <c r="Y21" i="12"/>
  <c r="Y36" i="12"/>
  <c r="Y51" i="12"/>
  <c r="Y23" i="12"/>
  <c r="Y35" i="12"/>
  <c r="Y50" i="12"/>
  <c r="Y20" i="12"/>
  <c r="Y29" i="12"/>
  <c r="EP38" i="8"/>
  <c r="EQ38" i="8" s="1"/>
  <c r="Y25" i="7"/>
  <c r="Y30" i="7"/>
  <c r="EP38" i="11"/>
  <c r="EQ38" i="11" s="1"/>
  <c r="CL5" i="6"/>
  <c r="EC8" i="6"/>
  <c r="EC15" i="6"/>
  <c r="CL24" i="6"/>
  <c r="CL33" i="6"/>
  <c r="CL44" i="6"/>
  <c r="EC50" i="6"/>
  <c r="BB3" i="12"/>
  <c r="BB4" i="12" s="1"/>
  <c r="EC4" i="6"/>
  <c r="CL10" i="6"/>
  <c r="CL19" i="6"/>
  <c r="CL20" i="6"/>
  <c r="EC37" i="6"/>
  <c r="EC47" i="6"/>
  <c r="CL45" i="6"/>
  <c r="Y13" i="7"/>
  <c r="EC3" i="6"/>
  <c r="EC12" i="6"/>
  <c r="EC22" i="6"/>
  <c r="CL28" i="6"/>
  <c r="CL31" i="6"/>
  <c r="EC41" i="6"/>
  <c r="EC49" i="6"/>
  <c r="Y16" i="7"/>
  <c r="DG3" i="6"/>
  <c r="EC14" i="6"/>
  <c r="EC17" i="6"/>
  <c r="EC23" i="6"/>
  <c r="EC30" i="6"/>
  <c r="EC35" i="6"/>
  <c r="EC48" i="6"/>
  <c r="Y15" i="7"/>
  <c r="EC40" i="6"/>
  <c r="CL6" i="6"/>
  <c r="CL9" i="6"/>
  <c r="EC24" i="6"/>
  <c r="CL34" i="6"/>
  <c r="CL30" i="6"/>
  <c r="EC45" i="6"/>
  <c r="CL52" i="6"/>
  <c r="Y17" i="7"/>
  <c r="CL4" i="6"/>
  <c r="CL16" i="6"/>
  <c r="EC20" i="6"/>
  <c r="EC29" i="6"/>
  <c r="CL38" i="6"/>
  <c r="CL50" i="6"/>
  <c r="Y28" i="7"/>
  <c r="EC25" i="6"/>
  <c r="CL26" i="6"/>
  <c r="CL36" i="6"/>
  <c r="CL51" i="6"/>
  <c r="Y27" i="7"/>
  <c r="EP38" i="9"/>
  <c r="EQ38" i="9" s="1"/>
  <c r="EC6" i="6"/>
  <c r="CL18" i="6"/>
  <c r="CL23" i="6"/>
  <c r="CL25" i="6"/>
  <c r="CL39" i="6"/>
  <c r="EC44" i="6"/>
  <c r="Y42" i="7"/>
  <c r="EC13" i="6"/>
  <c r="CL15" i="6"/>
  <c r="EC27" i="6"/>
  <c r="CL35" i="6"/>
  <c r="EC39" i="6"/>
  <c r="CL48" i="6"/>
  <c r="Y39" i="7"/>
  <c r="CL3" i="6"/>
  <c r="EC21" i="6"/>
  <c r="CL29" i="6"/>
  <c r="EC36" i="6"/>
  <c r="CL42" i="6"/>
  <c r="EC52" i="6"/>
  <c r="Y45" i="7"/>
  <c r="DC6" i="10"/>
  <c r="EC9" i="6"/>
  <c r="CL14" i="6"/>
  <c r="EC18" i="6"/>
  <c r="EC28" i="6"/>
  <c r="CL41" i="6"/>
  <c r="Y49" i="7"/>
  <c r="DC3" i="10"/>
  <c r="DB3" i="10" s="1"/>
  <c r="Y23" i="7"/>
  <c r="Y35" i="7"/>
  <c r="Y46" i="7"/>
  <c r="X3" i="7"/>
  <c r="CI3" i="7" s="1"/>
  <c r="Y14" i="7"/>
  <c r="Y33" i="7"/>
  <c r="Y44" i="7"/>
  <c r="CL2" i="7"/>
  <c r="EC2" i="7"/>
  <c r="DC17" i="5"/>
  <c r="Y11" i="7"/>
  <c r="Y24" i="7"/>
  <c r="Y52" i="7"/>
  <c r="DC9" i="10"/>
  <c r="DC9" i="5"/>
  <c r="Y20" i="7"/>
  <c r="Y40" i="7"/>
  <c r="Y51" i="7"/>
  <c r="Y10" i="7"/>
  <c r="DE3" i="10"/>
  <c r="DC21" i="12"/>
  <c r="DC8" i="6"/>
  <c r="Y22" i="7"/>
  <c r="Y43" i="7"/>
  <c r="Y48" i="7"/>
  <c r="CL17" i="10"/>
  <c r="CL4" i="10"/>
  <c r="DC3" i="6"/>
  <c r="DB3" i="6" s="1"/>
  <c r="DQ3" i="6" s="1"/>
  <c r="Y5" i="7"/>
  <c r="Y21" i="7"/>
  <c r="Y36" i="7"/>
  <c r="DC4" i="10"/>
  <c r="DC2" i="11"/>
  <c r="EB3" i="3"/>
  <c r="EC10" i="3"/>
  <c r="EC26" i="3"/>
  <c r="EC42" i="3"/>
  <c r="EC11" i="3"/>
  <c r="EC27" i="3"/>
  <c r="EC43" i="3"/>
  <c r="EC12" i="3"/>
  <c r="EC28" i="3"/>
  <c r="EC44" i="3"/>
  <c r="EC13" i="3"/>
  <c r="EC29" i="3"/>
  <c r="EC45" i="3"/>
  <c r="EC14" i="3"/>
  <c r="EC30" i="3"/>
  <c r="EC46" i="3"/>
  <c r="EC15" i="3"/>
  <c r="EC31" i="3"/>
  <c r="EC47" i="3"/>
  <c r="EC16" i="3"/>
  <c r="EC32" i="3"/>
  <c r="EC48" i="3"/>
  <c r="EC17" i="3"/>
  <c r="EC33" i="3"/>
  <c r="EC49" i="3"/>
  <c r="EC18" i="3"/>
  <c r="EC34" i="3"/>
  <c r="EC50" i="3"/>
  <c r="EC19" i="3"/>
  <c r="EC35" i="3"/>
  <c r="EC51" i="3"/>
  <c r="EC4" i="3"/>
  <c r="EC20" i="3"/>
  <c r="EC36" i="3"/>
  <c r="EC52" i="3"/>
  <c r="EC5" i="3"/>
  <c r="EC21" i="3"/>
  <c r="EC37" i="3"/>
  <c r="EC3" i="3"/>
  <c r="EC6" i="3"/>
  <c r="EC22" i="3"/>
  <c r="EC38" i="3"/>
  <c r="EC7" i="3"/>
  <c r="EC23" i="3"/>
  <c r="EC39" i="3"/>
  <c r="EC8" i="3"/>
  <c r="EC24" i="3"/>
  <c r="EC40" i="3"/>
  <c r="EC9" i="3"/>
  <c r="EC25" i="3"/>
  <c r="EC41" i="3"/>
  <c r="Y4" i="7"/>
  <c r="Y26" i="7"/>
  <c r="Y31" i="7"/>
  <c r="EC2" i="8"/>
  <c r="CL2" i="8"/>
  <c r="CK3" i="8" s="1"/>
  <c r="DG3" i="8" s="1"/>
  <c r="Y12" i="7"/>
  <c r="Y19" i="7"/>
  <c r="Y50" i="7"/>
  <c r="DC2" i="9"/>
  <c r="DC2" i="6"/>
  <c r="DC2" i="10"/>
  <c r="DC3" i="9"/>
  <c r="DB3" i="9" s="1"/>
  <c r="DQ3" i="9" s="1"/>
  <c r="DC2" i="5"/>
  <c r="DC6" i="5"/>
  <c r="DC2" i="12"/>
  <c r="DC7" i="9"/>
  <c r="DC8" i="12"/>
  <c r="Y7" i="7"/>
  <c r="Y18" i="7"/>
  <c r="Y47" i="7"/>
  <c r="DC10" i="9"/>
  <c r="DC5" i="9"/>
  <c r="DC3" i="11"/>
  <c r="DB3" i="11" s="1"/>
  <c r="DQ3" i="11" s="1"/>
  <c r="Y8" i="12"/>
  <c r="Y5" i="12"/>
  <c r="Y3" i="7"/>
  <c r="Y29" i="7"/>
  <c r="Y37" i="7"/>
  <c r="DC3" i="12"/>
  <c r="DB3" i="12" s="1"/>
  <c r="DQ3" i="12" s="1"/>
  <c r="Y9" i="7"/>
  <c r="Y32" i="7"/>
  <c r="Y38" i="7"/>
  <c r="EP38" i="12"/>
  <c r="EQ38" i="12" s="1"/>
  <c r="CL3" i="12"/>
  <c r="CK3" i="12"/>
  <c r="CL6" i="12"/>
  <c r="EC4" i="12"/>
  <c r="DC16" i="11"/>
  <c r="Y8" i="7"/>
  <c r="Y34" i="7"/>
  <c r="Y41" i="7"/>
  <c r="HL2" i="7"/>
  <c r="DC4" i="9"/>
  <c r="DZ2" i="10"/>
  <c r="EP38" i="10"/>
  <c r="EQ38" i="10" s="1"/>
  <c r="DZ2" i="9"/>
  <c r="DZ2" i="12"/>
  <c r="CZ2" i="6"/>
  <c r="CZ3" i="6" s="1"/>
  <c r="CZ4" i="6" s="1"/>
  <c r="CZ5" i="6" s="1"/>
  <c r="CZ6" i="6" s="1"/>
  <c r="CZ7" i="6" s="1"/>
  <c r="CZ8" i="6" s="1"/>
  <c r="CZ9" i="6" s="1"/>
  <c r="CZ10" i="6" s="1"/>
  <c r="CZ11" i="6" s="1"/>
  <c r="CM2" i="10"/>
  <c r="CP2" i="10" s="1"/>
  <c r="CM2" i="7"/>
  <c r="CP2" i="7" s="1"/>
  <c r="CQ2" i="7" s="1"/>
  <c r="AP2" i="3"/>
  <c r="AS2" i="3" s="1"/>
  <c r="AP2" i="12"/>
  <c r="CC2" i="5"/>
  <c r="FY2" i="5"/>
  <c r="AP2" i="7"/>
  <c r="AH2" i="5"/>
  <c r="CM2" i="11"/>
  <c r="AP2" i="11"/>
  <c r="FY2" i="12"/>
  <c r="CM2" i="12"/>
  <c r="FY2" i="8"/>
  <c r="CM2" i="8"/>
  <c r="CM2" i="5"/>
  <c r="CM2" i="6"/>
  <c r="FY2" i="10"/>
  <c r="CC2" i="6"/>
  <c r="AP2" i="10"/>
  <c r="FQ2" i="6"/>
  <c r="FY2" i="6"/>
  <c r="GE2" i="6" s="1"/>
  <c r="HS2" i="6"/>
  <c r="AE2" i="9"/>
  <c r="AF2" i="9" s="1"/>
  <c r="FY2" i="9"/>
  <c r="GB2" i="9" s="1"/>
  <c r="GC2" i="9" s="1"/>
  <c r="AJ2" i="10"/>
  <c r="FY2" i="11"/>
  <c r="GB2" i="11" s="1"/>
  <c r="AH2" i="6"/>
  <c r="AP2" i="9"/>
  <c r="AV2" i="9" s="1"/>
  <c r="GL9" i="5"/>
  <c r="GL10" i="5" s="1"/>
  <c r="GL11" i="5" s="1"/>
  <c r="AP2" i="6"/>
  <c r="AV2" i="6" s="1"/>
  <c r="AP2" i="8"/>
  <c r="CY3" i="12"/>
  <c r="BC2" i="11"/>
  <c r="BC3" i="11" s="1"/>
  <c r="BC4" i="11" s="1"/>
  <c r="GL2" i="8"/>
  <c r="GL3" i="8" s="1"/>
  <c r="GL4" i="8" s="1"/>
  <c r="GL5" i="8" s="1"/>
  <c r="GL6" i="8" s="1"/>
  <c r="GL7" i="8" s="1"/>
  <c r="GL8" i="8" s="1"/>
  <c r="GL9" i="8" s="1"/>
  <c r="GL10" i="8" s="1"/>
  <c r="GL11" i="8" s="1"/>
  <c r="CY3" i="8"/>
  <c r="CY4" i="8" s="1"/>
  <c r="CY5" i="8" s="1"/>
  <c r="CY6" i="8" s="1"/>
  <c r="CY7" i="8" s="1"/>
  <c r="CY8" i="8" s="1"/>
  <c r="CY9" i="8" s="1"/>
  <c r="CY10" i="8" s="1"/>
  <c r="CY11" i="8" s="1"/>
  <c r="DZ2" i="7"/>
  <c r="BB3" i="7"/>
  <c r="BB4" i="7" s="1"/>
  <c r="BB4" i="6"/>
  <c r="GK3" i="6"/>
  <c r="GK4" i="6" s="1"/>
  <c r="GK5" i="6" s="1"/>
  <c r="GK6" i="6" s="1"/>
  <c r="GK7" i="6" s="1"/>
  <c r="GK8" i="6" s="1"/>
  <c r="GK9" i="6" s="1"/>
  <c r="GK10" i="6" s="1"/>
  <c r="GK11" i="6" s="1"/>
  <c r="CY3" i="5"/>
  <c r="CY4" i="5" s="1"/>
  <c r="CY5" i="5" s="1"/>
  <c r="CY6" i="5" s="1"/>
  <c r="CY7" i="5" s="1"/>
  <c r="CY8" i="5" s="1"/>
  <c r="CY9" i="5" s="1"/>
  <c r="CY10" i="5" s="1"/>
  <c r="CY11" i="5" s="1"/>
  <c r="DC18" i="12"/>
  <c r="T18" i="12"/>
  <c r="GO18" i="12"/>
  <c r="U42" i="12"/>
  <c r="T41" i="12"/>
  <c r="GO41" i="12"/>
  <c r="T49" i="12"/>
  <c r="U50" i="12"/>
  <c r="GO49" i="12"/>
  <c r="GK3" i="12"/>
  <c r="GK4" i="12" s="1"/>
  <c r="GK5" i="12" s="1"/>
  <c r="GK6" i="12" s="1"/>
  <c r="GK7" i="12" s="1"/>
  <c r="GK8" i="12" s="1"/>
  <c r="GK9" i="12" s="1"/>
  <c r="GK10" i="12" s="1"/>
  <c r="GK11" i="12" s="1"/>
  <c r="HS2" i="12"/>
  <c r="FQ2" i="12"/>
  <c r="U3" i="12"/>
  <c r="U4" i="12" s="1"/>
  <c r="U5" i="12" s="1"/>
  <c r="U6" i="12" s="1"/>
  <c r="U7" i="12" s="1"/>
  <c r="U8" i="12" s="1"/>
  <c r="U9" i="12" s="1"/>
  <c r="U10" i="12" s="1"/>
  <c r="U11" i="12" s="1"/>
  <c r="U12" i="12" s="1"/>
  <c r="U13" i="12" s="1"/>
  <c r="U14" i="12" s="1"/>
  <c r="U15" i="12" s="1"/>
  <c r="U16" i="12" s="1"/>
  <c r="U17" i="12" s="1"/>
  <c r="U18" i="12" s="1"/>
  <c r="U19" i="12" s="1"/>
  <c r="U20" i="12" s="1"/>
  <c r="U21" i="12" s="1"/>
  <c r="U22" i="12" s="1"/>
  <c r="U23" i="12" s="1"/>
  <c r="U24" i="12" s="1"/>
  <c r="U25" i="12" s="1"/>
  <c r="U26" i="12" s="1"/>
  <c r="U27" i="12" s="1"/>
  <c r="U28" i="12" s="1"/>
  <c r="U29" i="12" s="1"/>
  <c r="U30" i="12" s="1"/>
  <c r="U31" i="12" s="1"/>
  <c r="U32" i="12" s="1"/>
  <c r="U33" i="12" s="1"/>
  <c r="U34" i="12" s="1"/>
  <c r="U35" i="12" s="1"/>
  <c r="U36" i="12" s="1"/>
  <c r="CC2" i="12"/>
  <c r="AH2" i="12"/>
  <c r="GO27" i="12"/>
  <c r="DC27" i="12"/>
  <c r="T27" i="12"/>
  <c r="GO31" i="12"/>
  <c r="DC31" i="12"/>
  <c r="T31" i="12"/>
  <c r="T48" i="12"/>
  <c r="U49" i="12"/>
  <c r="GO48" i="12"/>
  <c r="AO47" i="12"/>
  <c r="AO48" i="12"/>
  <c r="AO49" i="12"/>
  <c r="AO50" i="12"/>
  <c r="AO42" i="12"/>
  <c r="AO51" i="12"/>
  <c r="AO52" i="12"/>
  <c r="AO45" i="12"/>
  <c r="AO40" i="12"/>
  <c r="AO46" i="12"/>
  <c r="AO36" i="12"/>
  <c r="AO41" i="12"/>
  <c r="AO39" i="12"/>
  <c r="AO35" i="12"/>
  <c r="AO44" i="12"/>
  <c r="AO33" i="12"/>
  <c r="AO34" i="12"/>
  <c r="AO30" i="12"/>
  <c r="AO43" i="12"/>
  <c r="AO31" i="12"/>
  <c r="AO32" i="12"/>
  <c r="AO38" i="12"/>
  <c r="AO37" i="12"/>
  <c r="AO28" i="12"/>
  <c r="AO24" i="12"/>
  <c r="AO29" i="12"/>
  <c r="AO26" i="12"/>
  <c r="AO23" i="12"/>
  <c r="AO16" i="12"/>
  <c r="AO27" i="12"/>
  <c r="AO20" i="12"/>
  <c r="AO19" i="12"/>
  <c r="AO15" i="12"/>
  <c r="AO17" i="12"/>
  <c r="AO11" i="12"/>
  <c r="AO7" i="12"/>
  <c r="AO9" i="12"/>
  <c r="AO22" i="12"/>
  <c r="AO18" i="12"/>
  <c r="AO14" i="12"/>
  <c r="AO12" i="12"/>
  <c r="AO8" i="12"/>
  <c r="AO6" i="12"/>
  <c r="AO25" i="12"/>
  <c r="AO13" i="12"/>
  <c r="AO5" i="12"/>
  <c r="AO21" i="12"/>
  <c r="AO10" i="12"/>
  <c r="AO4" i="12"/>
  <c r="AO3" i="12"/>
  <c r="AN3" i="12"/>
  <c r="GO22" i="12"/>
  <c r="DC22" i="12"/>
  <c r="T22" i="12"/>
  <c r="U38" i="12"/>
  <c r="GO37" i="12"/>
  <c r="T47" i="12"/>
  <c r="U48" i="12"/>
  <c r="GO47" i="12"/>
  <c r="DC4" i="12"/>
  <c r="GO4" i="12"/>
  <c r="T4" i="12"/>
  <c r="L4" i="12" s="1"/>
  <c r="L5" i="12" s="1"/>
  <c r="T13" i="12"/>
  <c r="DC13" i="12"/>
  <c r="GO13" i="12"/>
  <c r="GO30" i="12"/>
  <c r="T30" i="12"/>
  <c r="DC30" i="12"/>
  <c r="T46" i="12"/>
  <c r="U47" i="12"/>
  <c r="GO46" i="12"/>
  <c r="AE2" i="12"/>
  <c r="AA49" i="12"/>
  <c r="AA50" i="12"/>
  <c r="AA51" i="12"/>
  <c r="AA43" i="12"/>
  <c r="AA52" i="12"/>
  <c r="AA44" i="12"/>
  <c r="AA45" i="12"/>
  <c r="AA47" i="12"/>
  <c r="AA48" i="12"/>
  <c r="AA42" i="12"/>
  <c r="AA37" i="12"/>
  <c r="AA39" i="12"/>
  <c r="AA41" i="12"/>
  <c r="AA46" i="12"/>
  <c r="AA40" i="12"/>
  <c r="AA38" i="12"/>
  <c r="AA32" i="12"/>
  <c r="AA33" i="12"/>
  <c r="AA35" i="12"/>
  <c r="AA36" i="12"/>
  <c r="AA34" i="12"/>
  <c r="AA26" i="12"/>
  <c r="AA30" i="12"/>
  <c r="AA31" i="12"/>
  <c r="AA25" i="12"/>
  <c r="AA27" i="12"/>
  <c r="AA29" i="12"/>
  <c r="AA24" i="12"/>
  <c r="AA19" i="12"/>
  <c r="AA28" i="12"/>
  <c r="AA23" i="12"/>
  <c r="AA21" i="12"/>
  <c r="AA14" i="12"/>
  <c r="AA18" i="12"/>
  <c r="AA22" i="12"/>
  <c r="AA8" i="12"/>
  <c r="AA17" i="12"/>
  <c r="AA9" i="12"/>
  <c r="AA20" i="12"/>
  <c r="AA16" i="12"/>
  <c r="AA12" i="12"/>
  <c r="AA15" i="12"/>
  <c r="AA10" i="12"/>
  <c r="AA13" i="12"/>
  <c r="AA6" i="12"/>
  <c r="AA11" i="12"/>
  <c r="AA7" i="12"/>
  <c r="AA3" i="12"/>
  <c r="AA4" i="12"/>
  <c r="AA5" i="12"/>
  <c r="DC12" i="12"/>
  <c r="T12" i="12"/>
  <c r="GO12" i="12"/>
  <c r="GO38" i="12"/>
  <c r="U39" i="12"/>
  <c r="T38" i="12"/>
  <c r="GO19" i="12"/>
  <c r="T19" i="12"/>
  <c r="DC19" i="12"/>
  <c r="DC34" i="12"/>
  <c r="GO34" i="12"/>
  <c r="T34" i="12"/>
  <c r="GO14" i="12"/>
  <c r="DC14" i="12"/>
  <c r="T14" i="12"/>
  <c r="DC33" i="12"/>
  <c r="T33" i="12"/>
  <c r="GO33" i="12"/>
  <c r="U43" i="12"/>
  <c r="T42" i="12"/>
  <c r="GO42" i="12"/>
  <c r="FF3" i="12"/>
  <c r="EB4" i="12"/>
  <c r="GO10" i="12"/>
  <c r="T10" i="12"/>
  <c r="DC10" i="12"/>
  <c r="GO28" i="12"/>
  <c r="T28" i="12"/>
  <c r="DC28" i="12"/>
  <c r="GO36" i="12"/>
  <c r="T36" i="12"/>
  <c r="DC36" i="12"/>
  <c r="U37" i="12"/>
  <c r="DW5" i="12"/>
  <c r="HI5" i="12"/>
  <c r="FX45" i="12"/>
  <c r="FX46" i="12"/>
  <c r="FX47" i="12"/>
  <c r="FX48" i="12"/>
  <c r="FX50" i="12"/>
  <c r="FX51" i="12"/>
  <c r="FX43" i="12"/>
  <c r="FX49" i="12"/>
  <c r="FX52" i="12"/>
  <c r="FX38" i="12"/>
  <c r="FX44" i="12"/>
  <c r="FX41" i="12"/>
  <c r="FX42" i="12"/>
  <c r="FX40" i="12"/>
  <c r="FX39" i="12"/>
  <c r="FX37" i="12"/>
  <c r="FX32" i="12"/>
  <c r="FX35" i="12"/>
  <c r="FX34" i="12"/>
  <c r="FX29" i="12"/>
  <c r="FX36" i="12"/>
  <c r="FX30" i="12"/>
  <c r="FX33" i="12"/>
  <c r="FX22" i="12"/>
  <c r="FX25" i="12"/>
  <c r="FX31" i="12"/>
  <c r="FX19" i="12"/>
  <c r="FX27" i="12"/>
  <c r="FX26" i="12"/>
  <c r="FX20" i="12"/>
  <c r="FX23" i="12"/>
  <c r="FX14" i="12"/>
  <c r="FX28" i="12"/>
  <c r="FX17" i="12"/>
  <c r="FX16" i="12"/>
  <c r="FX11" i="12"/>
  <c r="FX24" i="12"/>
  <c r="FX21" i="12"/>
  <c r="FX15" i="12"/>
  <c r="FX18" i="12"/>
  <c r="FX9" i="12"/>
  <c r="FX5" i="12"/>
  <c r="FX10" i="12"/>
  <c r="FX8" i="12"/>
  <c r="FX7" i="12"/>
  <c r="FX13" i="12"/>
  <c r="FX12" i="12"/>
  <c r="FX6" i="12"/>
  <c r="FX3" i="12"/>
  <c r="FW3" i="12"/>
  <c r="FX4" i="12"/>
  <c r="GO29" i="12"/>
  <c r="DC29" i="12"/>
  <c r="T29" i="12"/>
  <c r="GO43" i="12"/>
  <c r="T43" i="12"/>
  <c r="U44" i="12"/>
  <c r="GO5" i="12"/>
  <c r="T5" i="12"/>
  <c r="DC5" i="12"/>
  <c r="GO25" i="12"/>
  <c r="T25" i="12"/>
  <c r="DC25" i="12"/>
  <c r="DC35" i="12"/>
  <c r="GO35" i="12"/>
  <c r="T35" i="12"/>
  <c r="GO11" i="12"/>
  <c r="DC11" i="12"/>
  <c r="T11" i="12"/>
  <c r="DC15" i="12"/>
  <c r="GO15" i="12"/>
  <c r="T15" i="12"/>
  <c r="U40" i="12"/>
  <c r="T39" i="12"/>
  <c r="GO39" i="12"/>
  <c r="T6" i="12"/>
  <c r="DC6" i="12"/>
  <c r="GO6" i="12"/>
  <c r="GO20" i="12"/>
  <c r="DC20" i="12"/>
  <c r="T20" i="12"/>
  <c r="GO45" i="12"/>
  <c r="T45" i="12"/>
  <c r="U46" i="12"/>
  <c r="T16" i="12"/>
  <c r="GO16" i="12"/>
  <c r="DC16" i="12"/>
  <c r="DC26" i="12"/>
  <c r="T26" i="12"/>
  <c r="GO26" i="12"/>
  <c r="T50" i="12"/>
  <c r="U51" i="12"/>
  <c r="GO50" i="12"/>
  <c r="M3" i="12"/>
  <c r="AC3" i="12"/>
  <c r="T9" i="12"/>
  <c r="GO9" i="12"/>
  <c r="DC9" i="12"/>
  <c r="GO32" i="12"/>
  <c r="T32" i="12"/>
  <c r="DC32" i="12"/>
  <c r="T44" i="12"/>
  <c r="U45" i="12"/>
  <c r="GO44" i="12"/>
  <c r="T7" i="12"/>
  <c r="GO7" i="12"/>
  <c r="DC7" i="12"/>
  <c r="DC17" i="12"/>
  <c r="GO17" i="12"/>
  <c r="T17" i="12"/>
  <c r="T23" i="12"/>
  <c r="GO23" i="12"/>
  <c r="DC23" i="12"/>
  <c r="T52" i="12"/>
  <c r="GO52" i="12"/>
  <c r="DC24" i="12"/>
  <c r="T24" i="12"/>
  <c r="GO24" i="12"/>
  <c r="T40" i="12"/>
  <c r="GO40" i="12"/>
  <c r="U41" i="12"/>
  <c r="U52" i="12"/>
  <c r="GO51" i="12"/>
  <c r="T51" i="12"/>
  <c r="Z3" i="12"/>
  <c r="CI3" i="11"/>
  <c r="AC3" i="11"/>
  <c r="BG3" i="11"/>
  <c r="BR3" i="11"/>
  <c r="BT3" i="11" s="1"/>
  <c r="BE3" i="11"/>
  <c r="GO12" i="11"/>
  <c r="T12" i="11"/>
  <c r="DC12" i="11"/>
  <c r="U43" i="11"/>
  <c r="GO42" i="11"/>
  <c r="T42" i="11"/>
  <c r="CJ3" i="11"/>
  <c r="HL2" i="11"/>
  <c r="DC8" i="11"/>
  <c r="T8" i="11"/>
  <c r="GO8" i="11"/>
  <c r="T24" i="11"/>
  <c r="DC24" i="11"/>
  <c r="GO24" i="11"/>
  <c r="GO48" i="11"/>
  <c r="U49" i="11"/>
  <c r="T48" i="11"/>
  <c r="M3" i="11"/>
  <c r="Y48" i="11"/>
  <c r="Y50" i="11"/>
  <c r="Y51" i="11"/>
  <c r="Y43" i="11"/>
  <c r="Y52" i="11"/>
  <c r="Y46" i="11"/>
  <c r="Y49" i="11"/>
  <c r="Y42" i="11"/>
  <c r="Y40" i="11"/>
  <c r="Y41" i="11"/>
  <c r="Y44" i="11"/>
  <c r="Y45" i="11"/>
  <c r="Y37" i="11"/>
  <c r="Y36" i="11"/>
  <c r="Y47" i="11"/>
  <c r="Y39" i="11"/>
  <c r="Y38" i="11"/>
  <c r="Y32" i="11"/>
  <c r="Y27" i="11"/>
  <c r="Y31" i="11"/>
  <c r="Y30" i="11"/>
  <c r="Y29" i="11"/>
  <c r="Y34" i="11"/>
  <c r="Y26" i="11"/>
  <c r="Y23" i="11"/>
  <c r="Y35" i="11"/>
  <c r="Y19" i="11"/>
  <c r="Y33" i="11"/>
  <c r="Y25" i="11"/>
  <c r="Y21" i="11"/>
  <c r="Y22" i="11"/>
  <c r="Y24" i="11"/>
  <c r="Y16" i="11"/>
  <c r="Y12" i="11"/>
  <c r="Y18" i="11"/>
  <c r="Y15" i="11"/>
  <c r="Y13" i="11"/>
  <c r="Y20" i="11"/>
  <c r="Y10" i="11"/>
  <c r="Y8" i="11"/>
  <c r="Y11" i="11"/>
  <c r="Y6" i="11"/>
  <c r="Y28" i="11"/>
  <c r="Y9" i="11"/>
  <c r="Y14" i="11"/>
  <c r="Y7" i="11"/>
  <c r="Y3" i="11"/>
  <c r="X4" i="11" s="1"/>
  <c r="Y4" i="11"/>
  <c r="Y17" i="11"/>
  <c r="Y5" i="11"/>
  <c r="DC6" i="11"/>
  <c r="T6" i="11"/>
  <c r="GO6" i="11"/>
  <c r="T10" i="11"/>
  <c r="GO10" i="11"/>
  <c r="DC10" i="11"/>
  <c r="GO33" i="11"/>
  <c r="DC33" i="11"/>
  <c r="T33" i="11"/>
  <c r="GO41" i="11"/>
  <c r="T41" i="11"/>
  <c r="U42" i="11"/>
  <c r="DC26" i="11"/>
  <c r="T26" i="11"/>
  <c r="GO26" i="11"/>
  <c r="T13" i="11"/>
  <c r="GO13" i="11"/>
  <c r="DC13" i="11"/>
  <c r="T27" i="11"/>
  <c r="GO27" i="11"/>
  <c r="DC27" i="11"/>
  <c r="U41" i="11"/>
  <c r="GO40" i="11"/>
  <c r="T40" i="11"/>
  <c r="GO17" i="11"/>
  <c r="DC17" i="11"/>
  <c r="T17" i="11"/>
  <c r="GO29" i="11"/>
  <c r="T29" i="11"/>
  <c r="DC29" i="11"/>
  <c r="GO43" i="11"/>
  <c r="T43" i="11"/>
  <c r="U44" i="11"/>
  <c r="DC9" i="11"/>
  <c r="T9" i="11"/>
  <c r="GO9" i="11"/>
  <c r="T28" i="11"/>
  <c r="GO28" i="11"/>
  <c r="DC28" i="11"/>
  <c r="T47" i="11"/>
  <c r="GO47" i="11"/>
  <c r="U48" i="11"/>
  <c r="AA49" i="11"/>
  <c r="AA51" i="11"/>
  <c r="AA52" i="11"/>
  <c r="AA44" i="11"/>
  <c r="AA47" i="11"/>
  <c r="AA50" i="11"/>
  <c r="AA48" i="11"/>
  <c r="AA41" i="11"/>
  <c r="AA46" i="11"/>
  <c r="AA42" i="11"/>
  <c r="AA39" i="11"/>
  <c r="AA45" i="11"/>
  <c r="AA43" i="11"/>
  <c r="AA36" i="11"/>
  <c r="AA37" i="11"/>
  <c r="AA30" i="11"/>
  <c r="AA38" i="11"/>
  <c r="AA40" i="11"/>
  <c r="AA33" i="11"/>
  <c r="AA28" i="11"/>
  <c r="AA34" i="11"/>
  <c r="AA26" i="11"/>
  <c r="AA24" i="11"/>
  <c r="AA32" i="11"/>
  <c r="AA35" i="11"/>
  <c r="AA31" i="11"/>
  <c r="AA29" i="11"/>
  <c r="AA23" i="11"/>
  <c r="AA20" i="11"/>
  <c r="AA27" i="11"/>
  <c r="AA25" i="11"/>
  <c r="AA22" i="11"/>
  <c r="AA17" i="11"/>
  <c r="AA16" i="11"/>
  <c r="AA21" i="11"/>
  <c r="AA19" i="11"/>
  <c r="AA10" i="11"/>
  <c r="AA8" i="11"/>
  <c r="AA13" i="11"/>
  <c r="AA11" i="11"/>
  <c r="AA18" i="11"/>
  <c r="AA7" i="11"/>
  <c r="AA12" i="11"/>
  <c r="AA6" i="11"/>
  <c r="AA3" i="11"/>
  <c r="Z4" i="11" s="1"/>
  <c r="AA4" i="11"/>
  <c r="AA9" i="11"/>
  <c r="AA14" i="11"/>
  <c r="AA5" i="11"/>
  <c r="AA15" i="11"/>
  <c r="AO47" i="11"/>
  <c r="AO50" i="11"/>
  <c r="AO51" i="11"/>
  <c r="AO52" i="11"/>
  <c r="AO45" i="11"/>
  <c r="AO44" i="11"/>
  <c r="AO49" i="11"/>
  <c r="AO42" i="11"/>
  <c r="AO46" i="11"/>
  <c r="AO48" i="11"/>
  <c r="AO43" i="11"/>
  <c r="AO40" i="11"/>
  <c r="AO41" i="11"/>
  <c r="AO38" i="11"/>
  <c r="AO35" i="11"/>
  <c r="AO37" i="11"/>
  <c r="AO36" i="11"/>
  <c r="AO31" i="11"/>
  <c r="AO39" i="11"/>
  <c r="AO33" i="11"/>
  <c r="AO29" i="11"/>
  <c r="AO34" i="11"/>
  <c r="AO32" i="11"/>
  <c r="AO30" i="11"/>
  <c r="AO27" i="11"/>
  <c r="AO24" i="11"/>
  <c r="AO19" i="11"/>
  <c r="AO28" i="11"/>
  <c r="AO20" i="11"/>
  <c r="AO26" i="11"/>
  <c r="AO22" i="11"/>
  <c r="AO25" i="11"/>
  <c r="AO12" i="11"/>
  <c r="AO16" i="11"/>
  <c r="AO9" i="11"/>
  <c r="AO14" i="11"/>
  <c r="AO8" i="11"/>
  <c r="AO15" i="11"/>
  <c r="AO10" i="11"/>
  <c r="AO17" i="11"/>
  <c r="AO13" i="11"/>
  <c r="AO11" i="11"/>
  <c r="AO7" i="11"/>
  <c r="AO6" i="11"/>
  <c r="AO21" i="11"/>
  <c r="AO18" i="11"/>
  <c r="AO23" i="11"/>
  <c r="AO5" i="11"/>
  <c r="AO3" i="11"/>
  <c r="AN4" i="11" s="1"/>
  <c r="AO4" i="11"/>
  <c r="GO15" i="11"/>
  <c r="T15" i="11"/>
  <c r="DC15" i="11"/>
  <c r="DC31" i="11"/>
  <c r="T31" i="11"/>
  <c r="GO31" i="11"/>
  <c r="T44" i="11"/>
  <c r="U45" i="11"/>
  <c r="GO44" i="11"/>
  <c r="AI2" i="11"/>
  <c r="AF2" i="11"/>
  <c r="AJ2" i="11"/>
  <c r="DW5" i="11"/>
  <c r="HS2" i="11"/>
  <c r="FQ2" i="11"/>
  <c r="CC2" i="11"/>
  <c r="U3" i="11"/>
  <c r="U4" i="11" s="1"/>
  <c r="U5" i="11" s="1"/>
  <c r="U6" i="11" s="1"/>
  <c r="U7" i="11" s="1"/>
  <c r="U8" i="11" s="1"/>
  <c r="U9" i="11" s="1"/>
  <c r="U10" i="11" s="1"/>
  <c r="U11" i="11" s="1"/>
  <c r="U12" i="11" s="1"/>
  <c r="U13" i="11" s="1"/>
  <c r="U14" i="11" s="1"/>
  <c r="U15" i="11" s="1"/>
  <c r="U16" i="11" s="1"/>
  <c r="U17" i="11" s="1"/>
  <c r="U18" i="11" s="1"/>
  <c r="U19" i="11" s="1"/>
  <c r="U20" i="11" s="1"/>
  <c r="U21" i="11" s="1"/>
  <c r="U22" i="11" s="1"/>
  <c r="U23" i="11" s="1"/>
  <c r="U24" i="11" s="1"/>
  <c r="U25" i="11" s="1"/>
  <c r="U26" i="11" s="1"/>
  <c r="U27" i="11" s="1"/>
  <c r="U28" i="11" s="1"/>
  <c r="U29" i="11" s="1"/>
  <c r="U30" i="11" s="1"/>
  <c r="U31" i="11" s="1"/>
  <c r="U32" i="11" s="1"/>
  <c r="U33" i="11" s="1"/>
  <c r="U34" i="11" s="1"/>
  <c r="U35" i="11" s="1"/>
  <c r="U36" i="11" s="1"/>
  <c r="AH2" i="11"/>
  <c r="T20" i="11"/>
  <c r="GO20" i="11"/>
  <c r="DC20" i="11"/>
  <c r="T32" i="11"/>
  <c r="GO32" i="11"/>
  <c r="DC32" i="11"/>
  <c r="T52" i="11"/>
  <c r="GO52" i="11"/>
  <c r="FF3" i="11"/>
  <c r="GO7" i="11"/>
  <c r="T7" i="11"/>
  <c r="DC7" i="11"/>
  <c r="T11" i="11"/>
  <c r="GO11" i="11"/>
  <c r="DC11" i="11"/>
  <c r="T30" i="11"/>
  <c r="DC30" i="11"/>
  <c r="GO30" i="11"/>
  <c r="T51" i="11"/>
  <c r="U52" i="11"/>
  <c r="GO51" i="11"/>
  <c r="GO4" i="11"/>
  <c r="DC4" i="11"/>
  <c r="T4" i="11"/>
  <c r="L4" i="11" s="1"/>
  <c r="L5" i="11" s="1"/>
  <c r="HI6" i="11"/>
  <c r="GO22" i="11"/>
  <c r="T22" i="11"/>
  <c r="DC22" i="11"/>
  <c r="GO45" i="11"/>
  <c r="U46" i="11"/>
  <c r="T45" i="11"/>
  <c r="T50" i="11"/>
  <c r="U51" i="11"/>
  <c r="GO50" i="11"/>
  <c r="FW4" i="11"/>
  <c r="GQ3" i="11"/>
  <c r="T14" i="11"/>
  <c r="GO14" i="11"/>
  <c r="DC14" i="11"/>
  <c r="T38" i="11"/>
  <c r="U39" i="11"/>
  <c r="GO38" i="11"/>
  <c r="T49" i="11"/>
  <c r="U50" i="11"/>
  <c r="GO49" i="11"/>
  <c r="DZ2" i="11"/>
  <c r="T21" i="11"/>
  <c r="DC21" i="11"/>
  <c r="GO21" i="11"/>
  <c r="DC36" i="11"/>
  <c r="GO36" i="11"/>
  <c r="U37" i="11"/>
  <c r="T36" i="11"/>
  <c r="U47" i="11"/>
  <c r="T46" i="11"/>
  <c r="GO46" i="11"/>
  <c r="T25" i="11"/>
  <c r="DC25" i="11"/>
  <c r="GO25" i="11"/>
  <c r="GO37" i="11"/>
  <c r="U38" i="11"/>
  <c r="CL52" i="11"/>
  <c r="EC48" i="11"/>
  <c r="EC50" i="11"/>
  <c r="EC51" i="11"/>
  <c r="CL47" i="11"/>
  <c r="EC43" i="11"/>
  <c r="EC52" i="11"/>
  <c r="CL48" i="11"/>
  <c r="CL50" i="11"/>
  <c r="EC46" i="11"/>
  <c r="CL40" i="11"/>
  <c r="EC40" i="11"/>
  <c r="EC45" i="11"/>
  <c r="CL44" i="11"/>
  <c r="CL51" i="11"/>
  <c r="EC41" i="11"/>
  <c r="CL45" i="11"/>
  <c r="CL43" i="11"/>
  <c r="CL46" i="11"/>
  <c r="CL41" i="11"/>
  <c r="CL36" i="11"/>
  <c r="CL37" i="11"/>
  <c r="EC47" i="11"/>
  <c r="EC42" i="11"/>
  <c r="CL49" i="11"/>
  <c r="EC44" i="11"/>
  <c r="CL38" i="11"/>
  <c r="CL42" i="11"/>
  <c r="EC37" i="11"/>
  <c r="EC35" i="11"/>
  <c r="CL33" i="11"/>
  <c r="EC29" i="11"/>
  <c r="EC49" i="11"/>
  <c r="EC39" i="11"/>
  <c r="CL39" i="11"/>
  <c r="EC32" i="11"/>
  <c r="EC38" i="11"/>
  <c r="EC33" i="11"/>
  <c r="EC27" i="11"/>
  <c r="CL25" i="11"/>
  <c r="CL35" i="11"/>
  <c r="CL32" i="11"/>
  <c r="CL26" i="11"/>
  <c r="EC34" i="11"/>
  <c r="CL27" i="11"/>
  <c r="EC23" i="11"/>
  <c r="EC28" i="11"/>
  <c r="EC36" i="11"/>
  <c r="EC26" i="11"/>
  <c r="EC24" i="11"/>
  <c r="CL34" i="11"/>
  <c r="EC19" i="11"/>
  <c r="EC25" i="11"/>
  <c r="CL24" i="11"/>
  <c r="CL31" i="11"/>
  <c r="EC30" i="11"/>
  <c r="CL23" i="11"/>
  <c r="EC21" i="11"/>
  <c r="CL17" i="11"/>
  <c r="CL28" i="11"/>
  <c r="CL19" i="11"/>
  <c r="EC22" i="11"/>
  <c r="CL20" i="11"/>
  <c r="EC16" i="11"/>
  <c r="EC12" i="11"/>
  <c r="CL29" i="11"/>
  <c r="CL22" i="11"/>
  <c r="CL9" i="11"/>
  <c r="EC31" i="11"/>
  <c r="EC15" i="11"/>
  <c r="EC20" i="11"/>
  <c r="CL18" i="11"/>
  <c r="EC10" i="11"/>
  <c r="CL10" i="11"/>
  <c r="EC14" i="11"/>
  <c r="EC6" i="11"/>
  <c r="CL14" i="11"/>
  <c r="CL13" i="11"/>
  <c r="CL16" i="11"/>
  <c r="CL15" i="11"/>
  <c r="EC13" i="11"/>
  <c r="CL11" i="11"/>
  <c r="EC7" i="11"/>
  <c r="CL21" i="11"/>
  <c r="EC11" i="11"/>
  <c r="EC18" i="11"/>
  <c r="CL12" i="11"/>
  <c r="EC17" i="11"/>
  <c r="EC8" i="11"/>
  <c r="CL6" i="11"/>
  <c r="CL4" i="11"/>
  <c r="CL5" i="11"/>
  <c r="EC3" i="11"/>
  <c r="EB4" i="11" s="1"/>
  <c r="CL8" i="11"/>
  <c r="CL7" i="11"/>
  <c r="EC4" i="11"/>
  <c r="CL30" i="11"/>
  <c r="EC9" i="11"/>
  <c r="CL3" i="11"/>
  <c r="EC5" i="11"/>
  <c r="DC5" i="11"/>
  <c r="GO5" i="11"/>
  <c r="T5" i="11"/>
  <c r="T19" i="11"/>
  <c r="DC19" i="11"/>
  <c r="GO19" i="11"/>
  <c r="U40" i="11"/>
  <c r="GO39" i="11"/>
  <c r="T39" i="11"/>
  <c r="CK3" i="11"/>
  <c r="GO23" i="11"/>
  <c r="T23" i="11"/>
  <c r="DC23" i="11"/>
  <c r="GO35" i="11"/>
  <c r="T35" i="11"/>
  <c r="DC35" i="11"/>
  <c r="GO18" i="11"/>
  <c r="T18" i="11"/>
  <c r="DC18" i="11"/>
  <c r="GO34" i="11"/>
  <c r="DC34" i="11"/>
  <c r="T34" i="11"/>
  <c r="CI3" i="10"/>
  <c r="L4" i="10"/>
  <c r="L5" i="10" s="1"/>
  <c r="M3" i="10"/>
  <c r="DC21" i="10"/>
  <c r="T21" i="10"/>
  <c r="GO21" i="10"/>
  <c r="HI8" i="10"/>
  <c r="T12" i="10"/>
  <c r="GO12" i="10"/>
  <c r="DC12" i="10"/>
  <c r="GO26" i="10"/>
  <c r="DC26" i="10"/>
  <c r="T26" i="10"/>
  <c r="T52" i="10"/>
  <c r="GO52" i="10"/>
  <c r="HL2" i="10"/>
  <c r="T11" i="10"/>
  <c r="GO11" i="10"/>
  <c r="DC11" i="10"/>
  <c r="T33" i="10"/>
  <c r="GO33" i="10"/>
  <c r="DC33" i="10"/>
  <c r="U43" i="10"/>
  <c r="GO42" i="10"/>
  <c r="T42" i="10"/>
  <c r="GO16" i="10"/>
  <c r="DC16" i="10"/>
  <c r="T16" i="10"/>
  <c r="GO10" i="10"/>
  <c r="DC10" i="10"/>
  <c r="T10" i="10"/>
  <c r="T30" i="10"/>
  <c r="GO30" i="10"/>
  <c r="DC30" i="10"/>
  <c r="T50" i="10"/>
  <c r="U51" i="10"/>
  <c r="GO50" i="10"/>
  <c r="DV3" i="10"/>
  <c r="DX3" i="10" s="1"/>
  <c r="CC2" i="10"/>
  <c r="U3" i="10"/>
  <c r="U4" i="10" s="1"/>
  <c r="U5" i="10" s="1"/>
  <c r="U6" i="10" s="1"/>
  <c r="U7" i="10" s="1"/>
  <c r="U8" i="10" s="1"/>
  <c r="U9" i="10" s="1"/>
  <c r="U10" i="10" s="1"/>
  <c r="U11" i="10" s="1"/>
  <c r="U12" i="10" s="1"/>
  <c r="U13" i="10" s="1"/>
  <c r="U14" i="10" s="1"/>
  <c r="U15" i="10" s="1"/>
  <c r="U16" i="10" s="1"/>
  <c r="U17" i="10" s="1"/>
  <c r="U18" i="10" s="1"/>
  <c r="U19" i="10" s="1"/>
  <c r="U20" i="10" s="1"/>
  <c r="U21" i="10" s="1"/>
  <c r="U22" i="10" s="1"/>
  <c r="U23" i="10" s="1"/>
  <c r="U24" i="10" s="1"/>
  <c r="U25" i="10" s="1"/>
  <c r="U26" i="10" s="1"/>
  <c r="U27" i="10" s="1"/>
  <c r="U28" i="10" s="1"/>
  <c r="U29" i="10" s="1"/>
  <c r="U30" i="10" s="1"/>
  <c r="U31" i="10" s="1"/>
  <c r="U32" i="10" s="1"/>
  <c r="U33" i="10" s="1"/>
  <c r="U34" i="10" s="1"/>
  <c r="U35" i="10" s="1"/>
  <c r="U36" i="10" s="1"/>
  <c r="HS2" i="10"/>
  <c r="FQ2" i="10"/>
  <c r="AH2" i="10"/>
  <c r="GO24" i="10"/>
  <c r="T24" i="10"/>
  <c r="DC24" i="10"/>
  <c r="GO36" i="10"/>
  <c r="DC36" i="10"/>
  <c r="U37" i="10"/>
  <c r="T36" i="10"/>
  <c r="T49" i="10"/>
  <c r="U50" i="10"/>
  <c r="GO49" i="10"/>
  <c r="AO50" i="10"/>
  <c r="AO42" i="10"/>
  <c r="AO51" i="10"/>
  <c r="AO43" i="10"/>
  <c r="AO52" i="10"/>
  <c r="AO45" i="10"/>
  <c r="AO46" i="10"/>
  <c r="AO38" i="10"/>
  <c r="AO49" i="10"/>
  <c r="AO48" i="10"/>
  <c r="AO41" i="10"/>
  <c r="AO44" i="10"/>
  <c r="AO47" i="10"/>
  <c r="AO33" i="10"/>
  <c r="AO34" i="10"/>
  <c r="AO36" i="10"/>
  <c r="AO37" i="10"/>
  <c r="AO35" i="10"/>
  <c r="AO39" i="10"/>
  <c r="AO31" i="10"/>
  <c r="AO40" i="10"/>
  <c r="AO26" i="10"/>
  <c r="AO25" i="10"/>
  <c r="AO30" i="10"/>
  <c r="AO21" i="10"/>
  <c r="AO29" i="10"/>
  <c r="AO18" i="10"/>
  <c r="AO22" i="10"/>
  <c r="AO24" i="10"/>
  <c r="AO19" i="10"/>
  <c r="AO27" i="10"/>
  <c r="AO32" i="10"/>
  <c r="AO20" i="10"/>
  <c r="AO28" i="10"/>
  <c r="AO16" i="10"/>
  <c r="AO10" i="10"/>
  <c r="AO23" i="10"/>
  <c r="AO11" i="10"/>
  <c r="AO12" i="10"/>
  <c r="AO13" i="10"/>
  <c r="AO14" i="10"/>
  <c r="AO9" i="10"/>
  <c r="AO7" i="10"/>
  <c r="AO8" i="10"/>
  <c r="AO17" i="10"/>
  <c r="AO15" i="10"/>
  <c r="AN3" i="10"/>
  <c r="AO4" i="10"/>
  <c r="AO5" i="10"/>
  <c r="AO6" i="10"/>
  <c r="AO3" i="10"/>
  <c r="T20" i="10"/>
  <c r="DC20" i="10"/>
  <c r="GO20" i="10"/>
  <c r="T35" i="10"/>
  <c r="GO35" i="10"/>
  <c r="DC35" i="10"/>
  <c r="BB3" i="10"/>
  <c r="BB4" i="10" s="1"/>
  <c r="GO14" i="10"/>
  <c r="DC14" i="10"/>
  <c r="T14" i="10"/>
  <c r="GO19" i="10"/>
  <c r="T19" i="10"/>
  <c r="DC19" i="10"/>
  <c r="T38" i="10"/>
  <c r="U39" i="10"/>
  <c r="GO38" i="10"/>
  <c r="T31" i="10"/>
  <c r="GO31" i="10"/>
  <c r="DC31" i="10"/>
  <c r="T8" i="10"/>
  <c r="DC8" i="10"/>
  <c r="GO8" i="10"/>
  <c r="T18" i="10"/>
  <c r="GO18" i="10"/>
  <c r="DC18" i="10"/>
  <c r="T39" i="10"/>
  <c r="GO39" i="10"/>
  <c r="U40" i="10"/>
  <c r="Y48" i="10"/>
  <c r="Y51" i="10"/>
  <c r="Y43" i="10"/>
  <c r="Y52" i="10"/>
  <c r="Y44" i="10"/>
  <c r="Y50" i="10"/>
  <c r="Y46" i="10"/>
  <c r="Y41" i="10"/>
  <c r="Y47" i="10"/>
  <c r="Y49" i="10"/>
  <c r="Y42" i="10"/>
  <c r="Y45" i="10"/>
  <c r="Y39" i="10"/>
  <c r="Y34" i="10"/>
  <c r="Y35" i="10"/>
  <c r="Y38" i="10"/>
  <c r="Y40" i="10"/>
  <c r="Y36" i="10"/>
  <c r="Y29" i="10"/>
  <c r="Y33" i="10"/>
  <c r="Y25" i="10"/>
  <c r="Y32" i="10"/>
  <c r="Y37" i="10"/>
  <c r="Y31" i="10"/>
  <c r="Y22" i="10"/>
  <c r="Y28" i="10"/>
  <c r="Y23" i="10"/>
  <c r="Y30" i="10"/>
  <c r="Y24" i="10"/>
  <c r="Y20" i="10"/>
  <c r="Y21" i="10"/>
  <c r="Y27" i="10"/>
  <c r="Y16" i="10"/>
  <c r="Y26" i="10"/>
  <c r="Y18" i="10"/>
  <c r="Y19" i="10"/>
  <c r="Y11" i="10"/>
  <c r="Y17" i="10"/>
  <c r="Y12" i="10"/>
  <c r="Y13" i="10"/>
  <c r="Y14" i="10"/>
  <c r="Y3" i="10"/>
  <c r="X4" i="10" s="1"/>
  <c r="Y10" i="10"/>
  <c r="Y4" i="10"/>
  <c r="Y15" i="10"/>
  <c r="Y5" i="10"/>
  <c r="Y9" i="10"/>
  <c r="Y6" i="10"/>
  <c r="Y7" i="10"/>
  <c r="Y8" i="10"/>
  <c r="T23" i="10"/>
  <c r="GO23" i="10"/>
  <c r="DC23" i="10"/>
  <c r="GO43" i="10"/>
  <c r="U44" i="10"/>
  <c r="T43" i="10"/>
  <c r="DW5" i="10"/>
  <c r="T25" i="10"/>
  <c r="GO25" i="10"/>
  <c r="DC25" i="10"/>
  <c r="U42" i="10"/>
  <c r="GO41" i="10"/>
  <c r="T41" i="10"/>
  <c r="T7" i="10"/>
  <c r="GO7" i="10"/>
  <c r="DC7" i="10"/>
  <c r="GO17" i="10"/>
  <c r="T17" i="10"/>
  <c r="DC17" i="10"/>
  <c r="GO47" i="10"/>
  <c r="T47" i="10"/>
  <c r="U48" i="10"/>
  <c r="AA49" i="10"/>
  <c r="AA50" i="10"/>
  <c r="AA52" i="10"/>
  <c r="AA44" i="10"/>
  <c r="AA45" i="10"/>
  <c r="AA41" i="10"/>
  <c r="AA51" i="10"/>
  <c r="AA47" i="10"/>
  <c r="AA42" i="10"/>
  <c r="AA43" i="10"/>
  <c r="AA39" i="10"/>
  <c r="AA46" i="10"/>
  <c r="AA35" i="10"/>
  <c r="AA38" i="10"/>
  <c r="AA36" i="10"/>
  <c r="AA40" i="10"/>
  <c r="AA37" i="10"/>
  <c r="AA34" i="10"/>
  <c r="AA30" i="10"/>
  <c r="AA26" i="10"/>
  <c r="AA27" i="10"/>
  <c r="AA32" i="10"/>
  <c r="AA28" i="10"/>
  <c r="AA23" i="10"/>
  <c r="AA48" i="10"/>
  <c r="AA24" i="10"/>
  <c r="AA21" i="10"/>
  <c r="AA31" i="10"/>
  <c r="AA29" i="10"/>
  <c r="AA17" i="10"/>
  <c r="AA33" i="10"/>
  <c r="AA22" i="10"/>
  <c r="AA18" i="10"/>
  <c r="AA25" i="10"/>
  <c r="AA19" i="10"/>
  <c r="AA12" i="10"/>
  <c r="AA13" i="10"/>
  <c r="AA20" i="10"/>
  <c r="AA14" i="10"/>
  <c r="AA15" i="10"/>
  <c r="AA16" i="10"/>
  <c r="AA3" i="10"/>
  <c r="AA10" i="10"/>
  <c r="AA4" i="10"/>
  <c r="AA11" i="10"/>
  <c r="AA5" i="10"/>
  <c r="AA9" i="10"/>
  <c r="AA6" i="10"/>
  <c r="AA7" i="10"/>
  <c r="AA8" i="10"/>
  <c r="Z3" i="10"/>
  <c r="AC3" i="10" s="1"/>
  <c r="GO34" i="10"/>
  <c r="T34" i="10"/>
  <c r="DC34" i="10"/>
  <c r="U41" i="10"/>
  <c r="GO40" i="10"/>
  <c r="T40" i="10"/>
  <c r="FX48" i="10"/>
  <c r="FX49" i="10"/>
  <c r="FX50" i="10"/>
  <c r="FX51" i="10"/>
  <c r="FX43" i="10"/>
  <c r="FX52" i="10"/>
  <c r="FX44" i="10"/>
  <c r="FX39" i="10"/>
  <c r="FX46" i="10"/>
  <c r="FX40" i="10"/>
  <c r="FX41" i="10"/>
  <c r="FX45" i="10"/>
  <c r="FX37" i="10"/>
  <c r="FX47" i="10"/>
  <c r="FX34" i="10"/>
  <c r="FX32" i="10"/>
  <c r="FX42" i="10"/>
  <c r="FX38" i="10"/>
  <c r="FX29" i="10"/>
  <c r="FX30" i="10"/>
  <c r="FX31" i="10"/>
  <c r="FX26" i="10"/>
  <c r="FX24" i="10"/>
  <c r="FX28" i="10"/>
  <c r="FX33" i="10"/>
  <c r="FX27" i="10"/>
  <c r="FX21" i="10"/>
  <c r="FX16" i="10"/>
  <c r="FX22" i="10"/>
  <c r="FX17" i="10"/>
  <c r="FX18" i="10"/>
  <c r="FX19" i="10"/>
  <c r="FX23" i="10"/>
  <c r="FX20" i="10"/>
  <c r="FX36" i="10"/>
  <c r="FX25" i="10"/>
  <c r="FX9" i="10"/>
  <c r="FX35" i="10"/>
  <c r="FX10" i="10"/>
  <c r="FX11" i="10"/>
  <c r="FX15" i="10"/>
  <c r="FX12" i="10"/>
  <c r="FX14" i="10"/>
  <c r="FX6" i="10"/>
  <c r="FX7" i="10"/>
  <c r="FX13" i="10"/>
  <c r="FX8" i="10"/>
  <c r="FX5" i="10"/>
  <c r="FX4" i="10"/>
  <c r="FX3" i="10"/>
  <c r="T51" i="10"/>
  <c r="U52" i="10"/>
  <c r="GO51" i="10"/>
  <c r="DC15" i="10"/>
  <c r="T15" i="10"/>
  <c r="GO15" i="10"/>
  <c r="T32" i="10"/>
  <c r="GO32" i="10"/>
  <c r="DC32" i="10"/>
  <c r="T46" i="10"/>
  <c r="U47" i="10"/>
  <c r="GO46" i="10"/>
  <c r="DC28" i="10"/>
  <c r="GO28" i="10"/>
  <c r="T28" i="10"/>
  <c r="T27" i="10"/>
  <c r="DC27" i="10"/>
  <c r="GO27" i="10"/>
  <c r="GO48" i="10"/>
  <c r="T48" i="10"/>
  <c r="U49" i="10"/>
  <c r="EB4" i="10"/>
  <c r="DC13" i="10"/>
  <c r="GO13" i="10"/>
  <c r="T13" i="10"/>
  <c r="GO29" i="10"/>
  <c r="DC29" i="10"/>
  <c r="T29" i="10"/>
  <c r="U46" i="10"/>
  <c r="GO45" i="10"/>
  <c r="T45" i="10"/>
  <c r="DY3" i="10"/>
  <c r="CK4" i="10"/>
  <c r="DV4" i="10" s="1"/>
  <c r="GO22" i="10"/>
  <c r="DC22" i="10"/>
  <c r="T22" i="10"/>
  <c r="U38" i="10"/>
  <c r="GO37" i="10"/>
  <c r="U45" i="10"/>
  <c r="GO44" i="10"/>
  <c r="T44" i="10"/>
  <c r="FW3" i="10"/>
  <c r="M3" i="9"/>
  <c r="L4" i="9"/>
  <c r="L5" i="9" s="1"/>
  <c r="CL52" i="9"/>
  <c r="EC48" i="9"/>
  <c r="EC49" i="9"/>
  <c r="EC51" i="9"/>
  <c r="CL47" i="9"/>
  <c r="EC43" i="9"/>
  <c r="EC52" i="9"/>
  <c r="CL48" i="9"/>
  <c r="EC44" i="9"/>
  <c r="CL49" i="9"/>
  <c r="CL51" i="9"/>
  <c r="EC47" i="9"/>
  <c r="CL43" i="9"/>
  <c r="CL45" i="9"/>
  <c r="CL42" i="9"/>
  <c r="CL46" i="9"/>
  <c r="EC45" i="9"/>
  <c r="EC42" i="9"/>
  <c r="CL50" i="9"/>
  <c r="CL33" i="9"/>
  <c r="EC50" i="9"/>
  <c r="CL40" i="9"/>
  <c r="CL34" i="9"/>
  <c r="EC46" i="9"/>
  <c r="CL39" i="9"/>
  <c r="CL38" i="9"/>
  <c r="EC34" i="9"/>
  <c r="CL41" i="9"/>
  <c r="EC31" i="9"/>
  <c r="EC41" i="9"/>
  <c r="EC37" i="9"/>
  <c r="EC32" i="9"/>
  <c r="EC40" i="9"/>
  <c r="CL37" i="9"/>
  <c r="CL44" i="9"/>
  <c r="EC36" i="9"/>
  <c r="EC39" i="9"/>
  <c r="CL36" i="9"/>
  <c r="CL31" i="9"/>
  <c r="EC33" i="9"/>
  <c r="CL32" i="9"/>
  <c r="EC35" i="9"/>
  <c r="EC38" i="9"/>
  <c r="CL35" i="9"/>
  <c r="EC25" i="9"/>
  <c r="EC21" i="9"/>
  <c r="CL28" i="9"/>
  <c r="EC30" i="9"/>
  <c r="EC19" i="9"/>
  <c r="CL26" i="9"/>
  <c r="CL16" i="9"/>
  <c r="CL22" i="9"/>
  <c r="CL30" i="9"/>
  <c r="EC27" i="9"/>
  <c r="EC26" i="9"/>
  <c r="EC28" i="9"/>
  <c r="CL27" i="9"/>
  <c r="EC24" i="9"/>
  <c r="CL21" i="9"/>
  <c r="CL19" i="9"/>
  <c r="CL29" i="9"/>
  <c r="CL17" i="9"/>
  <c r="CL13" i="9"/>
  <c r="CL25" i="9"/>
  <c r="CL23" i="9"/>
  <c r="EC29" i="9"/>
  <c r="CL20" i="9"/>
  <c r="CL18" i="9"/>
  <c r="EC16" i="9"/>
  <c r="CL15" i="9"/>
  <c r="EC11" i="9"/>
  <c r="CL9" i="9"/>
  <c r="EC17" i="9"/>
  <c r="CL12" i="9"/>
  <c r="EC22" i="9"/>
  <c r="CL10" i="9"/>
  <c r="CL11" i="9"/>
  <c r="EC14" i="9"/>
  <c r="CL14" i="9"/>
  <c r="EC8" i="9"/>
  <c r="CL4" i="9"/>
  <c r="EC20" i="9"/>
  <c r="EC9" i="9"/>
  <c r="CL5" i="9"/>
  <c r="EC23" i="9"/>
  <c r="EC15" i="9"/>
  <c r="EC10" i="9"/>
  <c r="CL24" i="9"/>
  <c r="EC18" i="9"/>
  <c r="CL7" i="9"/>
  <c r="EC7" i="9"/>
  <c r="CL8" i="9"/>
  <c r="EC3" i="9"/>
  <c r="EB4" i="9" s="1"/>
  <c r="EC4" i="9"/>
  <c r="CL3" i="9"/>
  <c r="CK4" i="9" s="1"/>
  <c r="EC5" i="9"/>
  <c r="EC13" i="9"/>
  <c r="EC12" i="9"/>
  <c r="EC6" i="9"/>
  <c r="CL6" i="9"/>
  <c r="T12" i="9"/>
  <c r="DC12" i="9"/>
  <c r="GO12" i="9"/>
  <c r="DC33" i="9"/>
  <c r="T33" i="9"/>
  <c r="GO33" i="9"/>
  <c r="U47" i="9"/>
  <c r="GO46" i="9"/>
  <c r="T46" i="9"/>
  <c r="Y48" i="9"/>
  <c r="Y49" i="9"/>
  <c r="Y51" i="9"/>
  <c r="Y43" i="9"/>
  <c r="Y52" i="9"/>
  <c r="Y44" i="9"/>
  <c r="Y47" i="9"/>
  <c r="Y46" i="9"/>
  <c r="Y50" i="9"/>
  <c r="Y42" i="9"/>
  <c r="Y41" i="9"/>
  <c r="Y37" i="9"/>
  <c r="Y45" i="9"/>
  <c r="Y31" i="9"/>
  <c r="Y32" i="9"/>
  <c r="Y36" i="9"/>
  <c r="Y39" i="9"/>
  <c r="Y38" i="9"/>
  <c r="Y40" i="9"/>
  <c r="Y35" i="9"/>
  <c r="Y26" i="9"/>
  <c r="Y21" i="9"/>
  <c r="Y28" i="9"/>
  <c r="Y34" i="9"/>
  <c r="Y30" i="9"/>
  <c r="Y29" i="9"/>
  <c r="Y33" i="9"/>
  <c r="Y27" i="9"/>
  <c r="Y19" i="9"/>
  <c r="Y22" i="9"/>
  <c r="Y24" i="9"/>
  <c r="Y25" i="9"/>
  <c r="Y20" i="9"/>
  <c r="Y16" i="9"/>
  <c r="Y17" i="9"/>
  <c r="Y18" i="9"/>
  <c r="Y23" i="9"/>
  <c r="Y15" i="9"/>
  <c r="Y14" i="9"/>
  <c r="Y8" i="9"/>
  <c r="Y9" i="9"/>
  <c r="Y10" i="9"/>
  <c r="Y12" i="9"/>
  <c r="Y13" i="9"/>
  <c r="Y4" i="9"/>
  <c r="Y3" i="9"/>
  <c r="X4" i="9" s="1"/>
  <c r="Y5" i="9"/>
  <c r="Y11" i="9"/>
  <c r="Y6" i="9"/>
  <c r="Y7" i="9"/>
  <c r="T17" i="9"/>
  <c r="GO17" i="9"/>
  <c r="DC17" i="9"/>
  <c r="DC34" i="9"/>
  <c r="T34" i="9"/>
  <c r="GO34" i="9"/>
  <c r="U49" i="9"/>
  <c r="T48" i="9"/>
  <c r="GO48" i="9"/>
  <c r="T11" i="9"/>
  <c r="DC11" i="9"/>
  <c r="GO11" i="9"/>
  <c r="GO24" i="9"/>
  <c r="DC24" i="9"/>
  <c r="T24" i="9"/>
  <c r="U40" i="9"/>
  <c r="GO39" i="9"/>
  <c r="T39" i="9"/>
  <c r="T20" i="9"/>
  <c r="DC20" i="9"/>
  <c r="GO20" i="9"/>
  <c r="T32" i="9"/>
  <c r="GO32" i="9"/>
  <c r="DC32" i="9"/>
  <c r="U39" i="9"/>
  <c r="GO38" i="9"/>
  <c r="T38" i="9"/>
  <c r="T15" i="9"/>
  <c r="DC15" i="9"/>
  <c r="GO15" i="9"/>
  <c r="GO37" i="9"/>
  <c r="U38" i="9"/>
  <c r="T52" i="9"/>
  <c r="GO52" i="9"/>
  <c r="T19" i="9"/>
  <c r="DC19" i="9"/>
  <c r="GO19" i="9"/>
  <c r="GO31" i="9"/>
  <c r="DC31" i="9"/>
  <c r="T31" i="9"/>
  <c r="T51" i="9"/>
  <c r="U52" i="9"/>
  <c r="GO51" i="9"/>
  <c r="CY3" i="9"/>
  <c r="CY4" i="9" s="1"/>
  <c r="CY5" i="9" s="1"/>
  <c r="CY6" i="9" s="1"/>
  <c r="CY7" i="9" s="1"/>
  <c r="CY8" i="9" s="1"/>
  <c r="CY9" i="9" s="1"/>
  <c r="CY10" i="9" s="1"/>
  <c r="CY11" i="9" s="1"/>
  <c r="CP2" i="9"/>
  <c r="GO26" i="9"/>
  <c r="DC26" i="9"/>
  <c r="T26" i="9"/>
  <c r="T30" i="9"/>
  <c r="GO30" i="9"/>
  <c r="DC30" i="9"/>
  <c r="T50" i="9"/>
  <c r="U51" i="9"/>
  <c r="GO50" i="9"/>
  <c r="GO8" i="9"/>
  <c r="T8" i="9"/>
  <c r="DC8" i="9"/>
  <c r="GO14" i="9"/>
  <c r="DC14" i="9"/>
  <c r="T14" i="9"/>
  <c r="T35" i="9"/>
  <c r="DC35" i="9"/>
  <c r="GO35" i="9"/>
  <c r="HH3" i="9"/>
  <c r="HJ3" i="9" s="1"/>
  <c r="HI4" i="9"/>
  <c r="HS2" i="9"/>
  <c r="FQ2" i="9"/>
  <c r="AH2" i="9"/>
  <c r="U3" i="9"/>
  <c r="U4" i="9" s="1"/>
  <c r="U5" i="9" s="1"/>
  <c r="U6" i="9" s="1"/>
  <c r="U7" i="9" s="1"/>
  <c r="U8" i="9" s="1"/>
  <c r="U9" i="9" s="1"/>
  <c r="U10" i="9" s="1"/>
  <c r="U11" i="9" s="1"/>
  <c r="U12" i="9" s="1"/>
  <c r="U13" i="9" s="1"/>
  <c r="U14" i="9" s="1"/>
  <c r="U15" i="9" s="1"/>
  <c r="U16" i="9" s="1"/>
  <c r="U17" i="9" s="1"/>
  <c r="U18" i="9" s="1"/>
  <c r="U19" i="9" s="1"/>
  <c r="U20" i="9" s="1"/>
  <c r="U21" i="9" s="1"/>
  <c r="U22" i="9" s="1"/>
  <c r="U23" i="9" s="1"/>
  <c r="U24" i="9" s="1"/>
  <c r="U25" i="9" s="1"/>
  <c r="U26" i="9" s="1"/>
  <c r="U27" i="9" s="1"/>
  <c r="U28" i="9" s="1"/>
  <c r="U29" i="9" s="1"/>
  <c r="U30" i="9" s="1"/>
  <c r="U31" i="9" s="1"/>
  <c r="U32" i="9" s="1"/>
  <c r="U33" i="9" s="1"/>
  <c r="U34" i="9" s="1"/>
  <c r="U35" i="9" s="1"/>
  <c r="U36" i="9" s="1"/>
  <c r="CC2" i="9"/>
  <c r="GO23" i="9"/>
  <c r="T23" i="9"/>
  <c r="DC23" i="9"/>
  <c r="GO40" i="9"/>
  <c r="U41" i="9"/>
  <c r="T40" i="9"/>
  <c r="GS3" i="9"/>
  <c r="DY3" i="9"/>
  <c r="DE3" i="9"/>
  <c r="DV3" i="9"/>
  <c r="DX3" i="9" s="1"/>
  <c r="AO47" i="9"/>
  <c r="AO51" i="9"/>
  <c r="AO52" i="9"/>
  <c r="AO50" i="9"/>
  <c r="AO39" i="9"/>
  <c r="AO40" i="9"/>
  <c r="AO49" i="9"/>
  <c r="AO45" i="9"/>
  <c r="AO46" i="9"/>
  <c r="AO42" i="9"/>
  <c r="AO48" i="9"/>
  <c r="AO43" i="9"/>
  <c r="AO30" i="9"/>
  <c r="AO38" i="9"/>
  <c r="AO31" i="9"/>
  <c r="AO32" i="9"/>
  <c r="AO24" i="9"/>
  <c r="AO25" i="9"/>
  <c r="AO33" i="9"/>
  <c r="AO37" i="9"/>
  <c r="AO34" i="9"/>
  <c r="AO44" i="9"/>
  <c r="AO41" i="9"/>
  <c r="AO36" i="9"/>
  <c r="AO28" i="9"/>
  <c r="AO27" i="9"/>
  <c r="AO35" i="9"/>
  <c r="AO26" i="9"/>
  <c r="AO20" i="9"/>
  <c r="AO19" i="9"/>
  <c r="AO23" i="9"/>
  <c r="AO29" i="9"/>
  <c r="AO22" i="9"/>
  <c r="AO21" i="9"/>
  <c r="AO15" i="9"/>
  <c r="AO16" i="9"/>
  <c r="AO18" i="9"/>
  <c r="AO12" i="9"/>
  <c r="AO13" i="9"/>
  <c r="AO7" i="9"/>
  <c r="AO17" i="9"/>
  <c r="AO14" i="9"/>
  <c r="AO9" i="9"/>
  <c r="AO10" i="9"/>
  <c r="AO5" i="9"/>
  <c r="AO6" i="9"/>
  <c r="AO11" i="9"/>
  <c r="AO8" i="9"/>
  <c r="AO4" i="9"/>
  <c r="AO3" i="9"/>
  <c r="GO22" i="9"/>
  <c r="DC22" i="9"/>
  <c r="T22" i="9"/>
  <c r="T47" i="9"/>
  <c r="U48" i="9"/>
  <c r="GO47" i="9"/>
  <c r="HL2" i="9"/>
  <c r="DC9" i="9"/>
  <c r="GO9" i="9"/>
  <c r="T9" i="9"/>
  <c r="GO25" i="9"/>
  <c r="T25" i="9"/>
  <c r="DC25" i="9"/>
  <c r="T45" i="9"/>
  <c r="U46" i="9"/>
  <c r="GO45" i="9"/>
  <c r="AA49" i="9"/>
  <c r="AA50" i="9"/>
  <c r="AA52" i="9"/>
  <c r="AA44" i="9"/>
  <c r="AA45" i="9"/>
  <c r="AA48" i="9"/>
  <c r="AA51" i="9"/>
  <c r="AA42" i="9"/>
  <c r="AA41" i="9"/>
  <c r="AA43" i="9"/>
  <c r="AA40" i="9"/>
  <c r="AA38" i="9"/>
  <c r="AA47" i="9"/>
  <c r="AA34" i="9"/>
  <c r="AA32" i="9"/>
  <c r="AA37" i="9"/>
  <c r="AA33" i="9"/>
  <c r="AA36" i="9"/>
  <c r="AA39" i="9"/>
  <c r="AA35" i="9"/>
  <c r="AA46" i="9"/>
  <c r="AA28" i="9"/>
  <c r="AA26" i="9"/>
  <c r="AA22" i="9"/>
  <c r="AA27" i="9"/>
  <c r="AA24" i="9"/>
  <c r="AA29" i="9"/>
  <c r="AA31" i="9"/>
  <c r="AA25" i="9"/>
  <c r="AA30" i="9"/>
  <c r="AA19" i="9"/>
  <c r="AA18" i="9"/>
  <c r="AA12" i="9"/>
  <c r="AA21" i="9"/>
  <c r="AA17" i="9"/>
  <c r="AA15" i="9"/>
  <c r="AA14" i="9"/>
  <c r="AA16" i="9"/>
  <c r="AA9" i="9"/>
  <c r="AA10" i="9"/>
  <c r="AA11" i="9"/>
  <c r="AA13" i="9"/>
  <c r="AA4" i="9"/>
  <c r="AA3" i="9"/>
  <c r="AA8" i="9"/>
  <c r="Z3" i="9"/>
  <c r="AC3" i="9" s="1"/>
  <c r="AA5" i="9"/>
  <c r="AA6" i="9"/>
  <c r="AA23" i="9"/>
  <c r="AA7" i="9"/>
  <c r="AA20" i="9"/>
  <c r="DC29" i="9"/>
  <c r="T29" i="9"/>
  <c r="GO29" i="9"/>
  <c r="U42" i="9"/>
  <c r="GO41" i="9"/>
  <c r="T41" i="9"/>
  <c r="T44" i="9"/>
  <c r="U45" i="9"/>
  <c r="GO44" i="9"/>
  <c r="T6" i="9"/>
  <c r="DC6" i="9"/>
  <c r="GO6" i="9"/>
  <c r="T18" i="9"/>
  <c r="DC18" i="9"/>
  <c r="GO18" i="9"/>
  <c r="U44" i="9"/>
  <c r="T43" i="9"/>
  <c r="GO43" i="9"/>
  <c r="AN3" i="9"/>
  <c r="T21" i="9"/>
  <c r="GO21" i="9"/>
  <c r="DC21" i="9"/>
  <c r="CI3" i="9"/>
  <c r="DC16" i="9"/>
  <c r="GO16" i="9"/>
  <c r="T16" i="9"/>
  <c r="T28" i="9"/>
  <c r="GO28" i="9"/>
  <c r="DC28" i="9"/>
  <c r="T49" i="9"/>
  <c r="GO49" i="9"/>
  <c r="U50" i="9"/>
  <c r="DW6" i="9"/>
  <c r="T36" i="9"/>
  <c r="GO36" i="9"/>
  <c r="U37" i="9"/>
  <c r="DC36" i="9"/>
  <c r="GO13" i="9"/>
  <c r="DC13" i="9"/>
  <c r="T13" i="9"/>
  <c r="T27" i="9"/>
  <c r="GO27" i="9"/>
  <c r="DC27" i="9"/>
  <c r="U43" i="9"/>
  <c r="GO42" i="9"/>
  <c r="T42" i="9"/>
  <c r="DG3" i="9"/>
  <c r="T8" i="8"/>
  <c r="T27" i="8"/>
  <c r="U45" i="8"/>
  <c r="T44" i="8"/>
  <c r="Y48" i="8"/>
  <c r="Y50" i="8"/>
  <c r="Y51" i="8"/>
  <c r="Y43" i="8"/>
  <c r="Y52" i="8"/>
  <c r="Y47" i="8"/>
  <c r="Y40" i="8"/>
  <c r="Y44" i="8"/>
  <c r="Y49" i="8"/>
  <c r="Y41" i="8"/>
  <c r="Y45" i="8"/>
  <c r="Y42" i="8"/>
  <c r="Y46" i="8"/>
  <c r="Y36" i="8"/>
  <c r="Y39" i="8"/>
  <c r="Y38" i="8"/>
  <c r="Y37" i="8"/>
  <c r="Y33" i="8"/>
  <c r="Y25" i="8"/>
  <c r="Y29" i="8"/>
  <c r="Y34" i="8"/>
  <c r="Y31" i="8"/>
  <c r="Y26" i="8"/>
  <c r="Y27" i="8"/>
  <c r="Y32" i="8"/>
  <c r="Y30" i="8"/>
  <c r="Y24" i="8"/>
  <c r="Y17" i="8"/>
  <c r="Y28" i="8"/>
  <c r="Y35" i="8"/>
  <c r="Y23" i="8"/>
  <c r="Y20" i="8"/>
  <c r="Y22" i="8"/>
  <c r="Y15" i="8"/>
  <c r="Y18" i="8"/>
  <c r="Y9" i="8"/>
  <c r="Y13" i="8"/>
  <c r="Y10" i="8"/>
  <c r="Y11" i="8"/>
  <c r="Y3" i="8"/>
  <c r="Y12" i="8"/>
  <c r="Y4" i="8"/>
  <c r="Y14" i="8"/>
  <c r="Y21" i="8"/>
  <c r="Y16" i="8"/>
  <c r="Y6" i="8"/>
  <c r="Y8" i="8"/>
  <c r="Y19" i="8"/>
  <c r="Y7" i="8"/>
  <c r="Y5" i="8"/>
  <c r="X3" i="8"/>
  <c r="T34" i="8"/>
  <c r="T39" i="8"/>
  <c r="U40" i="8"/>
  <c r="CJ3" i="8"/>
  <c r="CC2" i="8"/>
  <c r="U3" i="8"/>
  <c r="U4" i="8" s="1"/>
  <c r="U5" i="8" s="1"/>
  <c r="U6" i="8" s="1"/>
  <c r="U7" i="8" s="1"/>
  <c r="U8" i="8" s="1"/>
  <c r="U9" i="8" s="1"/>
  <c r="U10" i="8" s="1"/>
  <c r="U11" i="8" s="1"/>
  <c r="U12" i="8" s="1"/>
  <c r="U13" i="8" s="1"/>
  <c r="U14" i="8" s="1"/>
  <c r="U15" i="8" s="1"/>
  <c r="U16" i="8" s="1"/>
  <c r="U17" i="8" s="1"/>
  <c r="U18" i="8" s="1"/>
  <c r="U19" i="8" s="1"/>
  <c r="U20" i="8" s="1"/>
  <c r="U21" i="8" s="1"/>
  <c r="U22" i="8" s="1"/>
  <c r="U23" i="8" s="1"/>
  <c r="U24" i="8" s="1"/>
  <c r="U25" i="8" s="1"/>
  <c r="U26" i="8" s="1"/>
  <c r="U27" i="8" s="1"/>
  <c r="U28" i="8" s="1"/>
  <c r="U29" i="8" s="1"/>
  <c r="U30" i="8" s="1"/>
  <c r="U31" i="8" s="1"/>
  <c r="U32" i="8" s="1"/>
  <c r="U33" i="8" s="1"/>
  <c r="U34" i="8" s="1"/>
  <c r="U35" i="8" s="1"/>
  <c r="U36" i="8" s="1"/>
  <c r="HS2" i="8"/>
  <c r="AH2" i="8"/>
  <c r="FQ2" i="8"/>
  <c r="T24" i="8"/>
  <c r="U48" i="8"/>
  <c r="T47" i="8"/>
  <c r="T7" i="8"/>
  <c r="T32" i="8"/>
  <c r="T52" i="8"/>
  <c r="T18" i="8"/>
  <c r="U38" i="8"/>
  <c r="T51" i="8"/>
  <c r="U52" i="8"/>
  <c r="T15" i="8"/>
  <c r="U39" i="8"/>
  <c r="T38" i="8"/>
  <c r="T50" i="8"/>
  <c r="U51" i="8"/>
  <c r="T3" i="8"/>
  <c r="L3" i="8" s="1"/>
  <c r="T4" i="8"/>
  <c r="T19" i="8"/>
  <c r="T30" i="8"/>
  <c r="T49" i="8"/>
  <c r="U50" i="8"/>
  <c r="T12" i="8"/>
  <c r="T13" i="8"/>
  <c r="T35" i="8"/>
  <c r="U49" i="8"/>
  <c r="T48" i="8"/>
  <c r="CL52" i="8"/>
  <c r="CL49" i="8"/>
  <c r="CL50" i="8"/>
  <c r="CL51" i="8"/>
  <c r="CL43" i="8"/>
  <c r="CL38" i="8"/>
  <c r="CL46" i="8"/>
  <c r="CL41" i="8"/>
  <c r="CL40" i="8"/>
  <c r="CL33" i="8"/>
  <c r="CL28" i="8"/>
  <c r="CL34" i="8"/>
  <c r="CL45" i="8"/>
  <c r="CL42" i="8"/>
  <c r="CL31" i="8"/>
  <c r="CL29" i="8"/>
  <c r="CL20" i="8"/>
  <c r="CL27" i="8"/>
  <c r="CL21" i="8"/>
  <c r="CL16" i="8"/>
  <c r="CL15" i="8"/>
  <c r="CL23" i="8"/>
  <c r="CL17" i="8"/>
  <c r="CL12" i="8"/>
  <c r="CL6" i="8"/>
  <c r="CL9" i="8"/>
  <c r="CL18" i="8"/>
  <c r="CL14" i="8"/>
  <c r="CL11" i="8"/>
  <c r="CL3" i="8"/>
  <c r="CK4" i="8" s="1"/>
  <c r="T23" i="8"/>
  <c r="U37" i="8"/>
  <c r="T36" i="8"/>
  <c r="AA49" i="8"/>
  <c r="AA50" i="8"/>
  <c r="AA51" i="8"/>
  <c r="AA52" i="8"/>
  <c r="AA44" i="8"/>
  <c r="AA48" i="8"/>
  <c r="AA47" i="8"/>
  <c r="AA41" i="8"/>
  <c r="AA45" i="8"/>
  <c r="AA42" i="8"/>
  <c r="AA46" i="8"/>
  <c r="AA43" i="8"/>
  <c r="AA40" i="8"/>
  <c r="AA37" i="8"/>
  <c r="AA39" i="8"/>
  <c r="AA34" i="8"/>
  <c r="AA32" i="8"/>
  <c r="AA35" i="8"/>
  <c r="AA33" i="8"/>
  <c r="AA36" i="8"/>
  <c r="AA29" i="8"/>
  <c r="AA31" i="8"/>
  <c r="AA28" i="8"/>
  <c r="AA38" i="8"/>
  <c r="AA30" i="8"/>
  <c r="AA27" i="8"/>
  <c r="AA26" i="8"/>
  <c r="AA24" i="8"/>
  <c r="AA17" i="8"/>
  <c r="AA18" i="8"/>
  <c r="AA25" i="8"/>
  <c r="AA13" i="8"/>
  <c r="AA23" i="8"/>
  <c r="AA22" i="8"/>
  <c r="AA9" i="8"/>
  <c r="AA10" i="8"/>
  <c r="AA11" i="8"/>
  <c r="AA3" i="8"/>
  <c r="Z4" i="8" s="1"/>
  <c r="AA20" i="8"/>
  <c r="AA12" i="8"/>
  <c r="AA4" i="8"/>
  <c r="AA14" i="8"/>
  <c r="AA5" i="8"/>
  <c r="AA21" i="8"/>
  <c r="AA16" i="8"/>
  <c r="AA19" i="8"/>
  <c r="AA15" i="8"/>
  <c r="AA7" i="8"/>
  <c r="AA6" i="8"/>
  <c r="AA8" i="8"/>
  <c r="T6" i="8"/>
  <c r="T16" i="8"/>
  <c r="T40" i="8"/>
  <c r="U41" i="8"/>
  <c r="DW5" i="8"/>
  <c r="T14" i="8"/>
  <c r="T22" i="8"/>
  <c r="T25" i="8"/>
  <c r="T33" i="8"/>
  <c r="T5" i="8"/>
  <c r="AI2" i="8"/>
  <c r="AJ2" i="8"/>
  <c r="AF2" i="8"/>
  <c r="T11" i="8"/>
  <c r="T28" i="8"/>
  <c r="U44" i="8"/>
  <c r="T43" i="8"/>
  <c r="FX47" i="8"/>
  <c r="FX48" i="8"/>
  <c r="FX49" i="8"/>
  <c r="FX50" i="8"/>
  <c r="FX51" i="8"/>
  <c r="FX52" i="8"/>
  <c r="FX46" i="8"/>
  <c r="FX42" i="8"/>
  <c r="FX38" i="8"/>
  <c r="FX40" i="8"/>
  <c r="FX45" i="8"/>
  <c r="FX32" i="8"/>
  <c r="FX43" i="8"/>
  <c r="FX41" i="8"/>
  <c r="FX39" i="8"/>
  <c r="FX29" i="8"/>
  <c r="FX33" i="8"/>
  <c r="FX35" i="8"/>
  <c r="FX44" i="8"/>
  <c r="FX37" i="8"/>
  <c r="FX36" i="8"/>
  <c r="FX31" i="8"/>
  <c r="FX26" i="8"/>
  <c r="FX34" i="8"/>
  <c r="FX23" i="8"/>
  <c r="FX25" i="8"/>
  <c r="FX20" i="8"/>
  <c r="FX27" i="8"/>
  <c r="FX30" i="8"/>
  <c r="FX17" i="8"/>
  <c r="FX16" i="8"/>
  <c r="FX18" i="8"/>
  <c r="FX28" i="8"/>
  <c r="FX24" i="8"/>
  <c r="FX22" i="8"/>
  <c r="FX6" i="8"/>
  <c r="FX12" i="8"/>
  <c r="FX14" i="8"/>
  <c r="FX13" i="8"/>
  <c r="FX7" i="8"/>
  <c r="FX9" i="8"/>
  <c r="FX19" i="8"/>
  <c r="FX10" i="8"/>
  <c r="FX11" i="8"/>
  <c r="FX3" i="8"/>
  <c r="FX4" i="8"/>
  <c r="FX8" i="8"/>
  <c r="FX15" i="8"/>
  <c r="FX21" i="8"/>
  <c r="FW3" i="8"/>
  <c r="FX5" i="8"/>
  <c r="T20" i="8"/>
  <c r="T31" i="8"/>
  <c r="U43" i="8"/>
  <c r="T42" i="8"/>
  <c r="BE3" i="8"/>
  <c r="HI7" i="8"/>
  <c r="T10" i="8"/>
  <c r="T21" i="8"/>
  <c r="T46" i="8"/>
  <c r="U47" i="8"/>
  <c r="T29" i="8"/>
  <c r="U42" i="8"/>
  <c r="T41" i="8"/>
  <c r="T9" i="8"/>
  <c r="T17" i="8"/>
  <c r="T26" i="8"/>
  <c r="T45" i="8"/>
  <c r="U46" i="8"/>
  <c r="T23" i="7"/>
  <c r="T31" i="7"/>
  <c r="T28" i="7"/>
  <c r="U52" i="7"/>
  <c r="T51" i="7"/>
  <c r="T19" i="7"/>
  <c r="T20" i="7"/>
  <c r="U37" i="7"/>
  <c r="T36" i="7"/>
  <c r="GK3" i="7"/>
  <c r="GK4" i="7" s="1"/>
  <c r="GK5" i="7" s="1"/>
  <c r="GK6" i="7" s="1"/>
  <c r="GK7" i="7" s="1"/>
  <c r="GK8" i="7" s="1"/>
  <c r="GK9" i="7" s="1"/>
  <c r="GK10" i="7" s="1"/>
  <c r="GK11" i="7" s="1"/>
  <c r="GB2" i="7"/>
  <c r="GC2" i="7" s="1"/>
  <c r="T10" i="7"/>
  <c r="T38" i="7"/>
  <c r="U39" i="7"/>
  <c r="U49" i="7"/>
  <c r="T48" i="7"/>
  <c r="HI6" i="7"/>
  <c r="T27" i="7"/>
  <c r="U43" i="7"/>
  <c r="T42" i="7"/>
  <c r="AO47" i="7"/>
  <c r="AO50" i="7"/>
  <c r="AO42" i="7"/>
  <c r="AO51" i="7"/>
  <c r="AO52" i="7"/>
  <c r="AO45" i="7"/>
  <c r="AO46" i="7"/>
  <c r="AO43" i="7"/>
  <c r="AO49" i="7"/>
  <c r="AO48" i="7"/>
  <c r="AO34" i="7"/>
  <c r="AO41" i="7"/>
  <c r="AO40" i="7"/>
  <c r="AO39" i="7"/>
  <c r="AO37" i="7"/>
  <c r="AO36" i="7"/>
  <c r="AO33" i="7"/>
  <c r="AO32" i="7"/>
  <c r="AO38" i="7"/>
  <c r="AO44" i="7"/>
  <c r="AO35" i="7"/>
  <c r="AO26" i="7"/>
  <c r="AO27" i="7"/>
  <c r="AO21" i="7"/>
  <c r="AO28" i="7"/>
  <c r="AO30" i="7"/>
  <c r="AO29" i="7"/>
  <c r="AO25" i="7"/>
  <c r="AO23" i="7"/>
  <c r="AO22" i="7"/>
  <c r="AO18" i="7"/>
  <c r="AO13" i="7"/>
  <c r="AO20" i="7"/>
  <c r="AO14" i="7"/>
  <c r="AO16" i="7"/>
  <c r="AO31" i="7"/>
  <c r="AO7" i="7"/>
  <c r="AO19" i="7"/>
  <c r="AO11" i="7"/>
  <c r="AO10" i="7"/>
  <c r="AO17" i="7"/>
  <c r="AO24" i="7"/>
  <c r="AO15" i="7"/>
  <c r="AO3" i="7"/>
  <c r="AN3" i="7"/>
  <c r="AO4" i="7"/>
  <c r="AO9" i="7"/>
  <c r="AO8" i="7"/>
  <c r="AO5" i="7"/>
  <c r="AO12" i="7"/>
  <c r="AO6" i="7"/>
  <c r="T14" i="7"/>
  <c r="U38" i="7"/>
  <c r="T33" i="7"/>
  <c r="U3" i="7"/>
  <c r="U4" i="7" s="1"/>
  <c r="U5" i="7" s="1"/>
  <c r="U6" i="7" s="1"/>
  <c r="U7" i="7" s="1"/>
  <c r="U8" i="7" s="1"/>
  <c r="U9" i="7" s="1"/>
  <c r="U10" i="7" s="1"/>
  <c r="U11" i="7" s="1"/>
  <c r="U12" i="7" s="1"/>
  <c r="U13" i="7" s="1"/>
  <c r="U14" i="7" s="1"/>
  <c r="U15" i="7" s="1"/>
  <c r="U16" i="7" s="1"/>
  <c r="U17" i="7" s="1"/>
  <c r="U18" i="7" s="1"/>
  <c r="U19" i="7" s="1"/>
  <c r="U20" i="7" s="1"/>
  <c r="U21" i="7" s="1"/>
  <c r="U22" i="7" s="1"/>
  <c r="U23" i="7" s="1"/>
  <c r="U24" i="7" s="1"/>
  <c r="U25" i="7" s="1"/>
  <c r="U26" i="7" s="1"/>
  <c r="U27" i="7" s="1"/>
  <c r="U28" i="7" s="1"/>
  <c r="U29" i="7" s="1"/>
  <c r="U30" i="7" s="1"/>
  <c r="U31" i="7" s="1"/>
  <c r="U32" i="7" s="1"/>
  <c r="U33" i="7" s="1"/>
  <c r="U34" i="7" s="1"/>
  <c r="U35" i="7" s="1"/>
  <c r="U36" i="7" s="1"/>
  <c r="HS2" i="7"/>
  <c r="FQ2" i="7"/>
  <c r="CC2" i="7"/>
  <c r="AH2" i="7"/>
  <c r="T9" i="7"/>
  <c r="T26" i="7"/>
  <c r="U48" i="7"/>
  <c r="T47" i="7"/>
  <c r="T22" i="7"/>
  <c r="T30" i="7"/>
  <c r="U44" i="7"/>
  <c r="T43" i="7"/>
  <c r="DW4" i="7"/>
  <c r="AJ2" i="7"/>
  <c r="AI2" i="7"/>
  <c r="AF2" i="7"/>
  <c r="T17" i="7"/>
  <c r="U42" i="7"/>
  <c r="T41" i="7"/>
  <c r="U45" i="7"/>
  <c r="T44" i="7"/>
  <c r="T3" i="7"/>
  <c r="L3" i="7" s="1"/>
  <c r="T15" i="7"/>
  <c r="T25" i="7"/>
  <c r="T52" i="7"/>
  <c r="GE2" i="7"/>
  <c r="AC3" i="7"/>
  <c r="T13" i="7"/>
  <c r="T39" i="7"/>
  <c r="U40" i="7"/>
  <c r="T50" i="7"/>
  <c r="U51" i="7"/>
  <c r="FX45" i="7"/>
  <c r="FX48" i="7"/>
  <c r="FX49" i="7"/>
  <c r="FX51" i="7"/>
  <c r="FX43" i="7"/>
  <c r="FX50" i="7"/>
  <c r="FX46" i="7"/>
  <c r="FX37" i="7"/>
  <c r="FX32" i="7"/>
  <c r="FX52" i="7"/>
  <c r="FX47" i="7"/>
  <c r="FX35" i="7"/>
  <c r="FX36" i="7"/>
  <c r="FX44" i="7"/>
  <c r="FX41" i="7"/>
  <c r="FX42" i="7"/>
  <c r="FX39" i="7"/>
  <c r="FX34" i="7"/>
  <c r="FX40" i="7"/>
  <c r="FX33" i="7"/>
  <c r="FX30" i="7"/>
  <c r="FX31" i="7"/>
  <c r="FX38" i="7"/>
  <c r="FX24" i="7"/>
  <c r="FX25" i="7"/>
  <c r="FX29" i="7"/>
  <c r="FX19" i="7"/>
  <c r="FX22" i="7"/>
  <c r="FX28" i="7"/>
  <c r="FX27" i="7"/>
  <c r="FX21" i="7"/>
  <c r="FX18" i="7"/>
  <c r="FX26" i="7"/>
  <c r="FX16" i="7"/>
  <c r="FX11" i="7"/>
  <c r="FX20" i="7"/>
  <c r="FX12" i="7"/>
  <c r="FX23" i="7"/>
  <c r="FX14" i="7"/>
  <c r="FX17" i="7"/>
  <c r="FX13" i="7"/>
  <c r="FX8" i="7"/>
  <c r="FX15" i="7"/>
  <c r="FX9" i="7"/>
  <c r="FX10" i="7"/>
  <c r="FX7" i="7"/>
  <c r="FX6" i="7"/>
  <c r="FX5" i="7"/>
  <c r="FX4" i="7"/>
  <c r="FX3" i="7"/>
  <c r="T12" i="7"/>
  <c r="T40" i="7"/>
  <c r="U41" i="7"/>
  <c r="T49" i="7"/>
  <c r="U50" i="7"/>
  <c r="T21" i="7"/>
  <c r="T34" i="7"/>
  <c r="T46" i="7"/>
  <c r="U47" i="7"/>
  <c r="T18" i="7"/>
  <c r="T32" i="7"/>
  <c r="CS2" i="7"/>
  <c r="T29" i="7"/>
  <c r="T35" i="7"/>
  <c r="FW3" i="7"/>
  <c r="T24" i="7"/>
  <c r="U46" i="7"/>
  <c r="T45" i="7"/>
  <c r="M3" i="6"/>
  <c r="L4" i="6"/>
  <c r="L5" i="6" s="1"/>
  <c r="GO7" i="6"/>
  <c r="T7" i="6"/>
  <c r="DC7" i="6"/>
  <c r="GO31" i="6"/>
  <c r="DC31" i="6"/>
  <c r="T31" i="6"/>
  <c r="T40" i="6"/>
  <c r="GO40" i="6"/>
  <c r="DC15" i="6"/>
  <c r="GO15" i="6"/>
  <c r="T15" i="6"/>
  <c r="T35" i="6"/>
  <c r="GO35" i="6"/>
  <c r="DC35" i="6"/>
  <c r="T45" i="6"/>
  <c r="GO45" i="6"/>
  <c r="DX3" i="6"/>
  <c r="CK4" i="6"/>
  <c r="Z5" i="6"/>
  <c r="CJ4" i="6"/>
  <c r="T10" i="6"/>
  <c r="GO10" i="6"/>
  <c r="DC10" i="6"/>
  <c r="GO29" i="6"/>
  <c r="T29" i="6"/>
  <c r="DC29" i="6"/>
  <c r="GO38" i="6"/>
  <c r="T38" i="6"/>
  <c r="T14" i="6"/>
  <c r="DC14" i="6"/>
  <c r="GO14" i="6"/>
  <c r="T28" i="6"/>
  <c r="GO28" i="6"/>
  <c r="DC28" i="6"/>
  <c r="T44" i="6"/>
  <c r="GO44" i="6"/>
  <c r="GO9" i="6"/>
  <c r="DC9" i="6"/>
  <c r="T9" i="6"/>
  <c r="T26" i="6"/>
  <c r="DC26" i="6"/>
  <c r="GO26" i="6"/>
  <c r="GO52" i="6"/>
  <c r="T52" i="6"/>
  <c r="GO21" i="6"/>
  <c r="DC21" i="6"/>
  <c r="T21" i="6"/>
  <c r="GO25" i="6"/>
  <c r="DC25" i="6"/>
  <c r="T25" i="6"/>
  <c r="T51" i="6"/>
  <c r="GO51" i="6"/>
  <c r="DW6" i="6"/>
  <c r="T13" i="6"/>
  <c r="GO13" i="6"/>
  <c r="DC13" i="6"/>
  <c r="GO36" i="6"/>
  <c r="DC36" i="6"/>
  <c r="T36" i="6"/>
  <c r="T42" i="6"/>
  <c r="GO42" i="6"/>
  <c r="DE3" i="6"/>
  <c r="HI6" i="6"/>
  <c r="GO12" i="6"/>
  <c r="DC12" i="6"/>
  <c r="T12" i="6"/>
  <c r="DC34" i="6"/>
  <c r="GO34" i="6"/>
  <c r="T34" i="6"/>
  <c r="T50" i="6"/>
  <c r="GO50" i="6"/>
  <c r="DC20" i="6"/>
  <c r="GO20" i="6"/>
  <c r="T20" i="6"/>
  <c r="T33" i="6"/>
  <c r="GO33" i="6"/>
  <c r="DC33" i="6"/>
  <c r="T49" i="6"/>
  <c r="GO49" i="6"/>
  <c r="FF3" i="6"/>
  <c r="EB4" i="6"/>
  <c r="T27" i="6"/>
  <c r="GO27" i="6"/>
  <c r="DC27" i="6"/>
  <c r="T32" i="6"/>
  <c r="GO32" i="6"/>
  <c r="DC32" i="6"/>
  <c r="T48" i="6"/>
  <c r="GO48" i="6"/>
  <c r="GO16" i="6"/>
  <c r="T16" i="6"/>
  <c r="DC16" i="6"/>
  <c r="GO19" i="6"/>
  <c r="T19" i="6"/>
  <c r="DC19" i="6"/>
  <c r="GO37" i="6"/>
  <c r="GO11" i="6"/>
  <c r="DC11" i="6"/>
  <c r="T11" i="6"/>
  <c r="T18" i="6"/>
  <c r="GO18" i="6"/>
  <c r="DC18" i="6"/>
  <c r="DC30" i="6"/>
  <c r="T30" i="6"/>
  <c r="GO30" i="6"/>
  <c r="FW4" i="6"/>
  <c r="GS3" i="6"/>
  <c r="GQ3" i="6"/>
  <c r="HH3" i="6"/>
  <c r="HJ3" i="6" s="1"/>
  <c r="T23" i="6"/>
  <c r="GO23" i="6"/>
  <c r="DC23" i="6"/>
  <c r="GO24" i="6"/>
  <c r="DC24" i="6"/>
  <c r="T24" i="6"/>
  <c r="GO43" i="6"/>
  <c r="T43" i="6"/>
  <c r="T6" i="6"/>
  <c r="DC6" i="6"/>
  <c r="GO6" i="6"/>
  <c r="GO17" i="6"/>
  <c r="DC17" i="6"/>
  <c r="T17" i="6"/>
  <c r="GO46" i="6"/>
  <c r="T46" i="6"/>
  <c r="BR3" i="6"/>
  <c r="BT3" i="6" s="1"/>
  <c r="AN4" i="6"/>
  <c r="BG3" i="6"/>
  <c r="BE3" i="6"/>
  <c r="T5" i="6"/>
  <c r="GO5" i="6"/>
  <c r="DC5" i="6"/>
  <c r="GO39" i="6"/>
  <c r="T39" i="6"/>
  <c r="T47" i="6"/>
  <c r="GO47" i="6"/>
  <c r="CI3" i="6"/>
  <c r="AC3" i="6"/>
  <c r="X4" i="6"/>
  <c r="GO4" i="6"/>
  <c r="DC4" i="6"/>
  <c r="T4" i="6"/>
  <c r="T22" i="6"/>
  <c r="DC22" i="6"/>
  <c r="GO22" i="6"/>
  <c r="GO41" i="6"/>
  <c r="T41" i="6"/>
  <c r="BE3" i="5"/>
  <c r="BG3" i="5"/>
  <c r="BR3" i="5"/>
  <c r="BT3" i="5" s="1"/>
  <c r="FF4" i="5"/>
  <c r="EB5" i="5"/>
  <c r="T12" i="5"/>
  <c r="DC12" i="5"/>
  <c r="GO12" i="5"/>
  <c r="T28" i="5"/>
  <c r="DC28" i="5"/>
  <c r="GO28" i="5"/>
  <c r="T43" i="5"/>
  <c r="GO43" i="5"/>
  <c r="M3" i="5"/>
  <c r="CK4" i="5"/>
  <c r="DY3" i="5"/>
  <c r="DX3" i="5"/>
  <c r="DE3" i="5"/>
  <c r="DC5" i="5"/>
  <c r="T5" i="5"/>
  <c r="GO5" i="5"/>
  <c r="GO38" i="5"/>
  <c r="T38" i="5"/>
  <c r="GO45" i="5"/>
  <c r="T45" i="5"/>
  <c r="BC2" i="5"/>
  <c r="BC3" i="5" s="1"/>
  <c r="BC4" i="5" s="1"/>
  <c r="GO41" i="5"/>
  <c r="T41" i="5"/>
  <c r="GO4" i="5"/>
  <c r="DC4" i="5"/>
  <c r="T4" i="5"/>
  <c r="L4" i="5" s="1"/>
  <c r="GO26" i="5"/>
  <c r="DC26" i="5"/>
  <c r="T26" i="5"/>
  <c r="T52" i="5"/>
  <c r="GO52" i="5"/>
  <c r="HI5" i="5"/>
  <c r="DG3" i="5"/>
  <c r="Z4" i="5"/>
  <c r="CJ3" i="5"/>
  <c r="FX45" i="5"/>
  <c r="FX47" i="5"/>
  <c r="FX48" i="5"/>
  <c r="FX49" i="5"/>
  <c r="FX50" i="5"/>
  <c r="FX51" i="5"/>
  <c r="FX52" i="5"/>
  <c r="FX44" i="5"/>
  <c r="FX42" i="5"/>
  <c r="FX40" i="5"/>
  <c r="FX33" i="5"/>
  <c r="FX37" i="5"/>
  <c r="FX41" i="5"/>
  <c r="FX36" i="5"/>
  <c r="FX43" i="5"/>
  <c r="FX38" i="5"/>
  <c r="FX32" i="5"/>
  <c r="FX30" i="5"/>
  <c r="FX46" i="5"/>
  <c r="FX39" i="5"/>
  <c r="FX35" i="5"/>
  <c r="FX31" i="5"/>
  <c r="FX23" i="5"/>
  <c r="FX25" i="5"/>
  <c r="FX26" i="5"/>
  <c r="FX27" i="5"/>
  <c r="FX29" i="5"/>
  <c r="FX34" i="5"/>
  <c r="FX28" i="5"/>
  <c r="FX21" i="5"/>
  <c r="FX18" i="5"/>
  <c r="FX20" i="5"/>
  <c r="FX24" i="5"/>
  <c r="FX19" i="5"/>
  <c r="FX22" i="5"/>
  <c r="FX16" i="5"/>
  <c r="FX11" i="5"/>
  <c r="FX14" i="5"/>
  <c r="FX3" i="5"/>
  <c r="FX13" i="5"/>
  <c r="FX10" i="5"/>
  <c r="FX4" i="5"/>
  <c r="FX12" i="5"/>
  <c r="FX9" i="5"/>
  <c r="FX6" i="5"/>
  <c r="FX17" i="5"/>
  <c r="FX7" i="5"/>
  <c r="FW3" i="5"/>
  <c r="FX8" i="5"/>
  <c r="FX5" i="5"/>
  <c r="FX15" i="5"/>
  <c r="DC10" i="5"/>
  <c r="T10" i="5"/>
  <c r="GO10" i="5"/>
  <c r="DC29" i="5"/>
  <c r="T29" i="5"/>
  <c r="GO29" i="5"/>
  <c r="T51" i="5"/>
  <c r="GO51" i="5"/>
  <c r="X4" i="5"/>
  <c r="AC3" i="5"/>
  <c r="CI3" i="5"/>
  <c r="AS2" i="5"/>
  <c r="AT2" i="5" s="1"/>
  <c r="T16" i="5"/>
  <c r="GO16" i="5"/>
  <c r="DC16" i="5"/>
  <c r="DC18" i="5"/>
  <c r="T18" i="5"/>
  <c r="GO18" i="5"/>
  <c r="GO30" i="5"/>
  <c r="DC30" i="5"/>
  <c r="T30" i="5"/>
  <c r="GO42" i="5"/>
  <c r="T42" i="5"/>
  <c r="T13" i="5"/>
  <c r="DC13" i="5"/>
  <c r="GO13" i="5"/>
  <c r="T24" i="5"/>
  <c r="GO24" i="5"/>
  <c r="DC24" i="5"/>
  <c r="T50" i="5"/>
  <c r="GO50" i="5"/>
  <c r="DC11" i="5"/>
  <c r="T11" i="5"/>
  <c r="GO11" i="5"/>
  <c r="DC35" i="5"/>
  <c r="GO35" i="5"/>
  <c r="T35" i="5"/>
  <c r="T49" i="5"/>
  <c r="GO49" i="5"/>
  <c r="DW11" i="5"/>
  <c r="GO25" i="5"/>
  <c r="DC25" i="5"/>
  <c r="T25" i="5"/>
  <c r="GO33" i="5"/>
  <c r="DC33" i="5"/>
  <c r="T33" i="5"/>
  <c r="T48" i="5"/>
  <c r="GO48" i="5"/>
  <c r="T21" i="5"/>
  <c r="GO21" i="5"/>
  <c r="DC21" i="5"/>
  <c r="T39" i="5"/>
  <c r="GO39" i="5"/>
  <c r="T46" i="5"/>
  <c r="GO46" i="5"/>
  <c r="T27" i="5"/>
  <c r="GO27" i="5"/>
  <c r="DC27" i="5"/>
  <c r="DC19" i="5"/>
  <c r="T19" i="5"/>
  <c r="GO19" i="5"/>
  <c r="T31" i="5"/>
  <c r="GO31" i="5"/>
  <c r="DC31" i="5"/>
  <c r="AO47" i="5"/>
  <c r="AO49" i="5"/>
  <c r="AO50" i="5"/>
  <c r="AO42" i="5"/>
  <c r="AO51" i="5"/>
  <c r="AO43" i="5"/>
  <c r="AO52" i="5"/>
  <c r="AO46" i="5"/>
  <c r="AO48" i="5"/>
  <c r="AO44" i="5"/>
  <c r="AO45" i="5"/>
  <c r="AO35" i="5"/>
  <c r="AO40" i="5"/>
  <c r="AO41" i="5"/>
  <c r="AO39" i="5"/>
  <c r="AO37" i="5"/>
  <c r="AO38" i="5"/>
  <c r="AO32" i="5"/>
  <c r="AO33" i="5"/>
  <c r="AO25" i="5"/>
  <c r="AO29" i="5"/>
  <c r="AO27" i="5"/>
  <c r="AO30" i="5"/>
  <c r="AO36" i="5"/>
  <c r="AO28" i="5"/>
  <c r="AO31" i="5"/>
  <c r="AO34" i="5"/>
  <c r="AO26" i="5"/>
  <c r="AO17" i="5"/>
  <c r="AO23" i="5"/>
  <c r="AO20" i="5"/>
  <c r="AO22" i="5"/>
  <c r="AO24" i="5"/>
  <c r="AO19" i="5"/>
  <c r="AO21" i="5"/>
  <c r="AO14" i="5"/>
  <c r="AO11" i="5"/>
  <c r="AO13" i="5"/>
  <c r="AO10" i="5"/>
  <c r="AO5" i="5"/>
  <c r="AO6" i="5"/>
  <c r="AO15" i="5"/>
  <c r="AO16" i="5"/>
  <c r="AO8" i="5"/>
  <c r="AO18" i="5"/>
  <c r="AO9" i="5"/>
  <c r="AO3" i="5"/>
  <c r="AN4" i="5" s="1"/>
  <c r="AO4" i="5"/>
  <c r="AO7" i="5"/>
  <c r="AO12" i="5"/>
  <c r="DC22" i="5"/>
  <c r="T22" i="5"/>
  <c r="GO22" i="5"/>
  <c r="GO40" i="5"/>
  <c r="T40" i="5"/>
  <c r="AF2" i="5"/>
  <c r="AI2" i="5"/>
  <c r="AJ2" i="5"/>
  <c r="T8" i="5"/>
  <c r="GO8" i="5"/>
  <c r="DC8" i="5"/>
  <c r="GO23" i="5"/>
  <c r="T23" i="5"/>
  <c r="DC23" i="5"/>
  <c r="GO47" i="5"/>
  <c r="T47" i="5"/>
  <c r="DC14" i="5"/>
  <c r="GO14" i="5"/>
  <c r="T14" i="5"/>
  <c r="T20" i="5"/>
  <c r="GO20" i="5"/>
  <c r="DC20" i="5"/>
  <c r="GO37" i="5"/>
  <c r="GO7" i="5"/>
  <c r="T7" i="5"/>
  <c r="DC7" i="5"/>
  <c r="GO32" i="5"/>
  <c r="T32" i="5"/>
  <c r="DC32" i="5"/>
  <c r="T34" i="5"/>
  <c r="DC34" i="5"/>
  <c r="GO34" i="5"/>
  <c r="GO15" i="5"/>
  <c r="DC15" i="5"/>
  <c r="T15" i="5"/>
  <c r="GO36" i="5"/>
  <c r="T36" i="5"/>
  <c r="DC36" i="5"/>
  <c r="GO44" i="5"/>
  <c r="T44" i="5"/>
  <c r="EP51" i="3"/>
  <c r="EP36" i="3"/>
  <c r="EP33" i="3"/>
  <c r="EN17" i="3"/>
  <c r="EP17" i="3" s="1"/>
  <c r="EQ17" i="3" s="1"/>
  <c r="EP50" i="3"/>
  <c r="EP32" i="3"/>
  <c r="EP34" i="3"/>
  <c r="EP35" i="3"/>
  <c r="GO22" i="3"/>
  <c r="DC22" i="3"/>
  <c r="GO24" i="3"/>
  <c r="DC24" i="3"/>
  <c r="EP49" i="3"/>
  <c r="DC8" i="3"/>
  <c r="GO8" i="3"/>
  <c r="GO25" i="3"/>
  <c r="DC25" i="3"/>
  <c r="DC6" i="3"/>
  <c r="GO6" i="3"/>
  <c r="GO33" i="3"/>
  <c r="DC33" i="3"/>
  <c r="GE2" i="3"/>
  <c r="GG2" i="3" s="1"/>
  <c r="FZ2" i="3" s="1"/>
  <c r="GD3" i="3" s="1"/>
  <c r="GD4" i="3" s="1"/>
  <c r="GD5" i="3" s="1"/>
  <c r="DC5" i="3"/>
  <c r="GO5" i="3"/>
  <c r="EW52" i="3"/>
  <c r="GS2" i="3"/>
  <c r="GO35" i="3"/>
  <c r="DC35" i="3"/>
  <c r="GO32" i="3"/>
  <c r="DC32" i="3"/>
  <c r="DC4" i="3"/>
  <c r="GO4" i="3"/>
  <c r="GO23" i="3"/>
  <c r="DC23" i="3"/>
  <c r="HB2" i="3"/>
  <c r="GO28" i="3"/>
  <c r="DC28" i="3"/>
  <c r="EP52" i="3"/>
  <c r="GQ2" i="3"/>
  <c r="GO34" i="3"/>
  <c r="DC34" i="3"/>
  <c r="DC9" i="3"/>
  <c r="GO9" i="3"/>
  <c r="GO30" i="3"/>
  <c r="DC30" i="3"/>
  <c r="DC3" i="3"/>
  <c r="GO3" i="3"/>
  <c r="GO27" i="3"/>
  <c r="DC27" i="3"/>
  <c r="GO26" i="3"/>
  <c r="DC26" i="3"/>
  <c r="DG2" i="3"/>
  <c r="GO29" i="3"/>
  <c r="DC29" i="3"/>
  <c r="GO31" i="3"/>
  <c r="DC31" i="3"/>
  <c r="DC7" i="3"/>
  <c r="GO7" i="3"/>
  <c r="EW48" i="3"/>
  <c r="EW50" i="3"/>
  <c r="EW44" i="3"/>
  <c r="EW51" i="3"/>
  <c r="EP48" i="3"/>
  <c r="EW49" i="3"/>
  <c r="EW37" i="3"/>
  <c r="EW47" i="3"/>
  <c r="EW46" i="3"/>
  <c r="CU45" i="3"/>
  <c r="CU46" i="3"/>
  <c r="CU47" i="3"/>
  <c r="CU48" i="3"/>
  <c r="CU49" i="3"/>
  <c r="CU50" i="3"/>
  <c r="CU38" i="3"/>
  <c r="CU39" i="3"/>
  <c r="CU51" i="3"/>
  <c r="CU41" i="3"/>
  <c r="CU42" i="3"/>
  <c r="CU43" i="3"/>
  <c r="CU52" i="3"/>
  <c r="CU40" i="3"/>
  <c r="CU44" i="3"/>
  <c r="CU37" i="3"/>
  <c r="EW45" i="3"/>
  <c r="EW38" i="3"/>
  <c r="EW41" i="3"/>
  <c r="EW39" i="3"/>
  <c r="EW43" i="3"/>
  <c r="EW42" i="3"/>
  <c r="EW40" i="3"/>
  <c r="CY3" i="3"/>
  <c r="CY4" i="3" s="1"/>
  <c r="GO12" i="3"/>
  <c r="DC12" i="3"/>
  <c r="GO19" i="3"/>
  <c r="DC19" i="3"/>
  <c r="GO15" i="3"/>
  <c r="DC15" i="3"/>
  <c r="GO11" i="3"/>
  <c r="DC11" i="3"/>
  <c r="DC13" i="3"/>
  <c r="GO13" i="3"/>
  <c r="U46" i="3"/>
  <c r="GO45" i="3"/>
  <c r="U40" i="3"/>
  <c r="GO39" i="3"/>
  <c r="DC18" i="3"/>
  <c r="GO18" i="3"/>
  <c r="U44" i="3"/>
  <c r="GO43" i="3"/>
  <c r="GO16" i="3"/>
  <c r="DC16" i="3"/>
  <c r="GO14" i="3"/>
  <c r="DC14" i="3"/>
  <c r="DC17" i="3"/>
  <c r="GO17" i="3"/>
  <c r="U45" i="3"/>
  <c r="GO44" i="3"/>
  <c r="U41" i="3"/>
  <c r="GO40" i="3"/>
  <c r="U42" i="3"/>
  <c r="GO41" i="3"/>
  <c r="U43" i="3"/>
  <c r="GO42" i="3"/>
  <c r="U37" i="3"/>
  <c r="GO36" i="3"/>
  <c r="T52" i="3"/>
  <c r="GO52" i="3"/>
  <c r="DC20" i="3"/>
  <c r="GO20" i="3"/>
  <c r="U47" i="3"/>
  <c r="GO46" i="3"/>
  <c r="U48" i="3"/>
  <c r="GO47" i="3"/>
  <c r="GO10" i="3"/>
  <c r="DC10" i="3"/>
  <c r="DC21" i="3"/>
  <c r="GO21" i="3"/>
  <c r="U39" i="3"/>
  <c r="GO38" i="3"/>
  <c r="FF3" i="3"/>
  <c r="N3" i="3"/>
  <c r="N6" i="3"/>
  <c r="N24" i="3"/>
  <c r="N32" i="3"/>
  <c r="N12" i="3"/>
  <c r="N23" i="3"/>
  <c r="N34" i="3"/>
  <c r="N31" i="3"/>
  <c r="N35" i="3"/>
  <c r="N21" i="3"/>
  <c r="N27" i="3"/>
  <c r="N9" i="3"/>
  <c r="DW3" i="3"/>
  <c r="DW4" i="3" s="1"/>
  <c r="DV2" i="3"/>
  <c r="DX2" i="3" s="1"/>
  <c r="N10" i="3"/>
  <c r="N37" i="3"/>
  <c r="N28" i="3"/>
  <c r="N17" i="3"/>
  <c r="N29" i="3"/>
  <c r="N25" i="3"/>
  <c r="N33" i="3"/>
  <c r="N13" i="3"/>
  <c r="N19" i="3"/>
  <c r="N18" i="3"/>
  <c r="N8" i="3"/>
  <c r="N11" i="3"/>
  <c r="N4" i="3"/>
  <c r="N7" i="3"/>
  <c r="N5" i="3"/>
  <c r="N20" i="3"/>
  <c r="N15" i="3"/>
  <c r="N26" i="3"/>
  <c r="N36" i="3"/>
  <c r="N14" i="3"/>
  <c r="N22" i="3"/>
  <c r="N30" i="3"/>
  <c r="N16" i="3"/>
  <c r="C120" i="2"/>
  <c r="CC2" i="3"/>
  <c r="AD2" i="3"/>
  <c r="BY2" i="3"/>
  <c r="Z3" i="3"/>
  <c r="CJ3" i="3" s="1"/>
  <c r="T51" i="3"/>
  <c r="U52" i="3"/>
  <c r="T49" i="3"/>
  <c r="U50" i="3"/>
  <c r="T50" i="3"/>
  <c r="U51" i="3"/>
  <c r="U38" i="3"/>
  <c r="T48" i="3"/>
  <c r="U49" i="3"/>
  <c r="AA13" i="3"/>
  <c r="AA4" i="3"/>
  <c r="DY2" i="3"/>
  <c r="AO7" i="3"/>
  <c r="AO14" i="3"/>
  <c r="AO36" i="3"/>
  <c r="AO51" i="3"/>
  <c r="AO45" i="3"/>
  <c r="AO50" i="3"/>
  <c r="AN3" i="3"/>
  <c r="FG6" i="3"/>
  <c r="FG13" i="3"/>
  <c r="FG14" i="3"/>
  <c r="FG17" i="3"/>
  <c r="FG26" i="3"/>
  <c r="FG27" i="3"/>
  <c r="FG28" i="3"/>
  <c r="FG40" i="3"/>
  <c r="FG41" i="3"/>
  <c r="FG42" i="3"/>
  <c r="FG49" i="3"/>
  <c r="FG5" i="3"/>
  <c r="Y27" i="3"/>
  <c r="AA48" i="3"/>
  <c r="AA17" i="3"/>
  <c r="AA38" i="3"/>
  <c r="T8" i="3"/>
  <c r="T24" i="3"/>
  <c r="T3" i="3"/>
  <c r="L3" i="3" s="1"/>
  <c r="T29" i="3"/>
  <c r="T46" i="3"/>
  <c r="T14" i="3"/>
  <c r="T23" i="3"/>
  <c r="T6" i="3"/>
  <c r="T45" i="3"/>
  <c r="T34" i="3"/>
  <c r="T30" i="3"/>
  <c r="T36" i="3"/>
  <c r="T27" i="3"/>
  <c r="T15" i="3"/>
  <c r="T44" i="3"/>
  <c r="T31" i="3"/>
  <c r="T11" i="3"/>
  <c r="T38" i="3"/>
  <c r="T28" i="3"/>
  <c r="T35" i="3"/>
  <c r="T9" i="3"/>
  <c r="T22" i="3"/>
  <c r="T39" i="3"/>
  <c r="T19" i="3"/>
  <c r="T25" i="3"/>
  <c r="T20" i="3"/>
  <c r="T32" i="3"/>
  <c r="T47" i="3"/>
  <c r="T26" i="3"/>
  <c r="T4" i="3"/>
  <c r="T17" i="3"/>
  <c r="T7" i="3"/>
  <c r="T13" i="3"/>
  <c r="T33" i="3"/>
  <c r="T43" i="3"/>
  <c r="T5" i="3"/>
  <c r="T21" i="3"/>
  <c r="T40" i="3"/>
  <c r="T10" i="3"/>
  <c r="T18" i="3"/>
  <c r="T12" i="3"/>
  <c r="T42" i="3"/>
  <c r="T41" i="3"/>
  <c r="T16" i="3"/>
  <c r="AO18" i="3"/>
  <c r="AO46" i="3"/>
  <c r="AO22" i="3"/>
  <c r="AO49" i="3"/>
  <c r="AO40" i="3"/>
  <c r="AO11" i="3"/>
  <c r="AO8" i="3"/>
  <c r="AO19" i="3"/>
  <c r="AO38" i="3"/>
  <c r="AO4" i="3"/>
  <c r="AO52" i="3"/>
  <c r="AO30" i="3"/>
  <c r="AO23" i="3"/>
  <c r="CI3" i="3"/>
  <c r="AO15" i="3"/>
  <c r="AO29" i="3"/>
  <c r="AO20" i="3"/>
  <c r="AA9" i="3"/>
  <c r="AO33" i="3"/>
  <c r="AO26" i="3"/>
  <c r="AO27" i="3"/>
  <c r="AO44" i="3"/>
  <c r="AA27" i="3"/>
  <c r="AO48" i="3"/>
  <c r="AO5" i="3"/>
  <c r="AO21" i="3"/>
  <c r="AO10" i="3"/>
  <c r="AA50" i="3"/>
  <c r="AO39" i="3"/>
  <c r="AO42" i="3"/>
  <c r="AO25" i="3"/>
  <c r="AO16" i="3"/>
  <c r="AO17" i="3"/>
  <c r="AO43" i="3"/>
  <c r="AO34" i="3"/>
  <c r="AO9" i="3"/>
  <c r="AO12" i="3"/>
  <c r="AO6" i="3"/>
  <c r="AO47" i="3"/>
  <c r="AO3" i="3"/>
  <c r="AO37" i="3"/>
  <c r="AO24" i="3"/>
  <c r="AO31" i="3"/>
  <c r="AO32" i="3"/>
  <c r="AO28" i="3"/>
  <c r="AO35" i="3"/>
  <c r="AO13" i="3"/>
  <c r="AA22" i="3"/>
  <c r="AA14" i="3"/>
  <c r="AA32" i="3"/>
  <c r="AA6" i="3"/>
  <c r="AA11" i="3"/>
  <c r="CL18" i="3"/>
  <c r="CL34" i="3"/>
  <c r="CL50" i="3"/>
  <c r="CL17" i="3"/>
  <c r="CL33" i="3"/>
  <c r="CL49" i="3"/>
  <c r="CL19" i="3"/>
  <c r="CL35" i="3"/>
  <c r="CL51" i="3"/>
  <c r="CL4" i="3"/>
  <c r="CL20" i="3"/>
  <c r="CL36" i="3"/>
  <c r="CL52" i="3"/>
  <c r="CL5" i="3"/>
  <c r="CL21" i="3"/>
  <c r="CL37" i="3"/>
  <c r="CL3" i="3"/>
  <c r="CL6" i="3"/>
  <c r="CL22" i="3"/>
  <c r="CL38" i="3"/>
  <c r="CL7" i="3"/>
  <c r="CL23" i="3"/>
  <c r="CL39" i="3"/>
  <c r="CL8" i="3"/>
  <c r="CL24" i="3"/>
  <c r="CL40" i="3"/>
  <c r="CL9" i="3"/>
  <c r="CL25" i="3"/>
  <c r="CL41" i="3"/>
  <c r="CL10" i="3"/>
  <c r="CL26" i="3"/>
  <c r="CL42" i="3"/>
  <c r="CL11" i="3"/>
  <c r="CL27" i="3"/>
  <c r="CL43" i="3"/>
  <c r="CL12" i="3"/>
  <c r="CL28" i="3"/>
  <c r="CL44" i="3"/>
  <c r="CL13" i="3"/>
  <c r="CL29" i="3"/>
  <c r="CL45" i="3"/>
  <c r="CL16" i="3"/>
  <c r="CL32" i="3"/>
  <c r="CL48" i="3"/>
  <c r="CL14" i="3"/>
  <c r="CL30" i="3"/>
  <c r="CL46" i="3"/>
  <c r="CL15" i="3"/>
  <c r="CL31" i="3"/>
  <c r="CL47" i="3"/>
  <c r="AA33" i="3"/>
  <c r="AA7" i="3"/>
  <c r="AA30" i="3"/>
  <c r="AA49" i="3"/>
  <c r="AA23" i="3"/>
  <c r="AA34" i="3"/>
  <c r="AH2" i="3"/>
  <c r="AA3" i="3"/>
  <c r="AA42" i="3"/>
  <c r="AA35" i="3"/>
  <c r="AA24" i="3"/>
  <c r="AA26" i="3"/>
  <c r="AA39" i="3"/>
  <c r="AA19" i="3"/>
  <c r="AA8" i="3"/>
  <c r="AA43" i="3"/>
  <c r="AA51" i="3"/>
  <c r="AA40" i="3"/>
  <c r="AA46" i="3"/>
  <c r="AA29" i="3"/>
  <c r="AA45" i="3"/>
  <c r="AA36" i="3"/>
  <c r="AA41" i="3"/>
  <c r="AA18" i="3"/>
  <c r="AA15" i="3"/>
  <c r="AA52" i="3"/>
  <c r="AA12" i="3"/>
  <c r="AA31" i="3"/>
  <c r="AA5" i="3"/>
  <c r="AA28" i="3"/>
  <c r="AA25" i="3"/>
  <c r="AA47" i="3"/>
  <c r="AA21" i="3"/>
  <c r="AA44" i="3"/>
  <c r="FW3" i="3"/>
  <c r="AA20" i="3"/>
  <c r="AA16" i="3"/>
  <c r="AA37" i="3"/>
  <c r="AA10" i="3"/>
  <c r="BC2" i="3"/>
  <c r="BC3" i="3" s="1"/>
  <c r="BC4" i="3" s="1"/>
  <c r="FX15" i="3"/>
  <c r="FX31" i="3"/>
  <c r="FX47" i="3"/>
  <c r="FX16" i="3"/>
  <c r="FX32" i="3"/>
  <c r="FX48" i="3"/>
  <c r="FX17" i="3"/>
  <c r="FX33" i="3"/>
  <c r="FX49" i="3"/>
  <c r="FX18" i="3"/>
  <c r="FX34" i="3"/>
  <c r="FX50" i="3"/>
  <c r="FX19" i="3"/>
  <c r="FX35" i="3"/>
  <c r="FX51" i="3"/>
  <c r="FX4" i="3"/>
  <c r="FX20" i="3"/>
  <c r="FX36" i="3"/>
  <c r="FX52" i="3"/>
  <c r="FX5" i="3"/>
  <c r="FX21" i="3"/>
  <c r="FX37" i="3"/>
  <c r="FX3" i="3"/>
  <c r="FX6" i="3"/>
  <c r="FX22" i="3"/>
  <c r="FX38" i="3"/>
  <c r="FX7" i="3"/>
  <c r="FX23" i="3"/>
  <c r="FX39" i="3"/>
  <c r="FX8" i="3"/>
  <c r="FX24" i="3"/>
  <c r="FX40" i="3"/>
  <c r="FX9" i="3"/>
  <c r="FX25" i="3"/>
  <c r="FX41" i="3"/>
  <c r="FX44" i="3"/>
  <c r="FX10" i="3"/>
  <c r="FX26" i="3"/>
  <c r="FX42" i="3"/>
  <c r="FX11" i="3"/>
  <c r="FX27" i="3"/>
  <c r="FX43" i="3"/>
  <c r="FX28" i="3"/>
  <c r="FX14" i="3"/>
  <c r="FX30" i="3"/>
  <c r="FX46" i="3"/>
  <c r="FX12" i="3"/>
  <c r="FX13" i="3"/>
  <c r="FX29" i="3"/>
  <c r="FX45" i="3"/>
  <c r="GI2" i="3"/>
  <c r="GK2" i="3" s="1"/>
  <c r="Y3" i="3"/>
  <c r="Y11" i="3"/>
  <c r="Y5" i="3"/>
  <c r="Y7" i="3"/>
  <c r="Y4" i="3"/>
  <c r="Y6" i="3"/>
  <c r="Y8" i="3"/>
  <c r="Y9" i="3"/>
  <c r="Y10" i="3"/>
  <c r="Y46" i="3"/>
  <c r="Y12" i="3"/>
  <c r="Y28" i="3"/>
  <c r="Y15" i="3"/>
  <c r="Y18" i="3"/>
  <c r="Y36" i="3"/>
  <c r="Y31" i="3"/>
  <c r="Y44" i="3"/>
  <c r="Y50" i="3"/>
  <c r="Y19" i="3"/>
  <c r="Y35" i="3"/>
  <c r="Y29" i="3"/>
  <c r="Y48" i="3"/>
  <c r="Y17" i="3"/>
  <c r="Y52" i="3"/>
  <c r="Y33" i="3"/>
  <c r="Y47" i="3"/>
  <c r="Y37" i="3"/>
  <c r="Y16" i="3"/>
  <c r="Y25" i="3"/>
  <c r="Y13" i="3"/>
  <c r="Y49" i="3"/>
  <c r="Y39" i="3"/>
  <c r="Y41" i="3"/>
  <c r="Y45" i="3"/>
  <c r="Y34" i="3"/>
  <c r="Y42" i="3"/>
  <c r="Y22" i="3"/>
  <c r="Y21" i="3"/>
  <c r="Y51" i="3"/>
  <c r="Y23" i="3"/>
  <c r="Y14" i="3"/>
  <c r="Y20" i="3"/>
  <c r="Y40" i="3"/>
  <c r="Y30" i="3"/>
  <c r="Y24" i="3"/>
  <c r="Y26" i="3"/>
  <c r="Y43" i="3"/>
  <c r="Y32" i="3"/>
  <c r="Y38" i="3"/>
  <c r="HH2" i="3"/>
  <c r="HJ2" i="3" s="1"/>
  <c r="Q22" i="3"/>
  <c r="V12" i="3"/>
  <c r="V14" i="3"/>
  <c r="V16" i="3"/>
  <c r="V29" i="3"/>
  <c r="V15" i="3"/>
  <c r="V41" i="3"/>
  <c r="V34" i="3"/>
  <c r="V5" i="3"/>
  <c r="V38" i="3"/>
  <c r="V40" i="3"/>
  <c r="V24" i="3"/>
  <c r="V20" i="3"/>
  <c r="V30" i="3"/>
  <c r="V42" i="3"/>
  <c r="V31" i="3"/>
  <c r="V46" i="3"/>
  <c r="V27" i="3"/>
  <c r="V50" i="3"/>
  <c r="V32" i="3"/>
  <c r="V17" i="3"/>
  <c r="V36" i="3"/>
  <c r="V37" i="3"/>
  <c r="V19" i="3"/>
  <c r="V4" i="3"/>
  <c r="V28" i="3"/>
  <c r="V35" i="3"/>
  <c r="V51" i="3"/>
  <c r="V18" i="3"/>
  <c r="V7" i="3"/>
  <c r="V43" i="3"/>
  <c r="V23" i="3"/>
  <c r="V8" i="3"/>
  <c r="V10" i="3"/>
  <c r="V44" i="3"/>
  <c r="V13" i="3"/>
  <c r="V45" i="3"/>
  <c r="V52" i="3"/>
  <c r="V3" i="3"/>
  <c r="V33" i="3"/>
  <c r="V47" i="3"/>
  <c r="V9" i="3"/>
  <c r="V49" i="3"/>
  <c r="V11" i="3"/>
  <c r="V21" i="3"/>
  <c r="V48" i="3"/>
  <c r="V39" i="3"/>
  <c r="V22" i="3"/>
  <c r="V25" i="3"/>
  <c r="V26" i="3"/>
  <c r="GB2" i="6" l="1"/>
  <c r="GC2" i="6" s="1"/>
  <c r="GE3" i="6" s="1"/>
  <c r="EP39" i="6"/>
  <c r="EP40" i="6" s="1"/>
  <c r="EP41" i="6" s="1"/>
  <c r="EP42" i="6" s="1"/>
  <c r="EP43" i="6" s="1"/>
  <c r="EP44" i="6" s="1"/>
  <c r="EP45" i="6" s="1"/>
  <c r="EP46" i="6" s="1"/>
  <c r="EP47" i="6" s="1"/>
  <c r="GK3" i="10"/>
  <c r="GK4" i="10" s="1"/>
  <c r="GK5" i="10" s="1"/>
  <c r="GK6" i="10" s="1"/>
  <c r="GK7" i="10" s="1"/>
  <c r="GK8" i="10" s="1"/>
  <c r="GK9" i="10" s="1"/>
  <c r="GK10" i="10" s="1"/>
  <c r="GK11" i="10" s="1"/>
  <c r="CZ3" i="10"/>
  <c r="CZ4" i="10" s="1"/>
  <c r="CZ5" i="10" s="1"/>
  <c r="CZ6" i="10" s="1"/>
  <c r="CZ7" i="10" s="1"/>
  <c r="CZ8" i="10" s="1"/>
  <c r="CZ9" i="10" s="1"/>
  <c r="CZ10" i="10" s="1"/>
  <c r="CZ11" i="10" s="1"/>
  <c r="CT2" i="3"/>
  <c r="CU2" i="3" s="1"/>
  <c r="CZ3" i="11"/>
  <c r="CZ4" i="11" s="1"/>
  <c r="CZ5" i="11" s="1"/>
  <c r="CZ6" i="11" s="1"/>
  <c r="CZ7" i="11" s="1"/>
  <c r="CZ8" i="11" s="1"/>
  <c r="CZ9" i="11" s="1"/>
  <c r="CZ10" i="11" s="1"/>
  <c r="CZ11" i="11" s="1"/>
  <c r="EB4" i="3"/>
  <c r="CR3" i="3"/>
  <c r="GN3" i="3"/>
  <c r="GN4" i="3" s="1"/>
  <c r="DB3" i="3"/>
  <c r="AF2" i="6"/>
  <c r="AJ2" i="6"/>
  <c r="AI2" i="6"/>
  <c r="GU6" i="6"/>
  <c r="GU27" i="12"/>
  <c r="DQ2" i="7"/>
  <c r="GU11" i="7"/>
  <c r="HC2" i="10"/>
  <c r="GU44" i="12"/>
  <c r="GU35" i="12"/>
  <c r="GU4" i="12"/>
  <c r="GU33" i="11"/>
  <c r="GU29" i="11"/>
  <c r="GU27" i="11"/>
  <c r="GU18" i="10"/>
  <c r="GU24" i="12"/>
  <c r="GU45" i="10"/>
  <c r="GU42" i="10"/>
  <c r="GU7" i="11"/>
  <c r="GU52" i="12"/>
  <c r="GU14" i="12"/>
  <c r="GU6" i="11"/>
  <c r="GU33" i="10"/>
  <c r="GU16" i="12"/>
  <c r="GU11" i="12"/>
  <c r="GU30" i="11"/>
  <c r="GU28" i="11"/>
  <c r="GU16" i="11"/>
  <c r="GU4" i="11"/>
  <c r="GU24" i="10"/>
  <c r="GU37" i="11"/>
  <c r="GU26" i="10"/>
  <c r="GU41" i="11"/>
  <c r="GU28" i="8"/>
  <c r="GU36" i="10"/>
  <c r="GU24" i="9"/>
  <c r="GU47" i="8"/>
  <c r="GU34" i="8"/>
  <c r="GU11" i="8"/>
  <c r="GU7" i="8"/>
  <c r="GU19" i="9"/>
  <c r="GU18" i="8"/>
  <c r="GU11" i="9"/>
  <c r="GU7" i="10"/>
  <c r="GU49" i="9"/>
  <c r="GU45" i="12"/>
  <c r="GU23" i="9"/>
  <c r="GU6" i="10"/>
  <c r="GU46" i="9"/>
  <c r="GU45" i="9"/>
  <c r="GU39" i="9"/>
  <c r="GU5" i="10"/>
  <c r="GU33" i="9"/>
  <c r="GU21" i="8"/>
  <c r="GU12" i="8"/>
  <c r="GU5" i="8"/>
  <c r="GU4" i="8"/>
  <c r="GU47" i="7"/>
  <c r="GU29" i="6"/>
  <c r="GU21" i="7"/>
  <c r="GU13" i="7"/>
  <c r="GU43" i="6"/>
  <c r="GU47" i="12"/>
  <c r="GU44" i="8"/>
  <c r="GU17" i="6"/>
  <c r="GU45" i="8"/>
  <c r="GU15" i="9"/>
  <c r="GU19" i="8"/>
  <c r="GU17" i="8"/>
  <c r="GU2" i="7"/>
  <c r="GU52" i="8"/>
  <c r="GU16" i="7"/>
  <c r="GU42" i="9"/>
  <c r="GU39" i="7"/>
  <c r="GU5" i="6"/>
  <c r="GU4" i="6"/>
  <c r="GU27" i="5"/>
  <c r="GU36" i="5"/>
  <c r="GU15" i="5"/>
  <c r="GU45" i="5"/>
  <c r="GU9" i="6"/>
  <c r="GU16" i="5"/>
  <c r="GU11" i="5"/>
  <c r="GU2" i="6"/>
  <c r="GU16" i="6"/>
  <c r="GU23" i="5"/>
  <c r="GU40" i="5"/>
  <c r="GU8" i="8"/>
  <c r="GU40" i="7"/>
  <c r="GU49" i="6"/>
  <c r="GU26" i="6"/>
  <c r="GU41" i="6"/>
  <c r="GU9" i="9"/>
  <c r="GU5" i="9"/>
  <c r="GU10" i="8"/>
  <c r="GU12" i="9"/>
  <c r="GU32" i="10"/>
  <c r="GU5" i="11"/>
  <c r="GU30" i="12"/>
  <c r="GU37" i="5"/>
  <c r="GU8" i="6"/>
  <c r="GU3" i="5"/>
  <c r="GU46" i="5"/>
  <c r="GU20" i="5"/>
  <c r="GU50" i="5"/>
  <c r="GU51" i="6"/>
  <c r="GU5" i="7"/>
  <c r="GU17" i="7"/>
  <c r="GU13" i="9"/>
  <c r="GU37" i="9"/>
  <c r="GU16" i="9"/>
  <c r="GU51" i="9"/>
  <c r="GU37" i="10"/>
  <c r="GU10" i="11"/>
  <c r="GU20" i="10"/>
  <c r="GU32" i="5"/>
  <c r="GU31" i="5"/>
  <c r="GU42" i="7"/>
  <c r="GU32" i="7"/>
  <c r="GU9" i="7"/>
  <c r="GU4" i="9"/>
  <c r="GU20" i="9"/>
  <c r="GU36" i="9"/>
  <c r="GU52" i="9"/>
  <c r="GU9" i="11"/>
  <c r="GU50" i="11"/>
  <c r="GU36" i="12"/>
  <c r="GU19" i="12"/>
  <c r="GU35" i="10"/>
  <c r="GU4" i="5"/>
  <c r="GU14" i="5"/>
  <c r="GU40" i="11"/>
  <c r="GU23" i="6"/>
  <c r="GU26" i="8"/>
  <c r="GU31" i="8"/>
  <c r="GU50" i="9"/>
  <c r="GU3" i="10"/>
  <c r="GU5" i="5"/>
  <c r="GU12" i="5"/>
  <c r="GU9" i="5"/>
  <c r="GU38" i="6"/>
  <c r="GU37" i="6"/>
  <c r="GU50" i="8"/>
  <c r="GU45" i="6"/>
  <c r="GU4" i="10"/>
  <c r="GU6" i="9"/>
  <c r="GU30" i="5"/>
  <c r="GU21" i="5"/>
  <c r="GU19" i="5"/>
  <c r="GU17" i="5"/>
  <c r="GU41" i="5"/>
  <c r="GU3" i="6"/>
  <c r="GU51" i="7"/>
  <c r="GU30" i="6"/>
  <c r="GU8" i="7"/>
  <c r="GU38" i="9"/>
  <c r="GU47" i="9"/>
  <c r="GU34" i="9"/>
  <c r="GU17" i="9"/>
  <c r="GU15" i="12"/>
  <c r="GU51" i="11"/>
  <c r="GU17" i="10"/>
  <c r="GU26" i="12"/>
  <c r="GU25" i="10"/>
  <c r="GU18" i="9"/>
  <c r="GU26" i="7"/>
  <c r="GU45" i="7"/>
  <c r="GU43" i="9"/>
  <c r="GU16" i="10"/>
  <c r="GU26" i="9"/>
  <c r="GU52" i="11"/>
  <c r="GU48" i="10"/>
  <c r="GU42" i="12"/>
  <c r="GU43" i="11"/>
  <c r="GU12" i="10"/>
  <c r="GU39" i="10"/>
  <c r="GU44" i="10"/>
  <c r="GU14" i="9"/>
  <c r="GU29" i="8"/>
  <c r="GU24" i="5"/>
  <c r="GU47" i="6"/>
  <c r="GU8" i="5"/>
  <c r="GU20" i="7"/>
  <c r="GU25" i="7"/>
  <c r="GU46" i="7"/>
  <c r="GU13" i="8"/>
  <c r="GU39" i="12"/>
  <c r="GU3" i="11"/>
  <c r="GU22" i="10"/>
  <c r="GU40" i="10"/>
  <c r="GU50" i="10"/>
  <c r="GU10" i="9"/>
  <c r="GU52" i="5"/>
  <c r="GU10" i="5"/>
  <c r="GU29" i="9"/>
  <c r="GU25" i="5"/>
  <c r="GU34" i="5"/>
  <c r="GU18" i="5"/>
  <c r="GU15" i="6"/>
  <c r="GU49" i="7"/>
  <c r="GU32" i="6"/>
  <c r="GU36" i="8"/>
  <c r="GU11" i="10"/>
  <c r="GU2" i="9"/>
  <c r="GU32" i="8"/>
  <c r="GU14" i="11"/>
  <c r="GU2" i="11"/>
  <c r="GU5" i="12"/>
  <c r="GU38" i="5"/>
  <c r="GU13" i="5"/>
  <c r="GU52" i="7"/>
  <c r="GU34" i="7"/>
  <c r="GU42" i="8"/>
  <c r="GU14" i="10"/>
  <c r="GU43" i="8"/>
  <c r="GU39" i="11"/>
  <c r="GU11" i="11"/>
  <c r="GU21" i="11"/>
  <c r="GU22" i="12"/>
  <c r="GU41" i="12"/>
  <c r="GU14" i="6"/>
  <c r="GU29" i="5"/>
  <c r="GU10" i="10"/>
  <c r="GU36" i="6"/>
  <c r="GU30" i="8"/>
  <c r="GU49" i="8"/>
  <c r="GU22" i="9"/>
  <c r="GU28" i="10"/>
  <c r="GU45" i="11"/>
  <c r="GU48" i="8"/>
  <c r="GU17" i="11"/>
  <c r="GU43" i="12"/>
  <c r="GU3" i="9"/>
  <c r="GU49" i="5"/>
  <c r="GU22" i="5"/>
  <c r="GU38" i="7"/>
  <c r="GU28" i="7"/>
  <c r="GU41" i="9"/>
  <c r="GU21" i="6"/>
  <c r="GU18" i="11"/>
  <c r="GU20" i="12"/>
  <c r="GU44" i="11"/>
  <c r="GU36" i="11"/>
  <c r="GU28" i="12"/>
  <c r="GU35" i="9"/>
  <c r="GU33" i="8"/>
  <c r="GU37" i="8"/>
  <c r="GU46" i="10"/>
  <c r="GU46" i="12"/>
  <c r="GU20" i="8"/>
  <c r="GU38" i="8"/>
  <c r="GU14" i="7"/>
  <c r="GU42" i="5"/>
  <c r="GU22" i="3"/>
  <c r="GU44" i="3"/>
  <c r="GU47" i="3"/>
  <c r="GU38" i="3"/>
  <c r="GU12" i="3"/>
  <c r="GU31" i="3"/>
  <c r="GU34" i="12"/>
  <c r="GU39" i="6"/>
  <c r="GU18" i="12"/>
  <c r="GU17" i="12"/>
  <c r="GU38" i="12"/>
  <c r="GU8" i="11"/>
  <c r="GU25" i="9"/>
  <c r="GU48" i="9"/>
  <c r="GU41" i="7"/>
  <c r="GU35" i="6"/>
  <c r="GU48" i="6"/>
  <c r="GU7" i="5"/>
  <c r="GU39" i="5"/>
  <c r="GU44" i="5"/>
  <c r="GU50" i="6"/>
  <c r="GU9" i="12"/>
  <c r="GU48" i="12"/>
  <c r="GU52" i="6"/>
  <c r="GU23" i="8"/>
  <c r="GU49" i="12"/>
  <c r="GU8" i="9"/>
  <c r="GU30" i="9"/>
  <c r="GU2" i="8"/>
  <c r="GU25" i="8"/>
  <c r="GU20" i="6"/>
  <c r="GU26" i="5"/>
  <c r="GU37" i="3"/>
  <c r="GU25" i="3"/>
  <c r="GU50" i="3"/>
  <c r="GU27" i="6"/>
  <c r="GU43" i="5"/>
  <c r="GU40" i="3"/>
  <c r="GU18" i="6"/>
  <c r="GU21" i="10"/>
  <c r="GU25" i="12"/>
  <c r="GU40" i="9"/>
  <c r="GU35" i="5"/>
  <c r="GU3" i="3"/>
  <c r="GU36" i="3"/>
  <c r="GU28" i="3"/>
  <c r="GU34" i="3"/>
  <c r="GU6" i="8"/>
  <c r="GU6" i="7"/>
  <c r="GU10" i="7"/>
  <c r="GU20" i="3"/>
  <c r="GU51" i="10"/>
  <c r="GU23" i="12"/>
  <c r="GU15" i="11"/>
  <c r="GU47" i="11"/>
  <c r="GU18" i="7"/>
  <c r="GU10" i="6"/>
  <c r="GU9" i="3"/>
  <c r="GU18" i="3"/>
  <c r="GU7" i="7"/>
  <c r="GU22" i="6"/>
  <c r="GU14" i="8"/>
  <c r="GU32" i="11"/>
  <c r="GU12" i="12"/>
  <c r="GU22" i="11"/>
  <c r="GU39" i="8"/>
  <c r="GU37" i="7"/>
  <c r="GU13" i="6"/>
  <c r="GU2" i="3"/>
  <c r="GP2" i="3" s="1"/>
  <c r="GU11" i="3"/>
  <c r="GU24" i="3"/>
  <c r="GU49" i="3"/>
  <c r="GU5" i="3"/>
  <c r="GU27" i="3"/>
  <c r="GU33" i="3"/>
  <c r="GU31" i="7"/>
  <c r="GU31" i="6"/>
  <c r="GU51" i="8"/>
  <c r="GU34" i="11"/>
  <c r="GU19" i="11"/>
  <c r="GU42" i="11"/>
  <c r="GU40" i="8"/>
  <c r="GU19" i="6"/>
  <c r="GU34" i="6"/>
  <c r="GU21" i="3"/>
  <c r="GU46" i="8"/>
  <c r="GU9" i="10"/>
  <c r="GU7" i="12"/>
  <c r="GU37" i="12"/>
  <c r="GU38" i="10"/>
  <c r="GU27" i="9"/>
  <c r="GU24" i="8"/>
  <c r="GU24" i="7"/>
  <c r="GU50" i="7"/>
  <c r="GU44" i="7"/>
  <c r="GU42" i="6"/>
  <c r="GU8" i="3"/>
  <c r="GU46" i="3"/>
  <c r="GU17" i="3"/>
  <c r="GU48" i="3"/>
  <c r="GU6" i="12"/>
  <c r="GU27" i="10"/>
  <c r="GU36" i="7"/>
  <c r="GU39" i="3"/>
  <c r="GU19" i="3"/>
  <c r="GU2" i="10"/>
  <c r="GP2" i="10" s="1"/>
  <c r="GU20" i="11"/>
  <c r="GU29" i="10"/>
  <c r="GU26" i="11"/>
  <c r="GU30" i="10"/>
  <c r="GU43" i="10"/>
  <c r="GU22" i="8"/>
  <c r="GU35" i="8"/>
  <c r="GU4" i="3"/>
  <c r="GU30" i="3"/>
  <c r="GU13" i="3"/>
  <c r="GU3" i="12"/>
  <c r="GU46" i="6"/>
  <c r="GU52" i="10"/>
  <c r="GU25" i="11"/>
  <c r="GU50" i="12"/>
  <c r="GU31" i="11"/>
  <c r="GU44" i="9"/>
  <c r="GU15" i="7"/>
  <c r="GU30" i="7"/>
  <c r="GU11" i="6"/>
  <c r="GU44" i="6"/>
  <c r="GU43" i="3"/>
  <c r="GU14" i="3"/>
  <c r="GU32" i="3"/>
  <c r="GU16" i="3"/>
  <c r="GU6" i="5"/>
  <c r="GU28" i="6"/>
  <c r="GU9" i="8"/>
  <c r="GU2" i="12"/>
  <c r="GP2" i="12" s="1"/>
  <c r="GU51" i="12"/>
  <c r="GU21" i="12"/>
  <c r="GU31" i="12"/>
  <c r="GU22" i="7"/>
  <c r="GU51" i="5"/>
  <c r="GU47" i="5"/>
  <c r="GU6" i="3"/>
  <c r="GU10" i="3"/>
  <c r="GU42" i="3"/>
  <c r="GU31" i="9"/>
  <c r="GU38" i="11"/>
  <c r="GU10" i="12"/>
  <c r="GU32" i="12"/>
  <c r="GU23" i="11"/>
  <c r="GU46" i="11"/>
  <c r="GU48" i="11"/>
  <c r="GU27" i="8"/>
  <c r="GU3" i="7"/>
  <c r="GU24" i="6"/>
  <c r="GU33" i="6"/>
  <c r="GU23" i="3"/>
  <c r="GU26" i="3"/>
  <c r="GU4" i="7"/>
  <c r="GU15" i="10"/>
  <c r="GU32" i="9"/>
  <c r="GU12" i="11"/>
  <c r="GU35" i="11"/>
  <c r="GU34" i="10"/>
  <c r="GU47" i="10"/>
  <c r="GU15" i="8"/>
  <c r="GU12" i="7"/>
  <c r="GU23" i="7"/>
  <c r="GU27" i="7"/>
  <c r="GU33" i="7"/>
  <c r="GU43" i="7"/>
  <c r="GU12" i="6"/>
  <c r="GU25" i="6"/>
  <c r="GU2" i="5"/>
  <c r="GP2" i="5" s="1"/>
  <c r="GU7" i="3"/>
  <c r="GU51" i="3"/>
  <c r="GU45" i="3"/>
  <c r="GU19" i="10"/>
  <c r="GU13" i="12"/>
  <c r="GU31" i="10"/>
  <c r="GU16" i="8"/>
  <c r="GU35" i="7"/>
  <c r="GU40" i="6"/>
  <c r="GU35" i="3"/>
  <c r="GU29" i="3"/>
  <c r="GU48" i="7"/>
  <c r="GU41" i="8"/>
  <c r="GU13" i="10"/>
  <c r="GU41" i="10"/>
  <c r="GU48" i="5"/>
  <c r="GU41" i="3"/>
  <c r="GU15" i="3"/>
  <c r="GU7" i="6"/>
  <c r="GU52" i="3"/>
  <c r="GU28" i="5"/>
  <c r="HC2" i="9"/>
  <c r="HD2" i="9" s="1"/>
  <c r="GN3" i="9"/>
  <c r="GP2" i="9"/>
  <c r="GU28" i="9"/>
  <c r="Q22" i="8"/>
  <c r="Q48" i="8"/>
  <c r="Q38" i="8"/>
  <c r="Q14" i="8"/>
  <c r="Q42" i="8"/>
  <c r="Q24" i="8"/>
  <c r="Q44" i="8"/>
  <c r="Q21" i="8"/>
  <c r="Q5" i="8"/>
  <c r="Q37" i="8"/>
  <c r="Q16" i="8"/>
  <c r="Q34" i="8"/>
  <c r="Q19" i="8"/>
  <c r="Q4" i="8"/>
  <c r="Q29" i="8"/>
  <c r="Q47" i="8"/>
  <c r="Q15" i="8"/>
  <c r="Q50" i="8"/>
  <c r="Q35" i="8"/>
  <c r="Q6" i="8"/>
  <c r="Q51" i="8"/>
  <c r="Q30" i="8"/>
  <c r="Q18" i="8"/>
  <c r="Q43" i="8"/>
  <c r="Q23" i="8"/>
  <c r="Q7" i="8"/>
  <c r="Q26" i="8"/>
  <c r="Q45" i="8"/>
  <c r="Q12" i="8"/>
  <c r="Q52" i="8"/>
  <c r="Q36" i="8"/>
  <c r="Q17" i="8"/>
  <c r="Q8" i="8"/>
  <c r="Q49" i="8"/>
  <c r="Q33" i="8"/>
  <c r="Q9" i="8"/>
  <c r="Q40" i="8"/>
  <c r="Q31" i="8"/>
  <c r="Q13" i="8"/>
  <c r="Q41" i="8"/>
  <c r="Q28" i="8"/>
  <c r="Q10" i="8"/>
  <c r="Q39" i="8"/>
  <c r="Q27" i="8"/>
  <c r="Q20" i="8"/>
  <c r="Q3" i="8"/>
  <c r="Q46" i="8"/>
  <c r="Q25" i="8"/>
  <c r="Q11" i="8"/>
  <c r="Q32" i="8"/>
  <c r="GN4" i="6"/>
  <c r="HK3" i="6"/>
  <c r="Z4" i="7"/>
  <c r="GU7" i="9"/>
  <c r="Q43" i="6"/>
  <c r="Q36" i="6"/>
  <c r="Q16" i="6"/>
  <c r="Q52" i="6"/>
  <c r="Q25" i="6"/>
  <c r="Q8" i="6"/>
  <c r="Q37" i="6"/>
  <c r="Q27" i="6"/>
  <c r="Q9" i="6"/>
  <c r="Q30" i="6"/>
  <c r="Q45" i="6"/>
  <c r="Q34" i="6"/>
  <c r="Q13" i="6"/>
  <c r="Q44" i="6"/>
  <c r="Q28" i="6"/>
  <c r="Q15" i="6"/>
  <c r="Q39" i="6"/>
  <c r="Q29" i="6"/>
  <c r="Q3" i="6"/>
  <c r="Q40" i="6"/>
  <c r="Q26" i="6"/>
  <c r="Q14" i="6"/>
  <c r="Q42" i="6"/>
  <c r="Q41" i="6"/>
  <c r="Q21" i="6"/>
  <c r="Q4" i="6"/>
  <c r="Q51" i="6"/>
  <c r="Q17" i="6"/>
  <c r="Q46" i="6"/>
  <c r="Q19" i="6"/>
  <c r="Q10" i="6"/>
  <c r="Q7" i="6"/>
  <c r="Q31" i="6"/>
  <c r="Q23" i="6"/>
  <c r="Q5" i="6"/>
  <c r="Q47" i="6"/>
  <c r="Q32" i="6"/>
  <c r="Q11" i="6"/>
  <c r="Q6" i="6"/>
  <c r="Q48" i="6"/>
  <c r="Q33" i="6"/>
  <c r="Q20" i="6"/>
  <c r="Q24" i="6"/>
  <c r="Q18" i="6"/>
  <c r="Q49" i="6"/>
  <c r="Q38" i="6"/>
  <c r="Q12" i="6"/>
  <c r="Q50" i="6"/>
  <c r="Q35" i="6"/>
  <c r="Q22" i="6"/>
  <c r="HC2" i="11"/>
  <c r="HD2" i="11" s="1"/>
  <c r="GP2" i="11"/>
  <c r="GU33" i="5"/>
  <c r="GU49" i="10"/>
  <c r="GU8" i="10"/>
  <c r="GU29" i="12"/>
  <c r="Q6" i="5"/>
  <c r="Q51" i="5"/>
  <c r="Q35" i="5"/>
  <c r="Q18" i="5"/>
  <c r="Q52" i="5"/>
  <c r="Q25" i="5"/>
  <c r="Q10" i="5"/>
  <c r="Q40" i="5"/>
  <c r="Q26" i="5"/>
  <c r="Q4" i="5"/>
  <c r="Q9" i="5"/>
  <c r="Q12" i="5"/>
  <c r="Q42" i="5"/>
  <c r="Q46" i="5"/>
  <c r="Q27" i="5"/>
  <c r="Q16" i="5"/>
  <c r="Q34" i="5"/>
  <c r="Q15" i="5"/>
  <c r="Q33" i="5"/>
  <c r="Q28" i="5"/>
  <c r="Q7" i="5"/>
  <c r="Q37" i="5"/>
  <c r="Q20" i="5"/>
  <c r="Q8" i="5"/>
  <c r="Q32" i="5"/>
  <c r="Q38" i="5"/>
  <c r="Q23" i="5"/>
  <c r="Q50" i="5"/>
  <c r="Q43" i="5"/>
  <c r="Q24" i="5"/>
  <c r="Q30" i="5"/>
  <c r="Q22" i="5"/>
  <c r="Q45" i="5"/>
  <c r="Q41" i="5"/>
  <c r="Q19" i="5"/>
  <c r="Q47" i="5"/>
  <c r="Q31" i="5"/>
  <c r="Q21" i="5"/>
  <c r="Q13" i="5"/>
  <c r="Q48" i="5"/>
  <c r="Q36" i="5"/>
  <c r="Q17" i="5"/>
  <c r="Q49" i="5"/>
  <c r="Q39" i="5"/>
  <c r="Q14" i="5"/>
  <c r="Q5" i="5"/>
  <c r="Q44" i="5"/>
  <c r="Q29" i="5"/>
  <c r="Q3" i="5"/>
  <c r="Q11" i="5"/>
  <c r="GN4" i="11"/>
  <c r="X4" i="12"/>
  <c r="CI4" i="12" s="1"/>
  <c r="HC2" i="5"/>
  <c r="GN3" i="5"/>
  <c r="HC3" i="5" s="1"/>
  <c r="DQ2" i="12"/>
  <c r="DR2" i="12" s="1"/>
  <c r="GU29" i="7"/>
  <c r="GU40" i="12"/>
  <c r="GU49" i="11"/>
  <c r="Q6" i="7"/>
  <c r="Q4" i="7"/>
  <c r="Q7" i="7"/>
  <c r="Q5" i="7"/>
  <c r="Q3" i="7"/>
  <c r="Q10" i="7"/>
  <c r="Q48" i="7"/>
  <c r="Q45" i="7"/>
  <c r="Q31" i="7"/>
  <c r="Q18" i="7"/>
  <c r="Q49" i="7"/>
  <c r="Q40" i="7"/>
  <c r="Q21" i="7"/>
  <c r="Q43" i="7"/>
  <c r="Q33" i="7"/>
  <c r="Q17" i="7"/>
  <c r="Q50" i="7"/>
  <c r="Q24" i="7"/>
  <c r="Q14" i="7"/>
  <c r="Q42" i="7"/>
  <c r="Q25" i="7"/>
  <c r="Q16" i="7"/>
  <c r="Q44" i="7"/>
  <c r="Q34" i="7"/>
  <c r="Q13" i="7"/>
  <c r="Q39" i="7"/>
  <c r="Q37" i="7"/>
  <c r="Q15" i="7"/>
  <c r="Q35" i="7"/>
  <c r="Q26" i="7"/>
  <c r="Q8" i="7"/>
  <c r="Q51" i="7"/>
  <c r="Q32" i="7"/>
  <c r="Q12" i="7"/>
  <c r="Q46" i="7"/>
  <c r="Q19" i="7"/>
  <c r="Q9" i="7"/>
  <c r="Q30" i="7"/>
  <c r="Q36" i="7"/>
  <c r="Q28" i="7"/>
  <c r="Q20" i="7"/>
  <c r="Q52" i="7"/>
  <c r="Q22" i="7"/>
  <c r="Q47" i="7"/>
  <c r="Q27" i="7"/>
  <c r="Q11" i="7"/>
  <c r="Q41" i="7"/>
  <c r="Q23" i="7"/>
  <c r="Q38" i="7"/>
  <c r="Q29" i="7"/>
  <c r="GP3" i="11"/>
  <c r="HF3" i="11" s="1"/>
  <c r="GN4" i="12"/>
  <c r="GK3" i="9"/>
  <c r="GK4" i="9" s="1"/>
  <c r="GK5" i="9" s="1"/>
  <c r="GK6" i="9" s="1"/>
  <c r="GK7" i="9" s="1"/>
  <c r="GK8" i="9" s="1"/>
  <c r="GK9" i="9" s="1"/>
  <c r="GK10" i="9" s="1"/>
  <c r="GK11" i="9" s="1"/>
  <c r="DR2" i="5"/>
  <c r="GP2" i="6"/>
  <c r="HC2" i="6"/>
  <c r="HD2" i="6" s="1"/>
  <c r="HE2" i="6" s="1"/>
  <c r="HC2" i="12"/>
  <c r="HD2" i="12" s="1"/>
  <c r="GU3" i="8"/>
  <c r="Q8" i="12"/>
  <c r="Q3" i="12"/>
  <c r="Q6" i="12"/>
  <c r="Q10" i="12"/>
  <c r="Q4" i="12"/>
  <c r="Q49" i="12"/>
  <c r="Q31" i="12"/>
  <c r="Q16" i="12"/>
  <c r="Q50" i="12"/>
  <c r="Q27" i="12"/>
  <c r="Q36" i="12"/>
  <c r="Q20" i="12"/>
  <c r="Q37" i="12"/>
  <c r="Q42" i="12"/>
  <c r="Q17" i="12"/>
  <c r="Q11" i="12"/>
  <c r="Q35" i="12"/>
  <c r="Q19" i="12"/>
  <c r="Q45" i="12"/>
  <c r="Q34" i="12"/>
  <c r="Q13" i="12"/>
  <c r="Q46" i="12"/>
  <c r="Q29" i="12"/>
  <c r="Q15" i="12"/>
  <c r="Q47" i="12"/>
  <c r="Q30" i="12"/>
  <c r="Q23" i="12"/>
  <c r="Q48" i="12"/>
  <c r="Q33" i="12"/>
  <c r="Q5" i="12"/>
  <c r="Q51" i="12"/>
  <c r="Q32" i="12"/>
  <c r="Q9" i="12"/>
  <c r="Q24" i="12"/>
  <c r="Q43" i="12"/>
  <c r="Q28" i="12"/>
  <c r="Q18" i="12"/>
  <c r="Q38" i="12"/>
  <c r="Q22" i="12"/>
  <c r="Q7" i="12"/>
  <c r="Q52" i="12"/>
  <c r="Q44" i="12"/>
  <c r="Q25" i="12"/>
  <c r="Q12" i="12"/>
  <c r="Q41" i="12"/>
  <c r="Q26" i="12"/>
  <c r="Q39" i="12"/>
  <c r="Q21" i="12"/>
  <c r="Q40" i="12"/>
  <c r="Q14" i="12"/>
  <c r="GU33" i="12"/>
  <c r="GU23" i="10"/>
  <c r="Q3" i="10"/>
  <c r="Q13" i="10"/>
  <c r="Q41" i="10"/>
  <c r="Q17" i="10"/>
  <c r="Q8" i="10"/>
  <c r="Q37" i="10"/>
  <c r="Q19" i="10"/>
  <c r="Q36" i="10"/>
  <c r="Q28" i="10"/>
  <c r="Q48" i="10"/>
  <c r="Q38" i="10"/>
  <c r="Q33" i="10"/>
  <c r="Q49" i="10"/>
  <c r="Q45" i="10"/>
  <c r="Q26" i="10"/>
  <c r="Q50" i="10"/>
  <c r="Q29" i="10"/>
  <c r="Q9" i="10"/>
  <c r="Q21" i="10"/>
  <c r="Q4" i="10"/>
  <c r="Q51" i="10"/>
  <c r="Q30" i="10"/>
  <c r="Q20" i="10"/>
  <c r="Q43" i="10"/>
  <c r="Q24" i="10"/>
  <c r="Q11" i="10"/>
  <c r="Q5" i="10"/>
  <c r="Q52" i="10"/>
  <c r="Q31" i="10"/>
  <c r="Q12" i="10"/>
  <c r="Q44" i="10"/>
  <c r="Q27" i="10"/>
  <c r="Q14" i="10"/>
  <c r="Q46" i="10"/>
  <c r="Q32" i="10"/>
  <c r="Q6" i="10"/>
  <c r="Q39" i="10"/>
  <c r="Q22" i="10"/>
  <c r="Q7" i="10"/>
  <c r="Q40" i="10"/>
  <c r="Q16" i="10"/>
  <c r="Q10" i="10"/>
  <c r="Q35" i="10"/>
  <c r="Q47" i="10"/>
  <c r="Q25" i="10"/>
  <c r="Q15" i="10"/>
  <c r="Q18" i="10"/>
  <c r="Q42" i="10"/>
  <c r="Q23" i="10"/>
  <c r="Q34" i="10"/>
  <c r="DB3" i="5"/>
  <c r="DQ3" i="5" s="1"/>
  <c r="Q7" i="9"/>
  <c r="Q41" i="9"/>
  <c r="Q36" i="9"/>
  <c r="Q15" i="9"/>
  <c r="Q3" i="9"/>
  <c r="Q46" i="9"/>
  <c r="Q27" i="9"/>
  <c r="Q5" i="9"/>
  <c r="Q39" i="9"/>
  <c r="Q24" i="9"/>
  <c r="Q16" i="9"/>
  <c r="Q42" i="9"/>
  <c r="Q25" i="9"/>
  <c r="Q43" i="9"/>
  <c r="Q22" i="9"/>
  <c r="Q40" i="9"/>
  <c r="Q20" i="9"/>
  <c r="Q30" i="9"/>
  <c r="Q28" i="9"/>
  <c r="Q31" i="9"/>
  <c r="Q13" i="9"/>
  <c r="Q23" i="9"/>
  <c r="Q14" i="9"/>
  <c r="Q49" i="9"/>
  <c r="Q37" i="9"/>
  <c r="Q18" i="9"/>
  <c r="Q50" i="9"/>
  <c r="Q32" i="9"/>
  <c r="Q10" i="9"/>
  <c r="Q19" i="9"/>
  <c r="Q8" i="9"/>
  <c r="Q52" i="9"/>
  <c r="Q45" i="9"/>
  <c r="Q11" i="9"/>
  <c r="Q29" i="9"/>
  <c r="Q44" i="9"/>
  <c r="Q51" i="9"/>
  <c r="Q34" i="9"/>
  <c r="Q17" i="9"/>
  <c r="Q4" i="9"/>
  <c r="Q6" i="9"/>
  <c r="Q48" i="9"/>
  <c r="Q35" i="9"/>
  <c r="Q38" i="9"/>
  <c r="Q33" i="9"/>
  <c r="Q12" i="9"/>
  <c r="Q47" i="9"/>
  <c r="Q26" i="9"/>
  <c r="Q21" i="9"/>
  <c r="Q9" i="9"/>
  <c r="L5" i="5"/>
  <c r="GN3" i="10"/>
  <c r="Q39" i="11"/>
  <c r="Q18" i="11"/>
  <c r="Q6" i="11"/>
  <c r="Q44" i="11"/>
  <c r="Q32" i="11"/>
  <c r="Q4" i="11"/>
  <c r="Q33" i="11"/>
  <c r="Q26" i="11"/>
  <c r="Q7" i="11"/>
  <c r="Q46" i="11"/>
  <c r="Q24" i="11"/>
  <c r="Q5" i="11"/>
  <c r="Q34" i="11"/>
  <c r="Q17" i="11"/>
  <c r="Q3" i="11"/>
  <c r="Q42" i="11"/>
  <c r="Q23" i="11"/>
  <c r="Q12" i="11"/>
  <c r="Q37" i="11"/>
  <c r="Q20" i="11"/>
  <c r="Q48" i="11"/>
  <c r="Q36" i="11"/>
  <c r="Q21" i="11"/>
  <c r="Q49" i="11"/>
  <c r="Q35" i="11"/>
  <c r="Q13" i="11"/>
  <c r="Q51" i="11"/>
  <c r="Q38" i="11"/>
  <c r="Q14" i="11"/>
  <c r="Q8" i="11"/>
  <c r="Q43" i="11"/>
  <c r="Q27" i="11"/>
  <c r="Q10" i="11"/>
  <c r="Q52" i="11"/>
  <c r="Q30" i="11"/>
  <c r="Q16" i="11"/>
  <c r="Q50" i="11"/>
  <c r="Q28" i="11"/>
  <c r="Q15" i="11"/>
  <c r="Q47" i="11"/>
  <c r="Q25" i="11"/>
  <c r="Q9" i="11"/>
  <c r="Q41" i="11"/>
  <c r="Q31" i="11"/>
  <c r="Q19" i="11"/>
  <c r="Q22" i="11"/>
  <c r="Q45" i="11"/>
  <c r="Q29" i="11"/>
  <c r="Q11" i="11"/>
  <c r="Q40" i="11"/>
  <c r="GU13" i="11"/>
  <c r="DI34" i="5"/>
  <c r="DI21" i="6"/>
  <c r="DI6" i="7"/>
  <c r="DI27" i="5"/>
  <c r="DI25" i="11"/>
  <c r="DI4" i="12"/>
  <c r="DI32" i="8"/>
  <c r="DI5" i="9"/>
  <c r="DI22" i="9"/>
  <c r="DI35" i="10"/>
  <c r="DI3" i="9"/>
  <c r="DI13" i="9"/>
  <c r="DI8" i="12"/>
  <c r="DI3" i="11"/>
  <c r="DI6" i="10"/>
  <c r="DI5" i="10"/>
  <c r="DI33" i="5"/>
  <c r="DI35" i="5"/>
  <c r="DI5" i="7"/>
  <c r="DI24" i="5"/>
  <c r="DI3" i="8"/>
  <c r="DI35" i="12"/>
  <c r="DI6" i="9"/>
  <c r="DI36" i="5"/>
  <c r="DI22" i="11"/>
  <c r="DI5" i="5"/>
  <c r="DI12" i="6"/>
  <c r="DI3" i="10"/>
  <c r="DI10" i="5"/>
  <c r="DI20" i="5"/>
  <c r="DI7" i="5"/>
  <c r="DI9" i="12"/>
  <c r="DI12" i="12"/>
  <c r="DI11" i="11"/>
  <c r="DI33" i="8"/>
  <c r="DI27" i="9"/>
  <c r="DI27" i="8"/>
  <c r="DI26" i="12"/>
  <c r="DI30" i="11"/>
  <c r="DI8" i="11"/>
  <c r="DI32" i="9"/>
  <c r="DI6" i="11"/>
  <c r="DI15" i="7"/>
  <c r="DI33" i="12"/>
  <c r="DI20" i="6"/>
  <c r="DI26" i="8"/>
  <c r="DI2" i="7"/>
  <c r="DI12" i="9"/>
  <c r="DI4" i="5"/>
  <c r="DI21" i="10"/>
  <c r="DI10" i="7"/>
  <c r="DI21" i="12"/>
  <c r="DI36" i="12"/>
  <c r="DI24" i="11"/>
  <c r="DI29" i="12"/>
  <c r="DI28" i="8"/>
  <c r="DI22" i="12"/>
  <c r="DI14" i="8"/>
  <c r="DI35" i="9"/>
  <c r="DI16" i="9"/>
  <c r="DI7" i="10"/>
  <c r="DI18" i="12"/>
  <c r="DI9" i="8"/>
  <c r="DI13" i="12"/>
  <c r="DI28" i="11"/>
  <c r="DI25" i="9"/>
  <c r="DI8" i="8"/>
  <c r="DI18" i="8"/>
  <c r="DI7" i="7"/>
  <c r="DI33" i="7"/>
  <c r="DI4" i="6"/>
  <c r="DI19" i="6"/>
  <c r="DI5" i="3"/>
  <c r="DI22" i="3"/>
  <c r="DI14" i="3"/>
  <c r="DI22" i="5"/>
  <c r="DI23" i="3"/>
  <c r="DI4" i="3"/>
  <c r="DI31" i="6"/>
  <c r="DI11" i="10"/>
  <c r="DI11" i="8"/>
  <c r="DI15" i="11"/>
  <c r="DI13" i="11"/>
  <c r="DI26" i="11"/>
  <c r="DI14" i="10"/>
  <c r="DI17" i="11"/>
  <c r="DI19" i="11"/>
  <c r="DI27" i="10"/>
  <c r="DI30" i="6"/>
  <c r="DI28" i="9"/>
  <c r="DI23" i="9"/>
  <c r="DI14" i="11"/>
  <c r="DI31" i="12"/>
  <c r="DI17" i="10"/>
  <c r="DI7" i="9"/>
  <c r="DI15" i="9"/>
  <c r="DI17" i="7"/>
  <c r="DI27" i="7"/>
  <c r="DI35" i="7"/>
  <c r="DI19" i="3"/>
  <c r="DI3" i="6"/>
  <c r="DI30" i="10"/>
  <c r="DI23" i="5"/>
  <c r="DI35" i="6"/>
  <c r="DI36" i="7"/>
  <c r="DI2" i="12"/>
  <c r="DD2" i="12" s="1"/>
  <c r="DI28" i="7"/>
  <c r="DI15" i="8"/>
  <c r="DI13" i="10"/>
  <c r="DI8" i="5"/>
  <c r="DI29" i="5"/>
  <c r="DI6" i="5"/>
  <c r="DI29" i="11"/>
  <c r="DI28" i="10"/>
  <c r="DI24" i="8"/>
  <c r="DI14" i="5"/>
  <c r="DI35" i="3"/>
  <c r="DI20" i="3"/>
  <c r="DI29" i="10"/>
  <c r="DI17" i="8"/>
  <c r="DI19" i="7"/>
  <c r="DI22" i="8"/>
  <c r="DI31" i="10"/>
  <c r="DI15" i="12"/>
  <c r="DI9" i="6"/>
  <c r="DI30" i="5"/>
  <c r="DI7" i="12"/>
  <c r="DI18" i="11"/>
  <c r="DI14" i="9"/>
  <c r="DI4" i="7"/>
  <c r="DI13" i="5"/>
  <c r="DI28" i="5"/>
  <c r="DI15" i="3"/>
  <c r="DI5" i="8"/>
  <c r="DI7" i="3"/>
  <c r="DI35" i="8"/>
  <c r="DI32" i="6"/>
  <c r="DI14" i="12"/>
  <c r="DI34" i="11"/>
  <c r="DI12" i="10"/>
  <c r="DI25" i="5"/>
  <c r="DI23" i="6"/>
  <c r="DI31" i="5"/>
  <c r="DI29" i="6"/>
  <c r="DI18" i="5"/>
  <c r="DI31" i="3"/>
  <c r="DI2" i="8"/>
  <c r="DD2" i="8" s="1"/>
  <c r="DI34" i="6"/>
  <c r="DI9" i="10"/>
  <c r="DI23" i="12"/>
  <c r="DI24" i="9"/>
  <c r="DI25" i="10"/>
  <c r="DI25" i="6"/>
  <c r="DI16" i="7"/>
  <c r="DI21" i="11"/>
  <c r="DI21" i="7"/>
  <c r="DI11" i="6"/>
  <c r="FM2" i="3"/>
  <c r="DI9" i="3"/>
  <c r="DI23" i="11"/>
  <c r="DI26" i="9"/>
  <c r="DI9" i="11"/>
  <c r="DI12" i="5"/>
  <c r="DI11" i="7"/>
  <c r="DI14" i="7"/>
  <c r="DI20" i="8"/>
  <c r="DI33" i="10"/>
  <c r="DI30" i="8"/>
  <c r="DI7" i="6"/>
  <c r="DI15" i="6"/>
  <c r="DI36" i="6"/>
  <c r="DI26" i="3"/>
  <c r="DI12" i="3"/>
  <c r="DI36" i="10"/>
  <c r="DI16" i="6"/>
  <c r="DI29" i="9"/>
  <c r="DI19" i="10"/>
  <c r="DI29" i="7"/>
  <c r="DI31" i="7"/>
  <c r="DI10" i="12"/>
  <c r="DI3" i="12"/>
  <c r="DI27" i="11"/>
  <c r="DI35" i="11"/>
  <c r="DI15" i="10"/>
  <c r="DI20" i="7"/>
  <c r="DI32" i="7"/>
  <c r="DI28" i="3"/>
  <c r="DI13" i="3"/>
  <c r="DI6" i="3"/>
  <c r="DI16" i="10"/>
  <c r="DI25" i="8"/>
  <c r="DI24" i="6"/>
  <c r="DI7" i="11"/>
  <c r="DI5" i="6"/>
  <c r="DI26" i="10"/>
  <c r="DI25" i="12"/>
  <c r="DI18" i="9"/>
  <c r="DI31" i="9"/>
  <c r="DI20" i="10"/>
  <c r="DI10" i="8"/>
  <c r="DI20" i="12"/>
  <c r="DI8" i="10"/>
  <c r="DI31" i="8"/>
  <c r="DI13" i="7"/>
  <c r="DI26" i="7"/>
  <c r="DI33" i="6"/>
  <c r="DI30" i="3"/>
  <c r="DI25" i="3"/>
  <c r="DI29" i="3"/>
  <c r="DI33" i="11"/>
  <c r="DI18" i="10"/>
  <c r="DI2" i="5"/>
  <c r="DD2" i="5" s="1"/>
  <c r="DI11" i="12"/>
  <c r="DI16" i="12"/>
  <c r="DI36" i="11"/>
  <c r="DI7" i="8"/>
  <c r="DI11" i="5"/>
  <c r="DI2" i="11"/>
  <c r="DD2" i="11" s="1"/>
  <c r="DI12" i="8"/>
  <c r="DI8" i="9"/>
  <c r="DI12" i="11"/>
  <c r="DI2" i="10"/>
  <c r="DI23" i="8"/>
  <c r="DI12" i="7"/>
  <c r="DI8" i="6"/>
  <c r="DI34" i="3"/>
  <c r="DI16" i="3"/>
  <c r="DI32" i="3"/>
  <c r="DI28" i="6"/>
  <c r="DI32" i="5"/>
  <c r="DI18" i="3"/>
  <c r="DI22" i="7"/>
  <c r="DI36" i="8"/>
  <c r="DI25" i="7"/>
  <c r="DI32" i="12"/>
  <c r="DI17" i="6"/>
  <c r="DI3" i="5"/>
  <c r="DI15" i="5"/>
  <c r="DI5" i="12"/>
  <c r="DI6" i="8"/>
  <c r="DI5" i="11"/>
  <c r="DI13" i="8"/>
  <c r="DI22" i="10"/>
  <c r="DI36" i="9"/>
  <c r="DI3" i="7"/>
  <c r="DI30" i="7"/>
  <c r="DI6" i="6"/>
  <c r="DI24" i="3"/>
  <c r="DI10" i="10"/>
  <c r="DI32" i="10"/>
  <c r="DI14" i="6"/>
  <c r="DI11" i="9"/>
  <c r="DI4" i="8"/>
  <c r="DI17" i="9"/>
  <c r="DI22" i="6"/>
  <c r="DI26" i="5"/>
  <c r="DI27" i="12"/>
  <c r="DI4" i="9"/>
  <c r="DI19" i="12"/>
  <c r="DI23" i="10"/>
  <c r="DI4" i="11"/>
  <c r="DI10" i="11"/>
  <c r="DI4" i="10"/>
  <c r="DI34" i="10"/>
  <c r="DI33" i="9"/>
  <c r="DI9" i="7"/>
  <c r="DI2" i="6"/>
  <c r="DI9" i="5"/>
  <c r="DI27" i="3"/>
  <c r="DI36" i="3"/>
  <c r="DI21" i="3"/>
  <c r="DI2" i="9"/>
  <c r="DI24" i="12"/>
  <c r="DI19" i="9"/>
  <c r="DI30" i="12"/>
  <c r="DI10" i="9"/>
  <c r="DI19" i="5"/>
  <c r="DI26" i="6"/>
  <c r="DI34" i="7"/>
  <c r="DI8" i="7"/>
  <c r="DI16" i="5"/>
  <c r="DI16" i="11"/>
  <c r="DI20" i="11"/>
  <c r="DI20" i="9"/>
  <c r="DI16" i="8"/>
  <c r="DI21" i="8"/>
  <c r="DI34" i="8"/>
  <c r="DI23" i="7"/>
  <c r="DI10" i="6"/>
  <c r="DI27" i="6"/>
  <c r="DI33" i="3"/>
  <c r="DI8" i="3"/>
  <c r="DI34" i="9"/>
  <c r="DI6" i="12"/>
  <c r="DI21" i="5"/>
  <c r="DI24" i="10"/>
  <c r="DI30" i="9"/>
  <c r="DI21" i="9"/>
  <c r="DI18" i="7"/>
  <c r="DI18" i="6"/>
  <c r="DI31" i="11"/>
  <c r="DI17" i="12"/>
  <c r="DI28" i="12"/>
  <c r="DI32" i="11"/>
  <c r="DI9" i="9"/>
  <c r="DI29" i="8"/>
  <c r="DI17" i="3"/>
  <c r="DI11" i="3"/>
  <c r="DI34" i="12"/>
  <c r="DI13" i="6"/>
  <c r="DI24" i="7"/>
  <c r="DI17" i="5"/>
  <c r="DI19" i="8"/>
  <c r="DI10" i="3"/>
  <c r="GN4" i="5"/>
  <c r="HK3" i="9"/>
  <c r="GU19" i="7"/>
  <c r="GU8" i="12"/>
  <c r="AN4" i="8"/>
  <c r="BR4" i="8" s="1"/>
  <c r="BT4" i="8" s="1"/>
  <c r="AV2" i="3"/>
  <c r="AX2" i="3" s="1"/>
  <c r="AQ2" i="3" s="1"/>
  <c r="AI2" i="9"/>
  <c r="AJ2" i="9"/>
  <c r="BC3" i="9"/>
  <c r="BC4" i="9" s="1"/>
  <c r="GE2" i="9"/>
  <c r="HE2" i="9" s="1"/>
  <c r="GE2" i="11"/>
  <c r="HE2" i="11" s="1"/>
  <c r="EP39" i="7"/>
  <c r="EP40" i="7" s="1"/>
  <c r="EP41" i="7" s="1"/>
  <c r="EP42" i="7" s="1"/>
  <c r="EP43" i="7" s="1"/>
  <c r="EP44" i="7" s="1"/>
  <c r="EP45" i="7" s="1"/>
  <c r="EP46" i="7" s="1"/>
  <c r="EP47" i="7" s="1"/>
  <c r="AK2" i="10"/>
  <c r="E2" i="10" s="1"/>
  <c r="AS2" i="6"/>
  <c r="AX2" i="6" s="1"/>
  <c r="AQ2" i="6" s="1"/>
  <c r="CS2" i="10"/>
  <c r="AS2" i="9"/>
  <c r="AT2" i="9" s="1"/>
  <c r="DB4" i="11"/>
  <c r="DQ4" i="11" s="1"/>
  <c r="DB4" i="10"/>
  <c r="DQ4" i="10" s="1"/>
  <c r="DQ3" i="10"/>
  <c r="DR3" i="10" s="1"/>
  <c r="CL8" i="8"/>
  <c r="CL36" i="8"/>
  <c r="CL48" i="8"/>
  <c r="FW4" i="9"/>
  <c r="GS4" i="9" s="1"/>
  <c r="CL7" i="8"/>
  <c r="CL22" i="8"/>
  <c r="CL47" i="8"/>
  <c r="HH3" i="11"/>
  <c r="HJ3" i="11" s="1"/>
  <c r="CL13" i="8"/>
  <c r="CL37" i="8"/>
  <c r="EP39" i="8"/>
  <c r="EP40" i="8" s="1"/>
  <c r="EP41" i="8" s="1"/>
  <c r="EP42" i="8" s="1"/>
  <c r="EP43" i="8" s="1"/>
  <c r="EP44" i="8" s="1"/>
  <c r="EP45" i="8" s="1"/>
  <c r="EP46" i="8" s="1"/>
  <c r="EP47" i="8" s="1"/>
  <c r="HK3" i="11"/>
  <c r="HL3" i="11" s="1"/>
  <c r="BR3" i="8"/>
  <c r="BT3" i="8" s="1"/>
  <c r="CL4" i="8"/>
  <c r="CL30" i="8"/>
  <c r="CL39" i="8"/>
  <c r="DB4" i="9"/>
  <c r="DB5" i="9" s="1"/>
  <c r="BC3" i="8"/>
  <c r="BC4" i="8" s="1"/>
  <c r="DY3" i="8"/>
  <c r="CL19" i="8"/>
  <c r="CL24" i="8"/>
  <c r="CL44" i="8"/>
  <c r="EP39" i="9"/>
  <c r="EP40" i="9" s="1"/>
  <c r="EP41" i="9" s="1"/>
  <c r="EP42" i="9" s="1"/>
  <c r="EP43" i="9" s="1"/>
  <c r="EP44" i="9" s="1"/>
  <c r="EP45" i="9" s="1"/>
  <c r="EP46" i="9" s="1"/>
  <c r="EP47" i="9" s="1"/>
  <c r="DD3" i="10"/>
  <c r="FM3" i="10" s="1"/>
  <c r="CL5" i="8"/>
  <c r="CL25" i="8"/>
  <c r="CL32" i="8"/>
  <c r="EP39" i="11"/>
  <c r="EP40" i="11" s="1"/>
  <c r="EP41" i="11" s="1"/>
  <c r="EP42" i="11" s="1"/>
  <c r="EP43" i="11" s="1"/>
  <c r="EP44" i="11" s="1"/>
  <c r="EP45" i="11" s="1"/>
  <c r="EP46" i="11" s="1"/>
  <c r="EP47" i="11" s="1"/>
  <c r="BC3" i="12"/>
  <c r="BC4" i="12" s="1"/>
  <c r="DB4" i="6"/>
  <c r="DB5" i="6" s="1"/>
  <c r="X4" i="7"/>
  <c r="CI4" i="7" s="1"/>
  <c r="BC4" i="6"/>
  <c r="HL3" i="6"/>
  <c r="CL10" i="8"/>
  <c r="CL26" i="8"/>
  <c r="CL35" i="8"/>
  <c r="DB4" i="12"/>
  <c r="DB5" i="12" s="1"/>
  <c r="DE3" i="8"/>
  <c r="DV3" i="8"/>
  <c r="DX3" i="8" s="1"/>
  <c r="GO7" i="8"/>
  <c r="GO23" i="8"/>
  <c r="GO39" i="8"/>
  <c r="GO8" i="8"/>
  <c r="GO24" i="8"/>
  <c r="GO40" i="8"/>
  <c r="GO9" i="8"/>
  <c r="GO25" i="8"/>
  <c r="GO41" i="8"/>
  <c r="GO10" i="8"/>
  <c r="GO26" i="8"/>
  <c r="GO42" i="8"/>
  <c r="GO11" i="8"/>
  <c r="GO27" i="8"/>
  <c r="GO43" i="8"/>
  <c r="GO12" i="8"/>
  <c r="GO28" i="8"/>
  <c r="GO44" i="8"/>
  <c r="GO13" i="8"/>
  <c r="GO29" i="8"/>
  <c r="GO45" i="8"/>
  <c r="GO14" i="8"/>
  <c r="GO30" i="8"/>
  <c r="GO46" i="8"/>
  <c r="GO15" i="8"/>
  <c r="GO31" i="8"/>
  <c r="GO47" i="8"/>
  <c r="GO16" i="8"/>
  <c r="GO32" i="8"/>
  <c r="GO48" i="8"/>
  <c r="GO17" i="8"/>
  <c r="GO33" i="8"/>
  <c r="GO49" i="8"/>
  <c r="GO18" i="8"/>
  <c r="GO34" i="8"/>
  <c r="GO50" i="8"/>
  <c r="GO3" i="8"/>
  <c r="GN3" i="8" s="1"/>
  <c r="GO19" i="8"/>
  <c r="GO35" i="8"/>
  <c r="GO51" i="8"/>
  <c r="GO4" i="8"/>
  <c r="GO20" i="8"/>
  <c r="GO36" i="8"/>
  <c r="GO52" i="8"/>
  <c r="GO5" i="8"/>
  <c r="GO21" i="8"/>
  <c r="GO37" i="8"/>
  <c r="GO2" i="8"/>
  <c r="GO6" i="8"/>
  <c r="GO22" i="8"/>
  <c r="GO38" i="8"/>
  <c r="HD3" i="6"/>
  <c r="CK4" i="12"/>
  <c r="DG3" i="12"/>
  <c r="DE3" i="12"/>
  <c r="DD3" i="12" s="1"/>
  <c r="DT3" i="12" s="1"/>
  <c r="DV3" i="12"/>
  <c r="DX3" i="12" s="1"/>
  <c r="EP39" i="12"/>
  <c r="EP40" i="12" s="1"/>
  <c r="EP41" i="12" s="1"/>
  <c r="EP42" i="12" s="1"/>
  <c r="EP43" i="12" s="1"/>
  <c r="EP44" i="12" s="1"/>
  <c r="EP45" i="12" s="1"/>
  <c r="EP46" i="12" s="1"/>
  <c r="EP47" i="12" s="1"/>
  <c r="EC4" i="8"/>
  <c r="EC20" i="8"/>
  <c r="EC36" i="8"/>
  <c r="EC52" i="8"/>
  <c r="EC5" i="8"/>
  <c r="EC21" i="8"/>
  <c r="EC37" i="8"/>
  <c r="EC3" i="8"/>
  <c r="EC6" i="8"/>
  <c r="EC22" i="8"/>
  <c r="EC38" i="8"/>
  <c r="EC7" i="8"/>
  <c r="EC23" i="8"/>
  <c r="EC39" i="8"/>
  <c r="EC8" i="8"/>
  <c r="EC24" i="8"/>
  <c r="EC40" i="8"/>
  <c r="EC9" i="8"/>
  <c r="EC25" i="8"/>
  <c r="EC41" i="8"/>
  <c r="EC10" i="8"/>
  <c r="EC26" i="8"/>
  <c r="EC42" i="8"/>
  <c r="EC11" i="8"/>
  <c r="EC27" i="8"/>
  <c r="EC43" i="8"/>
  <c r="EC12" i="8"/>
  <c r="EC28" i="8"/>
  <c r="EC44" i="8"/>
  <c r="EC13" i="8"/>
  <c r="EC29" i="8"/>
  <c r="EC45" i="8"/>
  <c r="EC14" i="8"/>
  <c r="EC30" i="8"/>
  <c r="EC46" i="8"/>
  <c r="EC15" i="8"/>
  <c r="EC31" i="8"/>
  <c r="EC47" i="8"/>
  <c r="EC16" i="8"/>
  <c r="EC32" i="8"/>
  <c r="EC48" i="8"/>
  <c r="EC17" i="8"/>
  <c r="EC33" i="8"/>
  <c r="EC49" i="8"/>
  <c r="EC18" i="8"/>
  <c r="EC34" i="8"/>
  <c r="EC50" i="8"/>
  <c r="EC19" i="8"/>
  <c r="EC35" i="8"/>
  <c r="EC51" i="8"/>
  <c r="EB3" i="8"/>
  <c r="DC16" i="8"/>
  <c r="DC32" i="8"/>
  <c r="DC17" i="8"/>
  <c r="DC33" i="8"/>
  <c r="DC18" i="8"/>
  <c r="DC34" i="8"/>
  <c r="DC3" i="8"/>
  <c r="DB3" i="8" s="1"/>
  <c r="DC19" i="8"/>
  <c r="DC35" i="8"/>
  <c r="DC4" i="8"/>
  <c r="DC20" i="8"/>
  <c r="DC36" i="8"/>
  <c r="DC5" i="8"/>
  <c r="DC21" i="8"/>
  <c r="DC2" i="8"/>
  <c r="DC6" i="8"/>
  <c r="DC22" i="8"/>
  <c r="DC7" i="8"/>
  <c r="DC23" i="8"/>
  <c r="DC8" i="8"/>
  <c r="DC24" i="8"/>
  <c r="DC9" i="8"/>
  <c r="DC25" i="8"/>
  <c r="DC10" i="8"/>
  <c r="DC26" i="8"/>
  <c r="DC11" i="8"/>
  <c r="DC27" i="8"/>
  <c r="DC12" i="8"/>
  <c r="DC28" i="8"/>
  <c r="DC13" i="8"/>
  <c r="DC29" i="8"/>
  <c r="DC14" i="8"/>
  <c r="DC30" i="8"/>
  <c r="DC15" i="8"/>
  <c r="DC31" i="8"/>
  <c r="EC7" i="7"/>
  <c r="EC23" i="7"/>
  <c r="EC39" i="7"/>
  <c r="EC8" i="7"/>
  <c r="EC24" i="7"/>
  <c r="EC40" i="7"/>
  <c r="EC9" i="7"/>
  <c r="EC25" i="7"/>
  <c r="EC41" i="7"/>
  <c r="EC10" i="7"/>
  <c r="EC26" i="7"/>
  <c r="EC42" i="7"/>
  <c r="EC11" i="7"/>
  <c r="EC27" i="7"/>
  <c r="EC43" i="7"/>
  <c r="EC12" i="7"/>
  <c r="EC28" i="7"/>
  <c r="EC44" i="7"/>
  <c r="EC13" i="7"/>
  <c r="EC29" i="7"/>
  <c r="EC45" i="7"/>
  <c r="EC14" i="7"/>
  <c r="EC30" i="7"/>
  <c r="EC46" i="7"/>
  <c r="EC15" i="7"/>
  <c r="EC31" i="7"/>
  <c r="EC47" i="7"/>
  <c r="EC16" i="7"/>
  <c r="EC32" i="7"/>
  <c r="EC48" i="7"/>
  <c r="EC17" i="7"/>
  <c r="EC33" i="7"/>
  <c r="EC49" i="7"/>
  <c r="EC18" i="7"/>
  <c r="EC34" i="7"/>
  <c r="EC50" i="7"/>
  <c r="EC19" i="7"/>
  <c r="EC35" i="7"/>
  <c r="EC51" i="7"/>
  <c r="EC4" i="7"/>
  <c r="EC20" i="7"/>
  <c r="EC36" i="7"/>
  <c r="EC52" i="7"/>
  <c r="EC5" i="7"/>
  <c r="EC21" i="7"/>
  <c r="EC37" i="7"/>
  <c r="EC3" i="7"/>
  <c r="EC6" i="7"/>
  <c r="EC22" i="7"/>
  <c r="EC38" i="7"/>
  <c r="EB3" i="7"/>
  <c r="CL6" i="7"/>
  <c r="CL39" i="7"/>
  <c r="CL26" i="7"/>
  <c r="CL13" i="7"/>
  <c r="CL20" i="7"/>
  <c r="CL19" i="7"/>
  <c r="CL35" i="7"/>
  <c r="CL22" i="7"/>
  <c r="CL9" i="7"/>
  <c r="CL36" i="7"/>
  <c r="CL25" i="7"/>
  <c r="CL4" i="7"/>
  <c r="CL15" i="7"/>
  <c r="CL51" i="7"/>
  <c r="CL23" i="7"/>
  <c r="CK3" i="7"/>
  <c r="CL42" i="7"/>
  <c r="CL5" i="7"/>
  <c r="CL52" i="7"/>
  <c r="CL33" i="7"/>
  <c r="CL17" i="7"/>
  <c r="CL50" i="7"/>
  <c r="CL44" i="7"/>
  <c r="CL30" i="7"/>
  <c r="CL10" i="7"/>
  <c r="CL47" i="7"/>
  <c r="CL31" i="7"/>
  <c r="CL11" i="7"/>
  <c r="CL37" i="7"/>
  <c r="CL40" i="7"/>
  <c r="CL48" i="7"/>
  <c r="CL46" i="7"/>
  <c r="CL14" i="7"/>
  <c r="CL38" i="7"/>
  <c r="CL34" i="7"/>
  <c r="CL21" i="7"/>
  <c r="CL3" i="7"/>
  <c r="CL12" i="7"/>
  <c r="CL27" i="7"/>
  <c r="CL49" i="7"/>
  <c r="CL28" i="7"/>
  <c r="CL18" i="7"/>
  <c r="CL41" i="7"/>
  <c r="CL24" i="7"/>
  <c r="CL7" i="7"/>
  <c r="CL43" i="7"/>
  <c r="CL29" i="7"/>
  <c r="CL8" i="7"/>
  <c r="CL45" i="7"/>
  <c r="CL32" i="7"/>
  <c r="CL16" i="7"/>
  <c r="DC3" i="7"/>
  <c r="DB3" i="7" s="1"/>
  <c r="DQ3" i="7" s="1"/>
  <c r="DC18" i="7"/>
  <c r="DC34" i="7"/>
  <c r="DC2" i="7"/>
  <c r="DC19" i="7"/>
  <c r="DC35" i="7"/>
  <c r="DC4" i="7"/>
  <c r="DC20" i="7"/>
  <c r="DC36" i="7"/>
  <c r="DC5" i="7"/>
  <c r="DC21" i="7"/>
  <c r="DC6" i="7"/>
  <c r="DC22" i="7"/>
  <c r="DC7" i="7"/>
  <c r="DC23" i="7"/>
  <c r="DC8" i="7"/>
  <c r="DC24" i="7"/>
  <c r="DC9" i="7"/>
  <c r="DC25" i="7"/>
  <c r="DC10" i="7"/>
  <c r="DC26" i="7"/>
  <c r="DC11" i="7"/>
  <c r="DC27" i="7"/>
  <c r="DC12" i="7"/>
  <c r="DC28" i="7"/>
  <c r="DC13" i="7"/>
  <c r="DC29" i="7"/>
  <c r="DC14" i="7"/>
  <c r="DC30" i="7"/>
  <c r="DC15" i="7"/>
  <c r="DC31" i="7"/>
  <c r="DC16" i="7"/>
  <c r="DC32" i="7"/>
  <c r="DC17" i="7"/>
  <c r="DC33" i="7"/>
  <c r="GO10" i="7"/>
  <c r="GO26" i="7"/>
  <c r="GO42" i="7"/>
  <c r="GO11" i="7"/>
  <c r="GO27" i="7"/>
  <c r="GO43" i="7"/>
  <c r="GO12" i="7"/>
  <c r="GO28" i="7"/>
  <c r="GO44" i="7"/>
  <c r="GO13" i="7"/>
  <c r="GO29" i="7"/>
  <c r="GO45" i="7"/>
  <c r="GO14" i="7"/>
  <c r="GO30" i="7"/>
  <c r="GO46" i="7"/>
  <c r="GO15" i="7"/>
  <c r="GO31" i="7"/>
  <c r="GO47" i="7"/>
  <c r="GO16" i="7"/>
  <c r="GO32" i="7"/>
  <c r="GO48" i="7"/>
  <c r="GO17" i="7"/>
  <c r="GO33" i="7"/>
  <c r="GO49" i="7"/>
  <c r="GO18" i="7"/>
  <c r="GO34" i="7"/>
  <c r="GO50" i="7"/>
  <c r="GO3" i="7"/>
  <c r="GN3" i="7" s="1"/>
  <c r="GO19" i="7"/>
  <c r="GO35" i="7"/>
  <c r="GO51" i="7"/>
  <c r="GO4" i="7"/>
  <c r="GO20" i="7"/>
  <c r="GO36" i="7"/>
  <c r="GO52" i="7"/>
  <c r="GO5" i="7"/>
  <c r="GO21" i="7"/>
  <c r="GO37" i="7"/>
  <c r="GO2" i="7"/>
  <c r="GO6" i="7"/>
  <c r="GO22" i="7"/>
  <c r="GO38" i="7"/>
  <c r="GO7" i="7"/>
  <c r="GO23" i="7"/>
  <c r="GO39" i="7"/>
  <c r="GO8" i="7"/>
  <c r="GO24" i="7"/>
  <c r="GO40" i="7"/>
  <c r="GO9" i="7"/>
  <c r="GO25" i="7"/>
  <c r="GO41" i="7"/>
  <c r="DY3" i="12"/>
  <c r="HL3" i="9"/>
  <c r="DR3" i="6"/>
  <c r="EP39" i="10"/>
  <c r="EP40" i="10" s="1"/>
  <c r="EP41" i="10" s="1"/>
  <c r="EP42" i="10" s="1"/>
  <c r="EP43" i="10" s="1"/>
  <c r="EP44" i="10" s="1"/>
  <c r="EP45" i="10" s="1"/>
  <c r="EP46" i="10" s="1"/>
  <c r="EP47" i="10" s="1"/>
  <c r="EQ39" i="6"/>
  <c r="EQ40" i="6" s="1"/>
  <c r="EQ41" i="6" s="1"/>
  <c r="EQ42" i="6" s="1"/>
  <c r="EQ43" i="6" s="1"/>
  <c r="EQ44" i="6" s="1"/>
  <c r="EQ45" i="6" s="1"/>
  <c r="EQ46" i="6" s="1"/>
  <c r="EQ47" i="6" s="1"/>
  <c r="DZ3" i="10"/>
  <c r="CZ3" i="5"/>
  <c r="CZ4" i="5" s="1"/>
  <c r="CZ5" i="5" s="1"/>
  <c r="CZ6" i="5" s="1"/>
  <c r="CZ7" i="5" s="1"/>
  <c r="CZ8" i="5" s="1"/>
  <c r="CZ9" i="5" s="1"/>
  <c r="CZ10" i="5" s="1"/>
  <c r="CZ11" i="5" s="1"/>
  <c r="DZ3" i="6"/>
  <c r="DZ3" i="9"/>
  <c r="DR3" i="9"/>
  <c r="CZ3" i="8"/>
  <c r="CZ4" i="8" s="1"/>
  <c r="CZ5" i="8" s="1"/>
  <c r="CZ6" i="8" s="1"/>
  <c r="CZ7" i="8" s="1"/>
  <c r="CZ8" i="8" s="1"/>
  <c r="CZ9" i="8" s="1"/>
  <c r="CZ10" i="8" s="1"/>
  <c r="CZ11" i="8" s="1"/>
  <c r="GL3" i="12"/>
  <c r="GL4" i="12" s="1"/>
  <c r="GL5" i="12" s="1"/>
  <c r="GL6" i="12" s="1"/>
  <c r="GL7" i="12" s="1"/>
  <c r="GL8" i="12" s="1"/>
  <c r="GL9" i="12" s="1"/>
  <c r="GL10" i="12" s="1"/>
  <c r="GL11" i="12" s="1"/>
  <c r="CP2" i="8"/>
  <c r="CS2" i="8"/>
  <c r="GB2" i="8"/>
  <c r="GE2" i="8"/>
  <c r="CS2" i="12"/>
  <c r="CP2" i="12"/>
  <c r="GB2" i="12"/>
  <c r="GC2" i="12" s="1"/>
  <c r="GE2" i="12"/>
  <c r="BC3" i="10"/>
  <c r="BC4" i="10" s="1"/>
  <c r="AV2" i="11"/>
  <c r="AS2" i="11"/>
  <c r="CS2" i="11"/>
  <c r="CP2" i="11"/>
  <c r="AS2" i="7"/>
  <c r="AT2" i="7" s="1"/>
  <c r="AV2" i="7"/>
  <c r="GE2" i="5"/>
  <c r="GB2" i="5"/>
  <c r="AV2" i="12"/>
  <c r="AS2" i="12"/>
  <c r="AV2" i="10"/>
  <c r="AS2" i="10"/>
  <c r="AS2" i="8"/>
  <c r="AT2" i="8" s="1"/>
  <c r="AV2" i="8"/>
  <c r="GE2" i="10"/>
  <c r="GB2" i="10"/>
  <c r="GC2" i="10" s="1"/>
  <c r="CS2" i="6"/>
  <c r="CP2" i="6"/>
  <c r="CP2" i="5"/>
  <c r="CS2" i="5"/>
  <c r="CY4" i="12"/>
  <c r="CY5" i="12" s="1"/>
  <c r="CY6" i="12" s="1"/>
  <c r="CY7" i="12" s="1"/>
  <c r="CY8" i="12" s="1"/>
  <c r="CY9" i="12" s="1"/>
  <c r="CY10" i="12" s="1"/>
  <c r="CY11" i="12" s="1"/>
  <c r="CZ3" i="12"/>
  <c r="CZ3" i="9"/>
  <c r="CZ4" i="9" s="1"/>
  <c r="CZ5" i="9" s="1"/>
  <c r="CZ6" i="9" s="1"/>
  <c r="CZ7" i="9" s="1"/>
  <c r="CZ8" i="9" s="1"/>
  <c r="CZ9" i="9" s="1"/>
  <c r="CZ10" i="9" s="1"/>
  <c r="CZ11" i="9" s="1"/>
  <c r="GL3" i="7"/>
  <c r="GL4" i="7" s="1"/>
  <c r="GL5" i="7" s="1"/>
  <c r="GL6" i="7" s="1"/>
  <c r="GL7" i="7" s="1"/>
  <c r="GL8" i="7" s="1"/>
  <c r="GL9" i="7" s="1"/>
  <c r="GL10" i="7" s="1"/>
  <c r="GL11" i="7" s="1"/>
  <c r="BC3" i="7"/>
  <c r="BC4" i="7" s="1"/>
  <c r="GL3" i="6"/>
  <c r="GL4" i="6" s="1"/>
  <c r="GL5" i="6" s="1"/>
  <c r="GL6" i="6" s="1"/>
  <c r="GL7" i="6" s="1"/>
  <c r="GL8" i="6" s="1"/>
  <c r="GL9" i="6" s="1"/>
  <c r="GL10" i="6" s="1"/>
  <c r="GL11" i="6" s="1"/>
  <c r="L6" i="12"/>
  <c r="M5" i="12"/>
  <c r="HC4" i="12"/>
  <c r="GN5" i="12"/>
  <c r="CJ3" i="12"/>
  <c r="Z4" i="12"/>
  <c r="FW4" i="12"/>
  <c r="GQ3" i="12"/>
  <c r="HK3" i="12"/>
  <c r="HH3" i="12"/>
  <c r="HJ3" i="12" s="1"/>
  <c r="GS3" i="12"/>
  <c r="FF4" i="12"/>
  <c r="EB5" i="12"/>
  <c r="BR3" i="12"/>
  <c r="BT3" i="12" s="1"/>
  <c r="AN4" i="12"/>
  <c r="BG3" i="12"/>
  <c r="BE3" i="12"/>
  <c r="HI6" i="12"/>
  <c r="DW6" i="12"/>
  <c r="AD3" i="12"/>
  <c r="AE3" i="12" s="1"/>
  <c r="M4" i="12"/>
  <c r="BY3" i="12"/>
  <c r="X5" i="12"/>
  <c r="AF2" i="12"/>
  <c r="AI2" i="12"/>
  <c r="AJ2" i="12"/>
  <c r="DB5" i="11"/>
  <c r="HC4" i="11"/>
  <c r="GN5" i="11"/>
  <c r="CI4" i="11"/>
  <c r="AC4" i="11"/>
  <c r="X5" i="11"/>
  <c r="EB5" i="11"/>
  <c r="FF4" i="11"/>
  <c r="L6" i="11"/>
  <c r="M5" i="11"/>
  <c r="CJ4" i="11"/>
  <c r="Z5" i="11"/>
  <c r="FW5" i="11"/>
  <c r="HK4" i="11"/>
  <c r="GQ4" i="11"/>
  <c r="GS4" i="11"/>
  <c r="HH4" i="11"/>
  <c r="HJ4" i="11" s="1"/>
  <c r="DW6" i="11"/>
  <c r="BY3" i="11"/>
  <c r="AD3" i="11"/>
  <c r="AE3" i="11" s="1"/>
  <c r="M4" i="11"/>
  <c r="HO3" i="11"/>
  <c r="AK2" i="11"/>
  <c r="HI7" i="11"/>
  <c r="GC2" i="11"/>
  <c r="DY3" i="11"/>
  <c r="CK4" i="11"/>
  <c r="DG3" i="11"/>
  <c r="DV3" i="11"/>
  <c r="DX3" i="11" s="1"/>
  <c r="DE3" i="11"/>
  <c r="HD3" i="11"/>
  <c r="AN5" i="11"/>
  <c r="BR4" i="11"/>
  <c r="BT4" i="11" s="1"/>
  <c r="BE4" i="11"/>
  <c r="BG4" i="11"/>
  <c r="CI4" i="10"/>
  <c r="X5" i="10"/>
  <c r="EB5" i="10"/>
  <c r="FF4" i="10"/>
  <c r="HK3" i="10"/>
  <c r="GS3" i="10"/>
  <c r="HH3" i="10"/>
  <c r="HJ3" i="10" s="1"/>
  <c r="GQ3" i="10"/>
  <c r="FW4" i="10"/>
  <c r="Z4" i="10"/>
  <c r="CJ3" i="10"/>
  <c r="HI9" i="10"/>
  <c r="DB5" i="10"/>
  <c r="AD3" i="10"/>
  <c r="AE3" i="10" s="1"/>
  <c r="M4" i="10"/>
  <c r="BY3" i="10"/>
  <c r="DW6" i="10"/>
  <c r="CK5" i="10"/>
  <c r="DV5" i="10" s="1"/>
  <c r="DY4" i="10"/>
  <c r="DX4" i="10"/>
  <c r="DE4" i="10"/>
  <c r="DG4" i="10"/>
  <c r="CQ2" i="10"/>
  <c r="BG3" i="10"/>
  <c r="AN4" i="10"/>
  <c r="BR3" i="10"/>
  <c r="BT3" i="10" s="1"/>
  <c r="BE3" i="10"/>
  <c r="L6" i="10"/>
  <c r="M5" i="10"/>
  <c r="EB5" i="9"/>
  <c r="FF4" i="9"/>
  <c r="AC4" i="9"/>
  <c r="CI4" i="9"/>
  <c r="X5" i="9"/>
  <c r="GE3" i="9"/>
  <c r="BR3" i="9"/>
  <c r="BT3" i="9" s="1"/>
  <c r="AN4" i="9"/>
  <c r="BG3" i="9"/>
  <c r="BE3" i="9"/>
  <c r="DG4" i="9"/>
  <c r="DY4" i="9"/>
  <c r="DE4" i="9"/>
  <c r="DD4" i="9" s="1"/>
  <c r="CK5" i="9"/>
  <c r="DV4" i="9"/>
  <c r="DX4" i="9" s="1"/>
  <c r="FW5" i="9"/>
  <c r="HK4" i="9"/>
  <c r="HI5" i="9"/>
  <c r="DD3" i="9"/>
  <c r="M5" i="9"/>
  <c r="L6" i="9"/>
  <c r="AD3" i="9"/>
  <c r="AE3" i="9" s="1"/>
  <c r="M4" i="9"/>
  <c r="BY3" i="9"/>
  <c r="CJ3" i="9"/>
  <c r="Z4" i="9"/>
  <c r="DW7" i="9"/>
  <c r="CU2" i="9"/>
  <c r="CN2" i="9" s="1"/>
  <c r="CQ2" i="9"/>
  <c r="CK5" i="8"/>
  <c r="DE4" i="8"/>
  <c r="DY4" i="8"/>
  <c r="DG4" i="8"/>
  <c r="DV4" i="8"/>
  <c r="DX4" i="8" s="1"/>
  <c r="DW6" i="8"/>
  <c r="HI8" i="8"/>
  <c r="AC3" i="8"/>
  <c r="X4" i="8"/>
  <c r="CI3" i="8"/>
  <c r="HK3" i="8"/>
  <c r="FW4" i="8"/>
  <c r="GS3" i="8"/>
  <c r="GQ3" i="8"/>
  <c r="HH3" i="8"/>
  <c r="HJ3" i="8" s="1"/>
  <c r="AK2" i="8"/>
  <c r="CJ4" i="8"/>
  <c r="Z5" i="8"/>
  <c r="L4" i="8"/>
  <c r="L5" i="8" s="1"/>
  <c r="M3" i="8"/>
  <c r="BR3" i="7"/>
  <c r="BT3" i="7" s="1"/>
  <c r="AN4" i="7"/>
  <c r="BG3" i="7"/>
  <c r="BE3" i="7"/>
  <c r="GG2" i="7"/>
  <c r="FZ2" i="7" s="1"/>
  <c r="CU2" i="7"/>
  <c r="CN2" i="7" s="1"/>
  <c r="GE3" i="7"/>
  <c r="CS3" i="7"/>
  <c r="AK2" i="7"/>
  <c r="DW5" i="7"/>
  <c r="HK3" i="7"/>
  <c r="GS3" i="7"/>
  <c r="HH3" i="7"/>
  <c r="HJ3" i="7" s="1"/>
  <c r="GQ3" i="7"/>
  <c r="FW4" i="7"/>
  <c r="HI7" i="7"/>
  <c r="M3" i="7"/>
  <c r="L4" i="7"/>
  <c r="L5" i="7" s="1"/>
  <c r="FF4" i="6"/>
  <c r="EB5" i="6"/>
  <c r="HI7" i="6"/>
  <c r="DQ4" i="6"/>
  <c r="DD3" i="6"/>
  <c r="CI4" i="6"/>
  <c r="X5" i="6"/>
  <c r="AC4" i="6"/>
  <c r="AK2" i="6"/>
  <c r="L6" i="6"/>
  <c r="M5" i="6"/>
  <c r="AN5" i="6"/>
  <c r="BR4" i="6"/>
  <c r="BT4" i="6" s="1"/>
  <c r="BE4" i="6"/>
  <c r="BG4" i="6"/>
  <c r="M4" i="6"/>
  <c r="BY3" i="6"/>
  <c r="AD3" i="6"/>
  <c r="AE3" i="6" s="1"/>
  <c r="GP3" i="6"/>
  <c r="HF3" i="6" s="1"/>
  <c r="CJ5" i="6"/>
  <c r="Z6" i="6"/>
  <c r="HC4" i="6"/>
  <c r="GN5" i="6"/>
  <c r="HK4" i="6"/>
  <c r="FW5" i="6"/>
  <c r="GS4" i="6"/>
  <c r="GQ4" i="6"/>
  <c r="HH4" i="6"/>
  <c r="HJ4" i="6" s="1"/>
  <c r="GG2" i="6"/>
  <c r="FZ2" i="6" s="1"/>
  <c r="DW7" i="6"/>
  <c r="DE4" i="6"/>
  <c r="CK5" i="6"/>
  <c r="DY4" i="6"/>
  <c r="DV4" i="6"/>
  <c r="DX4" i="6" s="1"/>
  <c r="DG4" i="6"/>
  <c r="M5" i="5"/>
  <c r="L6" i="5"/>
  <c r="GN5" i="5"/>
  <c r="HC4" i="5"/>
  <c r="AN5" i="5"/>
  <c r="BE4" i="5"/>
  <c r="BG4" i="5"/>
  <c r="BR4" i="5"/>
  <c r="BT4" i="5" s="1"/>
  <c r="DW12" i="5"/>
  <c r="BY3" i="5"/>
  <c r="AD3" i="5"/>
  <c r="AE3" i="5" s="1"/>
  <c r="M4" i="5"/>
  <c r="AX2" i="5"/>
  <c r="AQ2" i="5" s="1"/>
  <c r="BX2" i="5"/>
  <c r="BZ2" i="5" s="1"/>
  <c r="CE2" i="5" s="1"/>
  <c r="AK2" i="5"/>
  <c r="HK3" i="5"/>
  <c r="GQ3" i="5"/>
  <c r="FW4" i="5"/>
  <c r="GS3" i="5"/>
  <c r="HH3" i="5"/>
  <c r="HJ3" i="5" s="1"/>
  <c r="HL3" i="5" s="1"/>
  <c r="DR3" i="5"/>
  <c r="AV3" i="5"/>
  <c r="CJ4" i="5"/>
  <c r="Z5" i="5"/>
  <c r="DZ3" i="5"/>
  <c r="HI6" i="5"/>
  <c r="AC4" i="5"/>
  <c r="X5" i="5"/>
  <c r="CI4" i="5"/>
  <c r="EB6" i="5"/>
  <c r="FF5" i="5"/>
  <c r="CK5" i="5"/>
  <c r="DG4" i="5"/>
  <c r="DY4" i="5"/>
  <c r="DE4" i="5"/>
  <c r="DV4" i="5"/>
  <c r="DX4" i="5" s="1"/>
  <c r="DZ2" i="3"/>
  <c r="EQ18" i="3"/>
  <c r="EQ19" i="3" s="1"/>
  <c r="EQ20" i="3" s="1"/>
  <c r="EQ21" i="3" s="1"/>
  <c r="EP18" i="3"/>
  <c r="EP19" i="3" s="1"/>
  <c r="EP20" i="3" s="1"/>
  <c r="EP21" i="3" s="1"/>
  <c r="EP22" i="3" s="1"/>
  <c r="DG3" i="3"/>
  <c r="DE3" i="3"/>
  <c r="GS3" i="3"/>
  <c r="GQ3" i="3"/>
  <c r="BG3" i="3"/>
  <c r="BE3" i="3"/>
  <c r="GF2" i="3"/>
  <c r="GF3" i="3" s="1"/>
  <c r="GG3" i="3"/>
  <c r="GB3" i="3" s="1"/>
  <c r="GC3" i="3" s="1"/>
  <c r="GG4" i="3" s="1"/>
  <c r="CZ3" i="3"/>
  <c r="CZ4" i="3" s="1"/>
  <c r="CW32" i="3"/>
  <c r="CY32" i="3" s="1"/>
  <c r="GL2" i="3"/>
  <c r="GD6" i="3"/>
  <c r="BR3" i="3"/>
  <c r="BT3" i="3" s="1"/>
  <c r="Z4" i="3"/>
  <c r="CJ4" i="3" s="1"/>
  <c r="DV3" i="3"/>
  <c r="DX3" i="3" s="1"/>
  <c r="FF4" i="3"/>
  <c r="AC2" i="3"/>
  <c r="EB5" i="3"/>
  <c r="FF5" i="3" s="1"/>
  <c r="AT2" i="3"/>
  <c r="DY3" i="3"/>
  <c r="AC3" i="3"/>
  <c r="L4" i="3"/>
  <c r="L5" i="3" s="1"/>
  <c r="M3" i="3"/>
  <c r="AN4" i="3"/>
  <c r="BP3" i="3"/>
  <c r="X4" i="3"/>
  <c r="CI4" i="3" s="1"/>
  <c r="DW5" i="3"/>
  <c r="CK4" i="3"/>
  <c r="FW4" i="3"/>
  <c r="GK3" i="3"/>
  <c r="GK4" i="3" s="1"/>
  <c r="GK5" i="3" s="1"/>
  <c r="GK6" i="3" s="1"/>
  <c r="GK7" i="3" s="1"/>
  <c r="GK8" i="3" s="1"/>
  <c r="GK9" i="3" s="1"/>
  <c r="HH3" i="3"/>
  <c r="HJ3" i="3" s="1"/>
  <c r="Q17" i="3"/>
  <c r="Q25" i="3"/>
  <c r="Q46" i="3"/>
  <c r="Q26" i="3"/>
  <c r="Q45" i="3"/>
  <c r="Q28" i="3"/>
  <c r="Q11" i="3"/>
  <c r="Q29" i="3"/>
  <c r="Q42" i="3"/>
  <c r="Q40" i="3"/>
  <c r="Q47" i="3"/>
  <c r="Q7" i="3"/>
  <c r="Q20" i="3"/>
  <c r="Q48" i="3"/>
  <c r="Q37" i="3"/>
  <c r="Q34" i="3"/>
  <c r="Q39" i="3"/>
  <c r="Q10" i="3"/>
  <c r="Q16" i="3"/>
  <c r="Q9" i="3"/>
  <c r="Q43" i="3"/>
  <c r="Q8" i="3"/>
  <c r="Q13" i="3"/>
  <c r="Q6" i="3"/>
  <c r="Q19" i="3"/>
  <c r="Q31" i="3"/>
  <c r="Q52" i="3"/>
  <c r="Q38" i="3"/>
  <c r="Q18" i="3"/>
  <c r="Q5" i="3"/>
  <c r="Q21" i="3"/>
  <c r="Q30" i="3"/>
  <c r="Q35" i="3"/>
  <c r="Q41" i="3"/>
  <c r="Q33" i="3"/>
  <c r="Q27" i="3"/>
  <c r="Q51" i="3"/>
  <c r="Q49" i="3"/>
  <c r="Q23" i="3"/>
  <c r="Q14" i="3"/>
  <c r="Q15" i="3"/>
  <c r="Q36" i="3"/>
  <c r="Q12" i="3"/>
  <c r="Q3" i="3"/>
  <c r="Q4" i="3"/>
  <c r="Q24" i="3"/>
  <c r="Q50" i="3"/>
  <c r="Q32" i="3"/>
  <c r="Q44" i="3"/>
  <c r="GL3" i="10" l="1"/>
  <c r="GL4" i="10" s="1"/>
  <c r="GL5" i="10" s="1"/>
  <c r="GL6" i="10" s="1"/>
  <c r="GL7" i="10" s="1"/>
  <c r="GL8" i="10" s="1"/>
  <c r="GL9" i="10" s="1"/>
  <c r="GL10" i="10" s="1"/>
  <c r="GL11" i="10" s="1"/>
  <c r="CU3" i="3"/>
  <c r="CO3" i="3"/>
  <c r="CP3" i="3"/>
  <c r="DB4" i="3"/>
  <c r="DB5" i="3" s="1"/>
  <c r="DB6" i="3" s="1"/>
  <c r="DB7" i="3" s="1"/>
  <c r="DB8" i="3" s="1"/>
  <c r="HC3" i="3"/>
  <c r="DD3" i="3"/>
  <c r="DT3" i="3" s="1"/>
  <c r="DR2" i="7"/>
  <c r="DS2" i="7" s="1"/>
  <c r="HF2" i="10"/>
  <c r="HO2" i="10"/>
  <c r="DT2" i="12"/>
  <c r="FM2" i="12"/>
  <c r="HF2" i="3"/>
  <c r="HO2" i="3"/>
  <c r="HO2" i="12"/>
  <c r="HF2" i="12"/>
  <c r="HE2" i="8"/>
  <c r="AC4" i="12"/>
  <c r="HF2" i="5"/>
  <c r="HO2" i="5"/>
  <c r="DB4" i="5"/>
  <c r="CJ4" i="7"/>
  <c r="Z5" i="7"/>
  <c r="HD2" i="10"/>
  <c r="HE2" i="10" s="1"/>
  <c r="HN2" i="10" s="1"/>
  <c r="HP2" i="10" s="1"/>
  <c r="GP2" i="8"/>
  <c r="HD2" i="8"/>
  <c r="DD4" i="10"/>
  <c r="DS2" i="6"/>
  <c r="GL3" i="9"/>
  <c r="GL4" i="9" s="1"/>
  <c r="GL5" i="9" s="1"/>
  <c r="GL6" i="9" s="1"/>
  <c r="GL7" i="9" s="1"/>
  <c r="GL8" i="9" s="1"/>
  <c r="GL9" i="9" s="1"/>
  <c r="GL10" i="9" s="1"/>
  <c r="GL11" i="9" s="1"/>
  <c r="DD2" i="10"/>
  <c r="DR2" i="10"/>
  <c r="DS2" i="10" s="1"/>
  <c r="DD2" i="9"/>
  <c r="DR2" i="9"/>
  <c r="DS2" i="9" s="1"/>
  <c r="HL4" i="6"/>
  <c r="HD2" i="5"/>
  <c r="HD2" i="7"/>
  <c r="HE2" i="7" s="1"/>
  <c r="GP2" i="7"/>
  <c r="DD2" i="6"/>
  <c r="DR2" i="6"/>
  <c r="HC3" i="10"/>
  <c r="GN4" i="10"/>
  <c r="HF2" i="6"/>
  <c r="HN2" i="6" s="1"/>
  <c r="HO2" i="6"/>
  <c r="DD2" i="7"/>
  <c r="HF2" i="9"/>
  <c r="HO2" i="9"/>
  <c r="DS2" i="12"/>
  <c r="GN4" i="9"/>
  <c r="GP3" i="9"/>
  <c r="HC3" i="9"/>
  <c r="HD3" i="9" s="1"/>
  <c r="HE3" i="9" s="1"/>
  <c r="DD3" i="5"/>
  <c r="FM2" i="11"/>
  <c r="DT2" i="11"/>
  <c r="HN2" i="9"/>
  <c r="HE2" i="5"/>
  <c r="HN2" i="5" s="1"/>
  <c r="DT2" i="5"/>
  <c r="FM2" i="5"/>
  <c r="HF2" i="11"/>
  <c r="HN2" i="11" s="1"/>
  <c r="HO2" i="11"/>
  <c r="FM2" i="8"/>
  <c r="DT2" i="8"/>
  <c r="DR2" i="11"/>
  <c r="DS2" i="11" s="1"/>
  <c r="DR2" i="8"/>
  <c r="DS2" i="8" s="1"/>
  <c r="FL2" i="8" s="1"/>
  <c r="FN2" i="8" s="1"/>
  <c r="FR2" i="8" s="1"/>
  <c r="AK2" i="9"/>
  <c r="AL2" i="9" s="1"/>
  <c r="F2" i="9" s="1"/>
  <c r="BE4" i="8"/>
  <c r="BG4" i="8"/>
  <c r="AN5" i="8"/>
  <c r="BE5" i="8" s="1"/>
  <c r="BX2" i="3"/>
  <c r="BZ2" i="3" s="1"/>
  <c r="CA2" i="3" s="1"/>
  <c r="EQ39" i="7"/>
  <c r="EQ40" i="7" s="1"/>
  <c r="EQ41" i="7" s="1"/>
  <c r="EQ42" i="7" s="1"/>
  <c r="EQ43" i="7" s="1"/>
  <c r="EQ44" i="7" s="1"/>
  <c r="EQ45" i="7" s="1"/>
  <c r="EQ46" i="7" s="1"/>
  <c r="EQ47" i="7" s="1"/>
  <c r="GG2" i="11"/>
  <c r="FZ2" i="11" s="1"/>
  <c r="GF50" i="11" s="1"/>
  <c r="DZ3" i="8"/>
  <c r="HL3" i="10"/>
  <c r="GG2" i="9"/>
  <c r="FZ2" i="9" s="1"/>
  <c r="BX2" i="6"/>
  <c r="BZ2" i="6" s="1"/>
  <c r="BX2" i="9"/>
  <c r="BZ2" i="9" s="1"/>
  <c r="AX2" i="9"/>
  <c r="AQ2" i="9" s="1"/>
  <c r="CU2" i="10"/>
  <c r="CN2" i="10" s="1"/>
  <c r="CR3" i="10" s="1"/>
  <c r="CR4" i="10" s="1"/>
  <c r="AT2" i="6"/>
  <c r="AW2" i="6" s="1"/>
  <c r="AL2" i="10"/>
  <c r="F2" i="10" s="1"/>
  <c r="AH3" i="10"/>
  <c r="DQ4" i="12"/>
  <c r="AU3" i="6"/>
  <c r="AU4" i="6" s="1"/>
  <c r="DT3" i="10"/>
  <c r="AC4" i="7"/>
  <c r="X5" i="7"/>
  <c r="AC5" i="7" s="1"/>
  <c r="DQ4" i="9"/>
  <c r="DR4" i="9" s="1"/>
  <c r="EQ39" i="11"/>
  <c r="EQ40" i="11" s="1"/>
  <c r="EQ41" i="11" s="1"/>
  <c r="EQ42" i="11" s="1"/>
  <c r="EQ43" i="11" s="1"/>
  <c r="EQ44" i="11" s="1"/>
  <c r="EQ45" i="11" s="1"/>
  <c r="EQ46" i="11" s="1"/>
  <c r="EQ47" i="11" s="1"/>
  <c r="EQ39" i="8"/>
  <c r="EQ40" i="8" s="1"/>
  <c r="EQ41" i="8" s="1"/>
  <c r="EQ42" i="8" s="1"/>
  <c r="EQ43" i="8" s="1"/>
  <c r="EQ44" i="8" s="1"/>
  <c r="EQ45" i="8" s="1"/>
  <c r="EQ46" i="8" s="1"/>
  <c r="EQ47" i="8" s="1"/>
  <c r="HH4" i="9"/>
  <c r="HJ4" i="9" s="1"/>
  <c r="GQ4" i="9"/>
  <c r="EQ39" i="9"/>
  <c r="EQ40" i="9" s="1"/>
  <c r="EQ41" i="9" s="1"/>
  <c r="EQ42" i="9" s="1"/>
  <c r="EQ43" i="9" s="1"/>
  <c r="EQ44" i="9" s="1"/>
  <c r="EQ45" i="9" s="1"/>
  <c r="EQ46" i="9" s="1"/>
  <c r="EQ47" i="9" s="1"/>
  <c r="DR3" i="12"/>
  <c r="FM3" i="12"/>
  <c r="GN4" i="7"/>
  <c r="GN5" i="7" s="1"/>
  <c r="DB4" i="8"/>
  <c r="DQ4" i="8" s="1"/>
  <c r="DR4" i="8" s="1"/>
  <c r="HC3" i="7"/>
  <c r="HD3" i="7" s="1"/>
  <c r="HE3" i="7" s="1"/>
  <c r="GN4" i="8"/>
  <c r="DB4" i="7"/>
  <c r="DB5" i="7" s="1"/>
  <c r="DD4" i="6"/>
  <c r="FM4" i="6" s="1"/>
  <c r="DQ3" i="8"/>
  <c r="DR3" i="8" s="1"/>
  <c r="GP3" i="8"/>
  <c r="HF3" i="8" s="1"/>
  <c r="EQ39" i="12"/>
  <c r="EQ40" i="12" s="1"/>
  <c r="EQ41" i="12" s="1"/>
  <c r="EQ42" i="12" s="1"/>
  <c r="EQ43" i="12" s="1"/>
  <c r="EQ44" i="12" s="1"/>
  <c r="EQ45" i="12" s="1"/>
  <c r="EQ46" i="12" s="1"/>
  <c r="EQ47" i="12" s="1"/>
  <c r="BX2" i="8"/>
  <c r="BZ2" i="8" s="1"/>
  <c r="CE2" i="8" s="1"/>
  <c r="HC3" i="8"/>
  <c r="HD3" i="8" s="1"/>
  <c r="HL3" i="12"/>
  <c r="HE3" i="6"/>
  <c r="DD3" i="8"/>
  <c r="DT3" i="8" s="1"/>
  <c r="HL4" i="9"/>
  <c r="FF3" i="8"/>
  <c r="EB4" i="8"/>
  <c r="DZ3" i="12"/>
  <c r="DE4" i="12"/>
  <c r="DD4" i="12" s="1"/>
  <c r="DT4" i="12" s="1"/>
  <c r="DV4" i="12"/>
  <c r="DX4" i="12" s="1"/>
  <c r="DY4" i="12"/>
  <c r="DG4" i="12"/>
  <c r="CK5" i="12"/>
  <c r="DV3" i="7"/>
  <c r="DX3" i="7" s="1"/>
  <c r="DG3" i="7"/>
  <c r="DY3" i="7"/>
  <c r="CK4" i="7"/>
  <c r="DE3" i="7"/>
  <c r="DD3" i="7" s="1"/>
  <c r="DT3" i="7" s="1"/>
  <c r="EB4" i="7"/>
  <c r="FF3" i="7"/>
  <c r="HL3" i="7"/>
  <c r="EQ39" i="10"/>
  <c r="EQ40" i="10" s="1"/>
  <c r="EQ41" i="10" s="1"/>
  <c r="EQ42" i="10" s="1"/>
  <c r="EQ43" i="10" s="1"/>
  <c r="EQ44" i="10" s="1"/>
  <c r="EQ45" i="10" s="1"/>
  <c r="EQ46" i="10" s="1"/>
  <c r="EQ47" i="10" s="1"/>
  <c r="DZ4" i="9"/>
  <c r="DZ4" i="5"/>
  <c r="DT4" i="9"/>
  <c r="FM4" i="9"/>
  <c r="DT3" i="9"/>
  <c r="FM3" i="9"/>
  <c r="DT4" i="10"/>
  <c r="FM4" i="10"/>
  <c r="DZ4" i="6"/>
  <c r="DT3" i="6"/>
  <c r="FM3" i="6"/>
  <c r="CQ2" i="5"/>
  <c r="CS3" i="5" s="1"/>
  <c r="DS3" i="5" s="1"/>
  <c r="DZ4" i="10"/>
  <c r="DZ4" i="8"/>
  <c r="GG2" i="8"/>
  <c r="FZ2" i="8" s="1"/>
  <c r="GF39" i="8" s="1"/>
  <c r="AV3" i="7"/>
  <c r="GE3" i="10"/>
  <c r="CQ2" i="11"/>
  <c r="CU2" i="11"/>
  <c r="CN2" i="11" s="1"/>
  <c r="AV3" i="8"/>
  <c r="AX2" i="8"/>
  <c r="AQ2" i="8" s="1"/>
  <c r="AT2" i="11"/>
  <c r="AX2" i="11"/>
  <c r="AQ2" i="11" s="1"/>
  <c r="BX2" i="11"/>
  <c r="BZ2" i="11" s="1"/>
  <c r="CE2" i="11" s="1"/>
  <c r="AX2" i="10"/>
  <c r="AQ2" i="10" s="1"/>
  <c r="AT2" i="10"/>
  <c r="BX2" i="10"/>
  <c r="BZ2" i="10" s="1"/>
  <c r="CE2" i="10" s="1"/>
  <c r="GE3" i="12"/>
  <c r="AT2" i="12"/>
  <c r="AX2" i="12"/>
  <c r="AQ2" i="12" s="1"/>
  <c r="BX2" i="12"/>
  <c r="BZ2" i="12" s="1"/>
  <c r="CE2" i="12" s="1"/>
  <c r="GG2" i="12"/>
  <c r="FZ2" i="12" s="1"/>
  <c r="HE2" i="12"/>
  <c r="HN2" i="12" s="1"/>
  <c r="CU2" i="12"/>
  <c r="CN2" i="12" s="1"/>
  <c r="CQ2" i="12"/>
  <c r="CU2" i="5"/>
  <c r="CN2" i="5" s="1"/>
  <c r="DS2" i="5"/>
  <c r="FL2" i="5" s="1"/>
  <c r="GG2" i="5"/>
  <c r="FZ2" i="5" s="1"/>
  <c r="GC2" i="5"/>
  <c r="GC2" i="8"/>
  <c r="CU2" i="6"/>
  <c r="CN2" i="6" s="1"/>
  <c r="CQ2" i="6"/>
  <c r="CU2" i="8"/>
  <c r="CN2" i="8" s="1"/>
  <c r="CQ2" i="8"/>
  <c r="GG2" i="10"/>
  <c r="FZ2" i="10" s="1"/>
  <c r="AX2" i="7"/>
  <c r="AQ2" i="7" s="1"/>
  <c r="BX2" i="7"/>
  <c r="BZ2" i="7" s="1"/>
  <c r="CE2" i="7" s="1"/>
  <c r="CZ4" i="12"/>
  <c r="CZ5" i="12" s="1"/>
  <c r="CZ6" i="12" s="1"/>
  <c r="CZ7" i="12" s="1"/>
  <c r="CZ8" i="12" s="1"/>
  <c r="CZ9" i="12" s="1"/>
  <c r="CZ10" i="12" s="1"/>
  <c r="CZ11" i="12" s="1"/>
  <c r="DZ3" i="11"/>
  <c r="HL3" i="8"/>
  <c r="GG3" i="7"/>
  <c r="GB3" i="7" s="1"/>
  <c r="GC3" i="7" s="1"/>
  <c r="GG4" i="7" s="1"/>
  <c r="CU3" i="7"/>
  <c r="CP3" i="7" s="1"/>
  <c r="GG3" i="6"/>
  <c r="GB3" i="6" s="1"/>
  <c r="AX3" i="5"/>
  <c r="AS3" i="5" s="1"/>
  <c r="BX3" i="5" s="1"/>
  <c r="BZ3" i="5" s="1"/>
  <c r="AK2" i="12"/>
  <c r="AF3" i="12"/>
  <c r="AI3" i="12"/>
  <c r="AJ3" i="12" s="1"/>
  <c r="CJ4" i="12"/>
  <c r="Z5" i="12"/>
  <c r="DB6" i="12"/>
  <c r="DQ5" i="12"/>
  <c r="HC5" i="12"/>
  <c r="GN6" i="12"/>
  <c r="AC5" i="12"/>
  <c r="X6" i="12"/>
  <c r="CI5" i="12"/>
  <c r="HI7" i="12"/>
  <c r="BR4" i="12"/>
  <c r="BT4" i="12" s="1"/>
  <c r="AN5" i="12"/>
  <c r="BG4" i="12"/>
  <c r="BE4" i="12"/>
  <c r="HD3" i="12"/>
  <c r="GP3" i="12"/>
  <c r="BY5" i="12"/>
  <c r="AD5" i="12"/>
  <c r="FW5" i="12"/>
  <c r="GS4" i="12"/>
  <c r="HK4" i="12"/>
  <c r="GQ4" i="12"/>
  <c r="HH4" i="12"/>
  <c r="HJ4" i="12" s="1"/>
  <c r="M6" i="12"/>
  <c r="L7" i="12"/>
  <c r="DW7" i="12"/>
  <c r="EB6" i="12"/>
  <c r="FF5" i="12"/>
  <c r="BY4" i="12"/>
  <c r="AD4" i="12"/>
  <c r="GE3" i="11"/>
  <c r="HE3" i="11" s="1"/>
  <c r="DW7" i="11"/>
  <c r="HI8" i="11"/>
  <c r="HL4" i="11"/>
  <c r="FF5" i="11"/>
  <c r="EB6" i="11"/>
  <c r="X6" i="11"/>
  <c r="CI5" i="11"/>
  <c r="AC5" i="11"/>
  <c r="BR5" i="11"/>
  <c r="BT5" i="11" s="1"/>
  <c r="AN6" i="11"/>
  <c r="BE5" i="11"/>
  <c r="BG5" i="11"/>
  <c r="HD4" i="11"/>
  <c r="HK5" i="11"/>
  <c r="FW6" i="11"/>
  <c r="GS5" i="11"/>
  <c r="GQ5" i="11"/>
  <c r="GP5" i="11" s="1"/>
  <c r="HH5" i="11"/>
  <c r="HJ5" i="11" s="1"/>
  <c r="CK5" i="11"/>
  <c r="DE4" i="11"/>
  <c r="DY4" i="11"/>
  <c r="DG4" i="11"/>
  <c r="DV4" i="11"/>
  <c r="DX4" i="11" s="1"/>
  <c r="GP4" i="11"/>
  <c r="HF4" i="11" s="1"/>
  <c r="DR3" i="11"/>
  <c r="DD3" i="11"/>
  <c r="FM3" i="11" s="1"/>
  <c r="AH3" i="11"/>
  <c r="AL2" i="11"/>
  <c r="F2" i="11" s="1"/>
  <c r="E2" i="11"/>
  <c r="GN6" i="11"/>
  <c r="HC5" i="11"/>
  <c r="Z6" i="11"/>
  <c r="CJ5" i="11"/>
  <c r="AD4" i="11"/>
  <c r="AE4" i="11" s="1"/>
  <c r="BY4" i="11"/>
  <c r="DQ5" i="11"/>
  <c r="DB6" i="11"/>
  <c r="AF3" i="11"/>
  <c r="AI3" i="11"/>
  <c r="AJ3" i="11" s="1"/>
  <c r="AD5" i="11"/>
  <c r="BY5" i="11"/>
  <c r="M6" i="11"/>
  <c r="L7" i="11"/>
  <c r="DW7" i="10"/>
  <c r="FW5" i="10"/>
  <c r="HK4" i="10"/>
  <c r="GS4" i="10"/>
  <c r="GQ4" i="10"/>
  <c r="HH4" i="10"/>
  <c r="HJ4" i="10" s="1"/>
  <c r="EB6" i="10"/>
  <c r="FF5" i="10"/>
  <c r="HD3" i="10"/>
  <c r="GP3" i="10"/>
  <c r="BG4" i="10"/>
  <c r="AN5" i="10"/>
  <c r="BR4" i="10"/>
  <c r="BT4" i="10" s="1"/>
  <c r="BE4" i="10"/>
  <c r="DX5" i="10"/>
  <c r="DY5" i="10"/>
  <c r="CK6" i="10"/>
  <c r="DV6" i="10" s="1"/>
  <c r="DE5" i="10"/>
  <c r="DD5" i="10" s="1"/>
  <c r="DG5" i="10"/>
  <c r="AI3" i="10"/>
  <c r="AJ3" i="10" s="1"/>
  <c r="AF3" i="10"/>
  <c r="AD5" i="10"/>
  <c r="BY5" i="10"/>
  <c r="M6" i="10"/>
  <c r="L7" i="10"/>
  <c r="CJ4" i="10"/>
  <c r="Z5" i="10"/>
  <c r="AC5" i="10" s="1"/>
  <c r="AC4" i="10"/>
  <c r="X6" i="10"/>
  <c r="CI5" i="10"/>
  <c r="CS3" i="10"/>
  <c r="DS3" i="10" s="1"/>
  <c r="HI10" i="10"/>
  <c r="AD4" i="10"/>
  <c r="BY4" i="10"/>
  <c r="DQ5" i="10"/>
  <c r="DB6" i="10"/>
  <c r="DR4" i="10"/>
  <c r="AD4" i="9"/>
  <c r="AE4" i="9" s="1"/>
  <c r="BY4" i="9"/>
  <c r="CR3" i="9"/>
  <c r="CT2" i="9"/>
  <c r="DW8" i="9"/>
  <c r="AV3" i="9"/>
  <c r="CU3" i="9"/>
  <c r="CS3" i="9"/>
  <c r="DS3" i="9" s="1"/>
  <c r="HK5" i="9"/>
  <c r="FW6" i="9"/>
  <c r="GQ5" i="9"/>
  <c r="GS5" i="9"/>
  <c r="AF3" i="9"/>
  <c r="AI3" i="9"/>
  <c r="AJ3" i="9" s="1"/>
  <c r="DQ5" i="9"/>
  <c r="DB6" i="9"/>
  <c r="CK6" i="9"/>
  <c r="DG5" i="9"/>
  <c r="DY5" i="9"/>
  <c r="DE5" i="9"/>
  <c r="DV5" i="9"/>
  <c r="DX5" i="9" s="1"/>
  <c r="M6" i="9"/>
  <c r="L7" i="9"/>
  <c r="CJ4" i="9"/>
  <c r="Z5" i="9"/>
  <c r="HI6" i="9"/>
  <c r="HH5" i="9"/>
  <c r="HJ5" i="9" s="1"/>
  <c r="AC5" i="9"/>
  <c r="X6" i="9"/>
  <c r="CI5" i="9"/>
  <c r="BY5" i="9"/>
  <c r="AD5" i="9"/>
  <c r="BR4" i="9"/>
  <c r="BT4" i="9" s="1"/>
  <c r="AN5" i="9"/>
  <c r="BG4" i="9"/>
  <c r="BE4" i="9"/>
  <c r="EB6" i="9"/>
  <c r="FF5" i="9"/>
  <c r="CJ5" i="8"/>
  <c r="Z6" i="8"/>
  <c r="M4" i="8"/>
  <c r="AD3" i="8"/>
  <c r="AE3" i="8" s="1"/>
  <c r="BY3" i="8"/>
  <c r="E2" i="8"/>
  <c r="AL2" i="8"/>
  <c r="F2" i="8" s="1"/>
  <c r="AH3" i="8"/>
  <c r="M5" i="8"/>
  <c r="L6" i="8"/>
  <c r="HI9" i="8"/>
  <c r="GQ4" i="8"/>
  <c r="HK4" i="8"/>
  <c r="FW5" i="8"/>
  <c r="HH4" i="8"/>
  <c r="HJ4" i="8" s="1"/>
  <c r="GS4" i="8"/>
  <c r="CK6" i="8"/>
  <c r="DY5" i="8"/>
  <c r="DG5" i="8"/>
  <c r="DE5" i="8"/>
  <c r="GN5" i="8"/>
  <c r="HC4" i="8"/>
  <c r="DW7" i="8"/>
  <c r="CI4" i="8"/>
  <c r="AC4" i="8"/>
  <c r="X5" i="8"/>
  <c r="DV5" i="8"/>
  <c r="DX5" i="8" s="1"/>
  <c r="HK4" i="7"/>
  <c r="GS4" i="7"/>
  <c r="FW5" i="7"/>
  <c r="GQ4" i="7"/>
  <c r="HH4" i="7"/>
  <c r="HJ4" i="7" s="1"/>
  <c r="CR33" i="7"/>
  <c r="CT31" i="7"/>
  <c r="CR32" i="7"/>
  <c r="CR36" i="7"/>
  <c r="CT34" i="7"/>
  <c r="CT33" i="7"/>
  <c r="CT30" i="7"/>
  <c r="CT36" i="7"/>
  <c r="CT32" i="7"/>
  <c r="CT35" i="7"/>
  <c r="CR31" i="7"/>
  <c r="CR35" i="7"/>
  <c r="CR34" i="7"/>
  <c r="CR3" i="7"/>
  <c r="CT2" i="7"/>
  <c r="GF49" i="7"/>
  <c r="GD48" i="7"/>
  <c r="GF51" i="7"/>
  <c r="GF52" i="7"/>
  <c r="GD51" i="7"/>
  <c r="GF44" i="7"/>
  <c r="GD43" i="7"/>
  <c r="GD52" i="7"/>
  <c r="GF45" i="7"/>
  <c r="GD44" i="7"/>
  <c r="GF47" i="7"/>
  <c r="GD46" i="7"/>
  <c r="GF50" i="7"/>
  <c r="GF48" i="7"/>
  <c r="GF46" i="7"/>
  <c r="GD42" i="7"/>
  <c r="GF38" i="7"/>
  <c r="GD37" i="7"/>
  <c r="GF39" i="7"/>
  <c r="GD38" i="7"/>
  <c r="GF41" i="7"/>
  <c r="GD40" i="7"/>
  <c r="GD49" i="7"/>
  <c r="GD47" i="7"/>
  <c r="GF36" i="7"/>
  <c r="GD50" i="7"/>
  <c r="GF42" i="7"/>
  <c r="GD39" i="7"/>
  <c r="GD41" i="7"/>
  <c r="GF43" i="7"/>
  <c r="GD45" i="7"/>
  <c r="GF37" i="7"/>
  <c r="GF40" i="7"/>
  <c r="GD3" i="7"/>
  <c r="GD4" i="7" s="1"/>
  <c r="GF2" i="7"/>
  <c r="BY3" i="7"/>
  <c r="M4" i="7"/>
  <c r="AD3" i="7"/>
  <c r="AE3" i="7" s="1"/>
  <c r="E2" i="7"/>
  <c r="AL2" i="7"/>
  <c r="F2" i="7" s="1"/>
  <c r="AH3" i="7"/>
  <c r="BR4" i="7"/>
  <c r="BT4" i="7" s="1"/>
  <c r="AN5" i="7"/>
  <c r="BE4" i="7"/>
  <c r="BG4" i="7"/>
  <c r="DW6" i="7"/>
  <c r="L6" i="7"/>
  <c r="M5" i="7"/>
  <c r="HI8" i="7"/>
  <c r="GP3" i="7"/>
  <c r="HF3" i="7" s="1"/>
  <c r="HD4" i="6"/>
  <c r="GQ5" i="6"/>
  <c r="GP5" i="6" s="1"/>
  <c r="HF5" i="6" s="1"/>
  <c r="HK5" i="6"/>
  <c r="FW6" i="6"/>
  <c r="GS5" i="6"/>
  <c r="HH5" i="6"/>
  <c r="HJ5" i="6" s="1"/>
  <c r="DY5" i="6"/>
  <c r="DG5" i="6"/>
  <c r="CK6" i="6"/>
  <c r="DE5" i="6"/>
  <c r="DV5" i="6"/>
  <c r="DX5" i="6" s="1"/>
  <c r="HC5" i="6"/>
  <c r="GN6" i="6"/>
  <c r="EB6" i="6"/>
  <c r="FF5" i="6"/>
  <c r="DR4" i="6"/>
  <c r="BE5" i="6"/>
  <c r="AN6" i="6"/>
  <c r="BG5" i="6"/>
  <c r="BR5" i="6"/>
  <c r="BT5" i="6" s="1"/>
  <c r="X6" i="6"/>
  <c r="CI5" i="6"/>
  <c r="AC5" i="6"/>
  <c r="DW8" i="6"/>
  <c r="GP4" i="6"/>
  <c r="HF4" i="6" s="1"/>
  <c r="BY5" i="6"/>
  <c r="AD5" i="6"/>
  <c r="AD4" i="6"/>
  <c r="AE4" i="6" s="1"/>
  <c r="BY4" i="6"/>
  <c r="CJ6" i="6"/>
  <c r="Z7" i="6"/>
  <c r="L7" i="6"/>
  <c r="M6" i="6"/>
  <c r="HI8" i="6"/>
  <c r="AH3" i="6"/>
  <c r="E2" i="6"/>
  <c r="AL2" i="6"/>
  <c r="F2" i="6" s="1"/>
  <c r="AI3" i="6"/>
  <c r="AJ3" i="6" s="1"/>
  <c r="AF3" i="6"/>
  <c r="GF49" i="6"/>
  <c r="GD48" i="6"/>
  <c r="GF50" i="6"/>
  <c r="GD49" i="6"/>
  <c r="GF51" i="6"/>
  <c r="GD50" i="6"/>
  <c r="GF52" i="6"/>
  <c r="GD51" i="6"/>
  <c r="GD52" i="6"/>
  <c r="GF45" i="6"/>
  <c r="GD44" i="6"/>
  <c r="GF47" i="6"/>
  <c r="GD46" i="6"/>
  <c r="GF46" i="6"/>
  <c r="GF43" i="6"/>
  <c r="GD42" i="6"/>
  <c r="GD43" i="6"/>
  <c r="GD45" i="6"/>
  <c r="GF41" i="6"/>
  <c r="GD40" i="6"/>
  <c r="GF37" i="6"/>
  <c r="GD47" i="6"/>
  <c r="GF44" i="6"/>
  <c r="GF48" i="6"/>
  <c r="GF42" i="6"/>
  <c r="GF39" i="6"/>
  <c r="GD41" i="6"/>
  <c r="GF40" i="6"/>
  <c r="GD39" i="6"/>
  <c r="GF38" i="6"/>
  <c r="GF36" i="6"/>
  <c r="GD38" i="6"/>
  <c r="GD37" i="6"/>
  <c r="GD3" i="6"/>
  <c r="GF2" i="6"/>
  <c r="HO3" i="6"/>
  <c r="DQ5" i="6"/>
  <c r="DB6" i="6"/>
  <c r="CJ5" i="5"/>
  <c r="Z6" i="5"/>
  <c r="DY5" i="5"/>
  <c r="CK6" i="5"/>
  <c r="DV5" i="5"/>
  <c r="DX5" i="5" s="1"/>
  <c r="DG5" i="5"/>
  <c r="DE5" i="5"/>
  <c r="BY4" i="5"/>
  <c r="AD4" i="5"/>
  <c r="AE4" i="5" s="1"/>
  <c r="AI3" i="5"/>
  <c r="AJ3" i="5" s="1"/>
  <c r="AF3" i="5"/>
  <c r="EB7" i="5"/>
  <c r="FF6" i="5"/>
  <c r="HC5" i="5"/>
  <c r="GN6" i="5"/>
  <c r="HI7" i="5"/>
  <c r="X6" i="5"/>
  <c r="CI5" i="5"/>
  <c r="AC5" i="5"/>
  <c r="DW13" i="5"/>
  <c r="BG5" i="5"/>
  <c r="AN6" i="5"/>
  <c r="BE5" i="5"/>
  <c r="BR5" i="5"/>
  <c r="BT5" i="5" s="1"/>
  <c r="AH3" i="5"/>
  <c r="E2" i="5"/>
  <c r="AL2" i="5"/>
  <c r="F2" i="5" s="1"/>
  <c r="DD4" i="5"/>
  <c r="FW5" i="5"/>
  <c r="HK4" i="5"/>
  <c r="GQ4" i="5"/>
  <c r="GS4" i="5"/>
  <c r="HH4" i="5"/>
  <c r="HJ4" i="5" s="1"/>
  <c r="CA2" i="5"/>
  <c r="CD2" i="5"/>
  <c r="CF2" i="5" s="1"/>
  <c r="M6" i="5"/>
  <c r="L7" i="5"/>
  <c r="HD3" i="5"/>
  <c r="GP3" i="5"/>
  <c r="AU3" i="5"/>
  <c r="AW2" i="5"/>
  <c r="BY5" i="5"/>
  <c r="AD5" i="5"/>
  <c r="EQ22" i="3"/>
  <c r="EQ23" i="3" s="1"/>
  <c r="EQ24" i="3" s="1"/>
  <c r="EQ25" i="3" s="1"/>
  <c r="EQ26" i="3" s="1"/>
  <c r="EQ27" i="3" s="1"/>
  <c r="EQ28" i="3" s="1"/>
  <c r="EQ29" i="3" s="1"/>
  <c r="EQ30" i="3" s="1"/>
  <c r="EQ31" i="3" s="1"/>
  <c r="EP23" i="3"/>
  <c r="EP24" i="3" s="1"/>
  <c r="EP25" i="3" s="1"/>
  <c r="EP26" i="3" s="1"/>
  <c r="EP27" i="3" s="1"/>
  <c r="EP28" i="3" s="1"/>
  <c r="EP29" i="3" s="1"/>
  <c r="EP30" i="3" s="1"/>
  <c r="EP31" i="3" s="1"/>
  <c r="DZ3" i="3"/>
  <c r="GQ4" i="3"/>
  <c r="GS4" i="3"/>
  <c r="GN5" i="3"/>
  <c r="HC4" i="3"/>
  <c r="BG4" i="3"/>
  <c r="BE4" i="3"/>
  <c r="DV4" i="3"/>
  <c r="DX4" i="3" s="1"/>
  <c r="DG4" i="3"/>
  <c r="DE4" i="3"/>
  <c r="DD4" i="3" s="1"/>
  <c r="GE4" i="3"/>
  <c r="GF4" i="3" s="1"/>
  <c r="CY33" i="3"/>
  <c r="CY34" i="3" s="1"/>
  <c r="CY35" i="3" s="1"/>
  <c r="CY36" i="3" s="1"/>
  <c r="CZ32" i="3"/>
  <c r="CZ33" i="3" s="1"/>
  <c r="CZ34" i="3" s="1"/>
  <c r="CZ35" i="3" s="1"/>
  <c r="CZ36" i="3" s="1"/>
  <c r="GD7" i="3"/>
  <c r="Z5" i="3"/>
  <c r="CJ5" i="3" s="1"/>
  <c r="GP3" i="3"/>
  <c r="HF3" i="3" s="1"/>
  <c r="DB9" i="3"/>
  <c r="BR4" i="3"/>
  <c r="BT4" i="3" s="1"/>
  <c r="AV3" i="3"/>
  <c r="EB6" i="3"/>
  <c r="CW5" i="3"/>
  <c r="CY5" i="3" s="1"/>
  <c r="CZ5" i="3" s="1"/>
  <c r="AX3" i="3"/>
  <c r="FW5" i="3"/>
  <c r="DY4" i="3"/>
  <c r="AN5" i="3"/>
  <c r="AC4" i="3"/>
  <c r="AD3" i="3"/>
  <c r="BY3" i="3"/>
  <c r="M4" i="3"/>
  <c r="L6" i="3"/>
  <c r="M5" i="3"/>
  <c r="AE2" i="3"/>
  <c r="AI2" i="3" s="1"/>
  <c r="BP4" i="3"/>
  <c r="X5" i="3"/>
  <c r="CI5" i="3" s="1"/>
  <c r="DW6" i="3"/>
  <c r="CK5" i="3"/>
  <c r="GL3" i="3"/>
  <c r="HH4" i="3"/>
  <c r="HJ4" i="3" s="1"/>
  <c r="CQ3" i="3" l="1"/>
  <c r="CS4" i="3" s="1"/>
  <c r="E2" i="9"/>
  <c r="AH3" i="9"/>
  <c r="AE4" i="12"/>
  <c r="AI4" i="12" s="1"/>
  <c r="AJ4" i="12" s="1"/>
  <c r="HP2" i="12"/>
  <c r="HT2" i="12" s="1"/>
  <c r="HP2" i="6"/>
  <c r="HQ2" i="6" s="1"/>
  <c r="J2" i="6" s="1"/>
  <c r="HP2" i="5"/>
  <c r="HQ2" i="5" s="1"/>
  <c r="HP2" i="9"/>
  <c r="FN2" i="5"/>
  <c r="FR2" i="5" s="1"/>
  <c r="FL2" i="12"/>
  <c r="FN2" i="12" s="1"/>
  <c r="FR2" i="12" s="1"/>
  <c r="CO35" i="3"/>
  <c r="CO4" i="3"/>
  <c r="CO5" i="3" s="1"/>
  <c r="CO6" i="3" s="1"/>
  <c r="CO7" i="3" s="1"/>
  <c r="CO8" i="3" s="1"/>
  <c r="CO9" i="3" s="1"/>
  <c r="CO10" i="3" s="1"/>
  <c r="CO11" i="3" s="1"/>
  <c r="CO12" i="3" s="1"/>
  <c r="CO13" i="3" s="1"/>
  <c r="CO14" i="3" s="1"/>
  <c r="CO15" i="3" s="1"/>
  <c r="CO16" i="3" s="1"/>
  <c r="CO17" i="3" s="1"/>
  <c r="CO18" i="3" s="1"/>
  <c r="CO19" i="3" s="1"/>
  <c r="CO20" i="3" s="1"/>
  <c r="CO21" i="3" s="1"/>
  <c r="CO22" i="3" s="1"/>
  <c r="CO23" i="3" s="1"/>
  <c r="CO24" i="3" s="1"/>
  <c r="CO25" i="3" s="1"/>
  <c r="CO26" i="3" s="1"/>
  <c r="CO27" i="3" s="1"/>
  <c r="CO28" i="3" s="1"/>
  <c r="CO29" i="3" s="1"/>
  <c r="CO30" i="3" s="1"/>
  <c r="CO36" i="3"/>
  <c r="CO31" i="3"/>
  <c r="CO33" i="3"/>
  <c r="CO32" i="3"/>
  <c r="CO34" i="3"/>
  <c r="FM3" i="3"/>
  <c r="HP2" i="11"/>
  <c r="HQ2" i="11" s="1"/>
  <c r="FL2" i="11"/>
  <c r="FN2" i="11" s="1"/>
  <c r="FR2" i="11" s="1"/>
  <c r="HT2" i="6"/>
  <c r="HF2" i="7"/>
  <c r="HN2" i="7" s="1"/>
  <c r="HO2" i="7"/>
  <c r="FM3" i="5"/>
  <c r="DT3" i="5"/>
  <c r="DB5" i="5"/>
  <c r="DQ4" i="5"/>
  <c r="DR4" i="5" s="1"/>
  <c r="HF3" i="9"/>
  <c r="HO3" i="9"/>
  <c r="HC4" i="9"/>
  <c r="HD4" i="9" s="1"/>
  <c r="GN5" i="9"/>
  <c r="FM2" i="9"/>
  <c r="DT2" i="9"/>
  <c r="FL2" i="9" s="1"/>
  <c r="GP4" i="9"/>
  <c r="HF4" i="9" s="1"/>
  <c r="DT2" i="10"/>
  <c r="FL2" i="10" s="1"/>
  <c r="FM2" i="10"/>
  <c r="FM2" i="7"/>
  <c r="DT2" i="7"/>
  <c r="FL2" i="7" s="1"/>
  <c r="DD4" i="8"/>
  <c r="FM4" i="8" s="1"/>
  <c r="GN5" i="10"/>
  <c r="HC4" i="10"/>
  <c r="HF2" i="8"/>
  <c r="HN2" i="8" s="1"/>
  <c r="HO2" i="8"/>
  <c r="FM2" i="6"/>
  <c r="DT2" i="6"/>
  <c r="FL2" i="6" s="1"/>
  <c r="FN2" i="6" s="1"/>
  <c r="FR2" i="6" s="1"/>
  <c r="Z6" i="7"/>
  <c r="CJ5" i="7"/>
  <c r="DQ4" i="7"/>
  <c r="CI5" i="7"/>
  <c r="X6" i="7"/>
  <c r="CI6" i="7" s="1"/>
  <c r="AN6" i="8"/>
  <c r="BG5" i="8"/>
  <c r="BR5" i="8"/>
  <c r="BT5" i="8" s="1"/>
  <c r="GD49" i="11"/>
  <c r="GF47" i="11"/>
  <c r="GF2" i="11"/>
  <c r="GF3" i="11" s="1"/>
  <c r="GD43" i="11"/>
  <c r="GD40" i="11"/>
  <c r="GD51" i="11"/>
  <c r="GF51" i="11"/>
  <c r="GF38" i="11"/>
  <c r="GD48" i="11"/>
  <c r="GD37" i="11"/>
  <c r="GD38" i="11"/>
  <c r="GD47" i="11"/>
  <c r="GF49" i="11"/>
  <c r="GD42" i="11"/>
  <c r="GF41" i="11"/>
  <c r="GD44" i="11"/>
  <c r="GD50" i="11"/>
  <c r="GD45" i="11"/>
  <c r="GF43" i="11"/>
  <c r="GG3" i="11"/>
  <c r="GB3" i="11" s="1"/>
  <c r="GC3" i="11" s="1"/>
  <c r="GF39" i="11"/>
  <c r="GF46" i="11"/>
  <c r="GD46" i="11"/>
  <c r="GD3" i="11"/>
  <c r="GD4" i="11" s="1"/>
  <c r="GD5" i="11" s="1"/>
  <c r="GD6" i="11" s="1"/>
  <c r="GD7" i="11" s="1"/>
  <c r="CC3" i="5"/>
  <c r="CG2" i="5"/>
  <c r="CD2" i="6"/>
  <c r="CE2" i="6"/>
  <c r="CA2" i="9"/>
  <c r="CE2" i="9"/>
  <c r="GD39" i="11"/>
  <c r="GF45" i="11"/>
  <c r="GD41" i="11"/>
  <c r="GD52" i="11"/>
  <c r="GF40" i="11"/>
  <c r="GF44" i="11"/>
  <c r="GF42" i="11"/>
  <c r="GF52" i="11"/>
  <c r="GF36" i="11"/>
  <c r="GF48" i="11"/>
  <c r="GF37" i="11"/>
  <c r="CD2" i="9"/>
  <c r="CA2" i="6"/>
  <c r="AU3" i="9"/>
  <c r="AU4" i="9" s="1"/>
  <c r="AU5" i="9" s="1"/>
  <c r="AW2" i="9"/>
  <c r="AW3" i="9" s="1"/>
  <c r="AV3" i="6"/>
  <c r="AW3" i="6" s="1"/>
  <c r="GF51" i="9"/>
  <c r="AX3" i="6"/>
  <c r="GG3" i="9"/>
  <c r="GB3" i="9" s="1"/>
  <c r="HN3" i="9" s="1"/>
  <c r="HP3" i="9" s="1"/>
  <c r="GF52" i="9"/>
  <c r="AX3" i="9"/>
  <c r="AS3" i="9" s="1"/>
  <c r="BX3" i="9" s="1"/>
  <c r="BZ3" i="9" s="1"/>
  <c r="GF2" i="9"/>
  <c r="GF3" i="9" s="1"/>
  <c r="GD52" i="9"/>
  <c r="GD3" i="9"/>
  <c r="GD4" i="9" s="1"/>
  <c r="GD5" i="9" s="1"/>
  <c r="GD6" i="9" s="1"/>
  <c r="GD7" i="9" s="1"/>
  <c r="GD8" i="9" s="1"/>
  <c r="GD9" i="9" s="1"/>
  <c r="GD10" i="9" s="1"/>
  <c r="GD11" i="9" s="1"/>
  <c r="GD12" i="9" s="1"/>
  <c r="GD13" i="9" s="1"/>
  <c r="GD14" i="9" s="1"/>
  <c r="GD15" i="9" s="1"/>
  <c r="GD16" i="9" s="1"/>
  <c r="GD17" i="9" s="1"/>
  <c r="GD18" i="9" s="1"/>
  <c r="GD19" i="9" s="1"/>
  <c r="GD20" i="9" s="1"/>
  <c r="GD21" i="9" s="1"/>
  <c r="GD22" i="9" s="1"/>
  <c r="GD23" i="9" s="1"/>
  <c r="GD24" i="9" s="1"/>
  <c r="GD25" i="9" s="1"/>
  <c r="GD26" i="9" s="1"/>
  <c r="GD27" i="9" s="1"/>
  <c r="GD28" i="9" s="1"/>
  <c r="GD29" i="9" s="1"/>
  <c r="GD30" i="9" s="1"/>
  <c r="GD31" i="9" s="1"/>
  <c r="GD32" i="9" s="1"/>
  <c r="GD33" i="9" s="1"/>
  <c r="GD34" i="9" s="1"/>
  <c r="GD35" i="9" s="1"/>
  <c r="GD36" i="9" s="1"/>
  <c r="GD37" i="9" s="1"/>
  <c r="GD38" i="9" s="1"/>
  <c r="GD39" i="9" s="1"/>
  <c r="GD40" i="9" s="1"/>
  <c r="GD41" i="9" s="1"/>
  <c r="GD42" i="9" s="1"/>
  <c r="GD43" i="9" s="1"/>
  <c r="GD44" i="9" s="1"/>
  <c r="GD45" i="9" s="1"/>
  <c r="GD46" i="9" s="1"/>
  <c r="GD47" i="9" s="1"/>
  <c r="GD48" i="9" s="1"/>
  <c r="GD49" i="9" s="1"/>
  <c r="GD50" i="9" s="1"/>
  <c r="GD51" i="9" s="1"/>
  <c r="CT2" i="10"/>
  <c r="CR32" i="10"/>
  <c r="CT30" i="10"/>
  <c r="CT32" i="10"/>
  <c r="CT31" i="10"/>
  <c r="CU3" i="10"/>
  <c r="CP3" i="10" s="1"/>
  <c r="CR31" i="10"/>
  <c r="CR36" i="10"/>
  <c r="CR35" i="10"/>
  <c r="CT33" i="10"/>
  <c r="CT36" i="10"/>
  <c r="CR34" i="10"/>
  <c r="CT35" i="10"/>
  <c r="CR33" i="10"/>
  <c r="CT34" i="10"/>
  <c r="HT2" i="5"/>
  <c r="GP4" i="8"/>
  <c r="HF4" i="8" s="1"/>
  <c r="DB5" i="8"/>
  <c r="DB6" i="8" s="1"/>
  <c r="HO3" i="8"/>
  <c r="HC4" i="7"/>
  <c r="HD4" i="7" s="1"/>
  <c r="GP4" i="7"/>
  <c r="HF4" i="7" s="1"/>
  <c r="DT4" i="6"/>
  <c r="HL5" i="9"/>
  <c r="HN3" i="6"/>
  <c r="HP3" i="6" s="1"/>
  <c r="AK3" i="6"/>
  <c r="AL3" i="6" s="1"/>
  <c r="F3" i="6" s="1"/>
  <c r="GC3" i="6"/>
  <c r="GE4" i="6" s="1"/>
  <c r="HE4" i="6" s="1"/>
  <c r="AT3" i="5"/>
  <c r="AX4" i="5" s="1"/>
  <c r="FM4" i="12"/>
  <c r="AK3" i="5"/>
  <c r="AH4" i="5" s="1"/>
  <c r="AK4" i="5" s="1"/>
  <c r="GF50" i="8"/>
  <c r="GD43" i="8"/>
  <c r="GD49" i="8"/>
  <c r="GD44" i="8"/>
  <c r="HL4" i="5"/>
  <c r="CD2" i="8"/>
  <c r="CF2" i="8" s="1"/>
  <c r="CA2" i="8"/>
  <c r="FM3" i="7"/>
  <c r="AK3" i="9"/>
  <c r="E3" i="9" s="1"/>
  <c r="FM3" i="8"/>
  <c r="DZ3" i="7"/>
  <c r="HL4" i="10"/>
  <c r="HO4" i="11"/>
  <c r="DV5" i="12"/>
  <c r="DX5" i="12" s="1"/>
  <c r="CK6" i="12"/>
  <c r="DY5" i="12"/>
  <c r="DG5" i="12"/>
  <c r="DE5" i="12"/>
  <c r="DD5" i="12" s="1"/>
  <c r="FM5" i="12" s="1"/>
  <c r="DZ4" i="12"/>
  <c r="HL4" i="12"/>
  <c r="AX3" i="7"/>
  <c r="AS3" i="7" s="1"/>
  <c r="BX3" i="7" s="1"/>
  <c r="BZ3" i="7" s="1"/>
  <c r="DR4" i="12"/>
  <c r="DR3" i="7"/>
  <c r="DS3" i="7" s="1"/>
  <c r="FL3" i="7" s="1"/>
  <c r="HL5" i="6"/>
  <c r="HL5" i="11"/>
  <c r="FF4" i="8"/>
  <c r="EB5" i="8"/>
  <c r="EB5" i="7"/>
  <c r="FF4" i="7"/>
  <c r="DY4" i="7"/>
  <c r="CK5" i="7"/>
  <c r="DV4" i="7"/>
  <c r="DX4" i="7" s="1"/>
  <c r="DG4" i="7"/>
  <c r="DE4" i="7"/>
  <c r="DD4" i="7" s="1"/>
  <c r="DT4" i="7" s="1"/>
  <c r="DT4" i="5"/>
  <c r="FM4" i="5"/>
  <c r="DT5" i="10"/>
  <c r="FM5" i="10"/>
  <c r="DZ5" i="6"/>
  <c r="DZ5" i="8"/>
  <c r="DT4" i="8"/>
  <c r="CT3" i="9"/>
  <c r="DZ5" i="5"/>
  <c r="DZ5" i="9"/>
  <c r="DR5" i="6"/>
  <c r="DT4" i="3"/>
  <c r="FM4" i="3"/>
  <c r="DZ4" i="11"/>
  <c r="DZ5" i="10"/>
  <c r="FO2" i="8"/>
  <c r="GD45" i="8"/>
  <c r="GF38" i="8"/>
  <c r="GF36" i="8"/>
  <c r="HE3" i="12"/>
  <c r="GD47" i="8"/>
  <c r="GD38" i="8"/>
  <c r="GF37" i="8"/>
  <c r="GF44" i="8"/>
  <c r="GF49" i="8"/>
  <c r="GF40" i="8"/>
  <c r="GD41" i="8"/>
  <c r="GF42" i="8"/>
  <c r="GD40" i="8"/>
  <c r="GF43" i="8"/>
  <c r="GD42" i="8"/>
  <c r="GD48" i="8"/>
  <c r="GD50" i="8"/>
  <c r="GD37" i="8"/>
  <c r="GF46" i="8"/>
  <c r="GD3" i="8"/>
  <c r="GD4" i="8" s="1"/>
  <c r="GD5" i="8" s="1"/>
  <c r="GD6" i="8" s="1"/>
  <c r="GD39" i="8"/>
  <c r="GF52" i="8"/>
  <c r="GD51" i="8"/>
  <c r="GF51" i="8"/>
  <c r="GD52" i="8"/>
  <c r="GF48" i="8"/>
  <c r="GF47" i="8"/>
  <c r="GD46" i="8"/>
  <c r="GF45" i="8"/>
  <c r="GF41" i="8"/>
  <c r="HQ2" i="12"/>
  <c r="GG3" i="12"/>
  <c r="GB3" i="12" s="1"/>
  <c r="GC3" i="12" s="1"/>
  <c r="GG4" i="12" s="1"/>
  <c r="HN3" i="7"/>
  <c r="HE3" i="10"/>
  <c r="GF51" i="12"/>
  <c r="GD40" i="12"/>
  <c r="GD38" i="12"/>
  <c r="GD50" i="12"/>
  <c r="GD39" i="12"/>
  <c r="GF37" i="12"/>
  <c r="GD42" i="12"/>
  <c r="GF41" i="12"/>
  <c r="GF43" i="12"/>
  <c r="GF52" i="12"/>
  <c r="GD45" i="12"/>
  <c r="GD51" i="12"/>
  <c r="GD47" i="12"/>
  <c r="GF44" i="12"/>
  <c r="GD44" i="12"/>
  <c r="GD43" i="12"/>
  <c r="GF46" i="12"/>
  <c r="GD52" i="12"/>
  <c r="GF40" i="12"/>
  <c r="GD3" i="12"/>
  <c r="GD4" i="12" s="1"/>
  <c r="GD5" i="12" s="1"/>
  <c r="GD6" i="12" s="1"/>
  <c r="GD7" i="12" s="1"/>
  <c r="GF47" i="12"/>
  <c r="GF2" i="12"/>
  <c r="GF3" i="12" s="1"/>
  <c r="GD46" i="12"/>
  <c r="GF39" i="12"/>
  <c r="GF49" i="12"/>
  <c r="GF48" i="12"/>
  <c r="GF36" i="12"/>
  <c r="GD48" i="12"/>
  <c r="GD41" i="12"/>
  <c r="GF50" i="12"/>
  <c r="GF45" i="12"/>
  <c r="GD49" i="12"/>
  <c r="GF38" i="12"/>
  <c r="GF42" i="12"/>
  <c r="GD37" i="12"/>
  <c r="GG3" i="5"/>
  <c r="GE3" i="5"/>
  <c r="HE3" i="5" s="1"/>
  <c r="CD2" i="12"/>
  <c r="CF2" i="12" s="1"/>
  <c r="CA2" i="12"/>
  <c r="AX3" i="8"/>
  <c r="AS3" i="8" s="1"/>
  <c r="CD2" i="7"/>
  <c r="CF2" i="7" s="1"/>
  <c r="CA2" i="7"/>
  <c r="GF52" i="5"/>
  <c r="GD51" i="5"/>
  <c r="GF44" i="5"/>
  <c r="GF40" i="5"/>
  <c r="GF50" i="5"/>
  <c r="GD52" i="5"/>
  <c r="GF37" i="5"/>
  <c r="GF45" i="5"/>
  <c r="GD40" i="5"/>
  <c r="GF46" i="5"/>
  <c r="GD44" i="5"/>
  <c r="GD38" i="5"/>
  <c r="GF49" i="5"/>
  <c r="GF41" i="5"/>
  <c r="GF47" i="5"/>
  <c r="GF2" i="5"/>
  <c r="GD46" i="5"/>
  <c r="GD3" i="5"/>
  <c r="GD4" i="5" s="1"/>
  <c r="GD5" i="5" s="1"/>
  <c r="GF39" i="5"/>
  <c r="GD47" i="5"/>
  <c r="GF48" i="5"/>
  <c r="GF51" i="5"/>
  <c r="GD45" i="5"/>
  <c r="GF43" i="5"/>
  <c r="GF42" i="5"/>
  <c r="GD39" i="5"/>
  <c r="GD48" i="5"/>
  <c r="GD50" i="5"/>
  <c r="GF36" i="5"/>
  <c r="GD41" i="5"/>
  <c r="GD37" i="5"/>
  <c r="GD43" i="5"/>
  <c r="GD42" i="5"/>
  <c r="GD49" i="5"/>
  <c r="GF38" i="5"/>
  <c r="AU3" i="12"/>
  <c r="AU4" i="12" s="1"/>
  <c r="AU5" i="12" s="1"/>
  <c r="AW2" i="12"/>
  <c r="AU3" i="7"/>
  <c r="AU4" i="7" s="1"/>
  <c r="AU5" i="7" s="1"/>
  <c r="AW2" i="7"/>
  <c r="AW3" i="7" s="1"/>
  <c r="AV3" i="12"/>
  <c r="AX3" i="12"/>
  <c r="CT31" i="11"/>
  <c r="CT33" i="11"/>
  <c r="CT36" i="11"/>
  <c r="CT2" i="11"/>
  <c r="CT35" i="11"/>
  <c r="CR33" i="11"/>
  <c r="CR34" i="11"/>
  <c r="CR32" i="11"/>
  <c r="CR31" i="11"/>
  <c r="CT32" i="11"/>
  <c r="CR35" i="11"/>
  <c r="CR36" i="11"/>
  <c r="CR3" i="11"/>
  <c r="CT34" i="11"/>
  <c r="CT30" i="11"/>
  <c r="HT2" i="10"/>
  <c r="HQ2" i="10"/>
  <c r="CT34" i="5"/>
  <c r="CR34" i="5"/>
  <c r="CT30" i="5"/>
  <c r="CT32" i="5"/>
  <c r="CT36" i="5"/>
  <c r="CR32" i="5"/>
  <c r="CR3" i="5"/>
  <c r="CR4" i="5" s="1"/>
  <c r="CR5" i="5" s="1"/>
  <c r="CR6" i="5" s="1"/>
  <c r="CR35" i="5"/>
  <c r="CT2" i="5"/>
  <c r="CT3" i="5" s="1"/>
  <c r="CT35" i="5"/>
  <c r="CR36" i="5"/>
  <c r="CT31" i="5"/>
  <c r="CT33" i="5"/>
  <c r="CR33" i="5"/>
  <c r="CR31" i="5"/>
  <c r="CS3" i="11"/>
  <c r="DS3" i="11" s="1"/>
  <c r="CU3" i="11"/>
  <c r="GF48" i="10"/>
  <c r="GD35" i="10"/>
  <c r="GD47" i="10"/>
  <c r="GD50" i="10"/>
  <c r="GD3" i="10"/>
  <c r="GD4" i="10" s="1"/>
  <c r="GD5" i="10" s="1"/>
  <c r="GD6" i="10" s="1"/>
  <c r="GD7" i="10" s="1"/>
  <c r="GD8" i="10" s="1"/>
  <c r="GD9" i="10" s="1"/>
  <c r="GF40" i="10"/>
  <c r="GF41" i="10"/>
  <c r="GF49" i="10"/>
  <c r="GF46" i="10"/>
  <c r="GF38" i="10"/>
  <c r="GF50" i="10"/>
  <c r="GD48" i="10"/>
  <c r="GF43" i="10"/>
  <c r="GD49" i="10"/>
  <c r="GF51" i="10"/>
  <c r="GF37" i="10"/>
  <c r="GF52" i="10"/>
  <c r="GD41" i="10"/>
  <c r="GF47" i="10"/>
  <c r="GD51" i="10"/>
  <c r="GF42" i="10"/>
  <c r="GF44" i="10"/>
  <c r="GD45" i="10"/>
  <c r="GD37" i="10"/>
  <c r="GD43" i="10"/>
  <c r="GD42" i="10"/>
  <c r="GD36" i="10"/>
  <c r="GD39" i="10"/>
  <c r="GD52" i="10"/>
  <c r="GD38" i="10"/>
  <c r="GF45" i="10"/>
  <c r="GF35" i="10"/>
  <c r="GF34" i="10"/>
  <c r="GD44" i="10"/>
  <c r="GD34" i="10"/>
  <c r="GF39" i="10"/>
  <c r="GD40" i="10"/>
  <c r="GF33" i="10"/>
  <c r="GD46" i="10"/>
  <c r="GF36" i="10"/>
  <c r="CU3" i="8"/>
  <c r="CS3" i="8"/>
  <c r="DS3" i="8" s="1"/>
  <c r="CD2" i="10"/>
  <c r="CF2" i="10" s="1"/>
  <c r="CA2" i="10"/>
  <c r="CT34" i="8"/>
  <c r="CR36" i="8"/>
  <c r="CT30" i="8"/>
  <c r="CR3" i="8"/>
  <c r="CR4" i="8" s="1"/>
  <c r="CR5" i="8" s="1"/>
  <c r="CR6" i="8" s="1"/>
  <c r="CR7" i="8" s="1"/>
  <c r="CR8" i="8" s="1"/>
  <c r="CR9" i="8" s="1"/>
  <c r="CR10" i="8" s="1"/>
  <c r="CT35" i="8"/>
  <c r="CT36" i="8"/>
  <c r="CR32" i="8"/>
  <c r="CR34" i="8"/>
  <c r="CR35" i="8"/>
  <c r="CT33" i="8"/>
  <c r="CR31" i="8"/>
  <c r="CT32" i="8"/>
  <c r="CR33" i="8"/>
  <c r="CT2" i="8"/>
  <c r="CT31" i="8"/>
  <c r="AX3" i="10"/>
  <c r="AV3" i="10"/>
  <c r="AU3" i="10"/>
  <c r="AU4" i="10" s="1"/>
  <c r="AU5" i="10" s="1"/>
  <c r="AW2" i="10"/>
  <c r="CU3" i="12"/>
  <c r="CS3" i="12"/>
  <c r="CD2" i="11"/>
  <c r="CF2" i="11" s="1"/>
  <c r="CA2" i="11"/>
  <c r="GG3" i="10"/>
  <c r="GB3" i="10" s="1"/>
  <c r="GC3" i="10" s="1"/>
  <c r="AE5" i="11"/>
  <c r="CT31" i="12"/>
  <c r="CR32" i="12"/>
  <c r="CT36" i="12"/>
  <c r="CT35" i="12"/>
  <c r="CR33" i="12"/>
  <c r="CT33" i="12"/>
  <c r="CT32" i="12"/>
  <c r="CR36" i="12"/>
  <c r="CT30" i="12"/>
  <c r="CR3" i="12"/>
  <c r="CR4" i="12" s="1"/>
  <c r="CR5" i="12" s="1"/>
  <c r="CR6" i="12" s="1"/>
  <c r="CR7" i="12" s="1"/>
  <c r="CR35" i="12"/>
  <c r="CR34" i="12"/>
  <c r="CT34" i="12"/>
  <c r="CR31" i="12"/>
  <c r="CT2" i="12"/>
  <c r="AU3" i="11"/>
  <c r="AW2" i="11"/>
  <c r="GF2" i="10"/>
  <c r="CS3" i="6"/>
  <c r="DS3" i="6" s="1"/>
  <c r="CU3" i="6"/>
  <c r="AX3" i="11"/>
  <c r="AV3" i="11"/>
  <c r="CT34" i="6"/>
  <c r="CR33" i="6"/>
  <c r="CT35" i="6"/>
  <c r="CR34" i="6"/>
  <c r="CR36" i="6"/>
  <c r="CT36" i="6"/>
  <c r="CR35" i="6"/>
  <c r="CT32" i="6"/>
  <c r="CT30" i="6"/>
  <c r="CR32" i="6"/>
  <c r="CT31" i="6"/>
  <c r="CT33" i="6"/>
  <c r="CT2" i="6"/>
  <c r="CR31" i="6"/>
  <c r="CR3" i="6"/>
  <c r="CR4" i="6" s="1"/>
  <c r="CR5" i="6" s="1"/>
  <c r="CR6" i="6" s="1"/>
  <c r="CR7" i="6" s="1"/>
  <c r="CR8" i="6" s="1"/>
  <c r="CR9" i="6" s="1"/>
  <c r="CR10" i="6" s="1"/>
  <c r="AU3" i="8"/>
  <c r="AW2" i="8"/>
  <c r="AW3" i="8" s="1"/>
  <c r="GE3" i="8"/>
  <c r="HE3" i="8" s="1"/>
  <c r="GG3" i="8"/>
  <c r="GF2" i="8"/>
  <c r="CU3" i="5"/>
  <c r="CP3" i="5" s="1"/>
  <c r="HL4" i="8"/>
  <c r="HL4" i="7"/>
  <c r="CT3" i="7"/>
  <c r="GE4" i="7"/>
  <c r="GB4" i="7" s="1"/>
  <c r="GC4" i="7" s="1"/>
  <c r="GE5" i="7" s="1"/>
  <c r="L8" i="12"/>
  <c r="M7" i="12"/>
  <c r="AD6" i="12"/>
  <c r="BY6" i="12"/>
  <c r="HD4" i="12"/>
  <c r="GP4" i="12"/>
  <c r="HI8" i="12"/>
  <c r="CI6" i="12"/>
  <c r="X7" i="12"/>
  <c r="DB7" i="12"/>
  <c r="DQ6" i="12"/>
  <c r="GN7" i="12"/>
  <c r="HC6" i="12"/>
  <c r="Z6" i="12"/>
  <c r="AC6" i="12" s="1"/>
  <c r="CJ5" i="12"/>
  <c r="GS5" i="12"/>
  <c r="FW6" i="12"/>
  <c r="HK5" i="12"/>
  <c r="GQ5" i="12"/>
  <c r="HH5" i="12"/>
  <c r="HJ5" i="12" s="1"/>
  <c r="FF6" i="12"/>
  <c r="EB7" i="12"/>
  <c r="AE5" i="12"/>
  <c r="HF3" i="12"/>
  <c r="HO3" i="12"/>
  <c r="AH3" i="12"/>
  <c r="AK3" i="12" s="1"/>
  <c r="E2" i="12"/>
  <c r="AL2" i="12"/>
  <c r="F2" i="12" s="1"/>
  <c r="AF4" i="12"/>
  <c r="DW8" i="12"/>
  <c r="AN6" i="12"/>
  <c r="BG5" i="12"/>
  <c r="BR5" i="12"/>
  <c r="BT5" i="12" s="1"/>
  <c r="BE5" i="12"/>
  <c r="HF5" i="11"/>
  <c r="HO5" i="11"/>
  <c r="FW7" i="11"/>
  <c r="GS6" i="11"/>
  <c r="HK6" i="11"/>
  <c r="GQ6" i="11"/>
  <c r="GP6" i="11" s="1"/>
  <c r="HF6" i="11" s="1"/>
  <c r="HH6" i="11"/>
  <c r="HJ6" i="11" s="1"/>
  <c r="CI6" i="11"/>
  <c r="AC6" i="11"/>
  <c r="X7" i="11"/>
  <c r="L8" i="11"/>
  <c r="M7" i="11"/>
  <c r="Z7" i="11"/>
  <c r="CJ6" i="11"/>
  <c r="AD6" i="11"/>
  <c r="BY6" i="11"/>
  <c r="DB7" i="11"/>
  <c r="DQ6" i="11"/>
  <c r="DW8" i="11"/>
  <c r="DT3" i="11"/>
  <c r="EB7" i="11"/>
  <c r="FF6" i="11"/>
  <c r="AI4" i="11"/>
  <c r="AJ4" i="11" s="1"/>
  <c r="AF4" i="11"/>
  <c r="GN7" i="11"/>
  <c r="HC6" i="11"/>
  <c r="DR4" i="11"/>
  <c r="DD4" i="11"/>
  <c r="FM4" i="11" s="1"/>
  <c r="BR6" i="11"/>
  <c r="BT6" i="11" s="1"/>
  <c r="BG6" i="11"/>
  <c r="AN7" i="11"/>
  <c r="BE6" i="11"/>
  <c r="AK3" i="11"/>
  <c r="CK6" i="11"/>
  <c r="DY5" i="11"/>
  <c r="DG5" i="11"/>
  <c r="DE5" i="11"/>
  <c r="DV5" i="11"/>
  <c r="DX5" i="11" s="1"/>
  <c r="HD5" i="11"/>
  <c r="HI9" i="11"/>
  <c r="M7" i="10"/>
  <c r="L8" i="10"/>
  <c r="DR5" i="10"/>
  <c r="DQ6" i="10"/>
  <c r="DB7" i="10"/>
  <c r="HI11" i="10"/>
  <c r="AD6" i="10"/>
  <c r="BY6" i="10"/>
  <c r="CK7" i="10"/>
  <c r="DV7" i="10" s="1"/>
  <c r="DX6" i="10"/>
  <c r="DZ6" i="10" s="1"/>
  <c r="DG6" i="10"/>
  <c r="DE6" i="10"/>
  <c r="EB7" i="10"/>
  <c r="FF6" i="10"/>
  <c r="AE5" i="10"/>
  <c r="HD4" i="10"/>
  <c r="GP4" i="10"/>
  <c r="CI6" i="10"/>
  <c r="AC6" i="10"/>
  <c r="X7" i="10"/>
  <c r="CR5" i="10"/>
  <c r="BR5" i="10"/>
  <c r="BT5" i="10" s="1"/>
  <c r="AN6" i="10"/>
  <c r="BG5" i="10"/>
  <c r="BE5" i="10"/>
  <c r="FW6" i="10"/>
  <c r="HK5" i="10"/>
  <c r="GS5" i="10"/>
  <c r="HH5" i="10"/>
  <c r="HJ5" i="10" s="1"/>
  <c r="GQ5" i="10"/>
  <c r="DW8" i="10"/>
  <c r="HF3" i="10"/>
  <c r="HO3" i="10"/>
  <c r="AE4" i="10"/>
  <c r="CJ5" i="10"/>
  <c r="Z6" i="10"/>
  <c r="AK3" i="10"/>
  <c r="HH6" i="9"/>
  <c r="HJ6" i="9" s="1"/>
  <c r="HI7" i="9"/>
  <c r="AE5" i="9"/>
  <c r="Z6" i="9"/>
  <c r="CJ5" i="9"/>
  <c r="CP3" i="9"/>
  <c r="FF6" i="9"/>
  <c r="EB7" i="9"/>
  <c r="M7" i="9"/>
  <c r="L8" i="9"/>
  <c r="DB7" i="9"/>
  <c r="DQ6" i="9"/>
  <c r="GQ6" i="9"/>
  <c r="HK6" i="9"/>
  <c r="FW7" i="9"/>
  <c r="GS6" i="9"/>
  <c r="AD6" i="9"/>
  <c r="BY6" i="9"/>
  <c r="DR5" i="9"/>
  <c r="DD5" i="9"/>
  <c r="FM5" i="9" s="1"/>
  <c r="AI4" i="9"/>
  <c r="AJ4" i="9" s="1"/>
  <c r="AF4" i="9"/>
  <c r="CI6" i="9"/>
  <c r="X7" i="9"/>
  <c r="DW9" i="9"/>
  <c r="CR4" i="9"/>
  <c r="AN6" i="9"/>
  <c r="BG5" i="9"/>
  <c r="BR5" i="9"/>
  <c r="BT5" i="9" s="1"/>
  <c r="BE5" i="9"/>
  <c r="DE6" i="9"/>
  <c r="DD6" i="9" s="1"/>
  <c r="CK7" i="9"/>
  <c r="DG6" i="9"/>
  <c r="DV6" i="9"/>
  <c r="DX6" i="9" s="1"/>
  <c r="DZ6" i="9" s="1"/>
  <c r="AD4" i="8"/>
  <c r="AE4" i="8" s="1"/>
  <c r="HO4" i="8"/>
  <c r="BY4" i="8"/>
  <c r="CJ6" i="8"/>
  <c r="Z7" i="8"/>
  <c r="AD5" i="8"/>
  <c r="BY5" i="8"/>
  <c r="DG6" i="8"/>
  <c r="CK7" i="8"/>
  <c r="DV7" i="8" s="1"/>
  <c r="DE6" i="8"/>
  <c r="AI3" i="8"/>
  <c r="AJ3" i="8" s="1"/>
  <c r="AF3" i="8"/>
  <c r="CI5" i="8"/>
  <c r="X6" i="8"/>
  <c r="AC5" i="8"/>
  <c r="HI10" i="8"/>
  <c r="DV6" i="8"/>
  <c r="DX6" i="8" s="1"/>
  <c r="DZ6" i="8" s="1"/>
  <c r="BR6" i="8"/>
  <c r="BT6" i="8" s="1"/>
  <c r="AN7" i="8"/>
  <c r="BU5" i="8" s="1"/>
  <c r="BG6" i="8"/>
  <c r="BE6" i="8"/>
  <c r="DQ5" i="8"/>
  <c r="DR5" i="8" s="1"/>
  <c r="DW8" i="8"/>
  <c r="HD4" i="8"/>
  <c r="M6" i="8"/>
  <c r="L7" i="8"/>
  <c r="FW6" i="8"/>
  <c r="HK5" i="8"/>
  <c r="GS5" i="8"/>
  <c r="HH5" i="8"/>
  <c r="HJ5" i="8" s="1"/>
  <c r="GQ5" i="8"/>
  <c r="HC5" i="8"/>
  <c r="GN6" i="8"/>
  <c r="DB6" i="7"/>
  <c r="DQ5" i="7"/>
  <c r="AN6" i="7"/>
  <c r="BG5" i="7"/>
  <c r="BE5" i="7"/>
  <c r="BR5" i="7"/>
  <c r="BT5" i="7" s="1"/>
  <c r="FW6" i="7"/>
  <c r="HK5" i="7"/>
  <c r="GQ5" i="7"/>
  <c r="GP5" i="7" s="1"/>
  <c r="HF5" i="7" s="1"/>
  <c r="GS5" i="7"/>
  <c r="HH5" i="7"/>
  <c r="HJ5" i="7" s="1"/>
  <c r="GF3" i="7"/>
  <c r="AD5" i="7"/>
  <c r="AE5" i="7" s="1"/>
  <c r="BY5" i="7"/>
  <c r="HI9" i="7"/>
  <c r="M6" i="7"/>
  <c r="L7" i="7"/>
  <c r="DW7" i="7"/>
  <c r="BY4" i="7"/>
  <c r="AD4" i="7"/>
  <c r="AE4" i="7" s="1"/>
  <c r="HO3" i="7"/>
  <c r="CQ3" i="7"/>
  <c r="CS4" i="7" s="1"/>
  <c r="AF3" i="7"/>
  <c r="AI3" i="7"/>
  <c r="AJ3" i="7" s="1"/>
  <c r="GN6" i="7"/>
  <c r="HC5" i="7"/>
  <c r="GD5" i="7"/>
  <c r="CR4" i="7"/>
  <c r="BG6" i="6"/>
  <c r="BR6" i="6"/>
  <c r="BT6" i="6" s="1"/>
  <c r="AN7" i="6"/>
  <c r="BE6" i="6"/>
  <c r="DD5" i="6"/>
  <c r="FM5" i="6" s="1"/>
  <c r="HI9" i="6"/>
  <c r="AE5" i="6"/>
  <c r="AU5" i="6"/>
  <c r="Z8" i="6"/>
  <c r="CJ7" i="6"/>
  <c r="DW9" i="6"/>
  <c r="GD4" i="6"/>
  <c r="GF3" i="6"/>
  <c r="CK7" i="6"/>
  <c r="DG6" i="6"/>
  <c r="DE6" i="6"/>
  <c r="DD6" i="6" s="1"/>
  <c r="DV6" i="6"/>
  <c r="DX6" i="6" s="1"/>
  <c r="DZ6" i="6" s="1"/>
  <c r="BY6" i="6"/>
  <c r="AD6" i="6"/>
  <c r="M7" i="6"/>
  <c r="L8" i="6"/>
  <c r="HO4" i="6"/>
  <c r="CI6" i="6"/>
  <c r="AC6" i="6"/>
  <c r="X7" i="6"/>
  <c r="EB7" i="6"/>
  <c r="FF6" i="6"/>
  <c r="AI4" i="6"/>
  <c r="AJ4" i="6" s="1"/>
  <c r="AF4" i="6"/>
  <c r="FW7" i="6"/>
  <c r="HK6" i="6"/>
  <c r="GQ6" i="6"/>
  <c r="GP6" i="6" s="1"/>
  <c r="HF6" i="6" s="1"/>
  <c r="GS6" i="6"/>
  <c r="HH6" i="6"/>
  <c r="HJ6" i="6" s="1"/>
  <c r="DB7" i="6"/>
  <c r="DQ6" i="6"/>
  <c r="GN7" i="6"/>
  <c r="HC6" i="6"/>
  <c r="HO5" i="6"/>
  <c r="HD5" i="6"/>
  <c r="HI8" i="5"/>
  <c r="HF3" i="5"/>
  <c r="HO3" i="5"/>
  <c r="BE6" i="5"/>
  <c r="AN7" i="5"/>
  <c r="BU6" i="5" s="1"/>
  <c r="BG6" i="5"/>
  <c r="BR6" i="5"/>
  <c r="BT6" i="5" s="1"/>
  <c r="CD3" i="5"/>
  <c r="CE3" i="5" s="1"/>
  <c r="CA3" i="5"/>
  <c r="HK5" i="5"/>
  <c r="FW6" i="5"/>
  <c r="GQ5" i="5"/>
  <c r="GS5" i="5"/>
  <c r="HH5" i="5"/>
  <c r="HJ5" i="5" s="1"/>
  <c r="DW14" i="5"/>
  <c r="AU4" i="5"/>
  <c r="CK7" i="5"/>
  <c r="DG6" i="5"/>
  <c r="DE6" i="5"/>
  <c r="DV6" i="5"/>
  <c r="DX6" i="5" s="1"/>
  <c r="DZ6" i="5" s="1"/>
  <c r="HC6" i="5"/>
  <c r="GN7" i="5"/>
  <c r="DD5" i="5"/>
  <c r="FM5" i="5" s="1"/>
  <c r="AE5" i="5"/>
  <c r="L8" i="5"/>
  <c r="M7" i="5"/>
  <c r="C2" i="5"/>
  <c r="BY6" i="5"/>
  <c r="AD6" i="5"/>
  <c r="X7" i="5"/>
  <c r="AC6" i="5"/>
  <c r="CI6" i="5"/>
  <c r="Z7" i="5"/>
  <c r="CJ6" i="5"/>
  <c r="AF4" i="5"/>
  <c r="AI4" i="5"/>
  <c r="AJ4" i="5" s="1"/>
  <c r="EB8" i="5"/>
  <c r="FF7" i="5"/>
  <c r="HD4" i="5"/>
  <c r="GP4" i="5"/>
  <c r="AW3" i="5"/>
  <c r="GQ5" i="3"/>
  <c r="GS5" i="3"/>
  <c r="GN6" i="3"/>
  <c r="HC5" i="3"/>
  <c r="DV5" i="3"/>
  <c r="DX5" i="3" s="1"/>
  <c r="DE5" i="3"/>
  <c r="DD5" i="3" s="1"/>
  <c r="DG5" i="3"/>
  <c r="BG5" i="3"/>
  <c r="BE5" i="3"/>
  <c r="GB4" i="3"/>
  <c r="GC4" i="3" s="1"/>
  <c r="GG5" i="3" s="1"/>
  <c r="GD8" i="3"/>
  <c r="HO3" i="3"/>
  <c r="GL4" i="3"/>
  <c r="GP4" i="3"/>
  <c r="HF4" i="3" s="1"/>
  <c r="Z6" i="3"/>
  <c r="CJ6" i="3" s="1"/>
  <c r="DB10" i="3"/>
  <c r="BR5" i="3"/>
  <c r="BT5" i="3" s="1"/>
  <c r="EB7" i="3"/>
  <c r="FF6" i="3"/>
  <c r="DZ4" i="3"/>
  <c r="DP32" i="3"/>
  <c r="DP10" i="3"/>
  <c r="DP40" i="3"/>
  <c r="DP41" i="3"/>
  <c r="DP16" i="3"/>
  <c r="DP48" i="3"/>
  <c r="DP3" i="3"/>
  <c r="DR3" i="3" s="1"/>
  <c r="DP4" i="3"/>
  <c r="DP15" i="3"/>
  <c r="DP25" i="3"/>
  <c r="DP24" i="3"/>
  <c r="DP26" i="3"/>
  <c r="DP47" i="3"/>
  <c r="DP27" i="3"/>
  <c r="DP29" i="3"/>
  <c r="DP42" i="3"/>
  <c r="DP28" i="3"/>
  <c r="DP51" i="3"/>
  <c r="DP52" i="3"/>
  <c r="DP45" i="3"/>
  <c r="DP11" i="3"/>
  <c r="DP23" i="3"/>
  <c r="DP39" i="3"/>
  <c r="DP13" i="3"/>
  <c r="DP37" i="3"/>
  <c r="DP7" i="3"/>
  <c r="DP18" i="3"/>
  <c r="DP21" i="3"/>
  <c r="DP5" i="3"/>
  <c r="DP46" i="3"/>
  <c r="DP43" i="3"/>
  <c r="DP30" i="3"/>
  <c r="DP14" i="3"/>
  <c r="DP44" i="3"/>
  <c r="DP33" i="3"/>
  <c r="DP12" i="3"/>
  <c r="DP35" i="3"/>
  <c r="DP38" i="3"/>
  <c r="DP19" i="3"/>
  <c r="DP9" i="3"/>
  <c r="DP50" i="3"/>
  <c r="DP8" i="3"/>
  <c r="DP22" i="3"/>
  <c r="DP20" i="3"/>
  <c r="DP17" i="3"/>
  <c r="DP6" i="3"/>
  <c r="DP34" i="3"/>
  <c r="DP49" i="3"/>
  <c r="DP31" i="3"/>
  <c r="DP36" i="3"/>
  <c r="DP2" i="3"/>
  <c r="CY6" i="3"/>
  <c r="CY7" i="3" s="1"/>
  <c r="CY8" i="3" s="1"/>
  <c r="CY9" i="3" s="1"/>
  <c r="CY10" i="3" s="1"/>
  <c r="CY11" i="3" s="1"/>
  <c r="AU3" i="3"/>
  <c r="AU4" i="3" s="1"/>
  <c r="AW2" i="3"/>
  <c r="AS3" i="3"/>
  <c r="BX3" i="3" s="1"/>
  <c r="BZ3" i="3" s="1"/>
  <c r="DQ5" i="3"/>
  <c r="DQ4" i="3"/>
  <c r="FW6" i="3"/>
  <c r="AN6" i="3"/>
  <c r="DY5" i="3"/>
  <c r="AD4" i="3"/>
  <c r="AE4" i="3" s="1"/>
  <c r="BY4" i="3"/>
  <c r="AC5" i="3"/>
  <c r="AD5" i="3"/>
  <c r="BY5" i="3"/>
  <c r="AE3" i="3"/>
  <c r="L7" i="3"/>
  <c r="L8" i="3" s="1"/>
  <c r="M6" i="3"/>
  <c r="DQ6" i="3"/>
  <c r="X6" i="3"/>
  <c r="CI6" i="3" s="1"/>
  <c r="BP5" i="3"/>
  <c r="DW7" i="3"/>
  <c r="CK6" i="3"/>
  <c r="CE2" i="3"/>
  <c r="HH5" i="3"/>
  <c r="HJ5" i="3" s="1"/>
  <c r="J2" i="5" l="1"/>
  <c r="D2" i="5"/>
  <c r="FO2" i="5"/>
  <c r="G2" i="5" s="1"/>
  <c r="HT2" i="9"/>
  <c r="HQ2" i="9"/>
  <c r="J2" i="9" s="1"/>
  <c r="FN2" i="10"/>
  <c r="FR2" i="10" s="1"/>
  <c r="FO2" i="6"/>
  <c r="G2" i="6" s="1"/>
  <c r="FO2" i="12"/>
  <c r="G2" i="12" s="1"/>
  <c r="I2" i="6"/>
  <c r="HT3" i="6"/>
  <c r="HU3" i="6" s="1"/>
  <c r="FO2" i="11"/>
  <c r="G2" i="11" s="1"/>
  <c r="DS3" i="3"/>
  <c r="FL3" i="3" s="1"/>
  <c r="CR4" i="3"/>
  <c r="CU4" i="3" s="1"/>
  <c r="HT2" i="11"/>
  <c r="FN2" i="7"/>
  <c r="FR2" i="7" s="1"/>
  <c r="X7" i="7"/>
  <c r="CI7" i="7" s="1"/>
  <c r="HP2" i="7"/>
  <c r="FN2" i="9"/>
  <c r="GN6" i="9"/>
  <c r="HC5" i="9"/>
  <c r="HD5" i="9" s="1"/>
  <c r="CJ6" i="7"/>
  <c r="Z7" i="7"/>
  <c r="DD5" i="8"/>
  <c r="GP6" i="9"/>
  <c r="HF6" i="9" s="1"/>
  <c r="AC6" i="7"/>
  <c r="GP5" i="9"/>
  <c r="HP2" i="8"/>
  <c r="DQ5" i="5"/>
  <c r="DR5" i="5" s="1"/>
  <c r="DB6" i="5"/>
  <c r="HC5" i="10"/>
  <c r="GN6" i="10"/>
  <c r="HO4" i="9"/>
  <c r="BU7" i="6"/>
  <c r="BU2" i="6"/>
  <c r="BV2" i="6" s="1"/>
  <c r="BU3" i="6"/>
  <c r="BV3" i="6" s="1"/>
  <c r="BU4" i="6"/>
  <c r="BV4" i="6" s="1"/>
  <c r="BU5" i="6"/>
  <c r="BV5" i="6" s="1"/>
  <c r="BU7" i="5"/>
  <c r="BU2" i="5"/>
  <c r="BV2" i="5" s="1"/>
  <c r="BU3" i="5"/>
  <c r="BV3" i="5" s="1"/>
  <c r="BU4" i="5"/>
  <c r="BV4" i="5" s="1"/>
  <c r="BU5" i="5"/>
  <c r="BV5" i="5" s="1"/>
  <c r="BV6" i="5"/>
  <c r="BU7" i="11"/>
  <c r="BU2" i="11"/>
  <c r="BV2" i="11" s="1"/>
  <c r="BU3" i="11"/>
  <c r="BV3" i="11" s="1"/>
  <c r="BU4" i="11"/>
  <c r="BV4" i="11" s="1"/>
  <c r="BU5" i="11"/>
  <c r="BV5" i="11" s="1"/>
  <c r="BU7" i="8"/>
  <c r="BU2" i="8"/>
  <c r="BV2" i="8" s="1"/>
  <c r="BU3" i="8"/>
  <c r="BV3" i="8" s="1"/>
  <c r="BU4" i="8"/>
  <c r="BV4" i="8" s="1"/>
  <c r="BU6" i="11"/>
  <c r="BV6" i="11" s="1"/>
  <c r="BU6" i="6"/>
  <c r="BV6" i="6" s="1"/>
  <c r="BU6" i="8"/>
  <c r="BV6" i="8" s="1"/>
  <c r="BV5" i="8"/>
  <c r="AZ5" i="6"/>
  <c r="BB5" i="6" s="1"/>
  <c r="AZ5" i="12"/>
  <c r="BB5" i="12" s="1"/>
  <c r="AZ5" i="7"/>
  <c r="BB5" i="7" s="1"/>
  <c r="AZ5" i="9"/>
  <c r="BB5" i="9" s="1"/>
  <c r="AZ5" i="10"/>
  <c r="BB5" i="10" s="1"/>
  <c r="CF2" i="6"/>
  <c r="CG2" i="6" s="1"/>
  <c r="AS3" i="6"/>
  <c r="E3" i="6"/>
  <c r="GE4" i="11"/>
  <c r="GF4" i="11" s="1"/>
  <c r="AH4" i="6"/>
  <c r="AK4" i="6" s="1"/>
  <c r="E4" i="6" s="1"/>
  <c r="I2" i="11"/>
  <c r="J2" i="11"/>
  <c r="CD3" i="9"/>
  <c r="CE3" i="9" s="1"/>
  <c r="CT3" i="10"/>
  <c r="GC3" i="9"/>
  <c r="GG4" i="9" s="1"/>
  <c r="CG2" i="12"/>
  <c r="CC3" i="12"/>
  <c r="CC3" i="8"/>
  <c r="CG2" i="8"/>
  <c r="CC3" i="7"/>
  <c r="CG2" i="7"/>
  <c r="CC3" i="10"/>
  <c r="CG2" i="10"/>
  <c r="CF2" i="9"/>
  <c r="C2" i="9" s="1"/>
  <c r="CC3" i="11"/>
  <c r="CG2" i="11"/>
  <c r="D2" i="11" s="1"/>
  <c r="CF3" i="5"/>
  <c r="C3" i="5" s="1"/>
  <c r="AL3" i="5"/>
  <c r="F3" i="5" s="1"/>
  <c r="E3" i="5"/>
  <c r="AV4" i="5"/>
  <c r="AW4" i="5" s="1"/>
  <c r="GG4" i="6"/>
  <c r="GB4" i="6" s="1"/>
  <c r="HO4" i="7"/>
  <c r="HN3" i="12"/>
  <c r="HP3" i="12" s="1"/>
  <c r="AT3" i="9"/>
  <c r="AV4" i="9" s="1"/>
  <c r="AW4" i="9" s="1"/>
  <c r="HL5" i="10"/>
  <c r="AL3" i="9"/>
  <c r="F3" i="9" s="1"/>
  <c r="AH4" i="9"/>
  <c r="AK4" i="9" s="1"/>
  <c r="AH5" i="9" s="1"/>
  <c r="FM4" i="7"/>
  <c r="FN3" i="7"/>
  <c r="CT3" i="6"/>
  <c r="C2" i="12"/>
  <c r="AE6" i="11"/>
  <c r="AS3" i="12"/>
  <c r="BX3" i="12" s="1"/>
  <c r="BZ3" i="12" s="1"/>
  <c r="AI5" i="11"/>
  <c r="AJ5" i="11" s="1"/>
  <c r="DT5" i="12"/>
  <c r="DZ4" i="7"/>
  <c r="CK6" i="7"/>
  <c r="DY5" i="7"/>
  <c r="DG5" i="7"/>
  <c r="DE5" i="7"/>
  <c r="DD5" i="7" s="1"/>
  <c r="DT5" i="7" s="1"/>
  <c r="DV5" i="7"/>
  <c r="DX5" i="7" s="1"/>
  <c r="AT3" i="7"/>
  <c r="DG6" i="12"/>
  <c r="DV6" i="12"/>
  <c r="DX6" i="12" s="1"/>
  <c r="DZ6" i="12" s="1"/>
  <c r="DE6" i="12"/>
  <c r="CK7" i="12"/>
  <c r="FF5" i="7"/>
  <c r="EB6" i="7"/>
  <c r="DZ5" i="12"/>
  <c r="HL6" i="9"/>
  <c r="HQ3" i="6"/>
  <c r="EB6" i="8"/>
  <c r="FF5" i="8"/>
  <c r="HL5" i="7"/>
  <c r="HL6" i="11"/>
  <c r="AS3" i="10"/>
  <c r="BX3" i="10" s="1"/>
  <c r="BZ3" i="10" s="1"/>
  <c r="DR4" i="7"/>
  <c r="DS4" i="7" s="1"/>
  <c r="HL6" i="6"/>
  <c r="DR5" i="12"/>
  <c r="DT6" i="6"/>
  <c r="FM6" i="6"/>
  <c r="DT6" i="9"/>
  <c r="FM6" i="9"/>
  <c r="DT5" i="8"/>
  <c r="FM5" i="8"/>
  <c r="CQ3" i="5"/>
  <c r="CU4" i="5" s="1"/>
  <c r="FL3" i="5"/>
  <c r="FN3" i="5" s="1"/>
  <c r="DR6" i="10"/>
  <c r="DT5" i="3"/>
  <c r="FM5" i="3"/>
  <c r="CP3" i="6"/>
  <c r="DR6" i="6"/>
  <c r="CP3" i="11"/>
  <c r="CQ3" i="11" s="1"/>
  <c r="CU4" i="11" s="1"/>
  <c r="HP3" i="7"/>
  <c r="GB3" i="5"/>
  <c r="GC3" i="5" s="1"/>
  <c r="GG4" i="5" s="1"/>
  <c r="I2" i="5"/>
  <c r="GF3" i="8"/>
  <c r="I2" i="12"/>
  <c r="J2" i="12"/>
  <c r="HN3" i="10"/>
  <c r="HP3" i="10" s="1"/>
  <c r="GG4" i="11"/>
  <c r="GE4" i="12"/>
  <c r="GB4" i="12" s="1"/>
  <c r="HN3" i="11"/>
  <c r="HP3" i="11" s="1"/>
  <c r="HT3" i="11" s="1"/>
  <c r="HU3" i="11" s="1"/>
  <c r="GF3" i="5"/>
  <c r="J2" i="10"/>
  <c r="AW3" i="11"/>
  <c r="C2" i="11"/>
  <c r="CT3" i="8"/>
  <c r="CR4" i="11"/>
  <c r="CR5" i="11" s="1"/>
  <c r="CR6" i="11" s="1"/>
  <c r="CR7" i="11" s="1"/>
  <c r="CR8" i="11" s="1"/>
  <c r="CT3" i="12"/>
  <c r="GE4" i="10"/>
  <c r="GG4" i="10"/>
  <c r="AE6" i="10"/>
  <c r="C2" i="10"/>
  <c r="BX3" i="8"/>
  <c r="BZ3" i="8" s="1"/>
  <c r="AT3" i="8"/>
  <c r="AV4" i="8" s="1"/>
  <c r="AW4" i="8" s="1"/>
  <c r="AU4" i="11"/>
  <c r="AU5" i="11" s="1"/>
  <c r="C2" i="7"/>
  <c r="GB3" i="8"/>
  <c r="GC3" i="8" s="1"/>
  <c r="CP3" i="8"/>
  <c r="AW3" i="10"/>
  <c r="AW3" i="12"/>
  <c r="AE6" i="6"/>
  <c r="AS3" i="11"/>
  <c r="CT3" i="11"/>
  <c r="G2" i="8"/>
  <c r="AU4" i="8"/>
  <c r="C2" i="8"/>
  <c r="GF3" i="10"/>
  <c r="I2" i="10"/>
  <c r="CP3" i="12"/>
  <c r="CQ3" i="12" s="1"/>
  <c r="CU4" i="12" s="1"/>
  <c r="DS3" i="12"/>
  <c r="HL5" i="12"/>
  <c r="DZ5" i="11"/>
  <c r="HL5" i="8"/>
  <c r="CT4" i="7"/>
  <c r="HE4" i="7"/>
  <c r="HN4" i="7" s="1"/>
  <c r="GG5" i="7"/>
  <c r="GB5" i="7" s="1"/>
  <c r="GC5" i="7" s="1"/>
  <c r="GG6" i="7" s="1"/>
  <c r="GF4" i="6"/>
  <c r="CI7" i="12"/>
  <c r="X8" i="12"/>
  <c r="GN8" i="12"/>
  <c r="HC7" i="12"/>
  <c r="HI9" i="12"/>
  <c r="GD8" i="12"/>
  <c r="HF4" i="12"/>
  <c r="HO4" i="12"/>
  <c r="CR8" i="12"/>
  <c r="DW9" i="12"/>
  <c r="AH4" i="12"/>
  <c r="AK4" i="12" s="1"/>
  <c r="AL3" i="12"/>
  <c r="F3" i="12" s="1"/>
  <c r="E3" i="12"/>
  <c r="AE6" i="12"/>
  <c r="AI5" i="12"/>
  <c r="AJ5" i="12" s="1"/>
  <c r="AF5" i="12"/>
  <c r="HD5" i="12"/>
  <c r="GP5" i="12"/>
  <c r="AN7" i="12"/>
  <c r="BG6" i="12"/>
  <c r="BR6" i="12"/>
  <c r="BT6" i="12" s="1"/>
  <c r="BE6" i="12"/>
  <c r="BY7" i="12"/>
  <c r="AD7" i="12"/>
  <c r="EB8" i="12"/>
  <c r="FF7" i="12"/>
  <c r="GQ6" i="12"/>
  <c r="GS6" i="12"/>
  <c r="HK6" i="12"/>
  <c r="FW7" i="12"/>
  <c r="HH6" i="12"/>
  <c r="HJ6" i="12" s="1"/>
  <c r="L9" i="12"/>
  <c r="M8" i="12"/>
  <c r="DB8" i="12"/>
  <c r="DQ7" i="12"/>
  <c r="CJ6" i="12"/>
  <c r="Z7" i="12"/>
  <c r="AH4" i="11"/>
  <c r="AK4" i="11" s="1"/>
  <c r="E3" i="11"/>
  <c r="AL3" i="11"/>
  <c r="F3" i="11" s="1"/>
  <c r="HI10" i="11"/>
  <c r="Z8" i="11"/>
  <c r="CJ7" i="11"/>
  <c r="FW8" i="11"/>
  <c r="HK7" i="11"/>
  <c r="GS7" i="11"/>
  <c r="GQ7" i="11"/>
  <c r="HH7" i="11"/>
  <c r="HJ7" i="11" s="1"/>
  <c r="AN8" i="11"/>
  <c r="BU8" i="11" s="1"/>
  <c r="BE7" i="11"/>
  <c r="BG7" i="11"/>
  <c r="BR7" i="11"/>
  <c r="BT7" i="11" s="1"/>
  <c r="DT4" i="11"/>
  <c r="DR5" i="11"/>
  <c r="DD5" i="11"/>
  <c r="FM5" i="11" s="1"/>
  <c r="X8" i="11"/>
  <c r="AC7" i="11"/>
  <c r="CI7" i="11"/>
  <c r="DQ7" i="11"/>
  <c r="DB8" i="11"/>
  <c r="BY7" i="11"/>
  <c r="AD7" i="11"/>
  <c r="DW9" i="11"/>
  <c r="L9" i="11"/>
  <c r="M8" i="11"/>
  <c r="AF5" i="11"/>
  <c r="GD8" i="11"/>
  <c r="CK7" i="11"/>
  <c r="DG6" i="11"/>
  <c r="DE6" i="11"/>
  <c r="DV6" i="11"/>
  <c r="DX6" i="11" s="1"/>
  <c r="DZ6" i="11" s="1"/>
  <c r="EB8" i="11"/>
  <c r="FF7" i="11"/>
  <c r="HO6" i="11"/>
  <c r="HD6" i="11"/>
  <c r="GN8" i="11"/>
  <c r="HC7" i="11"/>
  <c r="CR6" i="10"/>
  <c r="X8" i="10"/>
  <c r="CI7" i="10"/>
  <c r="DQ7" i="10"/>
  <c r="DB8" i="10"/>
  <c r="HD5" i="10"/>
  <c r="GP5" i="10"/>
  <c r="E3" i="10"/>
  <c r="AH4" i="10"/>
  <c r="AK4" i="10" s="1"/>
  <c r="AL3" i="10"/>
  <c r="F3" i="10" s="1"/>
  <c r="EB8" i="10"/>
  <c r="FF7" i="10"/>
  <c r="CJ6" i="10"/>
  <c r="Z7" i="10"/>
  <c r="FW7" i="10"/>
  <c r="HK6" i="10"/>
  <c r="GS6" i="10"/>
  <c r="GQ6" i="10"/>
  <c r="HH6" i="10"/>
  <c r="HJ6" i="10" s="1"/>
  <c r="HF4" i="10"/>
  <c r="HO4" i="10"/>
  <c r="HI12" i="10"/>
  <c r="DD6" i="10"/>
  <c r="FM6" i="10" s="1"/>
  <c r="AF4" i="10"/>
  <c r="AF5" i="10" s="1"/>
  <c r="AI4" i="10"/>
  <c r="AJ4" i="10" s="1"/>
  <c r="DW9" i="10"/>
  <c r="FL3" i="10"/>
  <c r="FN3" i="10" s="1"/>
  <c r="CQ3" i="10"/>
  <c r="DX7" i="10"/>
  <c r="DZ7" i="10" s="1"/>
  <c r="CK8" i="10"/>
  <c r="DV8" i="10" s="1"/>
  <c r="DE7" i="10"/>
  <c r="DD7" i="10" s="1"/>
  <c r="FM7" i="10" s="1"/>
  <c r="DG7" i="10"/>
  <c r="GD10" i="10"/>
  <c r="AN7" i="10"/>
  <c r="BU6" i="10" s="1"/>
  <c r="BR6" i="10"/>
  <c r="BT6" i="10" s="1"/>
  <c r="BE6" i="10"/>
  <c r="BG6" i="10"/>
  <c r="L9" i="10"/>
  <c r="M8" i="10"/>
  <c r="BY7" i="10"/>
  <c r="AD7" i="10"/>
  <c r="BY7" i="9"/>
  <c r="AD7" i="9"/>
  <c r="EB8" i="9"/>
  <c r="FF7" i="9"/>
  <c r="AN7" i="9"/>
  <c r="BU6" i="9" s="1"/>
  <c r="BR6" i="9"/>
  <c r="BT6" i="9" s="1"/>
  <c r="BG6" i="9"/>
  <c r="BE6" i="9"/>
  <c r="DG7" i="9"/>
  <c r="DE7" i="9"/>
  <c r="DD7" i="9" s="1"/>
  <c r="FM7" i="9" s="1"/>
  <c r="CK8" i="9"/>
  <c r="DV7" i="9"/>
  <c r="DX7" i="9" s="1"/>
  <c r="DZ7" i="9" s="1"/>
  <c r="L9" i="9"/>
  <c r="M8" i="9"/>
  <c r="HI8" i="9"/>
  <c r="HH7" i="9"/>
  <c r="HJ7" i="9" s="1"/>
  <c r="DR6" i="9"/>
  <c r="DW10" i="9"/>
  <c r="DQ7" i="9"/>
  <c r="DB8" i="9"/>
  <c r="CJ6" i="9"/>
  <c r="Z7" i="9"/>
  <c r="AC7" i="9" s="1"/>
  <c r="CR5" i="9"/>
  <c r="DT5" i="9"/>
  <c r="FL3" i="9"/>
  <c r="FN3" i="9" s="1"/>
  <c r="CQ3" i="9"/>
  <c r="HO6" i="9"/>
  <c r="AC6" i="9"/>
  <c r="AE6" i="9" s="1"/>
  <c r="X8" i="9"/>
  <c r="CI7" i="9"/>
  <c r="HK7" i="9"/>
  <c r="GS7" i="9"/>
  <c r="FW8" i="9"/>
  <c r="GQ7" i="9"/>
  <c r="AI5" i="9"/>
  <c r="AJ5" i="9" s="1"/>
  <c r="AF5" i="9"/>
  <c r="DD6" i="8"/>
  <c r="DQ6" i="8"/>
  <c r="DR6" i="8" s="1"/>
  <c r="DB7" i="8"/>
  <c r="CR11" i="8"/>
  <c r="AK3" i="8"/>
  <c r="FW7" i="8"/>
  <c r="GS6" i="8"/>
  <c r="GQ6" i="8"/>
  <c r="GP6" i="8" s="1"/>
  <c r="HF6" i="8" s="1"/>
  <c r="HK6" i="8"/>
  <c r="HH6" i="8"/>
  <c r="HJ6" i="8" s="1"/>
  <c r="DW9" i="8"/>
  <c r="AE5" i="8"/>
  <c r="AN8" i="8"/>
  <c r="BU8" i="8" s="1"/>
  <c r="BR7" i="8"/>
  <c r="BT7" i="8" s="1"/>
  <c r="BE7" i="8"/>
  <c r="BG7" i="8"/>
  <c r="HI11" i="8"/>
  <c r="CJ7" i="8"/>
  <c r="Z8" i="8"/>
  <c r="GD7" i="8"/>
  <c r="HD5" i="8"/>
  <c r="CK8" i="8"/>
  <c r="DV8" i="8" s="1"/>
  <c r="DX7" i="8"/>
  <c r="DZ7" i="8" s="1"/>
  <c r="DG7" i="8"/>
  <c r="DE7" i="8"/>
  <c r="GP5" i="8"/>
  <c r="CI6" i="8"/>
  <c r="X7" i="8"/>
  <c r="AC6" i="8"/>
  <c r="HC6" i="8"/>
  <c r="GN7" i="8"/>
  <c r="AI4" i="8"/>
  <c r="AJ4" i="8" s="1"/>
  <c r="AF4" i="8"/>
  <c r="L8" i="8"/>
  <c r="M7" i="8"/>
  <c r="AD6" i="8"/>
  <c r="BY6" i="8"/>
  <c r="FW7" i="7"/>
  <c r="HK6" i="7"/>
  <c r="GQ6" i="7"/>
  <c r="GP6" i="7" s="1"/>
  <c r="GS6" i="7"/>
  <c r="HH6" i="7"/>
  <c r="HJ6" i="7" s="1"/>
  <c r="DB7" i="7"/>
  <c r="DQ6" i="7"/>
  <c r="CR5" i="7"/>
  <c r="GD6" i="7"/>
  <c r="GN7" i="7"/>
  <c r="HC6" i="7"/>
  <c r="AI4" i="7"/>
  <c r="AJ4" i="7" s="1"/>
  <c r="AF4" i="7"/>
  <c r="AI5" i="7" s="1"/>
  <c r="DW8" i="7"/>
  <c r="GF4" i="7"/>
  <c r="AK3" i="7"/>
  <c r="AD6" i="7"/>
  <c r="AE6" i="7" s="1"/>
  <c r="BY6" i="7"/>
  <c r="CA3" i="7"/>
  <c r="CD3" i="7"/>
  <c r="CE3" i="7" s="1"/>
  <c r="AN7" i="7"/>
  <c r="BU6" i="7" s="1"/>
  <c r="BR6" i="7"/>
  <c r="BT6" i="7" s="1"/>
  <c r="BG6" i="7"/>
  <c r="BE6" i="7"/>
  <c r="HI10" i="7"/>
  <c r="CU4" i="7"/>
  <c r="CP4" i="7" s="1"/>
  <c r="M7" i="7"/>
  <c r="L8" i="7"/>
  <c r="HO5" i="7"/>
  <c r="HD5" i="7"/>
  <c r="HE5" i="7" s="1"/>
  <c r="EB8" i="6"/>
  <c r="FF7" i="6"/>
  <c r="DT5" i="6"/>
  <c r="AN8" i="6"/>
  <c r="BU8" i="6" s="1"/>
  <c r="BE7" i="6"/>
  <c r="BG7" i="6"/>
  <c r="BR7" i="6"/>
  <c r="BT7" i="6" s="1"/>
  <c r="Z9" i="6"/>
  <c r="CJ8" i="6"/>
  <c r="GD5" i="6"/>
  <c r="HC7" i="6"/>
  <c r="GN8" i="6"/>
  <c r="HD6" i="6"/>
  <c r="CK8" i="6"/>
  <c r="DG7" i="6"/>
  <c r="DE7" i="6"/>
  <c r="DV7" i="6"/>
  <c r="DX7" i="6" s="1"/>
  <c r="DZ7" i="6" s="1"/>
  <c r="X8" i="6"/>
  <c r="AC7" i="6"/>
  <c r="CI7" i="6"/>
  <c r="CR11" i="6"/>
  <c r="DB8" i="6"/>
  <c r="DQ7" i="6"/>
  <c r="DW10" i="6"/>
  <c r="M8" i="6"/>
  <c r="L9" i="6"/>
  <c r="FW8" i="6"/>
  <c r="HK7" i="6"/>
  <c r="GS7" i="6"/>
  <c r="GQ7" i="6"/>
  <c r="HH7" i="6"/>
  <c r="HJ7" i="6" s="1"/>
  <c r="BY7" i="6"/>
  <c r="AD7" i="6"/>
  <c r="BX3" i="6"/>
  <c r="BZ3" i="6" s="1"/>
  <c r="AT3" i="6"/>
  <c r="HV3" i="6"/>
  <c r="HO6" i="6"/>
  <c r="AF5" i="6"/>
  <c r="AI5" i="6"/>
  <c r="HI10" i="6"/>
  <c r="AL4" i="5"/>
  <c r="F4" i="5" s="1"/>
  <c r="E4" i="5"/>
  <c r="AH5" i="5"/>
  <c r="AI5" i="5"/>
  <c r="AJ5" i="5" s="1"/>
  <c r="AF5" i="5"/>
  <c r="HL5" i="5"/>
  <c r="HF4" i="5"/>
  <c r="HO4" i="5"/>
  <c r="GD6" i="5"/>
  <c r="AU5" i="5"/>
  <c r="EB9" i="5"/>
  <c r="FF8" i="5"/>
  <c r="BY7" i="5"/>
  <c r="AD7" i="5"/>
  <c r="GN8" i="5"/>
  <c r="HC7" i="5"/>
  <c r="CR7" i="5"/>
  <c r="M8" i="5"/>
  <c r="L9" i="5"/>
  <c r="DT5" i="5"/>
  <c r="DW15" i="5"/>
  <c r="X8" i="5"/>
  <c r="AC7" i="5"/>
  <c r="CI7" i="5"/>
  <c r="Z8" i="5"/>
  <c r="CJ7" i="5"/>
  <c r="BG7" i="5"/>
  <c r="AN8" i="5"/>
  <c r="BU8" i="5" s="1"/>
  <c r="BE7" i="5"/>
  <c r="BR7" i="5"/>
  <c r="BT7" i="5" s="1"/>
  <c r="AE6" i="5"/>
  <c r="DD6" i="5"/>
  <c r="FM6" i="5" s="1"/>
  <c r="CK8" i="5"/>
  <c r="DE7" i="5"/>
  <c r="DV7" i="5"/>
  <c r="DX7" i="5" s="1"/>
  <c r="DZ7" i="5" s="1"/>
  <c r="DG7" i="5"/>
  <c r="HD5" i="5"/>
  <c r="GP5" i="5"/>
  <c r="FW7" i="5"/>
  <c r="GQ6" i="5"/>
  <c r="HK6" i="5"/>
  <c r="GS6" i="5"/>
  <c r="HH6" i="5"/>
  <c r="HJ6" i="5" s="1"/>
  <c r="HI9" i="5"/>
  <c r="DY6" i="3"/>
  <c r="DG6" i="3"/>
  <c r="DE6" i="3"/>
  <c r="DD6" i="3" s="1"/>
  <c r="BG6" i="3"/>
  <c r="BE6" i="3"/>
  <c r="GS6" i="3"/>
  <c r="GQ6" i="3"/>
  <c r="GN7" i="3"/>
  <c r="HC6" i="3"/>
  <c r="GE5" i="3"/>
  <c r="GF5" i="3" s="1"/>
  <c r="GD9" i="3"/>
  <c r="GD10" i="3" s="1"/>
  <c r="HO4" i="3"/>
  <c r="GL5" i="3"/>
  <c r="FN2" i="3"/>
  <c r="FR2" i="3" s="1"/>
  <c r="Z7" i="3"/>
  <c r="CJ7" i="3" s="1"/>
  <c r="GP5" i="3"/>
  <c r="HF5" i="3" s="1"/>
  <c r="DB11" i="3"/>
  <c r="BR6" i="3"/>
  <c r="BT6" i="3" s="1"/>
  <c r="EB8" i="3"/>
  <c r="FF7" i="3"/>
  <c r="AW3" i="3"/>
  <c r="DZ5" i="3"/>
  <c r="DV6" i="3"/>
  <c r="DX6" i="3" s="1"/>
  <c r="CZ6" i="3"/>
  <c r="CZ7" i="3" s="1"/>
  <c r="CZ8" i="3" s="1"/>
  <c r="CZ9" i="3" s="1"/>
  <c r="CZ10" i="3" s="1"/>
  <c r="CZ11" i="3" s="1"/>
  <c r="DR4" i="3"/>
  <c r="DR5" i="3"/>
  <c r="AU5" i="3"/>
  <c r="FW7" i="3"/>
  <c r="AN7" i="3"/>
  <c r="AC6" i="3"/>
  <c r="AD6" i="3"/>
  <c r="BY6" i="3"/>
  <c r="M7" i="3"/>
  <c r="L9" i="3"/>
  <c r="M8" i="3"/>
  <c r="AE5" i="3"/>
  <c r="X7" i="3"/>
  <c r="CI7" i="3" s="1"/>
  <c r="BP6" i="3"/>
  <c r="DW8" i="3"/>
  <c r="CK7" i="3"/>
  <c r="HH6" i="3"/>
  <c r="HJ6" i="3" s="1"/>
  <c r="FO2" i="3" l="1"/>
  <c r="HQ3" i="9"/>
  <c r="HT3" i="9"/>
  <c r="HU3" i="9" s="1"/>
  <c r="D2" i="10"/>
  <c r="D2" i="6"/>
  <c r="D2" i="8"/>
  <c r="D2" i="12"/>
  <c r="CA3" i="9"/>
  <c r="FO2" i="10"/>
  <c r="G2" i="10" s="1"/>
  <c r="I2" i="9"/>
  <c r="CP4" i="3"/>
  <c r="DS4" i="3"/>
  <c r="X8" i="7"/>
  <c r="X9" i="7" s="1"/>
  <c r="FO2" i="7"/>
  <c r="G2" i="7" s="1"/>
  <c r="AC7" i="7"/>
  <c r="HQ2" i="7"/>
  <c r="HT3" i="7" s="1"/>
  <c r="HU3" i="7" s="1"/>
  <c r="HT2" i="7"/>
  <c r="HC6" i="10"/>
  <c r="GN7" i="10"/>
  <c r="DQ6" i="5"/>
  <c r="DR6" i="5" s="1"/>
  <c r="DB7" i="5"/>
  <c r="HT2" i="8"/>
  <c r="HQ2" i="8"/>
  <c r="HF5" i="9"/>
  <c r="HO5" i="9"/>
  <c r="Z8" i="7"/>
  <c r="CJ7" i="7"/>
  <c r="GN7" i="9"/>
  <c r="HC6" i="9"/>
  <c r="HD6" i="9" s="1"/>
  <c r="FR2" i="9"/>
  <c r="FO2" i="9"/>
  <c r="G2" i="9" s="1"/>
  <c r="BV7" i="5"/>
  <c r="BV7" i="8"/>
  <c r="BV7" i="6"/>
  <c r="BV7" i="11"/>
  <c r="BU7" i="12"/>
  <c r="BU2" i="12"/>
  <c r="BV2" i="12" s="1"/>
  <c r="BU3" i="12"/>
  <c r="BV3" i="12" s="1"/>
  <c r="BU4" i="12"/>
  <c r="BV4" i="12" s="1"/>
  <c r="BU5" i="12"/>
  <c r="BV5" i="12" s="1"/>
  <c r="BU6" i="12"/>
  <c r="BV6" i="12" s="1"/>
  <c r="BU7" i="9"/>
  <c r="BU2" i="9"/>
  <c r="BV2" i="9" s="1"/>
  <c r="BU3" i="9"/>
  <c r="BV3" i="9" s="1"/>
  <c r="BU4" i="9"/>
  <c r="BV4" i="9" s="1"/>
  <c r="BU5" i="9"/>
  <c r="BV5" i="9" s="1"/>
  <c r="BV6" i="10"/>
  <c r="BU7" i="7"/>
  <c r="BU2" i="7"/>
  <c r="BV2" i="7" s="1"/>
  <c r="D2" i="7" s="1"/>
  <c r="BU3" i="7"/>
  <c r="BV3" i="7" s="1"/>
  <c r="BU4" i="7"/>
  <c r="BV4" i="7" s="1"/>
  <c r="BU5" i="7"/>
  <c r="BV5" i="7" s="1"/>
  <c r="BV6" i="9"/>
  <c r="BV6" i="7"/>
  <c r="BU7" i="10"/>
  <c r="BU2" i="10"/>
  <c r="BV2" i="10" s="1"/>
  <c r="BU3" i="10"/>
  <c r="BV3" i="10" s="1"/>
  <c r="BU4" i="10"/>
  <c r="BV4" i="10" s="1"/>
  <c r="BU5" i="10"/>
  <c r="BV5" i="10" s="1"/>
  <c r="GB4" i="11"/>
  <c r="GC4" i="11" s="1"/>
  <c r="GG5" i="11" s="1"/>
  <c r="AH5" i="6"/>
  <c r="AK5" i="6" s="1"/>
  <c r="E5" i="6" s="1"/>
  <c r="AL4" i="6"/>
  <c r="F4" i="6" s="1"/>
  <c r="AZ5" i="11"/>
  <c r="BB5" i="11" s="1"/>
  <c r="BB6" i="10"/>
  <c r="BC5" i="10"/>
  <c r="BB6" i="9"/>
  <c r="BC5" i="9"/>
  <c r="AZ5" i="5"/>
  <c r="BB5" i="5" s="1"/>
  <c r="BB6" i="7"/>
  <c r="BC5" i="7"/>
  <c r="AZ5" i="3"/>
  <c r="BB5" i="3" s="1"/>
  <c r="BB6" i="12"/>
  <c r="BC5" i="12"/>
  <c r="BB6" i="6"/>
  <c r="BC5" i="6"/>
  <c r="C2" i="6"/>
  <c r="CC3" i="6"/>
  <c r="HP4" i="7"/>
  <c r="HT4" i="7" s="1"/>
  <c r="HE4" i="11"/>
  <c r="GE4" i="9"/>
  <c r="GB4" i="9" s="1"/>
  <c r="CG2" i="9"/>
  <c r="CC3" i="9"/>
  <c r="CF3" i="9" s="1"/>
  <c r="CG3" i="9" s="1"/>
  <c r="D3" i="9" s="1"/>
  <c r="CC4" i="5"/>
  <c r="CG3" i="5"/>
  <c r="D3" i="5" s="1"/>
  <c r="CF3" i="7"/>
  <c r="CG3" i="7" s="1"/>
  <c r="HL7" i="9"/>
  <c r="AS4" i="5"/>
  <c r="BX4" i="5" s="1"/>
  <c r="BZ4" i="5" s="1"/>
  <c r="CA4" i="5" s="1"/>
  <c r="AX4" i="9"/>
  <c r="AS4" i="9" s="1"/>
  <c r="BX4" i="9" s="1"/>
  <c r="BZ4" i="9" s="1"/>
  <c r="CD4" i="9" s="1"/>
  <c r="CE4" i="9" s="1"/>
  <c r="AL4" i="9"/>
  <c r="F4" i="9" s="1"/>
  <c r="HL6" i="5"/>
  <c r="DZ5" i="7"/>
  <c r="AE7" i="5"/>
  <c r="HL6" i="7"/>
  <c r="HL7" i="11"/>
  <c r="E4" i="9"/>
  <c r="I3" i="6"/>
  <c r="AT3" i="12"/>
  <c r="AV4" i="12" s="1"/>
  <c r="AW4" i="12" s="1"/>
  <c r="HQ3" i="11"/>
  <c r="GE4" i="5"/>
  <c r="GF4" i="5" s="1"/>
  <c r="FM5" i="7"/>
  <c r="AF6" i="11"/>
  <c r="AT3" i="10"/>
  <c r="AV4" i="10" s="1"/>
  <c r="AW4" i="10" s="1"/>
  <c r="HL7" i="6"/>
  <c r="DR5" i="7"/>
  <c r="HL6" i="8"/>
  <c r="CD3" i="12"/>
  <c r="CE3" i="12" s="1"/>
  <c r="CA3" i="12"/>
  <c r="AK5" i="9"/>
  <c r="AL5" i="9" s="1"/>
  <c r="F5" i="9" s="1"/>
  <c r="FF6" i="7"/>
  <c r="EB7" i="7"/>
  <c r="DG7" i="12"/>
  <c r="DV7" i="12"/>
  <c r="DX7" i="12" s="1"/>
  <c r="DZ7" i="12" s="1"/>
  <c r="DE7" i="12"/>
  <c r="DD7" i="12" s="1"/>
  <c r="DT7" i="12" s="1"/>
  <c r="CK8" i="12"/>
  <c r="DD6" i="12"/>
  <c r="DR6" i="12"/>
  <c r="AF5" i="7"/>
  <c r="AF6" i="7" s="1"/>
  <c r="AF6" i="6"/>
  <c r="AI5" i="10"/>
  <c r="AJ5" i="10" s="1"/>
  <c r="AX4" i="7"/>
  <c r="AV4" i="7"/>
  <c r="AW4" i="7" s="1"/>
  <c r="EB7" i="8"/>
  <c r="FF6" i="8"/>
  <c r="DV6" i="7"/>
  <c r="DX6" i="7" s="1"/>
  <c r="DZ6" i="7" s="1"/>
  <c r="CK7" i="7"/>
  <c r="DE6" i="7"/>
  <c r="DD6" i="7" s="1"/>
  <c r="FM6" i="7" s="1"/>
  <c r="DG6" i="7"/>
  <c r="HL6" i="10"/>
  <c r="DT6" i="8"/>
  <c r="FM6" i="8"/>
  <c r="CS4" i="5"/>
  <c r="DS4" i="5" s="1"/>
  <c r="DZ6" i="3"/>
  <c r="DT7" i="10"/>
  <c r="DR7" i="6"/>
  <c r="DT6" i="3"/>
  <c r="FM6" i="3"/>
  <c r="FL3" i="6"/>
  <c r="FN3" i="6" s="1"/>
  <c r="CQ3" i="6"/>
  <c r="CS4" i="12"/>
  <c r="FL3" i="12"/>
  <c r="FN3" i="12" s="1"/>
  <c r="FR3" i="12" s="1"/>
  <c r="FS3" i="12" s="1"/>
  <c r="CS4" i="11"/>
  <c r="DS4" i="11" s="1"/>
  <c r="FL3" i="11"/>
  <c r="FN3" i="11" s="1"/>
  <c r="FR3" i="11" s="1"/>
  <c r="FS3" i="11" s="1"/>
  <c r="HN3" i="5"/>
  <c r="HP3" i="5" s="1"/>
  <c r="HQ3" i="5" s="1"/>
  <c r="GF4" i="12"/>
  <c r="HE4" i="12"/>
  <c r="HN4" i="12" s="1"/>
  <c r="HP4" i="12" s="1"/>
  <c r="GF4" i="10"/>
  <c r="AU5" i="8"/>
  <c r="HN3" i="8"/>
  <c r="HP3" i="8" s="1"/>
  <c r="FL3" i="8"/>
  <c r="FN3" i="8" s="1"/>
  <c r="CQ3" i="8"/>
  <c r="BX3" i="11"/>
  <c r="BZ3" i="11" s="1"/>
  <c r="AT3" i="11"/>
  <c r="HE4" i="10"/>
  <c r="CD3" i="10"/>
  <c r="CE3" i="10" s="1"/>
  <c r="CA3" i="10"/>
  <c r="GB4" i="10"/>
  <c r="GG4" i="8"/>
  <c r="GE4" i="8"/>
  <c r="FR3" i="5"/>
  <c r="FO3" i="5"/>
  <c r="AX4" i="8"/>
  <c r="AS4" i="8" s="1"/>
  <c r="BX4" i="8" s="1"/>
  <c r="BZ4" i="8" s="1"/>
  <c r="CD3" i="8"/>
  <c r="CE3" i="8" s="1"/>
  <c r="CA3" i="8"/>
  <c r="HL6" i="12"/>
  <c r="HD7" i="11"/>
  <c r="HN5" i="7"/>
  <c r="HP5" i="7" s="1"/>
  <c r="FL4" i="7"/>
  <c r="FN4" i="7" s="1"/>
  <c r="AJ5" i="7"/>
  <c r="GE6" i="7"/>
  <c r="GB6" i="7" s="1"/>
  <c r="GC6" i="7" s="1"/>
  <c r="HN4" i="6"/>
  <c r="HP4" i="6" s="1"/>
  <c r="GC4" i="6"/>
  <c r="AK5" i="5"/>
  <c r="E5" i="5" s="1"/>
  <c r="E4" i="12"/>
  <c r="AL4" i="12"/>
  <c r="F4" i="12" s="1"/>
  <c r="AH5" i="12"/>
  <c r="AK5" i="12" s="1"/>
  <c r="GD9" i="12"/>
  <c r="L10" i="12"/>
  <c r="M9" i="12"/>
  <c r="HI10" i="12"/>
  <c r="HT3" i="12"/>
  <c r="HU3" i="12" s="1"/>
  <c r="HQ3" i="12"/>
  <c r="FW8" i="12"/>
  <c r="HK7" i="12"/>
  <c r="GS7" i="12"/>
  <c r="GQ7" i="12"/>
  <c r="HH7" i="12"/>
  <c r="HJ7" i="12" s="1"/>
  <c r="BE7" i="12"/>
  <c r="AN8" i="12"/>
  <c r="BU8" i="12" s="1"/>
  <c r="BG7" i="12"/>
  <c r="BR7" i="12"/>
  <c r="BT7" i="12" s="1"/>
  <c r="HF5" i="12"/>
  <c r="HO5" i="12"/>
  <c r="GC4" i="12"/>
  <c r="GN9" i="12"/>
  <c r="HC8" i="12"/>
  <c r="AD8" i="12"/>
  <c r="BY8" i="12"/>
  <c r="DW10" i="12"/>
  <c r="HD6" i="12"/>
  <c r="GP6" i="12"/>
  <c r="CJ7" i="12"/>
  <c r="Z8" i="12"/>
  <c r="DQ8" i="12"/>
  <c r="DB9" i="12"/>
  <c r="EB9" i="12"/>
  <c r="FF8" i="12"/>
  <c r="CR9" i="12"/>
  <c r="AI6" i="12"/>
  <c r="AJ6" i="12" s="1"/>
  <c r="AF6" i="12"/>
  <c r="CI8" i="12"/>
  <c r="X9" i="12"/>
  <c r="AC7" i="12"/>
  <c r="AE7" i="12" s="1"/>
  <c r="DQ8" i="11"/>
  <c r="DB9" i="11"/>
  <c r="FW9" i="11"/>
  <c r="GS8" i="11"/>
  <c r="HK8" i="11"/>
  <c r="GQ8" i="11"/>
  <c r="HH8" i="11"/>
  <c r="HJ8" i="11" s="1"/>
  <c r="EB9" i="11"/>
  <c r="FF8" i="11"/>
  <c r="DT5" i="11"/>
  <c r="CJ8" i="11"/>
  <c r="Z9" i="11"/>
  <c r="GD9" i="11"/>
  <c r="DR6" i="11"/>
  <c r="DD6" i="11"/>
  <c r="FM6" i="11" s="1"/>
  <c r="BY8" i="11"/>
  <c r="AD8" i="11"/>
  <c r="HV3" i="11"/>
  <c r="M9" i="11"/>
  <c r="L10" i="11"/>
  <c r="HI11" i="11"/>
  <c r="CI8" i="11"/>
  <c r="AC8" i="11"/>
  <c r="X9" i="11"/>
  <c r="DW10" i="11"/>
  <c r="AH5" i="11"/>
  <c r="AK5" i="11" s="1"/>
  <c r="E4" i="11"/>
  <c r="AL4" i="11"/>
  <c r="F4" i="11" s="1"/>
  <c r="GP7" i="11"/>
  <c r="CR9" i="11"/>
  <c r="AI6" i="11"/>
  <c r="AJ6" i="11" s="1"/>
  <c r="GN9" i="11"/>
  <c r="HC8" i="11"/>
  <c r="AE7" i="11"/>
  <c r="CK8" i="11"/>
  <c r="DG7" i="11"/>
  <c r="DE7" i="11"/>
  <c r="DV7" i="11"/>
  <c r="DX7" i="11" s="1"/>
  <c r="DZ7" i="11" s="1"/>
  <c r="AN9" i="11"/>
  <c r="BU9" i="11" s="1"/>
  <c r="BG8" i="11"/>
  <c r="BE8" i="11"/>
  <c r="BR8" i="11"/>
  <c r="BT8" i="11" s="1"/>
  <c r="BV8" i="11" s="1"/>
  <c r="AI6" i="10"/>
  <c r="AF6" i="10"/>
  <c r="AH5" i="10"/>
  <c r="E4" i="10"/>
  <c r="AL4" i="10"/>
  <c r="F4" i="10" s="1"/>
  <c r="AN8" i="10"/>
  <c r="BU8" i="10" s="1"/>
  <c r="BG7" i="10"/>
  <c r="BR7" i="10"/>
  <c r="BT7" i="10" s="1"/>
  <c r="BV7" i="10" s="1"/>
  <c r="BE7" i="10"/>
  <c r="CJ7" i="10"/>
  <c r="Z8" i="10"/>
  <c r="GD11" i="10"/>
  <c r="HQ3" i="10"/>
  <c r="HT3" i="10"/>
  <c r="HU3" i="10" s="1"/>
  <c r="FF8" i="10"/>
  <c r="EB9" i="10"/>
  <c r="AC7" i="10"/>
  <c r="AE7" i="10" s="1"/>
  <c r="DT6" i="10"/>
  <c r="DR7" i="10"/>
  <c r="CI8" i="10"/>
  <c r="X9" i="10"/>
  <c r="DQ8" i="10"/>
  <c r="DB9" i="10"/>
  <c r="HI13" i="10"/>
  <c r="BY8" i="10"/>
  <c r="AD8" i="10"/>
  <c r="GQ7" i="10"/>
  <c r="FW8" i="10"/>
  <c r="HK7" i="10"/>
  <c r="GS7" i="10"/>
  <c r="HH7" i="10"/>
  <c r="HJ7" i="10" s="1"/>
  <c r="CU4" i="10"/>
  <c r="CS4" i="10"/>
  <c r="HF5" i="10"/>
  <c r="HO5" i="10"/>
  <c r="L10" i="10"/>
  <c r="M9" i="10"/>
  <c r="HD6" i="10"/>
  <c r="GP6" i="10"/>
  <c r="DX8" i="10"/>
  <c r="DZ8" i="10" s="1"/>
  <c r="CK9" i="10"/>
  <c r="DE8" i="10"/>
  <c r="DG8" i="10"/>
  <c r="FO3" i="10"/>
  <c r="CR7" i="10"/>
  <c r="DW10" i="10"/>
  <c r="DT7" i="9"/>
  <c r="AD8" i="9"/>
  <c r="BY8" i="9"/>
  <c r="X9" i="9"/>
  <c r="CI8" i="9"/>
  <c r="FW9" i="9"/>
  <c r="HK8" i="9"/>
  <c r="GS8" i="9"/>
  <c r="GQ8" i="9"/>
  <c r="GP7" i="9"/>
  <c r="L10" i="9"/>
  <c r="M9" i="9"/>
  <c r="FF8" i="9"/>
  <c r="EB9" i="9"/>
  <c r="DW11" i="9"/>
  <c r="CU4" i="9"/>
  <c r="CS4" i="9"/>
  <c r="AE7" i="9"/>
  <c r="AI6" i="9"/>
  <c r="AJ6" i="9" s="1"/>
  <c r="AF6" i="9"/>
  <c r="HH8" i="9"/>
  <c r="HJ8" i="9" s="1"/>
  <c r="HI9" i="9"/>
  <c r="BE7" i="9"/>
  <c r="AN8" i="9"/>
  <c r="BU8" i="9" s="1"/>
  <c r="BR7" i="9"/>
  <c r="BT7" i="9" s="1"/>
  <c r="BG7" i="9"/>
  <c r="CR6" i="9"/>
  <c r="CJ7" i="9"/>
  <c r="Z8" i="9"/>
  <c r="CK9" i="9"/>
  <c r="DE8" i="9"/>
  <c r="DG8" i="9"/>
  <c r="DV8" i="9"/>
  <c r="DX8" i="9" s="1"/>
  <c r="DZ8" i="9" s="1"/>
  <c r="DR7" i="9"/>
  <c r="DQ8" i="9"/>
  <c r="DB9" i="9"/>
  <c r="HO6" i="8"/>
  <c r="GN8" i="8"/>
  <c r="HC7" i="8"/>
  <c r="AF5" i="8"/>
  <c r="AI5" i="8"/>
  <c r="AJ5" i="8" s="1"/>
  <c r="DX8" i="8"/>
  <c r="DZ8" i="8" s="1"/>
  <c r="CK9" i="8"/>
  <c r="DV9" i="8" s="1"/>
  <c r="DG8" i="8"/>
  <c r="DE8" i="8"/>
  <c r="DW10" i="8"/>
  <c r="Z9" i="8"/>
  <c r="CJ8" i="8"/>
  <c r="AE6" i="8"/>
  <c r="AD7" i="8"/>
  <c r="BY7" i="8"/>
  <c r="HD6" i="8"/>
  <c r="GD8" i="8"/>
  <c r="L9" i="8"/>
  <c r="M8" i="8"/>
  <c r="HI12" i="8"/>
  <c r="FW8" i="8"/>
  <c r="HK7" i="8"/>
  <c r="GS7" i="8"/>
  <c r="GQ7" i="8"/>
  <c r="GP7" i="8" s="1"/>
  <c r="HH7" i="8"/>
  <c r="HJ7" i="8" s="1"/>
  <c r="DD7" i="8"/>
  <c r="DQ7" i="8"/>
  <c r="DR7" i="8" s="1"/>
  <c r="DB8" i="8"/>
  <c r="HF5" i="8"/>
  <c r="HO5" i="8"/>
  <c r="CI7" i="8"/>
  <c r="X8" i="8"/>
  <c r="AC7" i="8"/>
  <c r="E3" i="8"/>
  <c r="AH4" i="8"/>
  <c r="AK4" i="8" s="1"/>
  <c r="AL3" i="8"/>
  <c r="F3" i="8" s="1"/>
  <c r="AN9" i="8"/>
  <c r="BU9" i="8" s="1"/>
  <c r="BG8" i="8"/>
  <c r="BR8" i="8"/>
  <c r="BT8" i="8" s="1"/>
  <c r="BV8" i="8" s="1"/>
  <c r="BE8" i="8"/>
  <c r="CR12" i="8"/>
  <c r="HF6" i="7"/>
  <c r="HO6" i="7"/>
  <c r="HD6" i="7"/>
  <c r="E3" i="7"/>
  <c r="AL3" i="7"/>
  <c r="F3" i="7" s="1"/>
  <c r="AH4" i="7"/>
  <c r="AK4" i="7" s="1"/>
  <c r="GD7" i="7"/>
  <c r="BY7" i="7"/>
  <c r="AD7" i="7"/>
  <c r="FW8" i="7"/>
  <c r="HK7" i="7"/>
  <c r="GQ7" i="7"/>
  <c r="GP7" i="7" s="1"/>
  <c r="HF7" i="7" s="1"/>
  <c r="GS7" i="7"/>
  <c r="HH7" i="7"/>
  <c r="HJ7" i="7" s="1"/>
  <c r="HC7" i="7"/>
  <c r="GN8" i="7"/>
  <c r="CQ4" i="7"/>
  <c r="GF5" i="7"/>
  <c r="CR6" i="7"/>
  <c r="M8" i="7"/>
  <c r="L9" i="7"/>
  <c r="AC8" i="7"/>
  <c r="DW9" i="7"/>
  <c r="BR7" i="7"/>
  <c r="BT7" i="7" s="1"/>
  <c r="AN8" i="7"/>
  <c r="BU8" i="7" s="1"/>
  <c r="BE7" i="7"/>
  <c r="BG7" i="7"/>
  <c r="HI11" i="7"/>
  <c r="DQ7" i="7"/>
  <c r="DB8" i="7"/>
  <c r="HD7" i="6"/>
  <c r="DB9" i="6"/>
  <c r="DQ8" i="6"/>
  <c r="DD7" i="6"/>
  <c r="FM7" i="6" s="1"/>
  <c r="CR12" i="6"/>
  <c r="AJ5" i="6"/>
  <c r="FW9" i="6"/>
  <c r="HK8" i="6"/>
  <c r="GS8" i="6"/>
  <c r="GQ8" i="6"/>
  <c r="GP8" i="6" s="1"/>
  <c r="HF8" i="6" s="1"/>
  <c r="HH8" i="6"/>
  <c r="HJ8" i="6" s="1"/>
  <c r="AX4" i="6"/>
  <c r="AV4" i="6"/>
  <c r="AW4" i="6" s="1"/>
  <c r="GP7" i="6"/>
  <c r="CJ9" i="6"/>
  <c r="Z10" i="6"/>
  <c r="CK9" i="6"/>
  <c r="DE8" i="6"/>
  <c r="DG8" i="6"/>
  <c r="DV8" i="6"/>
  <c r="DX8" i="6" s="1"/>
  <c r="DZ8" i="6" s="1"/>
  <c r="CD3" i="6"/>
  <c r="CE3" i="6" s="1"/>
  <c r="CA3" i="6"/>
  <c r="HC8" i="6"/>
  <c r="GN9" i="6"/>
  <c r="HW3" i="6"/>
  <c r="J3" i="6" s="1"/>
  <c r="HS4" i="6"/>
  <c r="HI11" i="6"/>
  <c r="AE7" i="6"/>
  <c r="GD6" i="6"/>
  <c r="BR8" i="6"/>
  <c r="BT8" i="6" s="1"/>
  <c r="BV8" i="6" s="1"/>
  <c r="BG8" i="6"/>
  <c r="AN9" i="6"/>
  <c r="BU9" i="6" s="1"/>
  <c r="BE8" i="6"/>
  <c r="L10" i="6"/>
  <c r="M9" i="6"/>
  <c r="EB9" i="6"/>
  <c r="FF8" i="6"/>
  <c r="CI8" i="6"/>
  <c r="X9" i="6"/>
  <c r="AC8" i="6"/>
  <c r="AI6" i="6"/>
  <c r="BY8" i="6"/>
  <c r="AD8" i="6"/>
  <c r="DW11" i="6"/>
  <c r="GD7" i="5"/>
  <c r="DT6" i="5"/>
  <c r="HD6" i="5"/>
  <c r="GP6" i="5"/>
  <c r="FW8" i="5"/>
  <c r="HK7" i="5"/>
  <c r="GQ7" i="5"/>
  <c r="GS7" i="5"/>
  <c r="HH7" i="5"/>
  <c r="HJ7" i="5" s="1"/>
  <c r="EB10" i="5"/>
  <c r="FF9" i="5"/>
  <c r="M9" i="5"/>
  <c r="L10" i="5"/>
  <c r="HF5" i="5"/>
  <c r="HO5" i="5"/>
  <c r="Z9" i="5"/>
  <c r="CJ8" i="5"/>
  <c r="AD8" i="5"/>
  <c r="BY8" i="5"/>
  <c r="AI6" i="5"/>
  <c r="AJ6" i="5" s="1"/>
  <c r="AF6" i="5"/>
  <c r="CR8" i="5"/>
  <c r="DW16" i="5"/>
  <c r="HI10" i="5"/>
  <c r="DD7" i="5"/>
  <c r="FM7" i="5" s="1"/>
  <c r="CK9" i="5"/>
  <c r="DG8" i="5"/>
  <c r="DE8" i="5"/>
  <c r="DV8" i="5"/>
  <c r="DX8" i="5" s="1"/>
  <c r="DZ8" i="5" s="1"/>
  <c r="CI8" i="5"/>
  <c r="AC8" i="5"/>
  <c r="X9" i="5"/>
  <c r="GN9" i="5"/>
  <c r="HC8" i="5"/>
  <c r="AN9" i="5"/>
  <c r="BU9" i="5" s="1"/>
  <c r="BR8" i="5"/>
  <c r="BT8" i="5" s="1"/>
  <c r="BV8" i="5" s="1"/>
  <c r="BG8" i="5"/>
  <c r="BE8" i="5"/>
  <c r="GS7" i="3"/>
  <c r="GQ7" i="3"/>
  <c r="GB5" i="3"/>
  <c r="GC5" i="3" s="1"/>
  <c r="GG6" i="3" s="1"/>
  <c r="DY7" i="3"/>
  <c r="DG7" i="3"/>
  <c r="DE7" i="3"/>
  <c r="DD7" i="3" s="1"/>
  <c r="GN8" i="3"/>
  <c r="HC7" i="3"/>
  <c r="GL6" i="3"/>
  <c r="Z8" i="3"/>
  <c r="CJ8" i="3" s="1"/>
  <c r="GP6" i="3"/>
  <c r="HF6" i="3" s="1"/>
  <c r="HO5" i="3"/>
  <c r="DB12" i="3"/>
  <c r="DQ7" i="3"/>
  <c r="GI10" i="3"/>
  <c r="GK10" i="3" s="1"/>
  <c r="DV7" i="3"/>
  <c r="DX7" i="3" s="1"/>
  <c r="BR7" i="3"/>
  <c r="BT7" i="3" s="1"/>
  <c r="BG7" i="3"/>
  <c r="BE7" i="3"/>
  <c r="EB9" i="3"/>
  <c r="FF8" i="3"/>
  <c r="BU6" i="3"/>
  <c r="BV6" i="3" s="1"/>
  <c r="DR6" i="3"/>
  <c r="BU7" i="3"/>
  <c r="BU2" i="3"/>
  <c r="BV2" i="3" s="1"/>
  <c r="BU3" i="3"/>
  <c r="BV3" i="3" s="1"/>
  <c r="BU4" i="3"/>
  <c r="BV4" i="3" s="1"/>
  <c r="BU5" i="3"/>
  <c r="BV5" i="3" s="1"/>
  <c r="CD2" i="3"/>
  <c r="CF2" i="3" s="1"/>
  <c r="AN8" i="3"/>
  <c r="FW8" i="3"/>
  <c r="AD7" i="3"/>
  <c r="BY7" i="3"/>
  <c r="AC7" i="3"/>
  <c r="AD8" i="3"/>
  <c r="BY8" i="3"/>
  <c r="L10" i="3"/>
  <c r="M9" i="3"/>
  <c r="AE6" i="3"/>
  <c r="X8" i="3"/>
  <c r="CI8" i="3" s="1"/>
  <c r="DW9" i="3"/>
  <c r="BP7" i="3"/>
  <c r="CK8" i="3"/>
  <c r="HH7" i="3"/>
  <c r="HJ7" i="3" s="1"/>
  <c r="FL4" i="3" l="1"/>
  <c r="CQ4" i="3"/>
  <c r="FR3" i="10"/>
  <c r="FS3" i="10" s="1"/>
  <c r="HV3" i="9"/>
  <c r="HS4" i="9" s="1"/>
  <c r="D2" i="9"/>
  <c r="D3" i="7"/>
  <c r="FO3" i="9"/>
  <c r="FR3" i="9"/>
  <c r="FS3" i="9" s="1"/>
  <c r="HQ3" i="7"/>
  <c r="HQ4" i="7" s="1"/>
  <c r="HQ5" i="7" s="1"/>
  <c r="CI8" i="7"/>
  <c r="FR3" i="7"/>
  <c r="FS3" i="7" s="1"/>
  <c r="AE7" i="7"/>
  <c r="AF7" i="7" s="1"/>
  <c r="GE5" i="11"/>
  <c r="HE5" i="11" s="1"/>
  <c r="HN4" i="11"/>
  <c r="HP4" i="11" s="1"/>
  <c r="HT4" i="11" s="1"/>
  <c r="HU4" i="11" s="1"/>
  <c r="FO3" i="7"/>
  <c r="J2" i="7"/>
  <c r="I2" i="7"/>
  <c r="HV3" i="7"/>
  <c r="HS4" i="7" s="1"/>
  <c r="HU4" i="7"/>
  <c r="HC7" i="9"/>
  <c r="HD7" i="9" s="1"/>
  <c r="GN8" i="9"/>
  <c r="Z9" i="7"/>
  <c r="AC9" i="7" s="1"/>
  <c r="CJ8" i="7"/>
  <c r="J2" i="8"/>
  <c r="I2" i="8"/>
  <c r="DB8" i="5"/>
  <c r="DQ7" i="5"/>
  <c r="DR7" i="5" s="1"/>
  <c r="HC7" i="10"/>
  <c r="GN8" i="10"/>
  <c r="DD8" i="5"/>
  <c r="BV7" i="12"/>
  <c r="BV7" i="9"/>
  <c r="BV7" i="7"/>
  <c r="BC6" i="10"/>
  <c r="BC6" i="7"/>
  <c r="CF3" i="12"/>
  <c r="CC4" i="12" s="1"/>
  <c r="BB6" i="3"/>
  <c r="BC5" i="3"/>
  <c r="AZ5" i="8"/>
  <c r="BB5" i="8" s="1"/>
  <c r="BB6" i="5"/>
  <c r="BC5" i="5"/>
  <c r="BC6" i="9"/>
  <c r="BC6" i="6"/>
  <c r="BB6" i="11"/>
  <c r="BC5" i="11"/>
  <c r="BC6" i="12"/>
  <c r="HE4" i="9"/>
  <c r="HN4" i="9" s="1"/>
  <c r="HP4" i="9" s="1"/>
  <c r="GF4" i="9"/>
  <c r="GC4" i="9"/>
  <c r="GE5" i="9" s="1"/>
  <c r="CC4" i="7"/>
  <c r="CC4" i="9"/>
  <c r="CF4" i="9" s="1"/>
  <c r="C3" i="9"/>
  <c r="C3" i="7"/>
  <c r="AI7" i="5"/>
  <c r="AJ7" i="5" s="1"/>
  <c r="CF3" i="8"/>
  <c r="CC4" i="8" s="1"/>
  <c r="AT4" i="5"/>
  <c r="CF3" i="6"/>
  <c r="C3" i="6" s="1"/>
  <c r="CF4" i="5"/>
  <c r="CD4" i="5"/>
  <c r="CE4" i="5" s="1"/>
  <c r="CF3" i="10"/>
  <c r="CC4" i="10" s="1"/>
  <c r="GB4" i="5"/>
  <c r="GC4" i="5" s="1"/>
  <c r="HL7" i="10"/>
  <c r="AX4" i="10"/>
  <c r="AS4" i="10" s="1"/>
  <c r="BX4" i="10" s="1"/>
  <c r="BZ4" i="10" s="1"/>
  <c r="AX4" i="12"/>
  <c r="AS4" i="12" s="1"/>
  <c r="BX4" i="12" s="1"/>
  <c r="BZ4" i="12" s="1"/>
  <c r="HL8" i="6"/>
  <c r="CT4" i="11"/>
  <c r="HE4" i="5"/>
  <c r="DT6" i="7"/>
  <c r="E5" i="9"/>
  <c r="AH6" i="9"/>
  <c r="AK6" i="9" s="1"/>
  <c r="AK5" i="10"/>
  <c r="AL5" i="10" s="1"/>
  <c r="F5" i="10" s="1"/>
  <c r="HL8" i="9"/>
  <c r="DR6" i="7"/>
  <c r="FM7" i="12"/>
  <c r="HD8" i="11"/>
  <c r="AS4" i="7"/>
  <c r="HL7" i="12"/>
  <c r="DT6" i="12"/>
  <c r="FM6" i="12"/>
  <c r="DV8" i="12"/>
  <c r="DX8" i="12" s="1"/>
  <c r="DZ8" i="12" s="1"/>
  <c r="DE8" i="12"/>
  <c r="DD8" i="12" s="1"/>
  <c r="DT8" i="12" s="1"/>
  <c r="CK9" i="12"/>
  <c r="DG8" i="12"/>
  <c r="HV4" i="6"/>
  <c r="HS5" i="6" s="1"/>
  <c r="AT4" i="8"/>
  <c r="HL7" i="8"/>
  <c r="CK8" i="7"/>
  <c r="DG7" i="7"/>
  <c r="DE7" i="7"/>
  <c r="DD7" i="7" s="1"/>
  <c r="FM7" i="7" s="1"/>
  <c r="DV7" i="7"/>
  <c r="DX7" i="7" s="1"/>
  <c r="DZ7" i="7" s="1"/>
  <c r="HL7" i="7"/>
  <c r="EB8" i="7"/>
  <c r="FF7" i="7"/>
  <c r="HL7" i="5"/>
  <c r="AI6" i="7"/>
  <c r="AJ6" i="7" s="1"/>
  <c r="DR7" i="12"/>
  <c r="EB8" i="8"/>
  <c r="FF7" i="8"/>
  <c r="DT8" i="5"/>
  <c r="FM8" i="5"/>
  <c r="DT7" i="8"/>
  <c r="FM7" i="8"/>
  <c r="CP4" i="11"/>
  <c r="CQ4" i="11" s="1"/>
  <c r="CU5" i="11" s="1"/>
  <c r="CP4" i="5"/>
  <c r="FL4" i="5" s="1"/>
  <c r="FN4" i="5" s="1"/>
  <c r="CT4" i="5"/>
  <c r="FO3" i="11"/>
  <c r="DT7" i="3"/>
  <c r="FM7" i="3"/>
  <c r="CS4" i="6"/>
  <c r="CU4" i="6"/>
  <c r="FR3" i="6"/>
  <c r="FS3" i="6" s="1"/>
  <c r="FO3" i="6"/>
  <c r="DR8" i="10"/>
  <c r="CT4" i="12"/>
  <c r="DS4" i="12"/>
  <c r="CP4" i="12"/>
  <c r="FT3" i="10"/>
  <c r="G3" i="10" s="1"/>
  <c r="FT3" i="12"/>
  <c r="FO3" i="12"/>
  <c r="GE6" i="3"/>
  <c r="GF6" i="3" s="1"/>
  <c r="HT3" i="5"/>
  <c r="HU3" i="5" s="1"/>
  <c r="GB4" i="8"/>
  <c r="GC4" i="8" s="1"/>
  <c r="GE5" i="8" s="1"/>
  <c r="HE5" i="8" s="1"/>
  <c r="CD4" i="8"/>
  <c r="CE4" i="8" s="1"/>
  <c r="FS3" i="5"/>
  <c r="FT3" i="5"/>
  <c r="GF4" i="8"/>
  <c r="HE4" i="8"/>
  <c r="AX4" i="11"/>
  <c r="AV4" i="11"/>
  <c r="AW4" i="11" s="1"/>
  <c r="GC4" i="10"/>
  <c r="HN4" i="10"/>
  <c r="HP4" i="10" s="1"/>
  <c r="HT4" i="10" s="1"/>
  <c r="HU4" i="10" s="1"/>
  <c r="CD3" i="11"/>
  <c r="CE3" i="11" s="1"/>
  <c r="CA3" i="11"/>
  <c r="CU4" i="8"/>
  <c r="CS4" i="8"/>
  <c r="FO3" i="8"/>
  <c r="FR3" i="8"/>
  <c r="AE8" i="11"/>
  <c r="HT3" i="8"/>
  <c r="HU3" i="8" s="1"/>
  <c r="HQ3" i="8"/>
  <c r="HV3" i="12"/>
  <c r="HL8" i="11"/>
  <c r="CP4" i="9"/>
  <c r="CQ4" i="9" s="1"/>
  <c r="CU5" i="9" s="1"/>
  <c r="CA4" i="9"/>
  <c r="AT4" i="9"/>
  <c r="HF7" i="8"/>
  <c r="HO7" i="8"/>
  <c r="FR4" i="7"/>
  <c r="GE7" i="7"/>
  <c r="GG7" i="7"/>
  <c r="HE6" i="7"/>
  <c r="HN6" i="7" s="1"/>
  <c r="HP6" i="7" s="1"/>
  <c r="AH6" i="6"/>
  <c r="AK6" i="6" s="1"/>
  <c r="GE5" i="6"/>
  <c r="GG5" i="6"/>
  <c r="HQ4" i="6"/>
  <c r="HT4" i="6"/>
  <c r="HU4" i="6" s="1"/>
  <c r="AL5" i="6"/>
  <c r="F5" i="6" s="1"/>
  <c r="AH6" i="5"/>
  <c r="AK6" i="5" s="1"/>
  <c r="AL5" i="5"/>
  <c r="F5" i="5" s="1"/>
  <c r="AI7" i="12"/>
  <c r="AJ7" i="12" s="1"/>
  <c r="AF7" i="12"/>
  <c r="HT4" i="12"/>
  <c r="HU4" i="12" s="1"/>
  <c r="EB10" i="12"/>
  <c r="FF9" i="12"/>
  <c r="DW11" i="12"/>
  <c r="HI11" i="12"/>
  <c r="DB10" i="12"/>
  <c r="DQ9" i="12"/>
  <c r="AD9" i="12"/>
  <c r="BY9" i="12"/>
  <c r="AN9" i="12"/>
  <c r="BU9" i="12" s="1"/>
  <c r="BR8" i="12"/>
  <c r="BT8" i="12" s="1"/>
  <c r="BV8" i="12" s="1"/>
  <c r="BG8" i="12"/>
  <c r="BE8" i="12"/>
  <c r="L11" i="12"/>
  <c r="M10" i="12"/>
  <c r="Z9" i="12"/>
  <c r="AC9" i="12" s="1"/>
  <c r="CJ8" i="12"/>
  <c r="HD7" i="12"/>
  <c r="GP7" i="12"/>
  <c r="GN10" i="12"/>
  <c r="HC9" i="12"/>
  <c r="CI9" i="12"/>
  <c r="X10" i="12"/>
  <c r="FW9" i="12"/>
  <c r="GQ8" i="12"/>
  <c r="HK8" i="12"/>
  <c r="GS8" i="12"/>
  <c r="HH8" i="12"/>
  <c r="HJ8" i="12" s="1"/>
  <c r="GD10" i="12"/>
  <c r="AC8" i="12"/>
  <c r="AE8" i="12" s="1"/>
  <c r="GG5" i="12"/>
  <c r="GE5" i="12"/>
  <c r="CR10" i="12"/>
  <c r="HF6" i="12"/>
  <c r="HO6" i="12"/>
  <c r="AL5" i="12"/>
  <c r="F5" i="12" s="1"/>
  <c r="E5" i="12"/>
  <c r="AH6" i="12"/>
  <c r="AK6" i="12" s="1"/>
  <c r="HI12" i="11"/>
  <c r="BY9" i="11"/>
  <c r="AD9" i="11"/>
  <c r="DW11" i="11"/>
  <c r="CI9" i="11"/>
  <c r="X10" i="11"/>
  <c r="AC9" i="11"/>
  <c r="DT6" i="11"/>
  <c r="EB10" i="11"/>
  <c r="FF9" i="11"/>
  <c r="CR10" i="11"/>
  <c r="Z10" i="11"/>
  <c r="CJ9" i="11"/>
  <c r="AH6" i="11"/>
  <c r="AK6" i="11" s="1"/>
  <c r="AL5" i="11"/>
  <c r="F5" i="11" s="1"/>
  <c r="E5" i="11"/>
  <c r="HS4" i="11"/>
  <c r="HW3" i="11"/>
  <c r="J3" i="11" s="1"/>
  <c r="DQ9" i="11"/>
  <c r="DB10" i="11"/>
  <c r="GP8" i="11"/>
  <c r="GD10" i="11"/>
  <c r="L11" i="11"/>
  <c r="M10" i="11"/>
  <c r="AN10" i="11"/>
  <c r="BU10" i="11" s="1"/>
  <c r="BR9" i="11"/>
  <c r="BT9" i="11" s="1"/>
  <c r="BV9" i="11" s="1"/>
  <c r="BE9" i="11"/>
  <c r="BG9" i="11"/>
  <c r="AI7" i="11"/>
  <c r="AF7" i="11"/>
  <c r="HC9" i="11"/>
  <c r="GN10" i="11"/>
  <c r="DR7" i="11"/>
  <c r="DD7" i="11"/>
  <c r="FM7" i="11" s="1"/>
  <c r="HF7" i="11"/>
  <c r="HO7" i="11"/>
  <c r="CK9" i="11"/>
  <c r="DG8" i="11"/>
  <c r="DE8" i="11"/>
  <c r="DV8" i="11"/>
  <c r="DX8" i="11" s="1"/>
  <c r="DZ8" i="11" s="1"/>
  <c r="GS9" i="11"/>
  <c r="FW10" i="11"/>
  <c r="GQ9" i="11"/>
  <c r="HK9" i="11"/>
  <c r="HH9" i="11"/>
  <c r="HJ9" i="11" s="1"/>
  <c r="FT3" i="11"/>
  <c r="I3" i="11"/>
  <c r="CR8" i="10"/>
  <c r="HV3" i="10"/>
  <c r="AI7" i="10"/>
  <c r="AF7" i="10"/>
  <c r="AJ6" i="10"/>
  <c r="HI14" i="10"/>
  <c r="CJ8" i="10"/>
  <c r="Z9" i="10"/>
  <c r="AC9" i="10" s="1"/>
  <c r="CK10" i="10"/>
  <c r="DV10" i="10" s="1"/>
  <c r="DE9" i="10"/>
  <c r="DD9" i="10" s="1"/>
  <c r="FM9" i="10" s="1"/>
  <c r="DG9" i="10"/>
  <c r="M10" i="10"/>
  <c r="L11" i="10"/>
  <c r="GD12" i="10"/>
  <c r="DV9" i="10"/>
  <c r="DX9" i="10" s="1"/>
  <c r="DZ9" i="10" s="1"/>
  <c r="FW9" i="10"/>
  <c r="GS8" i="10"/>
  <c r="HK8" i="10"/>
  <c r="GQ8" i="10"/>
  <c r="HH8" i="10"/>
  <c r="HJ8" i="10" s="1"/>
  <c r="DB10" i="10"/>
  <c r="DQ9" i="10"/>
  <c r="DW11" i="10"/>
  <c r="HD7" i="10"/>
  <c r="GP7" i="10"/>
  <c r="DD8" i="10"/>
  <c r="FM8" i="10" s="1"/>
  <c r="CP4" i="10"/>
  <c r="AN9" i="10"/>
  <c r="BU9" i="10" s="1"/>
  <c r="BR8" i="10"/>
  <c r="BT8" i="10" s="1"/>
  <c r="BV8" i="10" s="1"/>
  <c r="BE8" i="10"/>
  <c r="BG8" i="10"/>
  <c r="CI9" i="10"/>
  <c r="X10" i="10"/>
  <c r="DS4" i="10"/>
  <c r="CT4" i="10"/>
  <c r="HF6" i="10"/>
  <c r="HO6" i="10"/>
  <c r="EB10" i="10"/>
  <c r="FF9" i="10"/>
  <c r="BY9" i="10"/>
  <c r="AD9" i="10"/>
  <c r="AC8" i="10"/>
  <c r="AE8" i="10" s="1"/>
  <c r="DR8" i="9"/>
  <c r="CK10" i="9"/>
  <c r="DG9" i="9"/>
  <c r="DE9" i="9"/>
  <c r="DD9" i="9" s="1"/>
  <c r="FM9" i="9" s="1"/>
  <c r="DV9" i="9"/>
  <c r="DX9" i="9" s="1"/>
  <c r="DZ9" i="9" s="1"/>
  <c r="X10" i="9"/>
  <c r="CI9" i="9"/>
  <c r="Z9" i="9"/>
  <c r="AC9" i="9" s="1"/>
  <c r="CJ8" i="9"/>
  <c r="AC8" i="9"/>
  <c r="AE8" i="9" s="1"/>
  <c r="DW12" i="9"/>
  <c r="HF7" i="9"/>
  <c r="HO7" i="9"/>
  <c r="CR7" i="9"/>
  <c r="DB10" i="9"/>
  <c r="DQ9" i="9"/>
  <c r="AI7" i="9"/>
  <c r="AJ7" i="9" s="1"/>
  <c r="AF7" i="9"/>
  <c r="DD8" i="9"/>
  <c r="FM8" i="9" s="1"/>
  <c r="EB10" i="9"/>
  <c r="FF9" i="9"/>
  <c r="BG8" i="9"/>
  <c r="AN9" i="9"/>
  <c r="BU9" i="9" s="1"/>
  <c r="BR8" i="9"/>
  <c r="BT8" i="9" s="1"/>
  <c r="BV8" i="9" s="1"/>
  <c r="BE8" i="9"/>
  <c r="HH9" i="9"/>
  <c r="HJ9" i="9" s="1"/>
  <c r="HI10" i="9"/>
  <c r="BY9" i="9"/>
  <c r="AD9" i="9"/>
  <c r="L11" i="9"/>
  <c r="M10" i="9"/>
  <c r="FW10" i="9"/>
  <c r="HK9" i="9"/>
  <c r="GQ9" i="9"/>
  <c r="GS9" i="9"/>
  <c r="DS4" i="9"/>
  <c r="CT4" i="9"/>
  <c r="GP8" i="9"/>
  <c r="HD7" i="8"/>
  <c r="AI6" i="8"/>
  <c r="AJ6" i="8" s="1"/>
  <c r="AF6" i="8"/>
  <c r="X9" i="8"/>
  <c r="CI8" i="8"/>
  <c r="AC8" i="8"/>
  <c r="BY8" i="8"/>
  <c r="AD8" i="8"/>
  <c r="AN10" i="8"/>
  <c r="BU10" i="8" s="1"/>
  <c r="BE9" i="8"/>
  <c r="BR9" i="8"/>
  <c r="BT9" i="8" s="1"/>
  <c r="BV9" i="8" s="1"/>
  <c r="BG9" i="8"/>
  <c r="HC8" i="8"/>
  <c r="GN9" i="8"/>
  <c r="HK8" i="8"/>
  <c r="GQ8" i="8"/>
  <c r="GP8" i="8" s="1"/>
  <c r="HF8" i="8" s="1"/>
  <c r="FW9" i="8"/>
  <c r="GS8" i="8"/>
  <c r="HH8" i="8"/>
  <c r="HJ8" i="8" s="1"/>
  <c r="GD9" i="8"/>
  <c r="Z10" i="8"/>
  <c r="CJ9" i="8"/>
  <c r="HI13" i="8"/>
  <c r="L10" i="8"/>
  <c r="M9" i="8"/>
  <c r="DW11" i="8"/>
  <c r="DB9" i="8"/>
  <c r="DD8" i="8"/>
  <c r="DQ8" i="8"/>
  <c r="DR8" i="8" s="1"/>
  <c r="DX9" i="8"/>
  <c r="DZ9" i="8" s="1"/>
  <c r="CK10" i="8"/>
  <c r="DV10" i="8" s="1"/>
  <c r="DG9" i="8"/>
  <c r="DE9" i="8"/>
  <c r="AH5" i="8"/>
  <c r="AK5" i="8" s="1"/>
  <c r="AL4" i="8"/>
  <c r="F4" i="8" s="1"/>
  <c r="E4" i="8"/>
  <c r="AE7" i="8"/>
  <c r="CR13" i="8"/>
  <c r="FW9" i="7"/>
  <c r="HK8" i="7"/>
  <c r="GS8" i="7"/>
  <c r="GQ8" i="7"/>
  <c r="GP8" i="7" s="1"/>
  <c r="HF8" i="7" s="1"/>
  <c r="HH8" i="7"/>
  <c r="HJ8" i="7" s="1"/>
  <c r="HC8" i="7"/>
  <c r="GN9" i="7"/>
  <c r="X10" i="7"/>
  <c r="CI9" i="7"/>
  <c r="L10" i="7"/>
  <c r="M9" i="7"/>
  <c r="AD8" i="7"/>
  <c r="AE8" i="7" s="1"/>
  <c r="BY8" i="7"/>
  <c r="HO7" i="7"/>
  <c r="HI12" i="7"/>
  <c r="GD8" i="7"/>
  <c r="CR7" i="7"/>
  <c r="HD7" i="7"/>
  <c r="E4" i="7"/>
  <c r="AL4" i="7"/>
  <c r="F4" i="7" s="1"/>
  <c r="AH5" i="7"/>
  <c r="AK5" i="7" s="1"/>
  <c r="AN9" i="7"/>
  <c r="BU9" i="7" s="1"/>
  <c r="BG8" i="7"/>
  <c r="BE8" i="7"/>
  <c r="BR8" i="7"/>
  <c r="BT8" i="7" s="1"/>
  <c r="BV8" i="7" s="1"/>
  <c r="GF6" i="7"/>
  <c r="DQ8" i="7"/>
  <c r="DB9" i="7"/>
  <c r="DW10" i="7"/>
  <c r="CU5" i="7"/>
  <c r="CS5" i="7"/>
  <c r="CR13" i="6"/>
  <c r="AS4" i="6"/>
  <c r="GD7" i="6"/>
  <c r="AC9" i="6"/>
  <c r="X10" i="6"/>
  <c r="CI9" i="6"/>
  <c r="HD8" i="6"/>
  <c r="DT7" i="6"/>
  <c r="EB10" i="6"/>
  <c r="FF9" i="6"/>
  <c r="DR8" i="6"/>
  <c r="FW10" i="6"/>
  <c r="HK9" i="6"/>
  <c r="GS9" i="6"/>
  <c r="GQ9" i="6"/>
  <c r="GP9" i="6" s="1"/>
  <c r="HF9" i="6" s="1"/>
  <c r="HH9" i="6"/>
  <c r="HJ9" i="6" s="1"/>
  <c r="DD8" i="6"/>
  <c r="FM8" i="6" s="1"/>
  <c r="GN10" i="6"/>
  <c r="HC9" i="6"/>
  <c r="DW12" i="6"/>
  <c r="BY9" i="6"/>
  <c r="AD9" i="6"/>
  <c r="HI12" i="6"/>
  <c r="CK10" i="6"/>
  <c r="DG9" i="6"/>
  <c r="DE9" i="6"/>
  <c r="DV9" i="6"/>
  <c r="DX9" i="6" s="1"/>
  <c r="DZ9" i="6" s="1"/>
  <c r="L11" i="6"/>
  <c r="M10" i="6"/>
  <c r="Z11" i="6"/>
  <c r="CJ10" i="6"/>
  <c r="AJ6" i="6"/>
  <c r="DB10" i="6"/>
  <c r="DQ9" i="6"/>
  <c r="AI7" i="6"/>
  <c r="AF7" i="6"/>
  <c r="AE8" i="6"/>
  <c r="AN10" i="6"/>
  <c r="BU10" i="6" s="1"/>
  <c r="BR9" i="6"/>
  <c r="BT9" i="6" s="1"/>
  <c r="BV9" i="6" s="1"/>
  <c r="BE9" i="6"/>
  <c r="BG9" i="6"/>
  <c r="HO8" i="6"/>
  <c r="HF7" i="6"/>
  <c r="HO7" i="6"/>
  <c r="AF7" i="5"/>
  <c r="L11" i="5"/>
  <c r="M10" i="5"/>
  <c r="BY9" i="5"/>
  <c r="AD9" i="5"/>
  <c r="CK10" i="5"/>
  <c r="DV9" i="5"/>
  <c r="DX9" i="5" s="1"/>
  <c r="DZ9" i="5" s="1"/>
  <c r="DE9" i="5"/>
  <c r="DG9" i="5"/>
  <c r="EB11" i="5"/>
  <c r="FF10" i="5"/>
  <c r="DW17" i="5"/>
  <c r="DT7" i="5"/>
  <c r="BE9" i="5"/>
  <c r="AN10" i="5"/>
  <c r="BU10" i="5" s="1"/>
  <c r="BR9" i="5"/>
  <c r="BT9" i="5" s="1"/>
  <c r="BV9" i="5" s="1"/>
  <c r="BG9" i="5"/>
  <c r="CR9" i="5"/>
  <c r="AE8" i="5"/>
  <c r="HF6" i="5"/>
  <c r="HO6" i="5"/>
  <c r="GD8" i="5"/>
  <c r="X10" i="5"/>
  <c r="CI9" i="5"/>
  <c r="AC9" i="5"/>
  <c r="Z10" i="5"/>
  <c r="CJ9" i="5"/>
  <c r="HD7" i="5"/>
  <c r="GP7" i="5"/>
  <c r="FW9" i="5"/>
  <c r="HK8" i="5"/>
  <c r="GS8" i="5"/>
  <c r="GQ8" i="5"/>
  <c r="HH8" i="5"/>
  <c r="HJ8" i="5" s="1"/>
  <c r="GN10" i="5"/>
  <c r="HC9" i="5"/>
  <c r="HI11" i="5"/>
  <c r="DZ7" i="3"/>
  <c r="DY8" i="3"/>
  <c r="DG8" i="3"/>
  <c r="DE8" i="3"/>
  <c r="DD8" i="3" s="1"/>
  <c r="GN9" i="3"/>
  <c r="HC8" i="3"/>
  <c r="GS8" i="3"/>
  <c r="GQ8" i="3"/>
  <c r="HO6" i="3"/>
  <c r="C2" i="3"/>
  <c r="CA3" i="3"/>
  <c r="GL7" i="3"/>
  <c r="Z9" i="3"/>
  <c r="CJ9" i="3" s="1"/>
  <c r="GP7" i="3"/>
  <c r="HF7" i="3" s="1"/>
  <c r="DB13" i="3"/>
  <c r="DQ8" i="3"/>
  <c r="GK11" i="3"/>
  <c r="GK12" i="3" s="1"/>
  <c r="GK13" i="3" s="1"/>
  <c r="GK14" i="3" s="1"/>
  <c r="GK15" i="3" s="1"/>
  <c r="GK16" i="3" s="1"/>
  <c r="GK17" i="3" s="1"/>
  <c r="GK18" i="3" s="1"/>
  <c r="GK19" i="3" s="1"/>
  <c r="GK20" i="3" s="1"/>
  <c r="GK21" i="3" s="1"/>
  <c r="EB10" i="3"/>
  <c r="FF9" i="3"/>
  <c r="CC3" i="3"/>
  <c r="DV8" i="3"/>
  <c r="DX8" i="3" s="1"/>
  <c r="BG8" i="3"/>
  <c r="BR8" i="3"/>
  <c r="BT8" i="3" s="1"/>
  <c r="BE8" i="3"/>
  <c r="BU8" i="3"/>
  <c r="DR7" i="3"/>
  <c r="BV7" i="3"/>
  <c r="FW9" i="3"/>
  <c r="AN9" i="3"/>
  <c r="FN3" i="3"/>
  <c r="AE7" i="3"/>
  <c r="BY9" i="3"/>
  <c r="AD9" i="3"/>
  <c r="AC8" i="3"/>
  <c r="AE8" i="3" s="1"/>
  <c r="L11" i="3"/>
  <c r="M10" i="3"/>
  <c r="X9" i="3"/>
  <c r="CI9" i="3" s="1"/>
  <c r="G2" i="3"/>
  <c r="DW10" i="3"/>
  <c r="CK9" i="3"/>
  <c r="BP8" i="3"/>
  <c r="HH8" i="3"/>
  <c r="HJ8" i="3" s="1"/>
  <c r="FR3" i="3" l="1"/>
  <c r="FS3" i="3" s="1"/>
  <c r="FO3" i="3"/>
  <c r="I3" i="9"/>
  <c r="HW3" i="9"/>
  <c r="J3" i="9" s="1"/>
  <c r="HV4" i="11"/>
  <c r="FT3" i="9"/>
  <c r="FQ4" i="9" s="1"/>
  <c r="C3" i="12"/>
  <c r="I3" i="7"/>
  <c r="HQ4" i="11"/>
  <c r="AI7" i="7"/>
  <c r="AJ7" i="7" s="1"/>
  <c r="HW3" i="7"/>
  <c r="J3" i="7" s="1"/>
  <c r="FT3" i="7"/>
  <c r="FO4" i="7" s="1"/>
  <c r="GB5" i="11"/>
  <c r="GC5" i="11" s="1"/>
  <c r="GG6" i="11" s="1"/>
  <c r="FS4" i="7"/>
  <c r="GF5" i="11"/>
  <c r="HV4" i="7"/>
  <c r="HW4" i="7" s="1"/>
  <c r="J4" i="7" s="1"/>
  <c r="GN9" i="10"/>
  <c r="HC8" i="10"/>
  <c r="DB9" i="5"/>
  <c r="DQ8" i="5"/>
  <c r="DR8" i="5" s="1"/>
  <c r="CJ9" i="7"/>
  <c r="Z10" i="7"/>
  <c r="HC8" i="9"/>
  <c r="HD8" i="9" s="1"/>
  <c r="GN9" i="9"/>
  <c r="HT5" i="7"/>
  <c r="HU5" i="7" s="1"/>
  <c r="GG5" i="9"/>
  <c r="GB5" i="9" s="1"/>
  <c r="CG3" i="12"/>
  <c r="D3" i="12" s="1"/>
  <c r="CC4" i="6"/>
  <c r="BC6" i="11"/>
  <c r="BC6" i="5"/>
  <c r="BB6" i="8"/>
  <c r="BC5" i="8"/>
  <c r="BC6" i="3"/>
  <c r="HT4" i="9"/>
  <c r="HU4" i="9" s="1"/>
  <c r="HQ4" i="9"/>
  <c r="HV4" i="9"/>
  <c r="CG3" i="6"/>
  <c r="D3" i="6" s="1"/>
  <c r="CG3" i="8"/>
  <c r="D3" i="8" s="1"/>
  <c r="C4" i="5"/>
  <c r="CA4" i="8"/>
  <c r="C3" i="8"/>
  <c r="CF4" i="8"/>
  <c r="CG4" i="8" s="1"/>
  <c r="AP5" i="8" s="1"/>
  <c r="AV5" i="8" s="1"/>
  <c r="C3" i="10"/>
  <c r="HN4" i="5"/>
  <c r="HP4" i="5" s="1"/>
  <c r="HT4" i="5" s="1"/>
  <c r="HU4" i="5" s="1"/>
  <c r="CG3" i="10"/>
  <c r="D3" i="10" s="1"/>
  <c r="CG4" i="5"/>
  <c r="CC5" i="5"/>
  <c r="AH6" i="10"/>
  <c r="AK6" i="10" s="1"/>
  <c r="AH7" i="10" s="1"/>
  <c r="AK7" i="10" s="1"/>
  <c r="G3" i="7"/>
  <c r="E5" i="10"/>
  <c r="HL8" i="10"/>
  <c r="DR7" i="7"/>
  <c r="AT4" i="10"/>
  <c r="AL6" i="9"/>
  <c r="F6" i="9" s="1"/>
  <c r="AH7" i="9"/>
  <c r="AK7" i="9" s="1"/>
  <c r="CD4" i="12"/>
  <c r="CE4" i="12" s="1"/>
  <c r="CA4" i="12"/>
  <c r="HL9" i="9"/>
  <c r="HL8" i="5"/>
  <c r="AT4" i="12"/>
  <c r="CF4" i="12"/>
  <c r="GG5" i="8"/>
  <c r="GB5" i="8" s="1"/>
  <c r="HN5" i="8" s="1"/>
  <c r="HP5" i="8" s="1"/>
  <c r="HW4" i="6"/>
  <c r="J4" i="6" s="1"/>
  <c r="I4" i="6"/>
  <c r="HD9" i="11"/>
  <c r="DT7" i="7"/>
  <c r="FM8" i="12"/>
  <c r="E6" i="9"/>
  <c r="AE8" i="8"/>
  <c r="AI8" i="11"/>
  <c r="HL9" i="6"/>
  <c r="HL8" i="8"/>
  <c r="AE9" i="10"/>
  <c r="AF8" i="11"/>
  <c r="DV9" i="12"/>
  <c r="DX9" i="12" s="1"/>
  <c r="DZ9" i="12" s="1"/>
  <c r="CK10" i="12"/>
  <c r="DG9" i="12"/>
  <c r="DE9" i="12"/>
  <c r="HL8" i="7"/>
  <c r="FF8" i="7"/>
  <c r="EB9" i="7"/>
  <c r="GB5" i="6"/>
  <c r="GC5" i="6" s="1"/>
  <c r="EB9" i="8"/>
  <c r="FF8" i="8"/>
  <c r="DV8" i="7"/>
  <c r="DX8" i="7" s="1"/>
  <c r="DZ8" i="7" s="1"/>
  <c r="DE8" i="7"/>
  <c r="DD8" i="7" s="1"/>
  <c r="DT8" i="7" s="1"/>
  <c r="CK9" i="7"/>
  <c r="DG8" i="7"/>
  <c r="BX4" i="7"/>
  <c r="BZ4" i="7" s="1"/>
  <c r="AT4" i="7"/>
  <c r="AE9" i="5"/>
  <c r="DR8" i="12"/>
  <c r="HL8" i="12"/>
  <c r="DT8" i="8"/>
  <c r="FM8" i="8"/>
  <c r="CS5" i="11"/>
  <c r="CT5" i="11" s="1"/>
  <c r="FL4" i="11"/>
  <c r="FN4" i="11" s="1"/>
  <c r="FR4" i="11" s="1"/>
  <c r="FS4" i="11" s="1"/>
  <c r="CQ4" i="5"/>
  <c r="CU5" i="5" s="1"/>
  <c r="G3" i="11"/>
  <c r="G3" i="12"/>
  <c r="CP4" i="6"/>
  <c r="CQ4" i="6" s="1"/>
  <c r="CS5" i="6" s="1"/>
  <c r="DT8" i="3"/>
  <c r="FM8" i="3"/>
  <c r="CT4" i="6"/>
  <c r="DS4" i="6"/>
  <c r="DR9" i="6"/>
  <c r="FT3" i="6"/>
  <c r="FQ4" i="10"/>
  <c r="FU3" i="10"/>
  <c r="FU3" i="12"/>
  <c r="FQ4" i="12"/>
  <c r="CQ4" i="12"/>
  <c r="FL4" i="12"/>
  <c r="FN4" i="12" s="1"/>
  <c r="GB6" i="3"/>
  <c r="GC6" i="3" s="1"/>
  <c r="GE7" i="3" s="1"/>
  <c r="GF7" i="3" s="1"/>
  <c r="HN5" i="11"/>
  <c r="HP5" i="11" s="1"/>
  <c r="HT5" i="11" s="1"/>
  <c r="HU5" i="11" s="1"/>
  <c r="HV3" i="5"/>
  <c r="I3" i="5" s="1"/>
  <c r="HN4" i="8"/>
  <c r="HP4" i="8" s="1"/>
  <c r="HQ4" i="10"/>
  <c r="I3" i="12"/>
  <c r="HS4" i="12"/>
  <c r="HV4" i="12" s="1"/>
  <c r="HV3" i="8"/>
  <c r="I3" i="8" s="1"/>
  <c r="I3" i="10"/>
  <c r="AJ7" i="10"/>
  <c r="GF5" i="8"/>
  <c r="G3" i="5"/>
  <c r="FU3" i="5"/>
  <c r="FQ4" i="5"/>
  <c r="FS3" i="8"/>
  <c r="FT3" i="8"/>
  <c r="HW3" i="12"/>
  <c r="J3" i="12" s="1"/>
  <c r="CD4" i="10"/>
  <c r="CE4" i="10" s="1"/>
  <c r="CA4" i="10"/>
  <c r="CF4" i="10"/>
  <c r="GG5" i="10"/>
  <c r="GE5" i="10"/>
  <c r="CF3" i="11"/>
  <c r="HQ4" i="12"/>
  <c r="C4" i="9"/>
  <c r="FR4" i="5"/>
  <c r="FS4" i="5" s="1"/>
  <c r="FO4" i="5"/>
  <c r="DS4" i="8"/>
  <c r="CT4" i="8"/>
  <c r="AS4" i="11"/>
  <c r="CP4" i="8"/>
  <c r="GB5" i="12"/>
  <c r="GC5" i="12" s="1"/>
  <c r="GG6" i="12" s="1"/>
  <c r="CS5" i="9"/>
  <c r="DS5" i="9" s="1"/>
  <c r="FL4" i="9"/>
  <c r="FN4" i="9" s="1"/>
  <c r="CG4" i="9"/>
  <c r="CC5" i="9"/>
  <c r="HO8" i="7"/>
  <c r="GB7" i="7"/>
  <c r="GC7" i="7" s="1"/>
  <c r="GE8" i="7" s="1"/>
  <c r="HE7" i="7"/>
  <c r="AJ7" i="6"/>
  <c r="AH7" i="6"/>
  <c r="AK7" i="6" s="1"/>
  <c r="E6" i="6"/>
  <c r="GF5" i="6"/>
  <c r="HE5" i="6"/>
  <c r="AL6" i="12"/>
  <c r="F6" i="12" s="1"/>
  <c r="AH7" i="12"/>
  <c r="AK7" i="12" s="1"/>
  <c r="E6" i="12"/>
  <c r="AF8" i="12"/>
  <c r="AI8" i="12"/>
  <c r="AJ8" i="12" s="1"/>
  <c r="BR9" i="12"/>
  <c r="BT9" i="12" s="1"/>
  <c r="BV9" i="12" s="1"/>
  <c r="AN10" i="12"/>
  <c r="BU10" i="12" s="1"/>
  <c r="BG9" i="12"/>
  <c r="BE9" i="12"/>
  <c r="CR11" i="12"/>
  <c r="HI12" i="12"/>
  <c r="DW12" i="12"/>
  <c r="EB11" i="12"/>
  <c r="FF10" i="12"/>
  <c r="GQ9" i="12"/>
  <c r="FW10" i="12"/>
  <c r="HK9" i="12"/>
  <c r="GS9" i="12"/>
  <c r="HH9" i="12"/>
  <c r="HJ9" i="12" s="1"/>
  <c r="GF5" i="12"/>
  <c r="HE5" i="12"/>
  <c r="HF7" i="12"/>
  <c r="HO7" i="12"/>
  <c r="AE9" i="12"/>
  <c r="AC10" i="12"/>
  <c r="X11" i="12"/>
  <c r="CI10" i="12"/>
  <c r="M11" i="12"/>
  <c r="L12" i="12"/>
  <c r="L13" i="12" s="1"/>
  <c r="CJ9" i="12"/>
  <c r="Z10" i="12"/>
  <c r="DQ10" i="12"/>
  <c r="DB11" i="12"/>
  <c r="GD11" i="12"/>
  <c r="AD10" i="12"/>
  <c r="BY10" i="12"/>
  <c r="HC10" i="12"/>
  <c r="GN11" i="12"/>
  <c r="HD8" i="12"/>
  <c r="GP8" i="12"/>
  <c r="HW4" i="11"/>
  <c r="HS5" i="11"/>
  <c r="I4" i="11"/>
  <c r="AD10" i="11"/>
  <c r="BY10" i="11"/>
  <c r="FW11" i="11"/>
  <c r="HK10" i="11"/>
  <c r="GQ10" i="11"/>
  <c r="GP10" i="11" s="1"/>
  <c r="HF10" i="11" s="1"/>
  <c r="GS10" i="11"/>
  <c r="HH10" i="11"/>
  <c r="HJ10" i="11" s="1"/>
  <c r="GD11" i="11"/>
  <c r="AH7" i="11"/>
  <c r="AK7" i="11" s="1"/>
  <c r="E6" i="11"/>
  <c r="AL6" i="11"/>
  <c r="F6" i="11" s="1"/>
  <c r="AJ7" i="11"/>
  <c r="DR8" i="11"/>
  <c r="DD8" i="11"/>
  <c r="FM8" i="11" s="1"/>
  <c r="AC10" i="11"/>
  <c r="X11" i="11"/>
  <c r="CI10" i="11"/>
  <c r="HF8" i="11"/>
  <c r="HO8" i="11"/>
  <c r="AE9" i="11"/>
  <c r="HC10" i="11"/>
  <c r="GN11" i="11"/>
  <c r="M11" i="11"/>
  <c r="L12" i="11"/>
  <c r="L13" i="11" s="1"/>
  <c r="GP9" i="11"/>
  <c r="DT7" i="11"/>
  <c r="DQ10" i="11"/>
  <c r="DB11" i="11"/>
  <c r="CR11" i="11"/>
  <c r="HL9" i="11"/>
  <c r="CK10" i="11"/>
  <c r="DG9" i="11"/>
  <c r="DE9" i="11"/>
  <c r="DV9" i="11"/>
  <c r="DX9" i="11" s="1"/>
  <c r="DZ9" i="11" s="1"/>
  <c r="DW12" i="11"/>
  <c r="HI13" i="11"/>
  <c r="Z11" i="11"/>
  <c r="CJ10" i="11"/>
  <c r="FU3" i="11"/>
  <c r="FQ4" i="11"/>
  <c r="AN11" i="11"/>
  <c r="BG10" i="11"/>
  <c r="BR10" i="11"/>
  <c r="BT10" i="11" s="1"/>
  <c r="BV10" i="11" s="1"/>
  <c r="BE10" i="11"/>
  <c r="EB11" i="11"/>
  <c r="FF10" i="11"/>
  <c r="AI8" i="10"/>
  <c r="AF8" i="10"/>
  <c r="DT9" i="10"/>
  <c r="DB11" i="10"/>
  <c r="DQ10" i="10"/>
  <c r="HI15" i="10"/>
  <c r="EB11" i="10"/>
  <c r="FF10" i="10"/>
  <c r="L12" i="10"/>
  <c r="L13" i="10" s="1"/>
  <c r="M11" i="10"/>
  <c r="BY10" i="10"/>
  <c r="AD10" i="10"/>
  <c r="HD8" i="10"/>
  <c r="GP8" i="10"/>
  <c r="DE10" i="10"/>
  <c r="CK11" i="10"/>
  <c r="DV11" i="10" s="1"/>
  <c r="DG10" i="10"/>
  <c r="DX10" i="10"/>
  <c r="DZ10" i="10" s="1"/>
  <c r="FL4" i="10"/>
  <c r="FN4" i="10" s="1"/>
  <c r="CQ4" i="10"/>
  <c r="BR9" i="10"/>
  <c r="BT9" i="10" s="1"/>
  <c r="BV9" i="10" s="1"/>
  <c r="AN10" i="10"/>
  <c r="BU10" i="10" s="1"/>
  <c r="BE9" i="10"/>
  <c r="BG9" i="10"/>
  <c r="DR9" i="10"/>
  <c r="DT8" i="10"/>
  <c r="HS4" i="10"/>
  <c r="HV4" i="10" s="1"/>
  <c r="HW3" i="10"/>
  <c r="J3" i="10" s="1"/>
  <c r="GQ9" i="10"/>
  <c r="FW10" i="10"/>
  <c r="HK9" i="10"/>
  <c r="GS9" i="10"/>
  <c r="HH9" i="10"/>
  <c r="HJ9" i="10" s="1"/>
  <c r="HF7" i="10"/>
  <c r="HO7" i="10"/>
  <c r="CR9" i="10"/>
  <c r="GD13" i="10"/>
  <c r="DW12" i="10"/>
  <c r="X11" i="10"/>
  <c r="CI10" i="10"/>
  <c r="Z10" i="10"/>
  <c r="AC10" i="10" s="1"/>
  <c r="CJ9" i="10"/>
  <c r="DT9" i="9"/>
  <c r="L12" i="9"/>
  <c r="L13" i="9" s="1"/>
  <c r="M11" i="9"/>
  <c r="FU3" i="9"/>
  <c r="DT8" i="9"/>
  <c r="HI11" i="9"/>
  <c r="HH10" i="9"/>
  <c r="HJ10" i="9" s="1"/>
  <c r="FW11" i="9"/>
  <c r="HK10" i="9"/>
  <c r="GS10" i="9"/>
  <c r="GQ10" i="9"/>
  <c r="X11" i="9"/>
  <c r="CI10" i="9"/>
  <c r="DQ10" i="9"/>
  <c r="DB11" i="9"/>
  <c r="HF8" i="9"/>
  <c r="HO8" i="9"/>
  <c r="AF8" i="9"/>
  <c r="AI8" i="9"/>
  <c r="AJ8" i="9" s="1"/>
  <c r="AD10" i="9"/>
  <c r="BY10" i="9"/>
  <c r="CR8" i="9"/>
  <c r="DR9" i="9"/>
  <c r="BE9" i="9"/>
  <c r="AN10" i="9"/>
  <c r="BU10" i="9" s="1"/>
  <c r="BR9" i="9"/>
  <c r="BT9" i="9" s="1"/>
  <c r="BV9" i="9" s="1"/>
  <c r="BG9" i="9"/>
  <c r="CK11" i="9"/>
  <c r="DG10" i="9"/>
  <c r="DE10" i="9"/>
  <c r="DV10" i="9"/>
  <c r="DX10" i="9" s="1"/>
  <c r="DZ10" i="9" s="1"/>
  <c r="EB11" i="9"/>
  <c r="FF10" i="9"/>
  <c r="DW13" i="9"/>
  <c r="AE9" i="9"/>
  <c r="HE5" i="9"/>
  <c r="GF5" i="9"/>
  <c r="CJ9" i="9"/>
  <c r="Z10" i="9"/>
  <c r="AC10" i="9" s="1"/>
  <c r="X10" i="8"/>
  <c r="CI9" i="8"/>
  <c r="AC9" i="8"/>
  <c r="CK11" i="8"/>
  <c r="DV11" i="8" s="1"/>
  <c r="DX10" i="8"/>
  <c r="DZ10" i="8" s="1"/>
  <c r="DE10" i="8"/>
  <c r="DG10" i="8"/>
  <c r="BY9" i="8"/>
  <c r="AD9" i="8"/>
  <c r="GD10" i="8"/>
  <c r="AN11" i="8"/>
  <c r="BR10" i="8"/>
  <c r="BT10" i="8" s="1"/>
  <c r="BV10" i="8" s="1"/>
  <c r="BG10" i="8"/>
  <c r="BE10" i="8"/>
  <c r="M10" i="8"/>
  <c r="L11" i="8"/>
  <c r="HO8" i="8"/>
  <c r="AI7" i="8"/>
  <c r="AJ7" i="8" s="1"/>
  <c r="AF7" i="8"/>
  <c r="DW12" i="8"/>
  <c r="AH6" i="8"/>
  <c r="AK6" i="8" s="1"/>
  <c r="E5" i="8"/>
  <c r="AL5" i="8"/>
  <c r="F5" i="8" s="1"/>
  <c r="Z11" i="8"/>
  <c r="CJ10" i="8"/>
  <c r="DD9" i="8"/>
  <c r="DQ9" i="8"/>
  <c r="DR9" i="8" s="1"/>
  <c r="DB10" i="8"/>
  <c r="HI14" i="8"/>
  <c r="HK9" i="8"/>
  <c r="GS9" i="8"/>
  <c r="GQ9" i="8"/>
  <c r="FW10" i="8"/>
  <c r="HH9" i="8"/>
  <c r="HJ9" i="8" s="1"/>
  <c r="CR14" i="8"/>
  <c r="HD8" i="8"/>
  <c r="HC9" i="8"/>
  <c r="GN10" i="8"/>
  <c r="AH6" i="7"/>
  <c r="AK6" i="7" s="1"/>
  <c r="AL5" i="7"/>
  <c r="F5" i="7" s="1"/>
  <c r="E5" i="7"/>
  <c r="DB10" i="7"/>
  <c r="DQ9" i="7"/>
  <c r="FW10" i="7"/>
  <c r="GQ9" i="7"/>
  <c r="HK9" i="7"/>
  <c r="GS9" i="7"/>
  <c r="HH9" i="7"/>
  <c r="HJ9" i="7" s="1"/>
  <c r="AN10" i="7"/>
  <c r="BU10" i="7" s="1"/>
  <c r="BR9" i="7"/>
  <c r="BT9" i="7" s="1"/>
  <c r="BV9" i="7" s="1"/>
  <c r="BG9" i="7"/>
  <c r="BE9" i="7"/>
  <c r="BY9" i="7"/>
  <c r="AD9" i="7"/>
  <c r="AE9" i="7" s="1"/>
  <c r="GF7" i="7"/>
  <c r="L11" i="7"/>
  <c r="M10" i="7"/>
  <c r="GN10" i="7"/>
  <c r="HC9" i="7"/>
  <c r="AI8" i="7"/>
  <c r="AF8" i="7"/>
  <c r="GD9" i="7"/>
  <c r="CP5" i="7"/>
  <c r="HD8" i="7"/>
  <c r="CR8" i="7"/>
  <c r="HI13" i="7"/>
  <c r="AC10" i="7"/>
  <c r="X11" i="7"/>
  <c r="CI10" i="7"/>
  <c r="DW11" i="7"/>
  <c r="DS5" i="7"/>
  <c r="CT5" i="7"/>
  <c r="HT6" i="7"/>
  <c r="HQ6" i="7"/>
  <c r="DD9" i="6"/>
  <c r="FM9" i="6" s="1"/>
  <c r="EB11" i="6"/>
  <c r="FF10" i="6"/>
  <c r="HC10" i="6"/>
  <c r="GN11" i="6"/>
  <c r="CK11" i="6"/>
  <c r="DG10" i="6"/>
  <c r="DE10" i="6"/>
  <c r="DV10" i="6"/>
  <c r="DX10" i="6" s="1"/>
  <c r="DZ10" i="6" s="1"/>
  <c r="CR14" i="6"/>
  <c r="HD9" i="6"/>
  <c r="CI10" i="6"/>
  <c r="AC10" i="6"/>
  <c r="X11" i="6"/>
  <c r="AL6" i="6"/>
  <c r="F6" i="6" s="1"/>
  <c r="HI13" i="6"/>
  <c r="BX4" i="6"/>
  <c r="BZ4" i="6" s="1"/>
  <c r="AT4" i="6"/>
  <c r="BE10" i="6"/>
  <c r="BR10" i="6"/>
  <c r="BT10" i="6" s="1"/>
  <c r="BV10" i="6" s="1"/>
  <c r="AN11" i="6"/>
  <c r="BG10" i="6"/>
  <c r="AE9" i="6"/>
  <c r="AI8" i="6"/>
  <c r="AF8" i="6"/>
  <c r="GD8" i="6"/>
  <c r="DT8" i="6"/>
  <c r="Z12" i="6"/>
  <c r="CJ11" i="6"/>
  <c r="HO9" i="6"/>
  <c r="BY10" i="6"/>
  <c r="AD10" i="6"/>
  <c r="M11" i="6"/>
  <c r="L12" i="6"/>
  <c r="L13" i="6" s="1"/>
  <c r="DW13" i="6"/>
  <c r="GS10" i="6"/>
  <c r="FW11" i="6"/>
  <c r="GQ10" i="6"/>
  <c r="HK10" i="6"/>
  <c r="HH10" i="6"/>
  <c r="HJ10" i="6" s="1"/>
  <c r="DB11" i="6"/>
  <c r="DQ10" i="6"/>
  <c r="HF7" i="5"/>
  <c r="HO7" i="5"/>
  <c r="CJ10" i="5"/>
  <c r="Z11" i="5"/>
  <c r="AL6" i="5"/>
  <c r="F6" i="5" s="1"/>
  <c r="AH7" i="5"/>
  <c r="AK7" i="5" s="1"/>
  <c r="E6" i="5"/>
  <c r="CI10" i="5"/>
  <c r="X11" i="5"/>
  <c r="AC10" i="5"/>
  <c r="GD9" i="5"/>
  <c r="EB12" i="5"/>
  <c r="FF11" i="5"/>
  <c r="DE10" i="5"/>
  <c r="CK11" i="5"/>
  <c r="DG10" i="5"/>
  <c r="DV10" i="5"/>
  <c r="DX10" i="5" s="1"/>
  <c r="DZ10" i="5" s="1"/>
  <c r="GN11" i="5"/>
  <c r="HC10" i="5"/>
  <c r="HD8" i="5"/>
  <c r="GP8" i="5"/>
  <c r="GG5" i="5"/>
  <c r="GE5" i="5"/>
  <c r="BY10" i="5"/>
  <c r="AD10" i="5"/>
  <c r="L12" i="5"/>
  <c r="L13" i="5" s="1"/>
  <c r="M11" i="5"/>
  <c r="BE10" i="5"/>
  <c r="AN11" i="5"/>
  <c r="BR10" i="5"/>
  <c r="BT10" i="5" s="1"/>
  <c r="BV10" i="5" s="1"/>
  <c r="BG10" i="5"/>
  <c r="FW10" i="5"/>
  <c r="HK9" i="5"/>
  <c r="GS9" i="5"/>
  <c r="GQ9" i="5"/>
  <c r="HH9" i="5"/>
  <c r="HJ9" i="5" s="1"/>
  <c r="HI12" i="5"/>
  <c r="AI8" i="5"/>
  <c r="AJ8" i="5" s="1"/>
  <c r="AF8" i="5"/>
  <c r="CR10" i="5"/>
  <c r="DD9" i="5"/>
  <c r="FM9" i="5" s="1"/>
  <c r="DW18" i="5"/>
  <c r="DV9" i="3"/>
  <c r="DX9" i="3" s="1"/>
  <c r="DZ9" i="3" s="1"/>
  <c r="DG9" i="3"/>
  <c r="DE9" i="3"/>
  <c r="DD9" i="3" s="1"/>
  <c r="GN10" i="3"/>
  <c r="HC9" i="3"/>
  <c r="GQ9" i="3"/>
  <c r="GS9" i="3"/>
  <c r="DZ8" i="3"/>
  <c r="HO7" i="3"/>
  <c r="GL8" i="3"/>
  <c r="Z10" i="3"/>
  <c r="CJ10" i="3" s="1"/>
  <c r="GP8" i="3"/>
  <c r="HF8" i="3" s="1"/>
  <c r="DB14" i="3"/>
  <c r="DQ9" i="3"/>
  <c r="EB11" i="3"/>
  <c r="FF10" i="3"/>
  <c r="BR9" i="3"/>
  <c r="BT9" i="3" s="1"/>
  <c r="BE9" i="3"/>
  <c r="BG9" i="3"/>
  <c r="BV8" i="3"/>
  <c r="BU9" i="3"/>
  <c r="DR8" i="3"/>
  <c r="X10" i="3"/>
  <c r="CI10" i="3" s="1"/>
  <c r="AN10" i="3"/>
  <c r="FW10" i="3"/>
  <c r="FN4" i="3"/>
  <c r="AC9" i="3"/>
  <c r="AE9" i="3" s="1"/>
  <c r="BY10" i="3"/>
  <c r="AD10" i="3"/>
  <c r="L12" i="3"/>
  <c r="M11" i="3"/>
  <c r="FQ3" i="3"/>
  <c r="DW11" i="3"/>
  <c r="BP9" i="3"/>
  <c r="CK10" i="3"/>
  <c r="HH9" i="3"/>
  <c r="HJ9" i="3" s="1"/>
  <c r="FT3" i="3" l="1"/>
  <c r="G3" i="3" s="1"/>
  <c r="J4" i="11"/>
  <c r="FU3" i="7"/>
  <c r="FQ4" i="7"/>
  <c r="FT4" i="7" s="1"/>
  <c r="FU4" i="7" s="1"/>
  <c r="G3" i="9"/>
  <c r="GE6" i="11"/>
  <c r="HE6" i="11" s="1"/>
  <c r="I4" i="7"/>
  <c r="HS5" i="7"/>
  <c r="HV5" i="7" s="1"/>
  <c r="HC9" i="9"/>
  <c r="HD9" i="9" s="1"/>
  <c r="GN10" i="9"/>
  <c r="Z11" i="7"/>
  <c r="CJ10" i="7"/>
  <c r="GP9" i="9"/>
  <c r="DQ9" i="5"/>
  <c r="DR9" i="5" s="1"/>
  <c r="DB10" i="5"/>
  <c r="GN10" i="10"/>
  <c r="HC9" i="10"/>
  <c r="AI8" i="8"/>
  <c r="AJ8" i="8" s="1"/>
  <c r="I4" i="9"/>
  <c r="D4" i="9"/>
  <c r="AP5" i="9"/>
  <c r="AV5" i="9" s="1"/>
  <c r="BC6" i="8"/>
  <c r="D4" i="5"/>
  <c r="AP5" i="5"/>
  <c r="AV5" i="5" s="1"/>
  <c r="HW4" i="9"/>
  <c r="J4" i="9" s="1"/>
  <c r="HS5" i="9"/>
  <c r="D4" i="8"/>
  <c r="C4" i="8"/>
  <c r="CC5" i="8"/>
  <c r="AI9" i="5"/>
  <c r="AJ9" i="5" s="1"/>
  <c r="HQ4" i="5"/>
  <c r="HQ4" i="8"/>
  <c r="HQ5" i="8" s="1"/>
  <c r="E6" i="10"/>
  <c r="AL6" i="10"/>
  <c r="F6" i="10" s="1"/>
  <c r="HW4" i="12"/>
  <c r="J4" i="12" s="1"/>
  <c r="HS5" i="12"/>
  <c r="I4" i="12"/>
  <c r="CG4" i="12"/>
  <c r="HW3" i="5"/>
  <c r="J3" i="5" s="1"/>
  <c r="AJ8" i="7"/>
  <c r="AJ8" i="6"/>
  <c r="GG7" i="3"/>
  <c r="GB7" i="3" s="1"/>
  <c r="GC7" i="3" s="1"/>
  <c r="C4" i="12"/>
  <c r="CC5" i="12"/>
  <c r="AJ8" i="11"/>
  <c r="HL10" i="6"/>
  <c r="HD10" i="6"/>
  <c r="AI9" i="10"/>
  <c r="GC5" i="8"/>
  <c r="GE6" i="8" s="1"/>
  <c r="FM8" i="7"/>
  <c r="CS5" i="5"/>
  <c r="CT5" i="5" s="1"/>
  <c r="AJ8" i="10"/>
  <c r="HN5" i="6"/>
  <c r="HP5" i="6" s="1"/>
  <c r="HT5" i="6" s="1"/>
  <c r="HL10" i="9"/>
  <c r="HL9" i="5"/>
  <c r="AE10" i="6"/>
  <c r="DR8" i="7"/>
  <c r="HL9" i="7"/>
  <c r="AE10" i="9"/>
  <c r="EB10" i="8"/>
  <c r="FF9" i="8"/>
  <c r="C4" i="10"/>
  <c r="HL9" i="8"/>
  <c r="FF9" i="7"/>
  <c r="EB10" i="7"/>
  <c r="DR9" i="12"/>
  <c r="DD9" i="12"/>
  <c r="HL9" i="10"/>
  <c r="DG10" i="12"/>
  <c r="DE10" i="12"/>
  <c r="DD10" i="12" s="1"/>
  <c r="DT10" i="12" s="1"/>
  <c r="CK11" i="12"/>
  <c r="DV10" i="12"/>
  <c r="DX10" i="12" s="1"/>
  <c r="DZ10" i="12" s="1"/>
  <c r="CF4" i="7"/>
  <c r="CD4" i="7"/>
  <c r="CE4" i="7" s="1"/>
  <c r="CA4" i="7"/>
  <c r="FO4" i="11"/>
  <c r="CK10" i="7"/>
  <c r="DE9" i="7"/>
  <c r="DD9" i="7" s="1"/>
  <c r="DT9" i="7" s="1"/>
  <c r="DG9" i="7"/>
  <c r="DV9" i="7"/>
  <c r="DX9" i="7" s="1"/>
  <c r="DZ9" i="7" s="1"/>
  <c r="FT4" i="11"/>
  <c r="FQ5" i="11" s="1"/>
  <c r="CU5" i="6"/>
  <c r="CP5" i="6" s="1"/>
  <c r="CQ5" i="6" s="1"/>
  <c r="DT9" i="8"/>
  <c r="FM9" i="8"/>
  <c r="FL4" i="6"/>
  <c r="FN4" i="6" s="1"/>
  <c r="DS5" i="11"/>
  <c r="CP5" i="11"/>
  <c r="CQ5" i="11" s="1"/>
  <c r="CU6" i="11" s="1"/>
  <c r="CP5" i="9"/>
  <c r="CQ5" i="9" s="1"/>
  <c r="FT4" i="5"/>
  <c r="G4" i="5" s="1"/>
  <c r="DR10" i="10"/>
  <c r="DT9" i="3"/>
  <c r="FM9" i="3"/>
  <c r="DR10" i="9"/>
  <c r="FU3" i="6"/>
  <c r="FQ4" i="6"/>
  <c r="G3" i="6"/>
  <c r="FT4" i="12"/>
  <c r="FQ5" i="12" s="1"/>
  <c r="FO4" i="12"/>
  <c r="FR4" i="12"/>
  <c r="FS4" i="12" s="1"/>
  <c r="CU5" i="12"/>
  <c r="CS5" i="12"/>
  <c r="HT4" i="8"/>
  <c r="HU4" i="8" s="1"/>
  <c r="HS4" i="5"/>
  <c r="HV4" i="5" s="1"/>
  <c r="HW4" i="5" s="1"/>
  <c r="HQ5" i="11"/>
  <c r="I4" i="10"/>
  <c r="GB5" i="10"/>
  <c r="GC5" i="10" s="1"/>
  <c r="HV5" i="11"/>
  <c r="HW5" i="11" s="1"/>
  <c r="GF6" i="11"/>
  <c r="GG8" i="7"/>
  <c r="GB8" i="7" s="1"/>
  <c r="GC8" i="7" s="1"/>
  <c r="HS4" i="8"/>
  <c r="HV4" i="8" s="1"/>
  <c r="HW3" i="8"/>
  <c r="J3" i="8" s="1"/>
  <c r="FT4" i="9"/>
  <c r="FQ5" i="9" s="1"/>
  <c r="CG3" i="11"/>
  <c r="D3" i="11" s="1"/>
  <c r="CC4" i="11"/>
  <c r="C3" i="11"/>
  <c r="CQ4" i="8"/>
  <c r="FL4" i="8"/>
  <c r="FN4" i="8" s="1"/>
  <c r="G3" i="8"/>
  <c r="FQ4" i="8"/>
  <c r="FU3" i="8"/>
  <c r="BX4" i="11"/>
  <c r="BZ4" i="11" s="1"/>
  <c r="AT4" i="11"/>
  <c r="GF5" i="10"/>
  <c r="HE5" i="10"/>
  <c r="CG4" i="10"/>
  <c r="CC5" i="10"/>
  <c r="AE10" i="5"/>
  <c r="AE10" i="12"/>
  <c r="HL9" i="12"/>
  <c r="GE6" i="12"/>
  <c r="HE6" i="12" s="1"/>
  <c r="HN5" i="12"/>
  <c r="HP5" i="12" s="1"/>
  <c r="HT5" i="12" s="1"/>
  <c r="HU5" i="12" s="1"/>
  <c r="HL10" i="11"/>
  <c r="CT5" i="9"/>
  <c r="FO4" i="9"/>
  <c r="FR4" i="9"/>
  <c r="FS4" i="9" s="1"/>
  <c r="AE9" i="8"/>
  <c r="HD9" i="7"/>
  <c r="HE8" i="7"/>
  <c r="HN7" i="7"/>
  <c r="HP7" i="7" s="1"/>
  <c r="HT7" i="7" s="1"/>
  <c r="AH8" i="6"/>
  <c r="AK8" i="6" s="1"/>
  <c r="E7" i="6"/>
  <c r="AL7" i="6"/>
  <c r="F7" i="6" s="1"/>
  <c r="GG6" i="6"/>
  <c r="GE6" i="6"/>
  <c r="HE6" i="6" s="1"/>
  <c r="AF9" i="5"/>
  <c r="GB5" i="5"/>
  <c r="M12" i="12"/>
  <c r="BY11" i="12"/>
  <c r="AD11" i="12"/>
  <c r="GD12" i="12"/>
  <c r="DQ11" i="12"/>
  <c r="DB12" i="12"/>
  <c r="AN11" i="12"/>
  <c r="BG10" i="12"/>
  <c r="BR10" i="12"/>
  <c r="BT10" i="12" s="1"/>
  <c r="BV10" i="12" s="1"/>
  <c r="BE10" i="12"/>
  <c r="DW13" i="12"/>
  <c r="E7" i="12"/>
  <c r="AL7" i="12"/>
  <c r="F7" i="12" s="1"/>
  <c r="AH8" i="12"/>
  <c r="AK8" i="12" s="1"/>
  <c r="HF8" i="12"/>
  <c r="HO8" i="12"/>
  <c r="FW11" i="12"/>
  <c r="HK10" i="12"/>
  <c r="GS10" i="12"/>
  <c r="GQ10" i="12"/>
  <c r="HH10" i="12"/>
  <c r="HJ10" i="12" s="1"/>
  <c r="HD9" i="12"/>
  <c r="GP9" i="12"/>
  <c r="CJ10" i="12"/>
  <c r="Z11" i="12"/>
  <c r="AC11" i="12"/>
  <c r="X12" i="12"/>
  <c r="CI11" i="12"/>
  <c r="CR12" i="12"/>
  <c r="HI13" i="12"/>
  <c r="GN12" i="12"/>
  <c r="HC11" i="12"/>
  <c r="AI9" i="12"/>
  <c r="AJ9" i="12" s="1"/>
  <c r="AF9" i="12"/>
  <c r="EB12" i="12"/>
  <c r="FF11" i="12"/>
  <c r="L14" i="12"/>
  <c r="M13" i="12"/>
  <c r="E7" i="11"/>
  <c r="AL7" i="11"/>
  <c r="F7" i="11" s="1"/>
  <c r="AH8" i="11"/>
  <c r="AK8" i="11" s="1"/>
  <c r="HD10" i="11"/>
  <c r="AI9" i="11"/>
  <c r="AF9" i="11"/>
  <c r="EB12" i="11"/>
  <c r="FF11" i="11"/>
  <c r="DR9" i="11"/>
  <c r="DD9" i="11"/>
  <c r="FM9" i="11" s="1"/>
  <c r="GD12" i="11"/>
  <c r="CK11" i="11"/>
  <c r="DE10" i="11"/>
  <c r="DG10" i="11"/>
  <c r="DV10" i="11"/>
  <c r="DX10" i="11" s="1"/>
  <c r="DZ10" i="11" s="1"/>
  <c r="CR12" i="11"/>
  <c r="CI11" i="11"/>
  <c r="AC11" i="11"/>
  <c r="X12" i="11"/>
  <c r="HK11" i="11"/>
  <c r="GQ11" i="11"/>
  <c r="FW12" i="11"/>
  <c r="GS11" i="11"/>
  <c r="HH11" i="11"/>
  <c r="HJ11" i="11" s="1"/>
  <c r="AE10" i="11"/>
  <c r="HI14" i="11"/>
  <c r="HF9" i="11"/>
  <c r="HO9" i="11"/>
  <c r="HO10" i="11"/>
  <c r="DB12" i="11"/>
  <c r="DQ11" i="11"/>
  <c r="Z12" i="11"/>
  <c r="CJ11" i="11"/>
  <c r="DT8" i="11"/>
  <c r="BR11" i="11"/>
  <c r="BT11" i="11" s="1"/>
  <c r="BV11" i="11" s="1"/>
  <c r="AN12" i="11"/>
  <c r="BG11" i="11"/>
  <c r="BE11" i="11"/>
  <c r="DW13" i="11"/>
  <c r="M12" i="11"/>
  <c r="BY11" i="11"/>
  <c r="AD11" i="11"/>
  <c r="L14" i="11"/>
  <c r="M13" i="11"/>
  <c r="GN12" i="11"/>
  <c r="HC11" i="11"/>
  <c r="AL7" i="10"/>
  <c r="F7" i="10" s="1"/>
  <c r="AH8" i="10"/>
  <c r="AK8" i="10" s="1"/>
  <c r="E7" i="10"/>
  <c r="DW13" i="10"/>
  <c r="HK10" i="10"/>
  <c r="GS10" i="10"/>
  <c r="FW11" i="10"/>
  <c r="GQ10" i="10"/>
  <c r="HH10" i="10"/>
  <c r="HJ10" i="10" s="1"/>
  <c r="HI16" i="10"/>
  <c r="AF9" i="10"/>
  <c r="HD9" i="10"/>
  <c r="GP9" i="10"/>
  <c r="X12" i="10"/>
  <c r="CI11" i="10"/>
  <c r="EB12" i="10"/>
  <c r="FF11" i="10"/>
  <c r="HF8" i="10"/>
  <c r="HO8" i="10"/>
  <c r="GD14" i="10"/>
  <c r="CU5" i="10"/>
  <c r="CS5" i="10"/>
  <c r="AE10" i="10"/>
  <c r="FT4" i="10"/>
  <c r="FR4" i="10"/>
  <c r="FS4" i="10" s="1"/>
  <c r="FO4" i="10"/>
  <c r="AN11" i="10"/>
  <c r="BE10" i="10"/>
  <c r="BG10" i="10"/>
  <c r="BR10" i="10"/>
  <c r="BT10" i="10" s="1"/>
  <c r="BV10" i="10" s="1"/>
  <c r="CR10" i="10"/>
  <c r="DD10" i="10"/>
  <c r="FM10" i="10" s="1"/>
  <c r="HS5" i="10"/>
  <c r="HW4" i="10"/>
  <c r="J4" i="10" s="1"/>
  <c r="DQ11" i="10"/>
  <c r="DB12" i="10"/>
  <c r="Z11" i="10"/>
  <c r="CJ10" i="10"/>
  <c r="BY11" i="10"/>
  <c r="M12" i="10"/>
  <c r="AD11" i="10"/>
  <c r="DX11" i="10"/>
  <c r="DZ11" i="10" s="1"/>
  <c r="DG11" i="10"/>
  <c r="DE11" i="10"/>
  <c r="DD11" i="10" s="1"/>
  <c r="CK12" i="10"/>
  <c r="L14" i="10"/>
  <c r="M13" i="10"/>
  <c r="CK12" i="9"/>
  <c r="DG11" i="9"/>
  <c r="DE11" i="9"/>
  <c r="DD11" i="9" s="1"/>
  <c r="DV11" i="9"/>
  <c r="DX11" i="9" s="1"/>
  <c r="DZ11" i="9" s="1"/>
  <c r="DD10" i="9"/>
  <c r="FM10" i="9" s="1"/>
  <c r="HH11" i="9"/>
  <c r="HJ11" i="9" s="1"/>
  <c r="HI12" i="9"/>
  <c r="DW14" i="9"/>
  <c r="CI11" i="9"/>
  <c r="X12" i="9"/>
  <c r="E7" i="9"/>
  <c r="AH8" i="9"/>
  <c r="AK8" i="9" s="1"/>
  <c r="AL7" i="9"/>
  <c r="F7" i="9" s="1"/>
  <c r="AN11" i="9"/>
  <c r="BG10" i="9"/>
  <c r="BE10" i="9"/>
  <c r="BR10" i="9"/>
  <c r="BT10" i="9" s="1"/>
  <c r="BV10" i="9" s="1"/>
  <c r="DB12" i="9"/>
  <c r="DQ11" i="9"/>
  <c r="CR9" i="9"/>
  <c r="AI9" i="9"/>
  <c r="AJ9" i="9" s="1"/>
  <c r="AF9" i="9"/>
  <c r="M12" i="9"/>
  <c r="AD11" i="9"/>
  <c r="BY11" i="9"/>
  <c r="M13" i="9"/>
  <c r="L14" i="9"/>
  <c r="HN5" i="9"/>
  <c r="HP5" i="9" s="1"/>
  <c r="GC5" i="9"/>
  <c r="Z11" i="9"/>
  <c r="CJ10" i="9"/>
  <c r="FF11" i="9"/>
  <c r="EB12" i="9"/>
  <c r="GP10" i="9"/>
  <c r="HK11" i="9"/>
  <c r="GS11" i="9"/>
  <c r="GQ11" i="9"/>
  <c r="FW12" i="9"/>
  <c r="AH7" i="8"/>
  <c r="AK7" i="8" s="1"/>
  <c r="AL6" i="8"/>
  <c r="F6" i="8" s="1"/>
  <c r="E6" i="8"/>
  <c r="DB11" i="8"/>
  <c r="DD10" i="8"/>
  <c r="DQ10" i="8"/>
  <c r="DR10" i="8" s="1"/>
  <c r="CR15" i="8"/>
  <c r="AF8" i="8"/>
  <c r="HI15" i="8"/>
  <c r="CK12" i="8"/>
  <c r="DV12" i="8" s="1"/>
  <c r="DX11" i="8"/>
  <c r="DZ11" i="8" s="1"/>
  <c r="DG11" i="8"/>
  <c r="DE11" i="8"/>
  <c r="BE11" i="8"/>
  <c r="AN12" i="8"/>
  <c r="BG11" i="8"/>
  <c r="BR11" i="8"/>
  <c r="BT11" i="8" s="1"/>
  <c r="BV11" i="8" s="1"/>
  <c r="GD11" i="8"/>
  <c r="M11" i="8"/>
  <c r="L12" i="8"/>
  <c r="L13" i="8" s="1"/>
  <c r="HC10" i="8"/>
  <c r="GN11" i="8"/>
  <c r="HK10" i="8"/>
  <c r="GS10" i="8"/>
  <c r="GQ10" i="8"/>
  <c r="GP10" i="8" s="1"/>
  <c r="FW11" i="8"/>
  <c r="HH10" i="8"/>
  <c r="HJ10" i="8" s="1"/>
  <c r="HD9" i="8"/>
  <c r="CI10" i="8"/>
  <c r="AC10" i="8"/>
  <c r="X11" i="8"/>
  <c r="AD10" i="8"/>
  <c r="BY10" i="8"/>
  <c r="GP9" i="8"/>
  <c r="CJ11" i="8"/>
  <c r="Z12" i="8"/>
  <c r="DW13" i="8"/>
  <c r="GP9" i="7"/>
  <c r="HK10" i="7"/>
  <c r="FW11" i="7"/>
  <c r="GS10" i="7"/>
  <c r="GQ10" i="7"/>
  <c r="HH10" i="7"/>
  <c r="HJ10" i="7" s="1"/>
  <c r="GD10" i="7"/>
  <c r="DQ10" i="7"/>
  <c r="DB11" i="7"/>
  <c r="AD10" i="7"/>
  <c r="AE10" i="7" s="1"/>
  <c r="BY10" i="7"/>
  <c r="HU6" i="7"/>
  <c r="DW12" i="7"/>
  <c r="AC11" i="7"/>
  <c r="CI11" i="7"/>
  <c r="X12" i="7"/>
  <c r="M11" i="7"/>
  <c r="L12" i="7"/>
  <c r="L13" i="7" s="1"/>
  <c r="FL5" i="7"/>
  <c r="FN5" i="7" s="1"/>
  <c r="CQ5" i="7"/>
  <c r="HC10" i="7"/>
  <c r="GN11" i="7"/>
  <c r="GF8" i="7"/>
  <c r="HI14" i="7"/>
  <c r="BR10" i="7"/>
  <c r="BT10" i="7" s="1"/>
  <c r="BV10" i="7" s="1"/>
  <c r="AN11" i="7"/>
  <c r="BE10" i="7"/>
  <c r="BG10" i="7"/>
  <c r="AH7" i="7"/>
  <c r="AK7" i="7" s="1"/>
  <c r="AL6" i="7"/>
  <c r="F6" i="7" s="1"/>
  <c r="E6" i="7"/>
  <c r="AI9" i="7"/>
  <c r="AF9" i="7"/>
  <c r="CR9" i="7"/>
  <c r="GD9" i="6"/>
  <c r="CF4" i="6"/>
  <c r="CD4" i="6"/>
  <c r="CE4" i="6" s="1"/>
  <c r="CA4" i="6"/>
  <c r="CR15" i="6"/>
  <c r="DW14" i="6"/>
  <c r="L14" i="6"/>
  <c r="M13" i="6"/>
  <c r="DT9" i="6"/>
  <c r="DR10" i="6"/>
  <c r="FW12" i="6"/>
  <c r="HK11" i="6"/>
  <c r="GS11" i="6"/>
  <c r="GQ11" i="6"/>
  <c r="HH11" i="6"/>
  <c r="HJ11" i="6" s="1"/>
  <c r="DD10" i="6"/>
  <c r="FM10" i="6" s="1"/>
  <c r="FF11" i="6"/>
  <c r="EB12" i="6"/>
  <c r="DQ11" i="6"/>
  <c r="DB12" i="6"/>
  <c r="AC11" i="6"/>
  <c r="CI11" i="6"/>
  <c r="X12" i="6"/>
  <c r="AI9" i="6"/>
  <c r="AF9" i="6"/>
  <c r="DG11" i="6"/>
  <c r="DE11" i="6"/>
  <c r="CK12" i="6"/>
  <c r="DV11" i="6"/>
  <c r="DX11" i="6" s="1"/>
  <c r="DZ11" i="6" s="1"/>
  <c r="HI14" i="6"/>
  <c r="AD11" i="6"/>
  <c r="M12" i="6"/>
  <c r="BY11" i="6"/>
  <c r="HC11" i="6"/>
  <c r="GN12" i="6"/>
  <c r="Z13" i="6"/>
  <c r="CJ12" i="6"/>
  <c r="BG11" i="6"/>
  <c r="BE11" i="6"/>
  <c r="AN12" i="6"/>
  <c r="BR11" i="6"/>
  <c r="BT11" i="6" s="1"/>
  <c r="BV11" i="6" s="1"/>
  <c r="GP10" i="6"/>
  <c r="DS5" i="6"/>
  <c r="CT5" i="6"/>
  <c r="DT9" i="5"/>
  <c r="AN12" i="5"/>
  <c r="BE11" i="5"/>
  <c r="BR11" i="5"/>
  <c r="BT11" i="5" s="1"/>
  <c r="BV11" i="5" s="1"/>
  <c r="BG11" i="5"/>
  <c r="AL7" i="5"/>
  <c r="F7" i="5" s="1"/>
  <c r="E7" i="5"/>
  <c r="AH8" i="5"/>
  <c r="AK8" i="5" s="1"/>
  <c r="HI13" i="5"/>
  <c r="CR11" i="5"/>
  <c r="M12" i="5"/>
  <c r="BY11" i="5"/>
  <c r="AD11" i="5"/>
  <c r="HC11" i="5"/>
  <c r="GN12" i="5"/>
  <c r="HD9" i="5"/>
  <c r="GP9" i="5"/>
  <c r="HF8" i="5"/>
  <c r="HO8" i="5"/>
  <c r="GD10" i="5"/>
  <c r="L14" i="5"/>
  <c r="M13" i="5"/>
  <c r="EB13" i="5"/>
  <c r="FF12" i="5"/>
  <c r="DD10" i="5"/>
  <c r="FM10" i="5" s="1"/>
  <c r="FW11" i="5"/>
  <c r="HK10" i="5"/>
  <c r="GS10" i="5"/>
  <c r="GQ10" i="5"/>
  <c r="HH10" i="5"/>
  <c r="HJ10" i="5" s="1"/>
  <c r="X12" i="5"/>
  <c r="AC11" i="5"/>
  <c r="CI11" i="5"/>
  <c r="Z12" i="5"/>
  <c r="CJ11" i="5"/>
  <c r="HE5" i="5"/>
  <c r="GF5" i="5"/>
  <c r="DW19" i="5"/>
  <c r="CK12" i="5"/>
  <c r="DG11" i="5"/>
  <c r="DE11" i="5"/>
  <c r="DV11" i="5"/>
  <c r="DX11" i="5" s="1"/>
  <c r="DZ11" i="5" s="1"/>
  <c r="GQ10" i="3"/>
  <c r="GS10" i="3"/>
  <c r="GN11" i="3"/>
  <c r="GN12" i="3" s="1"/>
  <c r="GN13" i="3" s="1"/>
  <c r="GN14" i="3" s="1"/>
  <c r="GN15" i="3" s="1"/>
  <c r="GN16" i="3" s="1"/>
  <c r="GN17" i="3" s="1"/>
  <c r="GN18" i="3" s="1"/>
  <c r="HC10" i="3"/>
  <c r="DV10" i="3"/>
  <c r="DX10" i="3" s="1"/>
  <c r="DZ10" i="3" s="1"/>
  <c r="DE10" i="3"/>
  <c r="DD10" i="3" s="1"/>
  <c r="DG10" i="3"/>
  <c r="GL9" i="3"/>
  <c r="GL10" i="3" s="1"/>
  <c r="GL11" i="3" s="1"/>
  <c r="GL12" i="3" s="1"/>
  <c r="GL13" i="3" s="1"/>
  <c r="GL14" i="3" s="1"/>
  <c r="GL15" i="3" s="1"/>
  <c r="GL16" i="3" s="1"/>
  <c r="GL17" i="3" s="1"/>
  <c r="GL18" i="3" s="1"/>
  <c r="GL19" i="3" s="1"/>
  <c r="GL20" i="3" s="1"/>
  <c r="GL21" i="3" s="1"/>
  <c r="Z11" i="3"/>
  <c r="CJ11" i="3" s="1"/>
  <c r="HB47" i="3"/>
  <c r="HB31" i="3"/>
  <c r="HB48" i="3"/>
  <c r="HB15" i="3"/>
  <c r="HB32" i="3"/>
  <c r="HB17" i="3"/>
  <c r="HB7" i="3"/>
  <c r="HD7" i="3" s="1"/>
  <c r="HE7" i="3" s="1"/>
  <c r="HB33" i="3"/>
  <c r="HB23" i="3"/>
  <c r="HB39" i="3"/>
  <c r="HB10" i="3"/>
  <c r="HB26" i="3"/>
  <c r="HB42" i="3"/>
  <c r="HB16" i="3"/>
  <c r="HB49" i="3"/>
  <c r="HB40" i="3"/>
  <c r="HB41" i="3"/>
  <c r="HB8" i="3"/>
  <c r="HD8" i="3" s="1"/>
  <c r="HB25" i="3"/>
  <c r="HB9" i="3"/>
  <c r="HD9" i="3" s="1"/>
  <c r="HB24" i="3"/>
  <c r="HB29" i="3"/>
  <c r="HB50" i="3"/>
  <c r="HB44" i="3"/>
  <c r="HB34" i="3"/>
  <c r="HB30" i="3"/>
  <c r="HB28" i="3"/>
  <c r="HB18" i="3"/>
  <c r="HB13" i="3"/>
  <c r="HB52" i="3"/>
  <c r="HB46" i="3"/>
  <c r="HB11" i="3"/>
  <c r="HB36" i="3"/>
  <c r="HB12" i="3"/>
  <c r="HB20" i="3"/>
  <c r="HD2" i="3"/>
  <c r="HE2" i="3" s="1"/>
  <c r="HN2" i="3" s="1"/>
  <c r="HB4" i="3"/>
  <c r="HD4" i="3" s="1"/>
  <c r="HE4" i="3" s="1"/>
  <c r="HN4" i="3" s="1"/>
  <c r="HB43" i="3"/>
  <c r="HB21" i="3"/>
  <c r="HB37" i="3"/>
  <c r="HB5" i="3"/>
  <c r="HD5" i="3" s="1"/>
  <c r="HE5" i="3" s="1"/>
  <c r="HN5" i="3" s="1"/>
  <c r="HB35" i="3"/>
  <c r="HB38" i="3"/>
  <c r="HB19" i="3"/>
  <c r="HB22" i="3"/>
  <c r="HB3" i="3"/>
  <c r="HD3" i="3" s="1"/>
  <c r="HE3" i="3" s="1"/>
  <c r="HN3" i="3" s="1"/>
  <c r="HB27" i="3"/>
  <c r="HB45" i="3"/>
  <c r="HB6" i="3"/>
  <c r="HD6" i="3" s="1"/>
  <c r="HE6" i="3" s="1"/>
  <c r="HN6" i="3" s="1"/>
  <c r="HB14" i="3"/>
  <c r="HB51" i="3"/>
  <c r="GP9" i="3"/>
  <c r="HF9" i="3" s="1"/>
  <c r="DB15" i="3"/>
  <c r="DQ10" i="3"/>
  <c r="HK2" i="3"/>
  <c r="HL2" i="3" s="1"/>
  <c r="HK6" i="3"/>
  <c r="HL6" i="3" s="1"/>
  <c r="HK3" i="3"/>
  <c r="HL3" i="3" s="1"/>
  <c r="HK4" i="3"/>
  <c r="HL4" i="3" s="1"/>
  <c r="HK5" i="3"/>
  <c r="HL5" i="3" s="1"/>
  <c r="HK7" i="3"/>
  <c r="HL7" i="3" s="1"/>
  <c r="HK8" i="3"/>
  <c r="HL8" i="3" s="1"/>
  <c r="HK9" i="3"/>
  <c r="HL9" i="3" s="1"/>
  <c r="BV9" i="3"/>
  <c r="BG10" i="3"/>
  <c r="BR10" i="3"/>
  <c r="BT10" i="3" s="1"/>
  <c r="BE10" i="3"/>
  <c r="EB12" i="3"/>
  <c r="FF11" i="3"/>
  <c r="BU10" i="3"/>
  <c r="DR9" i="3"/>
  <c r="X11" i="3"/>
  <c r="CI11" i="3" s="1"/>
  <c r="AC10" i="3"/>
  <c r="AE10" i="3" s="1"/>
  <c r="FW11" i="3"/>
  <c r="AN11" i="3"/>
  <c r="BY11" i="3"/>
  <c r="AD11" i="3"/>
  <c r="L13" i="3"/>
  <c r="M12" i="3"/>
  <c r="AD12" i="3" s="1"/>
  <c r="FR4" i="3"/>
  <c r="FS4" i="3" s="1"/>
  <c r="BP10" i="3"/>
  <c r="DW12" i="3"/>
  <c r="CK11" i="3"/>
  <c r="HK10" i="3"/>
  <c r="HH10" i="3"/>
  <c r="HJ10" i="3" s="1"/>
  <c r="G4" i="7" l="1"/>
  <c r="FQ5" i="7"/>
  <c r="GB6" i="11"/>
  <c r="GC6" i="11" s="1"/>
  <c r="GG7" i="11" s="1"/>
  <c r="HS6" i="7"/>
  <c r="HV6" i="7" s="1"/>
  <c r="I5" i="7"/>
  <c r="HC10" i="10"/>
  <c r="GN11" i="10"/>
  <c r="DQ10" i="5"/>
  <c r="DR10" i="5" s="1"/>
  <c r="DB11" i="5"/>
  <c r="HF9" i="9"/>
  <c r="HO9" i="9"/>
  <c r="Z12" i="7"/>
  <c r="CJ11" i="7"/>
  <c r="HC10" i="9"/>
  <c r="HD10" i="9" s="1"/>
  <c r="GN11" i="9"/>
  <c r="HW5" i="7"/>
  <c r="J5" i="7" s="1"/>
  <c r="D4" i="12"/>
  <c r="AP5" i="12"/>
  <c r="AV5" i="12" s="1"/>
  <c r="D4" i="10"/>
  <c r="AP5" i="10"/>
  <c r="AV5" i="10" s="1"/>
  <c r="HT5" i="8"/>
  <c r="HU5" i="8" s="1"/>
  <c r="J4" i="5"/>
  <c r="AF10" i="6"/>
  <c r="AJ9" i="6"/>
  <c r="DS5" i="5"/>
  <c r="AJ9" i="7"/>
  <c r="AJ9" i="11"/>
  <c r="AJ9" i="10"/>
  <c r="HQ5" i="6"/>
  <c r="FU4" i="11"/>
  <c r="GG6" i="8"/>
  <c r="GB6" i="8" s="1"/>
  <c r="GC6" i="8" s="1"/>
  <c r="GE7" i="8" s="1"/>
  <c r="HE7" i="8" s="1"/>
  <c r="CP5" i="5"/>
  <c r="CQ5" i="5" s="1"/>
  <c r="CU6" i="5" s="1"/>
  <c r="HL11" i="9"/>
  <c r="HS6" i="11"/>
  <c r="G4" i="11"/>
  <c r="HN8" i="7"/>
  <c r="HP8" i="7" s="1"/>
  <c r="FL5" i="11"/>
  <c r="FN5" i="11" s="1"/>
  <c r="FR5" i="11" s="1"/>
  <c r="FS5" i="11" s="1"/>
  <c r="GF6" i="6"/>
  <c r="AF10" i="12"/>
  <c r="AF10" i="9"/>
  <c r="AI10" i="5"/>
  <c r="AJ10" i="5" s="1"/>
  <c r="HC11" i="3"/>
  <c r="HL11" i="6"/>
  <c r="HL10" i="7"/>
  <c r="HL10" i="8"/>
  <c r="HN5" i="10"/>
  <c r="HP5" i="10" s="1"/>
  <c r="HQ5" i="10" s="1"/>
  <c r="FT4" i="6"/>
  <c r="FQ5" i="6" s="1"/>
  <c r="J5" i="11"/>
  <c r="I5" i="11"/>
  <c r="DR9" i="7"/>
  <c r="DR10" i="12"/>
  <c r="DT9" i="12"/>
  <c r="FM9" i="12"/>
  <c r="HD10" i="7"/>
  <c r="DV10" i="7"/>
  <c r="DX10" i="7" s="1"/>
  <c r="DZ10" i="7" s="1"/>
  <c r="CK11" i="7"/>
  <c r="DG10" i="7"/>
  <c r="DE10" i="7"/>
  <c r="DD10" i="7" s="1"/>
  <c r="FM10" i="7" s="1"/>
  <c r="GP11" i="9"/>
  <c r="HF11" i="9" s="1"/>
  <c r="FM9" i="7"/>
  <c r="HL10" i="5"/>
  <c r="EB11" i="7"/>
  <c r="FF10" i="7"/>
  <c r="FM10" i="12"/>
  <c r="CG4" i="7"/>
  <c r="CC5" i="7"/>
  <c r="C4" i="7"/>
  <c r="AI10" i="9"/>
  <c r="AJ10" i="9" s="1"/>
  <c r="EB11" i="8"/>
  <c r="FF10" i="8"/>
  <c r="DG11" i="12"/>
  <c r="DE11" i="12"/>
  <c r="DD11" i="12" s="1"/>
  <c r="DT11" i="12" s="1"/>
  <c r="DV11" i="12"/>
  <c r="DX11" i="12" s="1"/>
  <c r="DZ11" i="12" s="1"/>
  <c r="CK12" i="12"/>
  <c r="DT11" i="10"/>
  <c r="FM11" i="10"/>
  <c r="FL5" i="9"/>
  <c r="FN5" i="9" s="1"/>
  <c r="FO5" i="9" s="1"/>
  <c r="FU4" i="5"/>
  <c r="DT11" i="9"/>
  <c r="FM11" i="9"/>
  <c r="DT10" i="8"/>
  <c r="FM10" i="8"/>
  <c r="FO4" i="6"/>
  <c r="FR4" i="6"/>
  <c r="FS4" i="6" s="1"/>
  <c r="CS6" i="11"/>
  <c r="FQ5" i="5"/>
  <c r="CP5" i="12"/>
  <c r="CQ5" i="12" s="1"/>
  <c r="CS6" i="12" s="1"/>
  <c r="DS6" i="12" s="1"/>
  <c r="DR11" i="6"/>
  <c r="G4" i="12"/>
  <c r="FU4" i="12"/>
  <c r="DD11" i="6"/>
  <c r="DT10" i="3"/>
  <c r="FM10" i="3"/>
  <c r="FU4" i="9"/>
  <c r="DS5" i="12"/>
  <c r="CT5" i="12"/>
  <c r="G4" i="9"/>
  <c r="I4" i="5"/>
  <c r="HS5" i="5"/>
  <c r="HQ5" i="12"/>
  <c r="HN5" i="5"/>
  <c r="HP5" i="5" s="1"/>
  <c r="HT5" i="5" s="1"/>
  <c r="HU5" i="5" s="1"/>
  <c r="HW4" i="8"/>
  <c r="J4" i="8" s="1"/>
  <c r="HS5" i="8"/>
  <c r="I4" i="8"/>
  <c r="GB6" i="12"/>
  <c r="GC6" i="12" s="1"/>
  <c r="AE10" i="8"/>
  <c r="CD4" i="11"/>
  <c r="CE4" i="11" s="1"/>
  <c r="CA4" i="11"/>
  <c r="CF4" i="11"/>
  <c r="AE11" i="6"/>
  <c r="FR4" i="8"/>
  <c r="FS4" i="8" s="1"/>
  <c r="FT4" i="8"/>
  <c r="FO4" i="8"/>
  <c r="CS5" i="8"/>
  <c r="CU5" i="8"/>
  <c r="GF6" i="12"/>
  <c r="GE6" i="10"/>
  <c r="GG6" i="10"/>
  <c r="GF6" i="8"/>
  <c r="HE6" i="8"/>
  <c r="HL10" i="12"/>
  <c r="HV5" i="12"/>
  <c r="HL11" i="11"/>
  <c r="HD11" i="11"/>
  <c r="G4" i="10"/>
  <c r="HF10" i="8"/>
  <c r="HO10" i="8"/>
  <c r="AF9" i="8"/>
  <c r="HQ7" i="7"/>
  <c r="HU7" i="7"/>
  <c r="C4" i="6"/>
  <c r="FL5" i="6"/>
  <c r="FN5" i="6" s="1"/>
  <c r="E8" i="6"/>
  <c r="AL8" i="6"/>
  <c r="F8" i="6" s="1"/>
  <c r="AH9" i="6"/>
  <c r="AK9" i="6" s="1"/>
  <c r="AL9" i="6" s="1"/>
  <c r="F9" i="6" s="1"/>
  <c r="GB6" i="6"/>
  <c r="HV5" i="6"/>
  <c r="HU5" i="6"/>
  <c r="AF10" i="5"/>
  <c r="GC5" i="5"/>
  <c r="AH9" i="12"/>
  <c r="AK9" i="12" s="1"/>
  <c r="AL8" i="12"/>
  <c r="F8" i="12" s="1"/>
  <c r="E8" i="12"/>
  <c r="CJ11" i="12"/>
  <c r="Z12" i="12"/>
  <c r="GN13" i="12"/>
  <c r="HC12" i="12"/>
  <c r="GD13" i="12"/>
  <c r="HF9" i="12"/>
  <c r="HO9" i="12"/>
  <c r="DB13" i="12"/>
  <c r="DQ12" i="12"/>
  <c r="CI12" i="12"/>
  <c r="X13" i="12"/>
  <c r="AE11" i="12"/>
  <c r="HI14" i="12"/>
  <c r="AD13" i="12"/>
  <c r="BY13" i="12"/>
  <c r="AD12" i="12"/>
  <c r="BY12" i="12"/>
  <c r="L15" i="12"/>
  <c r="M14" i="12"/>
  <c r="AI10" i="12"/>
  <c r="AJ10" i="12" s="1"/>
  <c r="DW14" i="12"/>
  <c r="BE11" i="12"/>
  <c r="AN12" i="12"/>
  <c r="BR11" i="12"/>
  <c r="BT11" i="12" s="1"/>
  <c r="BV11" i="12" s="1"/>
  <c r="BG11" i="12"/>
  <c r="HD10" i="12"/>
  <c r="GP10" i="12"/>
  <c r="CR13" i="12"/>
  <c r="EB13" i="12"/>
  <c r="FF12" i="12"/>
  <c r="HK11" i="12"/>
  <c r="GQ11" i="12"/>
  <c r="FW12" i="12"/>
  <c r="GS11" i="12"/>
  <c r="HH11" i="12"/>
  <c r="HJ11" i="12" s="1"/>
  <c r="AE11" i="11"/>
  <c r="AF10" i="11"/>
  <c r="AI10" i="11"/>
  <c r="Z13" i="11"/>
  <c r="CJ12" i="11"/>
  <c r="DT9" i="11"/>
  <c r="HI15" i="11"/>
  <c r="BY12" i="11"/>
  <c r="AD12" i="11"/>
  <c r="EB13" i="11"/>
  <c r="FF12" i="11"/>
  <c r="M14" i="11"/>
  <c r="L15" i="11"/>
  <c r="DW14" i="11"/>
  <c r="FW13" i="11"/>
  <c r="GS12" i="11"/>
  <c r="HK12" i="11"/>
  <c r="GQ12" i="11"/>
  <c r="GP12" i="11" s="1"/>
  <c r="HF12" i="11" s="1"/>
  <c r="HH12" i="11"/>
  <c r="HJ12" i="11" s="1"/>
  <c r="DQ12" i="11"/>
  <c r="DB13" i="11"/>
  <c r="GN13" i="11"/>
  <c r="HC12" i="11"/>
  <c r="CR13" i="11"/>
  <c r="DR10" i="11"/>
  <c r="DD10" i="11"/>
  <c r="FM10" i="11" s="1"/>
  <c r="GP11" i="11"/>
  <c r="CK12" i="11"/>
  <c r="DE11" i="11"/>
  <c r="DG11" i="11"/>
  <c r="DV11" i="11"/>
  <c r="DX11" i="11" s="1"/>
  <c r="DZ11" i="11" s="1"/>
  <c r="AH9" i="11"/>
  <c r="AK9" i="11" s="1"/>
  <c r="E8" i="11"/>
  <c r="AL8" i="11"/>
  <c r="F8" i="11" s="1"/>
  <c r="BY13" i="11"/>
  <c r="AD13" i="11"/>
  <c r="X13" i="11"/>
  <c r="AC12" i="11"/>
  <c r="CI12" i="11"/>
  <c r="GD13" i="11"/>
  <c r="AN13" i="11"/>
  <c r="BE12" i="11"/>
  <c r="BG12" i="11"/>
  <c r="BR12" i="11"/>
  <c r="BT12" i="11" s="1"/>
  <c r="BV12" i="11" s="1"/>
  <c r="M14" i="10"/>
  <c r="L15" i="10"/>
  <c r="DG12" i="10"/>
  <c r="CK13" i="10"/>
  <c r="DE12" i="10"/>
  <c r="DD12" i="10" s="1"/>
  <c r="HD10" i="10"/>
  <c r="GP10" i="10"/>
  <c r="DR11" i="10"/>
  <c r="GD15" i="10"/>
  <c r="HK11" i="10"/>
  <c r="GQ11" i="10"/>
  <c r="FW12" i="10"/>
  <c r="GS11" i="10"/>
  <c r="HH11" i="10"/>
  <c r="HJ11" i="10" s="1"/>
  <c r="EB13" i="10"/>
  <c r="FF12" i="10"/>
  <c r="HL10" i="10"/>
  <c r="Z12" i="10"/>
  <c r="CJ11" i="10"/>
  <c r="DB13" i="10"/>
  <c r="DQ12" i="10"/>
  <c r="DV12" i="10"/>
  <c r="DX12" i="10" s="1"/>
  <c r="DZ12" i="10" s="1"/>
  <c r="BY12" i="10"/>
  <c r="AD12" i="10"/>
  <c r="AC11" i="10"/>
  <c r="AE11" i="10" s="1"/>
  <c r="DW14" i="10"/>
  <c r="AI10" i="10"/>
  <c r="AF10" i="10"/>
  <c r="X13" i="10"/>
  <c r="CI12" i="10"/>
  <c r="AC12" i="10"/>
  <c r="E8" i="10"/>
  <c r="AH9" i="10"/>
  <c r="AK9" i="10" s="1"/>
  <c r="AL8" i="10"/>
  <c r="F8" i="10" s="1"/>
  <c r="HF9" i="10"/>
  <c r="HO9" i="10"/>
  <c r="DS5" i="10"/>
  <c r="CT5" i="10"/>
  <c r="DT10" i="10"/>
  <c r="BE11" i="10"/>
  <c r="AN12" i="10"/>
  <c r="BG11" i="10"/>
  <c r="BR11" i="10"/>
  <c r="BT11" i="10" s="1"/>
  <c r="BV11" i="10" s="1"/>
  <c r="CR11" i="10"/>
  <c r="FQ5" i="10"/>
  <c r="FU4" i="10"/>
  <c r="HI17" i="10"/>
  <c r="AD13" i="10"/>
  <c r="BY13" i="10"/>
  <c r="CP5" i="10"/>
  <c r="GG6" i="9"/>
  <c r="GE6" i="9"/>
  <c r="HF10" i="9"/>
  <c r="HO10" i="9"/>
  <c r="CU6" i="9"/>
  <c r="CS6" i="9"/>
  <c r="HH12" i="9"/>
  <c r="HJ12" i="9" s="1"/>
  <c r="HI13" i="9"/>
  <c r="FF12" i="9"/>
  <c r="EB13" i="9"/>
  <c r="CR10" i="9"/>
  <c r="DT10" i="9"/>
  <c r="DR11" i="9"/>
  <c r="DQ12" i="9"/>
  <c r="DB13" i="9"/>
  <c r="CK13" i="9"/>
  <c r="DE12" i="9"/>
  <c r="DG12" i="9"/>
  <c r="DV12" i="9"/>
  <c r="DX12" i="9" s="1"/>
  <c r="DZ12" i="9" s="1"/>
  <c r="CJ11" i="9"/>
  <c r="Z12" i="9"/>
  <c r="E8" i="9"/>
  <c r="AH9" i="9"/>
  <c r="AK9" i="9" s="1"/>
  <c r="AL8" i="9"/>
  <c r="F8" i="9" s="1"/>
  <c r="DW15" i="9"/>
  <c r="CI12" i="9"/>
  <c r="AC12" i="9"/>
  <c r="X13" i="9"/>
  <c r="FW13" i="9"/>
  <c r="GS12" i="9"/>
  <c r="HK12" i="9"/>
  <c r="GQ12" i="9"/>
  <c r="AC11" i="9"/>
  <c r="AE11" i="9" s="1"/>
  <c r="HQ5" i="9"/>
  <c r="HT5" i="9"/>
  <c r="HU5" i="9" s="1"/>
  <c r="AN12" i="9"/>
  <c r="BR11" i="9"/>
  <c r="BT11" i="9" s="1"/>
  <c r="BV11" i="9" s="1"/>
  <c r="BG11" i="9"/>
  <c r="BE11" i="9"/>
  <c r="BY12" i="9"/>
  <c r="AD12" i="9"/>
  <c r="L15" i="9"/>
  <c r="M14" i="9"/>
  <c r="AD13" i="9"/>
  <c r="BY13" i="9"/>
  <c r="AI9" i="8"/>
  <c r="AJ9" i="8" s="1"/>
  <c r="HF9" i="8"/>
  <c r="HO9" i="8"/>
  <c r="CR16" i="8"/>
  <c r="L14" i="8"/>
  <c r="M13" i="8"/>
  <c r="AL7" i="8"/>
  <c r="F7" i="8" s="1"/>
  <c r="E7" i="8"/>
  <c r="AH8" i="8"/>
  <c r="AK8" i="8" s="1"/>
  <c r="HC11" i="8"/>
  <c r="GN12" i="8"/>
  <c r="DX12" i="8"/>
  <c r="DZ12" i="8" s="1"/>
  <c r="DE12" i="8"/>
  <c r="CK13" i="8"/>
  <c r="DV13" i="8" s="1"/>
  <c r="DG12" i="8"/>
  <c r="GD12" i="8"/>
  <c r="HI16" i="8"/>
  <c r="DQ11" i="8"/>
  <c r="DR11" i="8" s="1"/>
  <c r="DB12" i="8"/>
  <c r="DD11" i="8"/>
  <c r="CI11" i="8"/>
  <c r="AC11" i="8"/>
  <c r="X12" i="8"/>
  <c r="AD11" i="8"/>
  <c r="M12" i="8"/>
  <c r="BY11" i="8"/>
  <c r="AN13" i="8"/>
  <c r="BG12" i="8"/>
  <c r="BR12" i="8"/>
  <c r="BT12" i="8" s="1"/>
  <c r="BV12" i="8" s="1"/>
  <c r="BE12" i="8"/>
  <c r="FW12" i="8"/>
  <c r="HK11" i="8"/>
  <c r="GS11" i="8"/>
  <c r="GQ11" i="8"/>
  <c r="GP11" i="8" s="1"/>
  <c r="HF11" i="8" s="1"/>
  <c r="HH11" i="8"/>
  <c r="HJ11" i="8" s="1"/>
  <c r="DW14" i="8"/>
  <c r="Z13" i="8"/>
  <c r="CJ12" i="8"/>
  <c r="HD10" i="8"/>
  <c r="GG9" i="7"/>
  <c r="GE9" i="7"/>
  <c r="HE9" i="7" s="1"/>
  <c r="HF9" i="7"/>
  <c r="HO9" i="7"/>
  <c r="CI12" i="7"/>
  <c r="AC12" i="7"/>
  <c r="X13" i="7"/>
  <c r="DB12" i="7"/>
  <c r="DQ11" i="7"/>
  <c r="GP10" i="7"/>
  <c r="HI15" i="7"/>
  <c r="HC11" i="7"/>
  <c r="GN12" i="7"/>
  <c r="DW13" i="7"/>
  <c r="CR10" i="7"/>
  <c r="GD11" i="7"/>
  <c r="AN12" i="7"/>
  <c r="BR11" i="7"/>
  <c r="BT11" i="7" s="1"/>
  <c r="BV11" i="7" s="1"/>
  <c r="BE11" i="7"/>
  <c r="BG11" i="7"/>
  <c r="FR5" i="7"/>
  <c r="FS5" i="7" s="1"/>
  <c r="FO5" i="7"/>
  <c r="M13" i="7"/>
  <c r="L14" i="7"/>
  <c r="AI10" i="7"/>
  <c r="AF10" i="7"/>
  <c r="FW12" i="7"/>
  <c r="GQ11" i="7"/>
  <c r="HK11" i="7"/>
  <c r="GS11" i="7"/>
  <c r="HH11" i="7"/>
  <c r="HJ11" i="7" s="1"/>
  <c r="CU6" i="7"/>
  <c r="CS6" i="7"/>
  <c r="AH8" i="7"/>
  <c r="AK8" i="7" s="1"/>
  <c r="E7" i="7"/>
  <c r="AL7" i="7"/>
  <c r="F7" i="7" s="1"/>
  <c r="M12" i="7"/>
  <c r="BY11" i="7"/>
  <c r="AD11" i="7"/>
  <c r="AE11" i="7" s="1"/>
  <c r="X13" i="6"/>
  <c r="AC12" i="6"/>
  <c r="CI12" i="6"/>
  <c r="DT10" i="6"/>
  <c r="AD12" i="6"/>
  <c r="BY12" i="6"/>
  <c r="BY13" i="6"/>
  <c r="AD13" i="6"/>
  <c r="DW15" i="6"/>
  <c r="AN13" i="6"/>
  <c r="BR12" i="6"/>
  <c r="BT12" i="6" s="1"/>
  <c r="BV12" i="6" s="1"/>
  <c r="BE12" i="6"/>
  <c r="BG12" i="6"/>
  <c r="HI15" i="6"/>
  <c r="AI10" i="6"/>
  <c r="AJ10" i="6" s="1"/>
  <c r="HD11" i="6"/>
  <c r="CR16" i="6"/>
  <c r="DE12" i="6"/>
  <c r="DD12" i="6" s="1"/>
  <c r="CK13" i="6"/>
  <c r="DG12" i="6"/>
  <c r="DV12" i="6"/>
  <c r="DX12" i="6" s="1"/>
  <c r="DZ12" i="6" s="1"/>
  <c r="GD10" i="6"/>
  <c r="DB13" i="6"/>
  <c r="DQ12" i="6"/>
  <c r="FW13" i="6"/>
  <c r="GS12" i="6"/>
  <c r="HK12" i="6"/>
  <c r="GQ12" i="6"/>
  <c r="GP12" i="6" s="1"/>
  <c r="HH12" i="6"/>
  <c r="HJ12" i="6" s="1"/>
  <c r="HF10" i="6"/>
  <c r="HO10" i="6"/>
  <c r="CJ13" i="6"/>
  <c r="Z14" i="6"/>
  <c r="CC5" i="6"/>
  <c r="CG4" i="6"/>
  <c r="L15" i="6"/>
  <c r="M14" i="6"/>
  <c r="GP11" i="6"/>
  <c r="HC12" i="6"/>
  <c r="GN13" i="6"/>
  <c r="CU6" i="6"/>
  <c r="CS6" i="6"/>
  <c r="DS6" i="6" s="1"/>
  <c r="FF12" i="6"/>
  <c r="EB13" i="6"/>
  <c r="CJ12" i="5"/>
  <c r="Z13" i="5"/>
  <c r="X13" i="5"/>
  <c r="CI12" i="5"/>
  <c r="AC12" i="5"/>
  <c r="DD11" i="5"/>
  <c r="FM11" i="5" s="1"/>
  <c r="AE11" i="5"/>
  <c r="CK13" i="5"/>
  <c r="DG12" i="5"/>
  <c r="DE12" i="5"/>
  <c r="DV12" i="5"/>
  <c r="DX12" i="5" s="1"/>
  <c r="DZ12" i="5" s="1"/>
  <c r="DW20" i="5"/>
  <c r="CR12" i="5"/>
  <c r="AH9" i="5"/>
  <c r="AK9" i="5" s="1"/>
  <c r="AL8" i="5"/>
  <c r="F8" i="5" s="1"/>
  <c r="E8" i="5"/>
  <c r="BY13" i="5"/>
  <c r="AD13" i="5"/>
  <c r="HF9" i="5"/>
  <c r="HO9" i="5"/>
  <c r="AN13" i="5"/>
  <c r="BR12" i="5"/>
  <c r="BT12" i="5" s="1"/>
  <c r="BV12" i="5" s="1"/>
  <c r="BG12" i="5"/>
  <c r="BE12" i="5"/>
  <c r="HD10" i="5"/>
  <c r="GP10" i="5"/>
  <c r="L15" i="5"/>
  <c r="M14" i="5"/>
  <c r="GD11" i="5"/>
  <c r="FF13" i="5"/>
  <c r="EB14" i="5"/>
  <c r="GS11" i="5"/>
  <c r="HK11" i="5"/>
  <c r="FW12" i="5"/>
  <c r="GQ11" i="5"/>
  <c r="HH11" i="5"/>
  <c r="HJ11" i="5" s="1"/>
  <c r="HI14" i="5"/>
  <c r="AD12" i="5"/>
  <c r="BY12" i="5"/>
  <c r="DT10" i="5"/>
  <c r="GN13" i="5"/>
  <c r="HC12" i="5"/>
  <c r="DV11" i="3"/>
  <c r="DX11" i="3" s="1"/>
  <c r="DZ11" i="3" s="1"/>
  <c r="DG11" i="3"/>
  <c r="DE11" i="3"/>
  <c r="DD11" i="3" s="1"/>
  <c r="HN7" i="3"/>
  <c r="GQ11" i="3"/>
  <c r="GP11" i="3" s="1"/>
  <c r="HF11" i="3" s="1"/>
  <c r="GS11" i="3"/>
  <c r="GG8" i="3"/>
  <c r="GE8" i="3"/>
  <c r="GF8" i="3" s="1"/>
  <c r="HL10" i="3"/>
  <c r="Z12" i="3"/>
  <c r="CJ12" i="3" s="1"/>
  <c r="GP10" i="3"/>
  <c r="HF10" i="3" s="1"/>
  <c r="HD10" i="3"/>
  <c r="GN19" i="3"/>
  <c r="DB16" i="3"/>
  <c r="HC12" i="3"/>
  <c r="DQ11" i="3"/>
  <c r="EB13" i="3"/>
  <c r="FF12" i="3"/>
  <c r="BE11" i="3"/>
  <c r="BR11" i="3"/>
  <c r="BT11" i="3" s="1"/>
  <c r="BV11" i="3" s="1"/>
  <c r="BG11" i="3"/>
  <c r="BV10" i="3"/>
  <c r="DR10" i="3"/>
  <c r="AC11" i="3"/>
  <c r="AE11" i="3" s="1"/>
  <c r="X12" i="3"/>
  <c r="CI12" i="3" s="1"/>
  <c r="AN12" i="3"/>
  <c r="FW12" i="3"/>
  <c r="BY12" i="3"/>
  <c r="L14" i="3"/>
  <c r="M13" i="3"/>
  <c r="FO4" i="3"/>
  <c r="BP11" i="3"/>
  <c r="FU3" i="3"/>
  <c r="FQ4" i="3"/>
  <c r="DW13" i="3"/>
  <c r="CK12" i="3"/>
  <c r="HK11" i="3"/>
  <c r="HH11" i="3"/>
  <c r="HJ11" i="3" s="1"/>
  <c r="GE7" i="11" l="1"/>
  <c r="GB7" i="11" s="1"/>
  <c r="GC7" i="11" s="1"/>
  <c r="GE8" i="11" s="1"/>
  <c r="HE8" i="11" s="1"/>
  <c r="HN6" i="11"/>
  <c r="HP6" i="11" s="1"/>
  <c r="HQ6" i="11" s="1"/>
  <c r="HS7" i="7"/>
  <c r="I6" i="7"/>
  <c r="HV7" i="7"/>
  <c r="HW7" i="7" s="1"/>
  <c r="J7" i="7" s="1"/>
  <c r="HW6" i="7"/>
  <c r="J6" i="7" s="1"/>
  <c r="HC11" i="9"/>
  <c r="HD11" i="9" s="1"/>
  <c r="GN12" i="9"/>
  <c r="Z13" i="7"/>
  <c r="CJ12" i="7"/>
  <c r="DB12" i="5"/>
  <c r="DQ11" i="5"/>
  <c r="DR11" i="5" s="1"/>
  <c r="HC11" i="10"/>
  <c r="GN12" i="10"/>
  <c r="AF11" i="6"/>
  <c r="D4" i="6"/>
  <c r="AP5" i="6"/>
  <c r="D4" i="7"/>
  <c r="AP5" i="7"/>
  <c r="AJ10" i="11"/>
  <c r="HV5" i="8"/>
  <c r="I5" i="8" s="1"/>
  <c r="AJ10" i="7"/>
  <c r="AJ10" i="10"/>
  <c r="AF10" i="8"/>
  <c r="FL5" i="5"/>
  <c r="FN5" i="5" s="1"/>
  <c r="FR5" i="5" s="1"/>
  <c r="FS5" i="5" s="1"/>
  <c r="HT8" i="7"/>
  <c r="HU8" i="7" s="1"/>
  <c r="FR5" i="9"/>
  <c r="FS5" i="9" s="1"/>
  <c r="DR11" i="12"/>
  <c r="HL11" i="5"/>
  <c r="HL11" i="10"/>
  <c r="HO11" i="9"/>
  <c r="FT5" i="11"/>
  <c r="FU5" i="11" s="1"/>
  <c r="FO5" i="11"/>
  <c r="I5" i="12"/>
  <c r="HT5" i="10"/>
  <c r="HU5" i="10" s="1"/>
  <c r="FM11" i="12"/>
  <c r="C4" i="11"/>
  <c r="FU4" i="6"/>
  <c r="G4" i="6"/>
  <c r="HL12" i="11"/>
  <c r="HL11" i="8"/>
  <c r="HL11" i="12"/>
  <c r="AI11" i="6"/>
  <c r="AJ11" i="6" s="1"/>
  <c r="DT10" i="7"/>
  <c r="HL11" i="7"/>
  <c r="HF12" i="6"/>
  <c r="HO12" i="6"/>
  <c r="EB12" i="8"/>
  <c r="FF11" i="8"/>
  <c r="CK12" i="7"/>
  <c r="DG11" i="7"/>
  <c r="DE11" i="7"/>
  <c r="DD11" i="7" s="1"/>
  <c r="FM11" i="7" s="1"/>
  <c r="DV11" i="7"/>
  <c r="DX11" i="7" s="1"/>
  <c r="DZ11" i="7" s="1"/>
  <c r="HL12" i="6"/>
  <c r="AE12" i="5"/>
  <c r="HL11" i="3"/>
  <c r="AE12" i="11"/>
  <c r="AI10" i="8"/>
  <c r="AJ10" i="8" s="1"/>
  <c r="DV12" i="12"/>
  <c r="DX12" i="12" s="1"/>
  <c r="DZ12" i="12" s="1"/>
  <c r="CK13" i="12"/>
  <c r="DG12" i="12"/>
  <c r="DE12" i="12"/>
  <c r="DD12" i="12" s="1"/>
  <c r="DT12" i="12" s="1"/>
  <c r="FF11" i="7"/>
  <c r="EB12" i="7"/>
  <c r="DR10" i="7"/>
  <c r="FR5" i="6"/>
  <c r="FS5" i="6" s="1"/>
  <c r="DS6" i="11"/>
  <c r="CT6" i="11"/>
  <c r="DT11" i="6"/>
  <c r="FM11" i="6"/>
  <c r="DT11" i="8"/>
  <c r="FM11" i="8"/>
  <c r="CP6" i="11"/>
  <c r="DT12" i="10"/>
  <c r="FM12" i="10"/>
  <c r="DT12" i="6"/>
  <c r="FM12" i="6"/>
  <c r="FL5" i="12"/>
  <c r="FN5" i="12" s="1"/>
  <c r="FR5" i="12" s="1"/>
  <c r="FS5" i="12" s="1"/>
  <c r="CS6" i="5"/>
  <c r="CP6" i="5" s="1"/>
  <c r="CQ6" i="5" s="1"/>
  <c r="CU6" i="12"/>
  <c r="CP6" i="12" s="1"/>
  <c r="CQ6" i="12" s="1"/>
  <c r="CS7" i="12" s="1"/>
  <c r="DS7" i="12" s="1"/>
  <c r="DT11" i="3"/>
  <c r="FM11" i="3"/>
  <c r="DR12" i="10"/>
  <c r="DR12" i="9"/>
  <c r="CT6" i="12"/>
  <c r="HN6" i="8"/>
  <c r="HP6" i="8" s="1"/>
  <c r="HQ6" i="8" s="1"/>
  <c r="GG7" i="8"/>
  <c r="GB7" i="8" s="1"/>
  <c r="GB6" i="10"/>
  <c r="GC6" i="10" s="1"/>
  <c r="HN6" i="12"/>
  <c r="HP6" i="12" s="1"/>
  <c r="HT6" i="12" s="1"/>
  <c r="HU6" i="12" s="1"/>
  <c r="HW5" i="12"/>
  <c r="J5" i="12" s="1"/>
  <c r="HQ5" i="5"/>
  <c r="HS6" i="12"/>
  <c r="CC5" i="11"/>
  <c r="CG4" i="11"/>
  <c r="CP5" i="8"/>
  <c r="DS5" i="8"/>
  <c r="CT5" i="8"/>
  <c r="GF7" i="8"/>
  <c r="G4" i="8"/>
  <c r="FU4" i="8"/>
  <c r="FQ5" i="8"/>
  <c r="GF6" i="10"/>
  <c r="HE6" i="10"/>
  <c r="HO12" i="11"/>
  <c r="GB6" i="9"/>
  <c r="GC6" i="9" s="1"/>
  <c r="HV5" i="9"/>
  <c r="I5" i="9" s="1"/>
  <c r="CP6" i="9"/>
  <c r="CQ6" i="9" s="1"/>
  <c r="CU7" i="9" s="1"/>
  <c r="HQ8" i="7"/>
  <c r="GB9" i="7"/>
  <c r="HN9" i="7" s="1"/>
  <c r="HP9" i="7" s="1"/>
  <c r="HD11" i="7"/>
  <c r="FT5" i="7"/>
  <c r="G5" i="7" s="1"/>
  <c r="FO5" i="6"/>
  <c r="CT6" i="6"/>
  <c r="HN6" i="6"/>
  <c r="HP6" i="6" s="1"/>
  <c r="GC6" i="6"/>
  <c r="E9" i="6"/>
  <c r="AH10" i="6"/>
  <c r="AK10" i="6" s="1"/>
  <c r="AH11" i="6" s="1"/>
  <c r="HS6" i="6"/>
  <c r="HW5" i="6"/>
  <c r="J5" i="6" s="1"/>
  <c r="I5" i="6"/>
  <c r="GE6" i="5"/>
  <c r="HV5" i="5"/>
  <c r="HW5" i="5" s="1"/>
  <c r="GG6" i="5"/>
  <c r="AH10" i="12"/>
  <c r="AK10" i="12" s="1"/>
  <c r="AL9" i="12"/>
  <c r="F9" i="12" s="1"/>
  <c r="E9" i="12"/>
  <c r="CJ12" i="12"/>
  <c r="Z13" i="12"/>
  <c r="HI15" i="12"/>
  <c r="DQ13" i="12"/>
  <c r="DB14" i="12"/>
  <c r="BY14" i="12"/>
  <c r="AD14" i="12"/>
  <c r="GG7" i="12"/>
  <c r="GE7" i="12"/>
  <c r="GD14" i="12"/>
  <c r="HF10" i="12"/>
  <c r="HO10" i="12"/>
  <c r="DW15" i="12"/>
  <c r="HK12" i="12"/>
  <c r="GS12" i="12"/>
  <c r="FW13" i="12"/>
  <c r="GQ12" i="12"/>
  <c r="HH12" i="12"/>
  <c r="HJ12" i="12" s="1"/>
  <c r="EB14" i="12"/>
  <c r="FF13" i="12"/>
  <c r="AI11" i="12"/>
  <c r="AJ11" i="12" s="1"/>
  <c r="AF11" i="12"/>
  <c r="CR14" i="12"/>
  <c r="L16" i="12"/>
  <c r="M15" i="12"/>
  <c r="HD11" i="12"/>
  <c r="GP11" i="12"/>
  <c r="AN13" i="12"/>
  <c r="BG12" i="12"/>
  <c r="BR12" i="12"/>
  <c r="BT12" i="12" s="1"/>
  <c r="BV12" i="12" s="1"/>
  <c r="BE12" i="12"/>
  <c r="AC12" i="12"/>
  <c r="AE12" i="12" s="1"/>
  <c r="HC13" i="12"/>
  <c r="GN14" i="12"/>
  <c r="X14" i="12"/>
  <c r="CI13" i="12"/>
  <c r="AC13" i="12"/>
  <c r="AE13" i="12" s="1"/>
  <c r="AL9" i="11"/>
  <c r="F9" i="11" s="1"/>
  <c r="AH10" i="11"/>
  <c r="AK10" i="11" s="1"/>
  <c r="E9" i="11"/>
  <c r="EB14" i="11"/>
  <c r="FF13" i="11"/>
  <c r="GN14" i="11"/>
  <c r="HC13" i="11"/>
  <c r="HD12" i="11"/>
  <c r="AN14" i="11"/>
  <c r="BE13" i="11"/>
  <c r="BG13" i="11"/>
  <c r="BR13" i="11"/>
  <c r="BT13" i="11" s="1"/>
  <c r="BV13" i="11" s="1"/>
  <c r="AI11" i="11"/>
  <c r="AF11" i="11"/>
  <c r="CR14" i="11"/>
  <c r="FW14" i="11"/>
  <c r="GQ13" i="11"/>
  <c r="GS13" i="11"/>
  <c r="HH13" i="11"/>
  <c r="HJ13" i="11" s="1"/>
  <c r="HL13" i="11" s="1"/>
  <c r="DR11" i="11"/>
  <c r="DD11" i="11"/>
  <c r="FM11" i="11" s="1"/>
  <c r="DB14" i="11"/>
  <c r="DQ13" i="11"/>
  <c r="DW15" i="11"/>
  <c r="CK13" i="11"/>
  <c r="DG12" i="11"/>
  <c r="DE12" i="11"/>
  <c r="DV12" i="11"/>
  <c r="DX12" i="11" s="1"/>
  <c r="DZ12" i="11" s="1"/>
  <c r="GD14" i="11"/>
  <c r="HI16" i="11"/>
  <c r="HF11" i="11"/>
  <c r="HO11" i="11"/>
  <c r="M15" i="11"/>
  <c r="L16" i="11"/>
  <c r="AD14" i="11"/>
  <c r="BY14" i="11"/>
  <c r="CI13" i="11"/>
  <c r="AC13" i="11"/>
  <c r="AE13" i="11" s="1"/>
  <c r="X14" i="11"/>
  <c r="DT10" i="11"/>
  <c r="CJ13" i="11"/>
  <c r="Z14" i="11"/>
  <c r="AH10" i="10"/>
  <c r="AK10" i="10" s="1"/>
  <c r="AL9" i="10"/>
  <c r="F9" i="10" s="1"/>
  <c r="E9" i="10"/>
  <c r="BG12" i="10"/>
  <c r="BE12" i="10"/>
  <c r="AN13" i="10"/>
  <c r="BR12" i="10"/>
  <c r="BT12" i="10" s="1"/>
  <c r="BV12" i="10" s="1"/>
  <c r="Z13" i="10"/>
  <c r="CJ12" i="10"/>
  <c r="HF10" i="10"/>
  <c r="HO10" i="10"/>
  <c r="DG13" i="10"/>
  <c r="DE13" i="10"/>
  <c r="CK14" i="10"/>
  <c r="DV14" i="10" s="1"/>
  <c r="AI11" i="10"/>
  <c r="AF11" i="10"/>
  <c r="EB14" i="10"/>
  <c r="FF13" i="10"/>
  <c r="DQ13" i="10"/>
  <c r="DB14" i="10"/>
  <c r="CR12" i="10"/>
  <c r="FL5" i="10"/>
  <c r="FN5" i="10" s="1"/>
  <c r="CQ5" i="10"/>
  <c r="DW15" i="10"/>
  <c r="DV13" i="10"/>
  <c r="DX13" i="10" s="1"/>
  <c r="DZ13" i="10" s="1"/>
  <c r="M15" i="10"/>
  <c r="L16" i="10"/>
  <c r="AD14" i="10"/>
  <c r="BY14" i="10"/>
  <c r="HD11" i="10"/>
  <c r="GP11" i="10"/>
  <c r="AE12" i="10"/>
  <c r="HK12" i="10"/>
  <c r="GS12" i="10"/>
  <c r="FW13" i="10"/>
  <c r="GQ12" i="10"/>
  <c r="HH12" i="10"/>
  <c r="HJ12" i="10" s="1"/>
  <c r="HI18" i="10"/>
  <c r="AC13" i="10"/>
  <c r="AE13" i="10" s="1"/>
  <c r="X14" i="10"/>
  <c r="CI13" i="10"/>
  <c r="GD16" i="10"/>
  <c r="AI11" i="9"/>
  <c r="AJ11" i="9" s="1"/>
  <c r="AF11" i="9"/>
  <c r="M15" i="9"/>
  <c r="L16" i="9"/>
  <c r="AE12" i="9"/>
  <c r="CR11" i="9"/>
  <c r="HL12" i="9"/>
  <c r="CJ12" i="9"/>
  <c r="Z13" i="9"/>
  <c r="AC13" i="9" s="1"/>
  <c r="AE13" i="9" s="1"/>
  <c r="GP12" i="9"/>
  <c r="EB14" i="9"/>
  <c r="FF13" i="9"/>
  <c r="HE6" i="9"/>
  <c r="GF6" i="9"/>
  <c r="FW14" i="9"/>
  <c r="GQ13" i="9"/>
  <c r="GS13" i="9"/>
  <c r="HI14" i="9"/>
  <c r="HH13" i="9"/>
  <c r="HJ13" i="9" s="1"/>
  <c r="HL13" i="9" s="1"/>
  <c r="DD12" i="9"/>
  <c r="FM12" i="9" s="1"/>
  <c r="AD14" i="9"/>
  <c r="BY14" i="9"/>
  <c r="X14" i="9"/>
  <c r="CI13" i="9"/>
  <c r="AN13" i="9"/>
  <c r="BE12" i="9"/>
  <c r="BG12" i="9"/>
  <c r="BR12" i="9"/>
  <c r="BT12" i="9" s="1"/>
  <c r="BV12" i="9" s="1"/>
  <c r="DE13" i="9"/>
  <c r="CK14" i="9"/>
  <c r="DG13" i="9"/>
  <c r="DV13" i="9"/>
  <c r="DX13" i="9" s="1"/>
  <c r="DZ13" i="9" s="1"/>
  <c r="AH10" i="9"/>
  <c r="AK10" i="9" s="1"/>
  <c r="E9" i="9"/>
  <c r="AL9" i="9"/>
  <c r="F9" i="9" s="1"/>
  <c r="DW16" i="9"/>
  <c r="DQ13" i="9"/>
  <c r="DB14" i="9"/>
  <c r="DS6" i="9"/>
  <c r="CT6" i="9"/>
  <c r="DW15" i="8"/>
  <c r="GD13" i="8"/>
  <c r="DX13" i="8"/>
  <c r="DZ13" i="8" s="1"/>
  <c r="DE13" i="8"/>
  <c r="CK14" i="8"/>
  <c r="DV14" i="8" s="1"/>
  <c r="DG13" i="8"/>
  <c r="HD11" i="8"/>
  <c r="AN14" i="8"/>
  <c r="BR13" i="8"/>
  <c r="BT13" i="8" s="1"/>
  <c r="BV13" i="8" s="1"/>
  <c r="BG13" i="8"/>
  <c r="BE13" i="8"/>
  <c r="AD13" i="8"/>
  <c r="BY13" i="8"/>
  <c r="M14" i="8"/>
  <c r="L15" i="8"/>
  <c r="DD12" i="8"/>
  <c r="DB13" i="8"/>
  <c r="DQ12" i="8"/>
  <c r="DR12" i="8" s="1"/>
  <c r="GN13" i="8"/>
  <c r="HC12" i="8"/>
  <c r="HK12" i="8"/>
  <c r="GS12" i="8"/>
  <c r="FW13" i="8"/>
  <c r="GQ12" i="8"/>
  <c r="HH12" i="8"/>
  <c r="HJ12" i="8" s="1"/>
  <c r="CR17" i="8"/>
  <c r="HO11" i="8"/>
  <c r="AD12" i="8"/>
  <c r="BY12" i="8"/>
  <c r="AL8" i="8"/>
  <c r="F8" i="8" s="1"/>
  <c r="AH9" i="8"/>
  <c r="AK9" i="8" s="1"/>
  <c r="E8" i="8"/>
  <c r="CJ13" i="8"/>
  <c r="Z14" i="8"/>
  <c r="AE11" i="8"/>
  <c r="HI17" i="8"/>
  <c r="X13" i="8"/>
  <c r="CI12" i="8"/>
  <c r="AC12" i="8"/>
  <c r="E8" i="7"/>
  <c r="AL8" i="7"/>
  <c r="F8" i="7" s="1"/>
  <c r="AH9" i="7"/>
  <c r="AK9" i="7" s="1"/>
  <c r="DW14" i="7"/>
  <c r="GQ12" i="7"/>
  <c r="FW13" i="7"/>
  <c r="HK12" i="7"/>
  <c r="GS12" i="7"/>
  <c r="HH12" i="7"/>
  <c r="HJ12" i="7" s="1"/>
  <c r="X14" i="7"/>
  <c r="AC13" i="7"/>
  <c r="CI13" i="7"/>
  <c r="GN13" i="7"/>
  <c r="HC12" i="7"/>
  <c r="GP11" i="7"/>
  <c r="AN13" i="7"/>
  <c r="BR12" i="7"/>
  <c r="BT12" i="7" s="1"/>
  <c r="BV12" i="7" s="1"/>
  <c r="BE12" i="7"/>
  <c r="BG12" i="7"/>
  <c r="DS6" i="7"/>
  <c r="CT6" i="7"/>
  <c r="HI16" i="7"/>
  <c r="AI11" i="7"/>
  <c r="AF11" i="7"/>
  <c r="CP6" i="7"/>
  <c r="GF9" i="7"/>
  <c r="L15" i="7"/>
  <c r="M14" i="7"/>
  <c r="GD12" i="7"/>
  <c r="HF10" i="7"/>
  <c r="HO10" i="7"/>
  <c r="CR11" i="7"/>
  <c r="AD13" i="7"/>
  <c r="BY13" i="7"/>
  <c r="AD12" i="7"/>
  <c r="AE12" i="7" s="1"/>
  <c r="BY12" i="7"/>
  <c r="DB13" i="7"/>
  <c r="DQ12" i="7"/>
  <c r="CP6" i="6"/>
  <c r="Z15" i="6"/>
  <c r="CJ14" i="6"/>
  <c r="GD11" i="6"/>
  <c r="HI16" i="6"/>
  <c r="EB14" i="6"/>
  <c r="FF13" i="6"/>
  <c r="HF11" i="6"/>
  <c r="HO11" i="6"/>
  <c r="X14" i="6"/>
  <c r="CI13" i="6"/>
  <c r="AC13" i="6"/>
  <c r="AE13" i="6" s="1"/>
  <c r="DG13" i="6"/>
  <c r="CK14" i="6"/>
  <c r="DE13" i="6"/>
  <c r="DV13" i="6"/>
  <c r="DX13" i="6" s="1"/>
  <c r="DZ13" i="6" s="1"/>
  <c r="BE13" i="6"/>
  <c r="AN14" i="6"/>
  <c r="BR13" i="6"/>
  <c r="BT13" i="6" s="1"/>
  <c r="BV13" i="6" s="1"/>
  <c r="BG13" i="6"/>
  <c r="AE12" i="6"/>
  <c r="L16" i="6"/>
  <c r="M15" i="6"/>
  <c r="DQ13" i="6"/>
  <c r="DB14" i="6"/>
  <c r="GN14" i="6"/>
  <c r="HC13" i="6"/>
  <c r="FW14" i="6"/>
  <c r="GS13" i="6"/>
  <c r="GQ13" i="6"/>
  <c r="GP13" i="6" s="1"/>
  <c r="HH13" i="6"/>
  <c r="HJ13" i="6" s="1"/>
  <c r="HL13" i="6" s="1"/>
  <c r="HD12" i="6"/>
  <c r="DR12" i="6"/>
  <c r="DW16" i="6"/>
  <c r="BY14" i="6"/>
  <c r="AD14" i="6"/>
  <c r="CR17" i="6"/>
  <c r="DW21" i="5"/>
  <c r="AN14" i="5"/>
  <c r="BR13" i="5"/>
  <c r="BT13" i="5" s="1"/>
  <c r="BV13" i="5" s="1"/>
  <c r="BG13" i="5"/>
  <c r="BE13" i="5"/>
  <c r="DE13" i="5"/>
  <c r="CK14" i="5"/>
  <c r="DG13" i="5"/>
  <c r="DV13" i="5"/>
  <c r="DX13" i="5" s="1"/>
  <c r="DZ13" i="5" s="1"/>
  <c r="AI11" i="5"/>
  <c r="AJ11" i="5" s="1"/>
  <c r="AF11" i="5"/>
  <c r="AH10" i="5"/>
  <c r="AK10" i="5" s="1"/>
  <c r="E9" i="5"/>
  <c r="AL9" i="5"/>
  <c r="F9" i="5" s="1"/>
  <c r="DT11" i="5"/>
  <c r="GN14" i="5"/>
  <c r="HC13" i="5"/>
  <c r="EB15" i="5"/>
  <c r="FF14" i="5"/>
  <c r="GD12" i="5"/>
  <c r="HI15" i="5"/>
  <c r="BY14" i="5"/>
  <c r="AD14" i="5"/>
  <c r="CJ13" i="5"/>
  <c r="Z14" i="5"/>
  <c r="L16" i="5"/>
  <c r="M15" i="5"/>
  <c r="CI13" i="5"/>
  <c r="X14" i="5"/>
  <c r="AC13" i="5"/>
  <c r="AE13" i="5" s="1"/>
  <c r="FW13" i="5"/>
  <c r="HK12" i="5"/>
  <c r="GQ12" i="5"/>
  <c r="GS12" i="5"/>
  <c r="HH12" i="5"/>
  <c r="HJ12" i="5" s="1"/>
  <c r="HF10" i="5"/>
  <c r="HO10" i="5"/>
  <c r="CR13" i="5"/>
  <c r="HD11" i="5"/>
  <c r="GP11" i="5"/>
  <c r="GB8" i="3"/>
  <c r="GC8" i="3" s="1"/>
  <c r="GE9" i="3" s="1"/>
  <c r="GQ12" i="3"/>
  <c r="GP12" i="3" s="1"/>
  <c r="HF12" i="3" s="1"/>
  <c r="GS12" i="3"/>
  <c r="DV12" i="3"/>
  <c r="DX12" i="3" s="1"/>
  <c r="DZ12" i="3" s="1"/>
  <c r="DG12" i="3"/>
  <c r="DE12" i="3"/>
  <c r="DD12" i="3" s="1"/>
  <c r="HE8" i="3"/>
  <c r="HD11" i="3"/>
  <c r="GN20" i="3"/>
  <c r="Z13" i="3"/>
  <c r="CJ13" i="3" s="1"/>
  <c r="DB17" i="3"/>
  <c r="HC13" i="3"/>
  <c r="DQ12" i="3"/>
  <c r="EB14" i="3"/>
  <c r="FF13" i="3"/>
  <c r="BR12" i="3"/>
  <c r="BT12" i="3" s="1"/>
  <c r="BV12" i="3" s="1"/>
  <c r="BG12" i="3"/>
  <c r="BE12" i="3"/>
  <c r="DR11" i="3"/>
  <c r="X13" i="3"/>
  <c r="CI13" i="3" s="1"/>
  <c r="AC12" i="3"/>
  <c r="AE12" i="3" s="1"/>
  <c r="FW13" i="3"/>
  <c r="AN13" i="3"/>
  <c r="AD13" i="3"/>
  <c r="BY13" i="3"/>
  <c r="L15" i="3"/>
  <c r="M14" i="3"/>
  <c r="FT4" i="3"/>
  <c r="G4" i="3" s="1"/>
  <c r="BP12" i="3"/>
  <c r="DW14" i="3"/>
  <c r="CK13" i="3"/>
  <c r="HK21" i="3"/>
  <c r="HK12" i="3"/>
  <c r="HH12" i="3"/>
  <c r="HJ12" i="3" s="1"/>
  <c r="HT6" i="11" l="1"/>
  <c r="HU6" i="11" s="1"/>
  <c r="HS8" i="7"/>
  <c r="HV8" i="7" s="1"/>
  <c r="HW8" i="7" s="1"/>
  <c r="J8" i="7" s="1"/>
  <c r="GG8" i="11"/>
  <c r="GB8" i="11" s="1"/>
  <c r="HN8" i="11" s="1"/>
  <c r="HP8" i="11" s="1"/>
  <c r="HE7" i="11"/>
  <c r="HN7" i="11" s="1"/>
  <c r="HP7" i="11" s="1"/>
  <c r="HQ7" i="11" s="1"/>
  <c r="HT8" i="11" s="1"/>
  <c r="I7" i="7"/>
  <c r="GF7" i="11"/>
  <c r="GF8" i="11" s="1"/>
  <c r="HC12" i="10"/>
  <c r="GN13" i="10"/>
  <c r="DQ12" i="5"/>
  <c r="DR12" i="5" s="1"/>
  <c r="DB13" i="5"/>
  <c r="Z14" i="7"/>
  <c r="CJ13" i="7"/>
  <c r="AJ11" i="11"/>
  <c r="DD12" i="5"/>
  <c r="HC12" i="9"/>
  <c r="HD12" i="9" s="1"/>
  <c r="GN13" i="9"/>
  <c r="AU6" i="8"/>
  <c r="AU7" i="8" s="1"/>
  <c r="AZ7" i="8" s="1"/>
  <c r="BB7" i="8" s="1"/>
  <c r="BB8" i="8" s="1"/>
  <c r="BB9" i="8" s="1"/>
  <c r="BB10" i="8" s="1"/>
  <c r="BB11" i="8" s="1"/>
  <c r="AJ11" i="10"/>
  <c r="AJ11" i="7"/>
  <c r="HW5" i="8"/>
  <c r="J5" i="8" s="1"/>
  <c r="HS6" i="8"/>
  <c r="AV5" i="7"/>
  <c r="D4" i="11"/>
  <c r="AP5" i="11"/>
  <c r="AV5" i="6"/>
  <c r="AI12" i="11"/>
  <c r="AI12" i="5"/>
  <c r="AJ12" i="5" s="1"/>
  <c r="FO5" i="5"/>
  <c r="FT5" i="6"/>
  <c r="G5" i="6" s="1"/>
  <c r="AF12" i="5"/>
  <c r="AI13" i="5" s="1"/>
  <c r="G5" i="11"/>
  <c r="FT5" i="5"/>
  <c r="FT5" i="9"/>
  <c r="FU5" i="9" s="1"/>
  <c r="AK11" i="6"/>
  <c r="E11" i="6" s="1"/>
  <c r="HL12" i="12"/>
  <c r="HL12" i="5"/>
  <c r="HL12" i="10"/>
  <c r="FQ6" i="11"/>
  <c r="HV5" i="10"/>
  <c r="I5" i="10" s="1"/>
  <c r="DT11" i="7"/>
  <c r="HV6" i="11"/>
  <c r="I6" i="11" s="1"/>
  <c r="HT6" i="8"/>
  <c r="HU6" i="8" s="1"/>
  <c r="HD12" i="3"/>
  <c r="FM12" i="12"/>
  <c r="DR12" i="12"/>
  <c r="AF12" i="11"/>
  <c r="AF13" i="11" s="1"/>
  <c r="EB13" i="7"/>
  <c r="FF12" i="7"/>
  <c r="DG12" i="7"/>
  <c r="DE12" i="7"/>
  <c r="DD12" i="7" s="1"/>
  <c r="DT12" i="7" s="1"/>
  <c r="DV12" i="7"/>
  <c r="DX12" i="7" s="1"/>
  <c r="DZ12" i="7" s="1"/>
  <c r="CK13" i="7"/>
  <c r="CU7" i="12"/>
  <c r="CP7" i="12" s="1"/>
  <c r="FF12" i="8"/>
  <c r="EB13" i="8"/>
  <c r="DE13" i="12"/>
  <c r="DD13" i="12" s="1"/>
  <c r="FM13" i="12" s="1"/>
  <c r="CK14" i="12"/>
  <c r="DG13" i="12"/>
  <c r="DV13" i="12"/>
  <c r="DX13" i="12" s="1"/>
  <c r="DZ13" i="12" s="1"/>
  <c r="DR11" i="7"/>
  <c r="DS6" i="5"/>
  <c r="FL6" i="5" s="1"/>
  <c r="FN6" i="5" s="1"/>
  <c r="CQ6" i="11"/>
  <c r="FL6" i="11"/>
  <c r="FN6" i="11" s="1"/>
  <c r="DT12" i="8"/>
  <c r="FM12" i="8"/>
  <c r="CT6" i="5"/>
  <c r="FO5" i="12"/>
  <c r="FT5" i="12"/>
  <c r="FQ6" i="12" s="1"/>
  <c r="FL6" i="12"/>
  <c r="FN6" i="12" s="1"/>
  <c r="DR13" i="6"/>
  <c r="DT12" i="3"/>
  <c r="FM12" i="3"/>
  <c r="DR13" i="10"/>
  <c r="DR13" i="9"/>
  <c r="CT7" i="12"/>
  <c r="GC7" i="8"/>
  <c r="GG8" i="8" s="1"/>
  <c r="HN7" i="8"/>
  <c r="HP7" i="8" s="1"/>
  <c r="HQ7" i="8" s="1"/>
  <c r="HQ6" i="12"/>
  <c r="HN6" i="10"/>
  <c r="HP6" i="10" s="1"/>
  <c r="HT6" i="10" s="1"/>
  <c r="HU6" i="10" s="1"/>
  <c r="GC8" i="11"/>
  <c r="GG9" i="11" s="1"/>
  <c r="J5" i="5"/>
  <c r="FL6" i="9"/>
  <c r="FN6" i="9" s="1"/>
  <c r="FO6" i="9" s="1"/>
  <c r="HV6" i="12"/>
  <c r="AE12" i="8"/>
  <c r="CS7" i="9"/>
  <c r="DS7" i="9" s="1"/>
  <c r="FL5" i="8"/>
  <c r="FN5" i="8" s="1"/>
  <c r="CQ5" i="8"/>
  <c r="GG7" i="10"/>
  <c r="GE7" i="10"/>
  <c r="CU7" i="5"/>
  <c r="CS7" i="5"/>
  <c r="HS6" i="9"/>
  <c r="HW5" i="9"/>
  <c r="J5" i="9" s="1"/>
  <c r="HN6" i="9"/>
  <c r="HP6" i="9" s="1"/>
  <c r="HT6" i="9" s="1"/>
  <c r="HU6" i="9" s="1"/>
  <c r="HL12" i="8"/>
  <c r="GC9" i="7"/>
  <c r="GG10" i="7" s="1"/>
  <c r="FU5" i="7"/>
  <c r="FQ6" i="7"/>
  <c r="AE13" i="7"/>
  <c r="E10" i="6"/>
  <c r="AL10" i="6"/>
  <c r="F10" i="6" s="1"/>
  <c r="HQ6" i="6"/>
  <c r="HT6" i="6"/>
  <c r="HU6" i="6" s="1"/>
  <c r="GE7" i="6"/>
  <c r="GG7" i="6"/>
  <c r="I5" i="5"/>
  <c r="HE6" i="5"/>
  <c r="GF6" i="5"/>
  <c r="HS6" i="5"/>
  <c r="GB6" i="5"/>
  <c r="GC6" i="5" s="1"/>
  <c r="E10" i="12"/>
  <c r="AL10" i="12"/>
  <c r="F10" i="12" s="1"/>
  <c r="AH11" i="12"/>
  <c r="AK11" i="12" s="1"/>
  <c r="AI12" i="12"/>
  <c r="AJ12" i="12" s="1"/>
  <c r="AF12" i="12"/>
  <c r="AF13" i="12" s="1"/>
  <c r="DW16" i="12"/>
  <c r="HD12" i="12"/>
  <c r="GP12" i="12"/>
  <c r="FW14" i="12"/>
  <c r="GS13" i="12"/>
  <c r="GQ13" i="12"/>
  <c r="HH13" i="12"/>
  <c r="HJ13" i="12" s="1"/>
  <c r="HL13" i="12" s="1"/>
  <c r="DB15" i="12"/>
  <c r="DQ14" i="12"/>
  <c r="AN14" i="12"/>
  <c r="BG13" i="12"/>
  <c r="BE13" i="12"/>
  <c r="BR13" i="12"/>
  <c r="BT13" i="12" s="1"/>
  <c r="BV13" i="12" s="1"/>
  <c r="GD15" i="12"/>
  <c r="L17" i="12"/>
  <c r="M16" i="12"/>
  <c r="HF11" i="12"/>
  <c r="HO11" i="12"/>
  <c r="HI16" i="12"/>
  <c r="EB15" i="12"/>
  <c r="FF14" i="12"/>
  <c r="AD15" i="12"/>
  <c r="BY15" i="12"/>
  <c r="CJ13" i="12"/>
  <c r="Z14" i="12"/>
  <c r="AC14" i="12" s="1"/>
  <c r="AE14" i="12" s="1"/>
  <c r="CI14" i="12"/>
  <c r="X15" i="12"/>
  <c r="GB7" i="12"/>
  <c r="GN15" i="12"/>
  <c r="HC14" i="12"/>
  <c r="CR15" i="12"/>
  <c r="HE7" i="12"/>
  <c r="GF7" i="12"/>
  <c r="HD13" i="11"/>
  <c r="DR12" i="11"/>
  <c r="DD12" i="11"/>
  <c r="FM12" i="11" s="1"/>
  <c r="HC14" i="11"/>
  <c r="GN15" i="11"/>
  <c r="GP13" i="11"/>
  <c r="DG13" i="11"/>
  <c r="CK14" i="11"/>
  <c r="DE13" i="11"/>
  <c r="DV13" i="11"/>
  <c r="DX13" i="11" s="1"/>
  <c r="DZ13" i="11" s="1"/>
  <c r="CR15" i="11"/>
  <c r="DW16" i="11"/>
  <c r="EB15" i="11"/>
  <c r="FF14" i="11"/>
  <c r="AD15" i="11"/>
  <c r="BY15" i="11"/>
  <c r="AC14" i="11"/>
  <c r="AE14" i="11" s="1"/>
  <c r="X15" i="11"/>
  <c r="CI14" i="11"/>
  <c r="AN15" i="11"/>
  <c r="BG14" i="11"/>
  <c r="BE14" i="11"/>
  <c r="BR14" i="11"/>
  <c r="BT14" i="11" s="1"/>
  <c r="BV14" i="11" s="1"/>
  <c r="Z15" i="11"/>
  <c r="CJ14" i="11"/>
  <c r="E10" i="11"/>
  <c r="AL10" i="11"/>
  <c r="F10" i="11" s="1"/>
  <c r="AH11" i="11"/>
  <c r="AK11" i="11" s="1"/>
  <c r="GQ14" i="11"/>
  <c r="GP14" i="11" s="1"/>
  <c r="FW15" i="11"/>
  <c r="GS14" i="11"/>
  <c r="HH14" i="11"/>
  <c r="HJ14" i="11" s="1"/>
  <c r="HL14" i="11" s="1"/>
  <c r="M16" i="11"/>
  <c r="L17" i="11"/>
  <c r="HI17" i="11"/>
  <c r="DQ14" i="11"/>
  <c r="DB15" i="11"/>
  <c r="GD15" i="11"/>
  <c r="DT11" i="11"/>
  <c r="FW14" i="10"/>
  <c r="GS13" i="10"/>
  <c r="GQ13" i="10"/>
  <c r="HH13" i="10"/>
  <c r="HJ13" i="10" s="1"/>
  <c r="HL13" i="10" s="1"/>
  <c r="M16" i="10"/>
  <c r="L17" i="10"/>
  <c r="DB15" i="10"/>
  <c r="DQ14" i="10"/>
  <c r="GD17" i="10"/>
  <c r="AI12" i="10"/>
  <c r="AF12" i="10"/>
  <c r="AF13" i="10" s="1"/>
  <c r="DD13" i="10"/>
  <c r="FM13" i="10" s="1"/>
  <c r="CK15" i="10"/>
  <c r="DV15" i="10" s="1"/>
  <c r="DG14" i="10"/>
  <c r="DX14" i="10"/>
  <c r="DZ14" i="10" s="1"/>
  <c r="DE14" i="10"/>
  <c r="HF11" i="10"/>
  <c r="HO11" i="10"/>
  <c r="HD12" i="10"/>
  <c r="GP12" i="10"/>
  <c r="HI19" i="10"/>
  <c r="CU6" i="10"/>
  <c r="CS6" i="10"/>
  <c r="BG13" i="10"/>
  <c r="AN14" i="10"/>
  <c r="BE13" i="10"/>
  <c r="BR13" i="10"/>
  <c r="BT13" i="10" s="1"/>
  <c r="BV13" i="10" s="1"/>
  <c r="CI14" i="10"/>
  <c r="X15" i="10"/>
  <c r="DW16" i="10"/>
  <c r="EB15" i="10"/>
  <c r="FF14" i="10"/>
  <c r="FR5" i="10"/>
  <c r="FS5" i="10" s="1"/>
  <c r="FO5" i="10"/>
  <c r="E10" i="10"/>
  <c r="AL10" i="10"/>
  <c r="F10" i="10" s="1"/>
  <c r="AH11" i="10"/>
  <c r="AK11" i="10" s="1"/>
  <c r="CR13" i="10"/>
  <c r="AD15" i="10"/>
  <c r="BY15" i="10"/>
  <c r="Z14" i="10"/>
  <c r="CJ13" i="10"/>
  <c r="AH11" i="9"/>
  <c r="AK11" i="9" s="1"/>
  <c r="E10" i="9"/>
  <c r="AL10" i="9"/>
  <c r="F10" i="9" s="1"/>
  <c r="EB15" i="9"/>
  <c r="FF14" i="9"/>
  <c r="GG7" i="9"/>
  <c r="GE7" i="9"/>
  <c r="HE7" i="9" s="1"/>
  <c r="AC14" i="9"/>
  <c r="AE14" i="9" s="1"/>
  <c r="X15" i="9"/>
  <c r="CI14" i="9"/>
  <c r="HF12" i="9"/>
  <c r="HO12" i="9"/>
  <c r="DG14" i="9"/>
  <c r="CK15" i="9"/>
  <c r="DE14" i="9"/>
  <c r="DD14" i="9" s="1"/>
  <c r="FM14" i="9" s="1"/>
  <c r="DV14" i="9"/>
  <c r="DX14" i="9" s="1"/>
  <c r="DZ14" i="9" s="1"/>
  <c r="DT12" i="9"/>
  <c r="CJ13" i="9"/>
  <c r="Z14" i="9"/>
  <c r="DD13" i="9"/>
  <c r="FM13" i="9" s="1"/>
  <c r="AF12" i="9"/>
  <c r="AI13" i="9" s="1"/>
  <c r="AI12" i="9"/>
  <c r="AJ12" i="9" s="1"/>
  <c r="BY15" i="9"/>
  <c r="AD15" i="9"/>
  <c r="HH14" i="9"/>
  <c r="HJ14" i="9" s="1"/>
  <c r="HL14" i="9" s="1"/>
  <c r="HI15" i="9"/>
  <c r="CR12" i="9"/>
  <c r="DQ14" i="9"/>
  <c r="DB15" i="9"/>
  <c r="L17" i="9"/>
  <c r="M16" i="9"/>
  <c r="DW17" i="9"/>
  <c r="BG13" i="9"/>
  <c r="BE13" i="9"/>
  <c r="AN14" i="9"/>
  <c r="BR13" i="9"/>
  <c r="BT13" i="9" s="1"/>
  <c r="BV13" i="9" s="1"/>
  <c r="FW15" i="9"/>
  <c r="GS14" i="9"/>
  <c r="GQ14" i="9"/>
  <c r="HI18" i="8"/>
  <c r="CK15" i="8"/>
  <c r="DV15" i="8" s="1"/>
  <c r="DG14" i="8"/>
  <c r="DX14" i="8"/>
  <c r="DZ14" i="8" s="1"/>
  <c r="DE14" i="8"/>
  <c r="AF11" i="8"/>
  <c r="AI11" i="8"/>
  <c r="AJ11" i="8" s="1"/>
  <c r="DB14" i="8"/>
  <c r="DD13" i="8"/>
  <c r="FM13" i="8" s="1"/>
  <c r="DQ13" i="8"/>
  <c r="DR13" i="8" s="1"/>
  <c r="HD12" i="8"/>
  <c r="CR18" i="8"/>
  <c r="E9" i="8"/>
  <c r="AH10" i="8"/>
  <c r="AK10" i="8" s="1"/>
  <c r="AL9" i="8"/>
  <c r="F9" i="8" s="1"/>
  <c r="GD14" i="8"/>
  <c r="FW14" i="8"/>
  <c r="GS13" i="8"/>
  <c r="GQ13" i="8"/>
  <c r="GP13" i="8" s="1"/>
  <c r="HH13" i="8"/>
  <c r="HJ13" i="8" s="1"/>
  <c r="HL13" i="8" s="1"/>
  <c r="CJ14" i="8"/>
  <c r="Z15" i="8"/>
  <c r="AN15" i="8"/>
  <c r="BE14" i="8"/>
  <c r="BR14" i="8"/>
  <c r="BT14" i="8" s="1"/>
  <c r="BV14" i="8" s="1"/>
  <c r="BG14" i="8"/>
  <c r="GN14" i="8"/>
  <c r="HC13" i="8"/>
  <c r="L16" i="8"/>
  <c r="M15" i="8"/>
  <c r="DW16" i="8"/>
  <c r="AC13" i="8"/>
  <c r="AE13" i="8" s="1"/>
  <c r="CI13" i="8"/>
  <c r="X14" i="8"/>
  <c r="GP12" i="8"/>
  <c r="AD14" i="8"/>
  <c r="BY14" i="8"/>
  <c r="AH10" i="7"/>
  <c r="AK10" i="7" s="1"/>
  <c r="AL9" i="7"/>
  <c r="F9" i="7" s="1"/>
  <c r="E9" i="7"/>
  <c r="AN14" i="7"/>
  <c r="BG13" i="7"/>
  <c r="BE13" i="7"/>
  <c r="BR13" i="7"/>
  <c r="BT13" i="7" s="1"/>
  <c r="BV13" i="7" s="1"/>
  <c r="AF12" i="7"/>
  <c r="AI12" i="7"/>
  <c r="HL12" i="7"/>
  <c r="HD12" i="7"/>
  <c r="HC13" i="7"/>
  <c r="GN14" i="7"/>
  <c r="DW15" i="7"/>
  <c r="CR12" i="7"/>
  <c r="GP12" i="7"/>
  <c r="HI17" i="7"/>
  <c r="BY14" i="7"/>
  <c r="AD14" i="7"/>
  <c r="FL6" i="7"/>
  <c r="FN6" i="7" s="1"/>
  <c r="CQ6" i="7"/>
  <c r="X15" i="7"/>
  <c r="CI14" i="7"/>
  <c r="AC14" i="7"/>
  <c r="GD13" i="7"/>
  <c r="HF11" i="7"/>
  <c r="HO11" i="7"/>
  <c r="HQ9" i="7"/>
  <c r="HT9" i="7"/>
  <c r="HU9" i="7" s="1"/>
  <c r="GS13" i="7"/>
  <c r="GQ13" i="7"/>
  <c r="GP13" i="7" s="1"/>
  <c r="FW14" i="7"/>
  <c r="HH13" i="7"/>
  <c r="HJ13" i="7" s="1"/>
  <c r="HL13" i="7" s="1"/>
  <c r="L16" i="7"/>
  <c r="M15" i="7"/>
  <c r="DB14" i="7"/>
  <c r="DQ13" i="7"/>
  <c r="FL6" i="6"/>
  <c r="FN6" i="6" s="1"/>
  <c r="CQ6" i="6"/>
  <c r="HF13" i="6"/>
  <c r="HO13" i="6"/>
  <c r="DQ14" i="6"/>
  <c r="DB15" i="6"/>
  <c r="DD13" i="6"/>
  <c r="FM13" i="6" s="1"/>
  <c r="EB15" i="6"/>
  <c r="FF14" i="6"/>
  <c r="CK15" i="6"/>
  <c r="DG14" i="6"/>
  <c r="DE14" i="6"/>
  <c r="DV14" i="6"/>
  <c r="DX14" i="6" s="1"/>
  <c r="DZ14" i="6" s="1"/>
  <c r="HD13" i="6"/>
  <c r="BY15" i="6"/>
  <c r="AD15" i="6"/>
  <c r="HI17" i="6"/>
  <c r="BG14" i="6"/>
  <c r="BR14" i="6"/>
  <c r="BT14" i="6" s="1"/>
  <c r="BV14" i="6" s="1"/>
  <c r="AN15" i="6"/>
  <c r="BE14" i="6"/>
  <c r="CR18" i="6"/>
  <c r="L17" i="6"/>
  <c r="M16" i="6"/>
  <c r="GD12" i="6"/>
  <c r="DW17" i="6"/>
  <c r="GN15" i="6"/>
  <c r="HC14" i="6"/>
  <c r="FW15" i="6"/>
  <c r="GQ14" i="6"/>
  <c r="GP14" i="6" s="1"/>
  <c r="GS14" i="6"/>
  <c r="HH14" i="6"/>
  <c r="HJ14" i="6" s="1"/>
  <c r="HL14" i="6" s="1"/>
  <c r="AI12" i="6"/>
  <c r="AJ12" i="6" s="1"/>
  <c r="AF12" i="6"/>
  <c r="AF13" i="6" s="1"/>
  <c r="X15" i="6"/>
  <c r="AC14" i="6"/>
  <c r="AE14" i="6" s="1"/>
  <c r="CI14" i="6"/>
  <c r="Z16" i="6"/>
  <c r="CJ15" i="6"/>
  <c r="CR14" i="5"/>
  <c r="GD13" i="5"/>
  <c r="AD15" i="5"/>
  <c r="BY15" i="5"/>
  <c r="E10" i="5"/>
  <c r="AH11" i="5"/>
  <c r="AK11" i="5" s="1"/>
  <c r="AL10" i="5"/>
  <c r="F10" i="5" s="1"/>
  <c r="L17" i="5"/>
  <c r="M16" i="5"/>
  <c r="EB16" i="5"/>
  <c r="FF15" i="5"/>
  <c r="Z15" i="5"/>
  <c r="CJ14" i="5"/>
  <c r="CK15" i="5"/>
  <c r="DG14" i="5"/>
  <c r="DE14" i="5"/>
  <c r="DV14" i="5"/>
  <c r="DX14" i="5" s="1"/>
  <c r="DZ14" i="5" s="1"/>
  <c r="BE14" i="5"/>
  <c r="BR14" i="5"/>
  <c r="BT14" i="5" s="1"/>
  <c r="BV14" i="5" s="1"/>
  <c r="AN15" i="5"/>
  <c r="BG14" i="5"/>
  <c r="GN15" i="5"/>
  <c r="HC14" i="5"/>
  <c r="HF11" i="5"/>
  <c r="HO11" i="5"/>
  <c r="HD12" i="5"/>
  <c r="GP12" i="5"/>
  <c r="X15" i="5"/>
  <c r="AC14" i="5"/>
  <c r="AE14" i="5" s="1"/>
  <c r="CI14" i="5"/>
  <c r="DW22" i="5"/>
  <c r="FW14" i="5"/>
  <c r="GS13" i="5"/>
  <c r="GQ13" i="5"/>
  <c r="HH13" i="5"/>
  <c r="HJ13" i="5" s="1"/>
  <c r="HL13" i="5" s="1"/>
  <c r="DD13" i="5"/>
  <c r="FM13" i="5" s="1"/>
  <c r="HI16" i="5"/>
  <c r="GG9" i="3"/>
  <c r="GB9" i="3" s="1"/>
  <c r="HN8" i="3"/>
  <c r="GQ13" i="3"/>
  <c r="GP13" i="3" s="1"/>
  <c r="HF13" i="3" s="1"/>
  <c r="GS13" i="3"/>
  <c r="DV13" i="3"/>
  <c r="DX13" i="3" s="1"/>
  <c r="DZ13" i="3" s="1"/>
  <c r="DE13" i="3"/>
  <c r="DD13" i="3" s="1"/>
  <c r="DG13" i="3"/>
  <c r="GF9" i="3"/>
  <c r="HE9" i="3"/>
  <c r="HL12" i="3"/>
  <c r="Z14" i="3"/>
  <c r="CJ14" i="3" s="1"/>
  <c r="GN21" i="3"/>
  <c r="DB18" i="3"/>
  <c r="HC14" i="3"/>
  <c r="DQ13" i="3"/>
  <c r="BE13" i="3"/>
  <c r="BR13" i="3"/>
  <c r="BT13" i="3" s="1"/>
  <c r="BV13" i="3" s="1"/>
  <c r="BG13" i="3"/>
  <c r="EB15" i="3"/>
  <c r="FF14" i="3"/>
  <c r="DR12" i="3"/>
  <c r="X14" i="3"/>
  <c r="CI14" i="3" s="1"/>
  <c r="AC13" i="3"/>
  <c r="AE13" i="3" s="1"/>
  <c r="AN14" i="3"/>
  <c r="FW14" i="3"/>
  <c r="AD14" i="3"/>
  <c r="BY14" i="3"/>
  <c r="L16" i="3"/>
  <c r="M15" i="3"/>
  <c r="FU4" i="3"/>
  <c r="FQ5" i="3"/>
  <c r="DW15" i="3"/>
  <c r="BP13" i="3"/>
  <c r="CK14" i="3"/>
  <c r="HK22" i="3"/>
  <c r="HK13" i="3"/>
  <c r="HH13" i="3"/>
  <c r="HJ13" i="3" s="1"/>
  <c r="HT7" i="11" l="1"/>
  <c r="HU7" i="11" s="1"/>
  <c r="HQ8" i="11"/>
  <c r="AJ12" i="11"/>
  <c r="AJ12" i="7"/>
  <c r="HC13" i="9"/>
  <c r="HD13" i="9" s="1"/>
  <c r="GN14" i="9"/>
  <c r="FQ6" i="6"/>
  <c r="AJ12" i="10"/>
  <c r="FM12" i="5"/>
  <c r="DT12" i="5"/>
  <c r="CJ14" i="7"/>
  <c r="Z15" i="7"/>
  <c r="DB14" i="5"/>
  <c r="DQ13" i="5"/>
  <c r="DR13" i="5" s="1"/>
  <c r="GP14" i="9"/>
  <c r="BC7" i="8"/>
  <c r="BC8" i="8" s="1"/>
  <c r="BC9" i="8" s="1"/>
  <c r="BC10" i="8" s="1"/>
  <c r="BC11" i="8" s="1"/>
  <c r="DD14" i="5"/>
  <c r="FM14" i="5" s="1"/>
  <c r="HC13" i="10"/>
  <c r="GN14" i="10"/>
  <c r="GP13" i="9"/>
  <c r="FU5" i="6"/>
  <c r="AV5" i="11"/>
  <c r="AI12" i="8"/>
  <c r="AJ12" i="8" s="1"/>
  <c r="AF13" i="5"/>
  <c r="AF14" i="5" s="1"/>
  <c r="G5" i="5"/>
  <c r="AH12" i="6"/>
  <c r="AK12" i="6" s="1"/>
  <c r="AL12" i="6" s="1"/>
  <c r="F12" i="6" s="1"/>
  <c r="AL11" i="6"/>
  <c r="F11" i="6" s="1"/>
  <c r="FU5" i="5"/>
  <c r="FQ6" i="5"/>
  <c r="HS6" i="10"/>
  <c r="HV6" i="10" s="1"/>
  <c r="HV6" i="8"/>
  <c r="HS7" i="8" s="1"/>
  <c r="FQ6" i="9"/>
  <c r="G5" i="9"/>
  <c r="AI13" i="11"/>
  <c r="AJ13" i="11" s="1"/>
  <c r="I8" i="7"/>
  <c r="HS9" i="7"/>
  <c r="HV9" i="7" s="1"/>
  <c r="I9" i="7" s="1"/>
  <c r="HW5" i="10"/>
  <c r="J5" i="10" s="1"/>
  <c r="HW6" i="11"/>
  <c r="J6" i="11" s="1"/>
  <c r="HS7" i="11"/>
  <c r="HV7" i="11" s="1"/>
  <c r="HS8" i="11" s="1"/>
  <c r="HV8" i="11" s="1"/>
  <c r="DR13" i="12"/>
  <c r="I6" i="12"/>
  <c r="DT13" i="12"/>
  <c r="HQ6" i="10"/>
  <c r="GE8" i="8"/>
  <c r="GB8" i="8" s="1"/>
  <c r="GC8" i="8" s="1"/>
  <c r="GE9" i="8" s="1"/>
  <c r="HL13" i="3"/>
  <c r="GE10" i="7"/>
  <c r="HE10" i="7" s="1"/>
  <c r="DG14" i="12"/>
  <c r="DV14" i="12"/>
  <c r="DX14" i="12" s="1"/>
  <c r="DZ14" i="12" s="1"/>
  <c r="DE14" i="12"/>
  <c r="DD14" i="12" s="1"/>
  <c r="FM14" i="12" s="1"/>
  <c r="CK15" i="12"/>
  <c r="FF13" i="8"/>
  <c r="EB14" i="8"/>
  <c r="AJ13" i="9"/>
  <c r="DV13" i="7"/>
  <c r="DX13" i="7" s="1"/>
  <c r="DZ13" i="7" s="1"/>
  <c r="CK14" i="7"/>
  <c r="DE13" i="7"/>
  <c r="DD13" i="7" s="1"/>
  <c r="FM13" i="7" s="1"/>
  <c r="DG13" i="7"/>
  <c r="FM12" i="7"/>
  <c r="EB14" i="7"/>
  <c r="FF13" i="7"/>
  <c r="AF13" i="7"/>
  <c r="DR12" i="7"/>
  <c r="FO6" i="12"/>
  <c r="G5" i="12"/>
  <c r="FU5" i="12"/>
  <c r="DR14" i="6"/>
  <c r="FR6" i="12"/>
  <c r="FS6" i="12" s="1"/>
  <c r="FO6" i="11"/>
  <c r="FR6" i="11"/>
  <c r="FS6" i="11" s="1"/>
  <c r="CU7" i="11"/>
  <c r="CS7" i="11"/>
  <c r="FL7" i="12"/>
  <c r="FN7" i="12" s="1"/>
  <c r="CQ7" i="12"/>
  <c r="CT7" i="9"/>
  <c r="FR6" i="5"/>
  <c r="FS6" i="5" s="1"/>
  <c r="FO6" i="5"/>
  <c r="FR6" i="9"/>
  <c r="FS6" i="9" s="1"/>
  <c r="DT13" i="3"/>
  <c r="FM13" i="3"/>
  <c r="DR14" i="10"/>
  <c r="HT7" i="8"/>
  <c r="HU7" i="8" s="1"/>
  <c r="GE9" i="11"/>
  <c r="HE9" i="11" s="1"/>
  <c r="HS7" i="12"/>
  <c r="HW6" i="12"/>
  <c r="J6" i="12" s="1"/>
  <c r="GB7" i="10"/>
  <c r="GC7" i="10" s="1"/>
  <c r="HN6" i="5"/>
  <c r="HP6" i="5" s="1"/>
  <c r="HT6" i="5" s="1"/>
  <c r="HU6" i="5" s="1"/>
  <c r="CU6" i="8"/>
  <c r="CS6" i="8"/>
  <c r="FR5" i="8"/>
  <c r="FS5" i="8" s="1"/>
  <c r="FO5" i="8"/>
  <c r="AI13" i="10"/>
  <c r="AJ13" i="10" s="1"/>
  <c r="AI13" i="12"/>
  <c r="AJ13" i="12" s="1"/>
  <c r="CP7" i="5"/>
  <c r="CP7" i="9"/>
  <c r="CT7" i="5"/>
  <c r="DS7" i="5"/>
  <c r="GF7" i="10"/>
  <c r="HE7" i="10"/>
  <c r="HU8" i="11"/>
  <c r="HQ6" i="9"/>
  <c r="GF7" i="9"/>
  <c r="GB7" i="9"/>
  <c r="HN7" i="9" s="1"/>
  <c r="HP7" i="9" s="1"/>
  <c r="HV6" i="6"/>
  <c r="GF7" i="6"/>
  <c r="HE7" i="6"/>
  <c r="GB7" i="6"/>
  <c r="AI14" i="12"/>
  <c r="AF14" i="12"/>
  <c r="AL11" i="12"/>
  <c r="F11" i="12" s="1"/>
  <c r="AH12" i="12"/>
  <c r="AK12" i="12" s="1"/>
  <c r="E11" i="12"/>
  <c r="GN16" i="12"/>
  <c r="HC15" i="12"/>
  <c r="L18" i="12"/>
  <c r="M17" i="12"/>
  <c r="HN7" i="12"/>
  <c r="HP7" i="12" s="1"/>
  <c r="GC7" i="12"/>
  <c r="DW17" i="12"/>
  <c r="BY16" i="12"/>
  <c r="AD16" i="12"/>
  <c r="CI15" i="12"/>
  <c r="X16" i="12"/>
  <c r="AC15" i="12"/>
  <c r="AE15" i="12" s="1"/>
  <c r="GD16" i="12"/>
  <c r="FW15" i="12"/>
  <c r="GQ14" i="12"/>
  <c r="GS14" i="12"/>
  <c r="HH14" i="12"/>
  <c r="HJ14" i="12" s="1"/>
  <c r="HL14" i="12" s="1"/>
  <c r="HD13" i="12"/>
  <c r="GP13" i="12"/>
  <c r="Z15" i="12"/>
  <c r="CJ14" i="12"/>
  <c r="FF15" i="12"/>
  <c r="EB16" i="12"/>
  <c r="CR16" i="12"/>
  <c r="HI17" i="12"/>
  <c r="AN15" i="12"/>
  <c r="BG14" i="12"/>
  <c r="BR14" i="12"/>
  <c r="BT14" i="12" s="1"/>
  <c r="BV14" i="12" s="1"/>
  <c r="BE14" i="12"/>
  <c r="DQ15" i="12"/>
  <c r="DB16" i="12"/>
  <c r="HF12" i="12"/>
  <c r="HO12" i="12"/>
  <c r="AI14" i="11"/>
  <c r="AF14" i="11"/>
  <c r="HD14" i="11"/>
  <c r="DR13" i="11"/>
  <c r="DD13" i="11"/>
  <c r="FM13" i="11" s="1"/>
  <c r="HI18" i="11"/>
  <c r="CK15" i="11"/>
  <c r="DE14" i="11"/>
  <c r="DG14" i="11"/>
  <c r="DV14" i="11"/>
  <c r="DX14" i="11" s="1"/>
  <c r="DZ14" i="11" s="1"/>
  <c r="DB16" i="11"/>
  <c r="DQ15" i="11"/>
  <c r="CI15" i="11"/>
  <c r="AC15" i="11"/>
  <c r="AE15" i="11" s="1"/>
  <c r="X16" i="11"/>
  <c r="HF13" i="11"/>
  <c r="HO13" i="11"/>
  <c r="E11" i="11"/>
  <c r="AL11" i="11"/>
  <c r="F11" i="11" s="1"/>
  <c r="AH12" i="11"/>
  <c r="AK12" i="11" s="1"/>
  <c r="Z16" i="11"/>
  <c r="CJ15" i="11"/>
  <c r="EB16" i="11"/>
  <c r="FF15" i="11"/>
  <c r="DT12" i="11"/>
  <c r="AD16" i="11"/>
  <c r="BY16" i="11"/>
  <c r="FW16" i="11"/>
  <c r="GS15" i="11"/>
  <c r="GQ15" i="11"/>
  <c r="HH15" i="11"/>
  <c r="HJ15" i="11" s="1"/>
  <c r="HL15" i="11" s="1"/>
  <c r="DW17" i="11"/>
  <c r="GD16" i="11"/>
  <c r="L18" i="11"/>
  <c r="M17" i="11"/>
  <c r="BR15" i="11"/>
  <c r="BT15" i="11" s="1"/>
  <c r="BV15" i="11" s="1"/>
  <c r="AN16" i="11"/>
  <c r="BG15" i="11"/>
  <c r="BE15" i="11"/>
  <c r="GN16" i="11"/>
  <c r="HC15" i="11"/>
  <c r="CR16" i="11"/>
  <c r="HF14" i="11"/>
  <c r="HO14" i="11"/>
  <c r="AN15" i="10"/>
  <c r="BG14" i="10"/>
  <c r="BE14" i="10"/>
  <c r="BR14" i="10"/>
  <c r="BT14" i="10" s="1"/>
  <c r="BV14" i="10" s="1"/>
  <c r="FF15" i="10"/>
  <c r="EB16" i="10"/>
  <c r="DS6" i="10"/>
  <c r="CT6" i="10"/>
  <c r="HD13" i="10"/>
  <c r="GP13" i="10"/>
  <c r="DW17" i="10"/>
  <c r="DT13" i="10"/>
  <c r="CP6" i="10"/>
  <c r="GQ14" i="10"/>
  <c r="FW15" i="10"/>
  <c r="GS14" i="10"/>
  <c r="HH14" i="10"/>
  <c r="HJ14" i="10" s="1"/>
  <c r="HL14" i="10" s="1"/>
  <c r="HI20" i="10"/>
  <c r="AL11" i="10"/>
  <c r="F11" i="10" s="1"/>
  <c r="AH12" i="10"/>
  <c r="AK12" i="10" s="1"/>
  <c r="E11" i="10"/>
  <c r="GD18" i="10"/>
  <c r="HF12" i="10"/>
  <c r="HO12" i="10"/>
  <c r="CI15" i="10"/>
  <c r="X16" i="10"/>
  <c r="CJ14" i="10"/>
  <c r="Z15" i="10"/>
  <c r="AC14" i="10"/>
  <c r="AE14" i="10" s="1"/>
  <c r="DD14" i="10"/>
  <c r="FM14" i="10" s="1"/>
  <c r="DB16" i="10"/>
  <c r="DQ15" i="10"/>
  <c r="FT5" i="10"/>
  <c r="M17" i="10"/>
  <c r="L18" i="10"/>
  <c r="CK16" i="10"/>
  <c r="DV16" i="10" s="1"/>
  <c r="DX15" i="10"/>
  <c r="DZ15" i="10" s="1"/>
  <c r="DE15" i="10"/>
  <c r="DD15" i="10" s="1"/>
  <c r="FM15" i="10" s="1"/>
  <c r="DG15" i="10"/>
  <c r="BY16" i="10"/>
  <c r="AD16" i="10"/>
  <c r="CR14" i="10"/>
  <c r="AH12" i="9"/>
  <c r="AK12" i="9" s="1"/>
  <c r="AL11" i="9"/>
  <c r="F11" i="9" s="1"/>
  <c r="E11" i="9"/>
  <c r="HI16" i="9"/>
  <c r="HH15" i="9"/>
  <c r="HJ15" i="9" s="1"/>
  <c r="HL15" i="9" s="1"/>
  <c r="X16" i="9"/>
  <c r="CI15" i="9"/>
  <c r="CR13" i="9"/>
  <c r="DW18" i="9"/>
  <c r="Z15" i="9"/>
  <c r="AC15" i="9" s="1"/>
  <c r="AE15" i="9" s="1"/>
  <c r="CJ14" i="9"/>
  <c r="BY16" i="9"/>
  <c r="AD16" i="9"/>
  <c r="HF14" i="9"/>
  <c r="HO14" i="9"/>
  <c r="M17" i="9"/>
  <c r="L18" i="9"/>
  <c r="DR14" i="9"/>
  <c r="DT14" i="9"/>
  <c r="AF13" i="9"/>
  <c r="AF14" i="9" s="1"/>
  <c r="HV6" i="9"/>
  <c r="DT13" i="9"/>
  <c r="DQ15" i="9"/>
  <c r="DB16" i="9"/>
  <c r="DE15" i="9"/>
  <c r="CK16" i="9"/>
  <c r="DG15" i="9"/>
  <c r="DV15" i="9"/>
  <c r="DX15" i="9" s="1"/>
  <c r="DZ15" i="9" s="1"/>
  <c r="FW16" i="9"/>
  <c r="GS15" i="9"/>
  <c r="GQ15" i="9"/>
  <c r="AN15" i="9"/>
  <c r="BG14" i="9"/>
  <c r="BE14" i="9"/>
  <c r="BR14" i="9"/>
  <c r="BT14" i="9" s="1"/>
  <c r="BV14" i="9" s="1"/>
  <c r="FF15" i="9"/>
  <c r="EB16" i="9"/>
  <c r="HF13" i="8"/>
  <c r="HO13" i="8"/>
  <c r="GN15" i="8"/>
  <c r="HC14" i="8"/>
  <c r="CI14" i="8"/>
  <c r="X15" i="8"/>
  <c r="AC14" i="8"/>
  <c r="AE14" i="8" s="1"/>
  <c r="DT13" i="8"/>
  <c r="CJ15" i="8"/>
  <c r="Z16" i="8"/>
  <c r="CR19" i="8"/>
  <c r="BY15" i="8"/>
  <c r="AD15" i="8"/>
  <c r="GD15" i="8"/>
  <c r="HD13" i="8"/>
  <c r="CK16" i="8"/>
  <c r="DV16" i="8" s="1"/>
  <c r="DG15" i="8"/>
  <c r="DX15" i="8"/>
  <c r="DZ15" i="8" s="1"/>
  <c r="DE15" i="8"/>
  <c r="DW17" i="8"/>
  <c r="FW15" i="8"/>
  <c r="GS14" i="8"/>
  <c r="GQ14" i="8"/>
  <c r="HH14" i="8"/>
  <c r="HJ14" i="8" s="1"/>
  <c r="HL14" i="8" s="1"/>
  <c r="HI19" i="8"/>
  <c r="L17" i="8"/>
  <c r="M16" i="8"/>
  <c r="HF12" i="8"/>
  <c r="HO12" i="8"/>
  <c r="AH11" i="8"/>
  <c r="AK11" i="8" s="1"/>
  <c r="AF12" i="8" s="1"/>
  <c r="E10" i="8"/>
  <c r="AL10" i="8"/>
  <c r="F10" i="8" s="1"/>
  <c r="AN16" i="8"/>
  <c r="BG15" i="8"/>
  <c r="BR15" i="8"/>
  <c r="BT15" i="8" s="1"/>
  <c r="BV15" i="8" s="1"/>
  <c r="BE15" i="8"/>
  <c r="DQ14" i="8"/>
  <c r="DR14" i="8" s="1"/>
  <c r="DB15" i="8"/>
  <c r="DD14" i="8"/>
  <c r="FM14" i="8" s="1"/>
  <c r="AI13" i="7"/>
  <c r="DW16" i="7"/>
  <c r="BR14" i="7"/>
  <c r="BT14" i="7" s="1"/>
  <c r="BV14" i="7" s="1"/>
  <c r="BE14" i="7"/>
  <c r="AN15" i="7"/>
  <c r="BG14" i="7"/>
  <c r="GD14" i="7"/>
  <c r="HF13" i="7"/>
  <c r="HO13" i="7"/>
  <c r="AD15" i="7"/>
  <c r="BY15" i="7"/>
  <c r="CI15" i="7"/>
  <c r="X16" i="7"/>
  <c r="AC15" i="7"/>
  <c r="FW15" i="7"/>
  <c r="GS14" i="7"/>
  <c r="GQ14" i="7"/>
  <c r="GP14" i="7" s="1"/>
  <c r="HH14" i="7"/>
  <c r="HJ14" i="7" s="1"/>
  <c r="HL14" i="7" s="1"/>
  <c r="FR6" i="7"/>
  <c r="FS6" i="7" s="1"/>
  <c r="FO6" i="7"/>
  <c r="AE14" i="7"/>
  <c r="GN15" i="7"/>
  <c r="HC14" i="7"/>
  <c r="L17" i="7"/>
  <c r="M16" i="7"/>
  <c r="CU7" i="7"/>
  <c r="CS7" i="7"/>
  <c r="HD13" i="7"/>
  <c r="HI18" i="7"/>
  <c r="HF12" i="7"/>
  <c r="HO12" i="7"/>
  <c r="CR13" i="7"/>
  <c r="AH11" i="7"/>
  <c r="AK11" i="7" s="1"/>
  <c r="E10" i="7"/>
  <c r="AL10" i="7"/>
  <c r="F10" i="7" s="1"/>
  <c r="DQ14" i="7"/>
  <c r="DB15" i="7"/>
  <c r="AI14" i="6"/>
  <c r="AF14" i="6"/>
  <c r="HF14" i="6"/>
  <c r="HO14" i="6"/>
  <c r="DQ15" i="6"/>
  <c r="DB16" i="6"/>
  <c r="BY16" i="6"/>
  <c r="AD16" i="6"/>
  <c r="X16" i="6"/>
  <c r="CI15" i="6"/>
  <c r="AC15" i="6"/>
  <c r="AE15" i="6" s="1"/>
  <c r="AN16" i="6"/>
  <c r="BR15" i="6"/>
  <c r="BT15" i="6" s="1"/>
  <c r="BV15" i="6" s="1"/>
  <c r="BE15" i="6"/>
  <c r="BG15" i="6"/>
  <c r="GD13" i="6"/>
  <c r="FO6" i="6"/>
  <c r="FR6" i="6"/>
  <c r="FS6" i="6" s="1"/>
  <c r="CU7" i="6"/>
  <c r="CS7" i="6"/>
  <c r="HD14" i="6"/>
  <c r="FW16" i="6"/>
  <c r="GS15" i="6"/>
  <c r="GQ15" i="6"/>
  <c r="GP15" i="6" s="1"/>
  <c r="HH15" i="6"/>
  <c r="HJ15" i="6" s="1"/>
  <c r="HL15" i="6" s="1"/>
  <c r="CR19" i="6"/>
  <c r="L18" i="6"/>
  <c r="M17" i="6"/>
  <c r="CK16" i="6"/>
  <c r="DG15" i="6"/>
  <c r="DE15" i="6"/>
  <c r="DD15" i="6" s="1"/>
  <c r="FM15" i="6" s="1"/>
  <c r="DV15" i="6"/>
  <c r="DX15" i="6" s="1"/>
  <c r="DZ15" i="6" s="1"/>
  <c r="AI13" i="6"/>
  <c r="EB16" i="6"/>
  <c r="FF15" i="6"/>
  <c r="DT13" i="6"/>
  <c r="HI18" i="6"/>
  <c r="Z17" i="6"/>
  <c r="CJ16" i="6"/>
  <c r="GN16" i="6"/>
  <c r="HC15" i="6"/>
  <c r="DW18" i="6"/>
  <c r="DD14" i="6"/>
  <c r="FM14" i="6" s="1"/>
  <c r="AH12" i="5"/>
  <c r="AK12" i="5" s="1"/>
  <c r="AL11" i="5"/>
  <c r="F11" i="5" s="1"/>
  <c r="E11" i="5"/>
  <c r="GG7" i="5"/>
  <c r="GE7" i="5"/>
  <c r="HF12" i="5"/>
  <c r="HO12" i="5"/>
  <c r="FW15" i="5"/>
  <c r="GS14" i="5"/>
  <c r="GQ14" i="5"/>
  <c r="HH14" i="5"/>
  <c r="HJ14" i="5" s="1"/>
  <c r="HL14" i="5" s="1"/>
  <c r="DT14" i="5"/>
  <c r="HI17" i="5"/>
  <c r="CK16" i="5"/>
  <c r="DG15" i="5"/>
  <c r="DE15" i="5"/>
  <c r="DV15" i="5"/>
  <c r="DX15" i="5" s="1"/>
  <c r="DZ15" i="5" s="1"/>
  <c r="GD14" i="5"/>
  <c r="DW23" i="5"/>
  <c r="Z16" i="5"/>
  <c r="CJ15" i="5"/>
  <c r="AC15" i="5"/>
  <c r="AE15" i="5" s="1"/>
  <c r="X16" i="5"/>
  <c r="CI15" i="5"/>
  <c r="EB17" i="5"/>
  <c r="FF16" i="5"/>
  <c r="DT13" i="5"/>
  <c r="AJ13" i="5"/>
  <c r="HD13" i="5"/>
  <c r="GP13" i="5"/>
  <c r="GN16" i="5"/>
  <c r="HC15" i="5"/>
  <c r="AD16" i="5"/>
  <c r="BY16" i="5"/>
  <c r="CR15" i="5"/>
  <c r="M17" i="5"/>
  <c r="L18" i="5"/>
  <c r="AN16" i="5"/>
  <c r="BR15" i="5"/>
  <c r="BT15" i="5" s="1"/>
  <c r="BV15" i="5" s="1"/>
  <c r="BG15" i="5"/>
  <c r="BE15" i="5"/>
  <c r="GQ14" i="3"/>
  <c r="GP14" i="3" s="1"/>
  <c r="HF14" i="3" s="1"/>
  <c r="GS14" i="3"/>
  <c r="DV14" i="3"/>
  <c r="DX14" i="3" s="1"/>
  <c r="DZ14" i="3" s="1"/>
  <c r="DG14" i="3"/>
  <c r="DE14" i="3"/>
  <c r="DD14" i="3" s="1"/>
  <c r="GC9" i="3"/>
  <c r="HN9" i="3"/>
  <c r="HD13" i="3"/>
  <c r="GN22" i="3"/>
  <c r="Z15" i="3"/>
  <c r="CJ15" i="3" s="1"/>
  <c r="DB19" i="3"/>
  <c r="HC15" i="3"/>
  <c r="DQ14" i="3"/>
  <c r="EB16" i="3"/>
  <c r="FF15" i="3"/>
  <c r="BG14" i="3"/>
  <c r="BE14" i="3"/>
  <c r="BR14" i="3"/>
  <c r="BT14" i="3" s="1"/>
  <c r="BV14" i="3" s="1"/>
  <c r="DR13" i="3"/>
  <c r="X15" i="3"/>
  <c r="CI15" i="3" s="1"/>
  <c r="AC14" i="3"/>
  <c r="AE14" i="3" s="1"/>
  <c r="FW15" i="3"/>
  <c r="AN15" i="3"/>
  <c r="AD15" i="3"/>
  <c r="BY15" i="3"/>
  <c r="L17" i="3"/>
  <c r="M16" i="3"/>
  <c r="DW16" i="3"/>
  <c r="BP14" i="3"/>
  <c r="CK15" i="3"/>
  <c r="HK14" i="3"/>
  <c r="HH14" i="3"/>
  <c r="HJ14" i="3" s="1"/>
  <c r="AI14" i="5" l="1"/>
  <c r="AJ13" i="7"/>
  <c r="HF13" i="9"/>
  <c r="HO13" i="9"/>
  <c r="GN15" i="10"/>
  <c r="HC14" i="10"/>
  <c r="DB15" i="5"/>
  <c r="DQ14" i="5"/>
  <c r="DR14" i="5" s="1"/>
  <c r="CJ15" i="7"/>
  <c r="Z16" i="7"/>
  <c r="AH13" i="6"/>
  <c r="AK13" i="6" s="1"/>
  <c r="E13" i="6" s="1"/>
  <c r="E12" i="6"/>
  <c r="GN15" i="9"/>
  <c r="HC14" i="9"/>
  <c r="HD14" i="9" s="1"/>
  <c r="AU6" i="10"/>
  <c r="AU7" i="10" s="1"/>
  <c r="AZ7" i="10" s="1"/>
  <c r="BB7" i="10" s="1"/>
  <c r="BB8" i="10" s="1"/>
  <c r="BB9" i="10" s="1"/>
  <c r="BB10" i="10" s="1"/>
  <c r="BB11" i="10" s="1"/>
  <c r="I6" i="8"/>
  <c r="HW6" i="8"/>
  <c r="J6" i="8" s="1"/>
  <c r="GB10" i="7"/>
  <c r="HN10" i="7" s="1"/>
  <c r="HP10" i="7" s="1"/>
  <c r="AI13" i="8"/>
  <c r="AJ13" i="8" s="1"/>
  <c r="AF13" i="8"/>
  <c r="AI14" i="8" s="1"/>
  <c r="AJ14" i="11"/>
  <c r="HL14" i="3"/>
  <c r="GF8" i="8"/>
  <c r="GF9" i="8" s="1"/>
  <c r="HE8" i="8"/>
  <c r="HN8" i="8" s="1"/>
  <c r="HP8" i="8" s="1"/>
  <c r="HQ8" i="8" s="1"/>
  <c r="DR14" i="12"/>
  <c r="FT6" i="11"/>
  <c r="G6" i="11" s="1"/>
  <c r="AJ14" i="5"/>
  <c r="I6" i="10"/>
  <c r="DT14" i="12"/>
  <c r="GF10" i="7"/>
  <c r="HQ6" i="5"/>
  <c r="HN7" i="10"/>
  <c r="HP7" i="10" s="1"/>
  <c r="HT7" i="10" s="1"/>
  <c r="HU7" i="10" s="1"/>
  <c r="HV7" i="8"/>
  <c r="HS8" i="8" s="1"/>
  <c r="DT13" i="7"/>
  <c r="DR13" i="7"/>
  <c r="AI14" i="9"/>
  <c r="AJ14" i="9" s="1"/>
  <c r="HD15" i="11"/>
  <c r="CK15" i="7"/>
  <c r="DG14" i="7"/>
  <c r="DE14" i="7"/>
  <c r="DD14" i="7" s="1"/>
  <c r="FM14" i="7" s="1"/>
  <c r="DV14" i="7"/>
  <c r="DX14" i="7" s="1"/>
  <c r="DZ14" i="7" s="1"/>
  <c r="FO7" i="12"/>
  <c r="FF14" i="8"/>
  <c r="EB15" i="8"/>
  <c r="EB15" i="7"/>
  <c r="FF14" i="7"/>
  <c r="DV15" i="12"/>
  <c r="DX15" i="12" s="1"/>
  <c r="DZ15" i="12" s="1"/>
  <c r="CK16" i="12"/>
  <c r="DG15" i="12"/>
  <c r="DE15" i="12"/>
  <c r="DD15" i="12" s="1"/>
  <c r="FM15" i="12" s="1"/>
  <c r="FT6" i="12"/>
  <c r="FQ7" i="12" s="1"/>
  <c r="FT6" i="9"/>
  <c r="FQ7" i="9" s="1"/>
  <c r="FR7" i="12"/>
  <c r="FS7" i="12" s="1"/>
  <c r="DS7" i="11"/>
  <c r="CT7" i="11"/>
  <c r="CP7" i="11"/>
  <c r="CS8" i="12"/>
  <c r="CU8" i="12"/>
  <c r="FT6" i="5"/>
  <c r="CQ7" i="5"/>
  <c r="CU8" i="5" s="1"/>
  <c r="FL7" i="5"/>
  <c r="FN7" i="5" s="1"/>
  <c r="DT14" i="3"/>
  <c r="FM14" i="3"/>
  <c r="DR15" i="9"/>
  <c r="GF9" i="11"/>
  <c r="I7" i="11"/>
  <c r="HW7" i="11"/>
  <c r="J7" i="11" s="1"/>
  <c r="GB9" i="11"/>
  <c r="HN9" i="11" s="1"/>
  <c r="HP9" i="11" s="1"/>
  <c r="HQ9" i="11" s="1"/>
  <c r="GG9" i="8"/>
  <c r="GB9" i="8" s="1"/>
  <c r="HT7" i="9"/>
  <c r="HU7" i="9" s="1"/>
  <c r="HW9" i="7"/>
  <c r="J9" i="7" s="1"/>
  <c r="GG8" i="10"/>
  <c r="GE8" i="10"/>
  <c r="HW6" i="10"/>
  <c r="J6" i="10" s="1"/>
  <c r="HS7" i="10"/>
  <c r="AE15" i="7"/>
  <c r="AJ14" i="12"/>
  <c r="FT5" i="8"/>
  <c r="G5" i="8" s="1"/>
  <c r="FL7" i="9"/>
  <c r="FN7" i="9" s="1"/>
  <c r="CQ7" i="9"/>
  <c r="CT6" i="8"/>
  <c r="DS6" i="8"/>
  <c r="CP6" i="8"/>
  <c r="HE9" i="8"/>
  <c r="GP15" i="11"/>
  <c r="HF15" i="11" s="1"/>
  <c r="HW8" i="11"/>
  <c r="J8" i="11" s="1"/>
  <c r="HS9" i="11"/>
  <c r="I8" i="11"/>
  <c r="GC7" i="9"/>
  <c r="GG8" i="9" s="1"/>
  <c r="HQ7" i="9"/>
  <c r="HS10" i="7"/>
  <c r="FT6" i="7"/>
  <c r="FU6" i="7" s="1"/>
  <c r="CP7" i="7"/>
  <c r="CQ7" i="7" s="1"/>
  <c r="CU8" i="7" s="1"/>
  <c r="AJ13" i="6"/>
  <c r="AJ14" i="6" s="1"/>
  <c r="CP7" i="6"/>
  <c r="HN7" i="6"/>
  <c r="HP7" i="6" s="1"/>
  <c r="GC7" i="6"/>
  <c r="HS7" i="6"/>
  <c r="HW6" i="6"/>
  <c r="J6" i="6" s="1"/>
  <c r="I6" i="6"/>
  <c r="HV6" i="5"/>
  <c r="HS7" i="5" s="1"/>
  <c r="AI15" i="12"/>
  <c r="AF15" i="12"/>
  <c r="AH13" i="12"/>
  <c r="AK13" i="12" s="1"/>
  <c r="AL12" i="12"/>
  <c r="F12" i="12" s="1"/>
  <c r="E12" i="12"/>
  <c r="HI18" i="12"/>
  <c r="X17" i="12"/>
  <c r="CI16" i="12"/>
  <c r="HF13" i="12"/>
  <c r="HO13" i="12"/>
  <c r="EB17" i="12"/>
  <c r="FF16" i="12"/>
  <c r="AN16" i="12"/>
  <c r="BG15" i="12"/>
  <c r="BE15" i="12"/>
  <c r="BR15" i="12"/>
  <c r="BT15" i="12" s="1"/>
  <c r="BV15" i="12" s="1"/>
  <c r="CR17" i="12"/>
  <c r="GN17" i="12"/>
  <c r="HC16" i="12"/>
  <c r="DW18" i="12"/>
  <c r="GD17" i="12"/>
  <c r="BY17" i="12"/>
  <c r="AD17" i="12"/>
  <c r="DQ16" i="12"/>
  <c r="DB17" i="12"/>
  <c r="GG8" i="12"/>
  <c r="GE8" i="12"/>
  <c r="CJ15" i="12"/>
  <c r="Z16" i="12"/>
  <c r="AC16" i="12" s="1"/>
  <c r="AE16" i="12" s="1"/>
  <c r="HT7" i="12"/>
  <c r="HU7" i="12" s="1"/>
  <c r="HQ7" i="12"/>
  <c r="HD14" i="12"/>
  <c r="GP14" i="12"/>
  <c r="FW16" i="12"/>
  <c r="GS15" i="12"/>
  <c r="GQ15" i="12"/>
  <c r="HH15" i="12"/>
  <c r="HJ15" i="12" s="1"/>
  <c r="HL15" i="12" s="1"/>
  <c r="M18" i="12"/>
  <c r="L19" i="12"/>
  <c r="BY17" i="11"/>
  <c r="AD17" i="11"/>
  <c r="HC16" i="11"/>
  <c r="GN17" i="11"/>
  <c r="GD17" i="11"/>
  <c r="FW17" i="11"/>
  <c r="GQ16" i="11"/>
  <c r="GS16" i="11"/>
  <c r="HH16" i="11"/>
  <c r="HJ16" i="11" s="1"/>
  <c r="HL16" i="11" s="1"/>
  <c r="AI15" i="11"/>
  <c r="AF15" i="11"/>
  <c r="E12" i="11"/>
  <c r="AH13" i="11"/>
  <c r="AK13" i="11" s="1"/>
  <c r="AL12" i="11"/>
  <c r="F12" i="11" s="1"/>
  <c r="DR14" i="11"/>
  <c r="DD14" i="11"/>
  <c r="FM14" i="11" s="1"/>
  <c r="CK16" i="11"/>
  <c r="DG15" i="11"/>
  <c r="DE15" i="11"/>
  <c r="DV15" i="11"/>
  <c r="DX15" i="11" s="1"/>
  <c r="DZ15" i="11" s="1"/>
  <c r="DW18" i="11"/>
  <c r="CJ16" i="11"/>
  <c r="Z17" i="11"/>
  <c r="X17" i="11"/>
  <c r="CI16" i="11"/>
  <c r="AC16" i="11"/>
  <c r="AE16" i="11" s="1"/>
  <c r="HI19" i="11"/>
  <c r="BG16" i="11"/>
  <c r="AN17" i="11"/>
  <c r="BE16" i="11"/>
  <c r="BR16" i="11"/>
  <c r="BT16" i="11" s="1"/>
  <c r="BV16" i="11" s="1"/>
  <c r="EB17" i="11"/>
  <c r="FF16" i="11"/>
  <c r="DT13" i="11"/>
  <c r="CR17" i="11"/>
  <c r="M18" i="11"/>
  <c r="L19" i="11"/>
  <c r="DQ16" i="11"/>
  <c r="DB17" i="11"/>
  <c r="DT15" i="10"/>
  <c r="HF13" i="10"/>
  <c r="HO13" i="10"/>
  <c r="HI21" i="10"/>
  <c r="DB17" i="10"/>
  <c r="DQ16" i="10"/>
  <c r="CJ15" i="10"/>
  <c r="Z16" i="10"/>
  <c r="AC16" i="10" s="1"/>
  <c r="AE16" i="10" s="1"/>
  <c r="CR15" i="10"/>
  <c r="FF16" i="10"/>
  <c r="EB17" i="10"/>
  <c r="CI16" i="10"/>
  <c r="X17" i="10"/>
  <c r="AC15" i="10"/>
  <c r="AE15" i="10" s="1"/>
  <c r="GS15" i="10"/>
  <c r="FW16" i="10"/>
  <c r="GQ15" i="10"/>
  <c r="HH15" i="10"/>
  <c r="HJ15" i="10" s="1"/>
  <c r="HL15" i="10" s="1"/>
  <c r="DT14" i="10"/>
  <c r="FL6" i="10"/>
  <c r="FN6" i="10" s="1"/>
  <c r="CQ6" i="10"/>
  <c r="AN16" i="10"/>
  <c r="BR15" i="10"/>
  <c r="BT15" i="10" s="1"/>
  <c r="BV15" i="10" s="1"/>
  <c r="BE15" i="10"/>
  <c r="BG15" i="10"/>
  <c r="L19" i="10"/>
  <c r="M18" i="10"/>
  <c r="GD19" i="10"/>
  <c r="AF14" i="10"/>
  <c r="AI14" i="10"/>
  <c r="AJ14" i="10" s="1"/>
  <c r="FU5" i="10"/>
  <c r="FQ6" i="10"/>
  <c r="G5" i="10"/>
  <c r="E12" i="10"/>
  <c r="AL12" i="10"/>
  <c r="F12" i="10" s="1"/>
  <c r="AH13" i="10"/>
  <c r="AK13" i="10" s="1"/>
  <c r="DR15" i="10"/>
  <c r="HD14" i="10"/>
  <c r="GP14" i="10"/>
  <c r="CK17" i="10"/>
  <c r="DV17" i="10" s="1"/>
  <c r="DX16" i="10"/>
  <c r="DZ16" i="10" s="1"/>
  <c r="DE16" i="10"/>
  <c r="DD16" i="10" s="1"/>
  <c r="FM16" i="10" s="1"/>
  <c r="DG16" i="10"/>
  <c r="BY17" i="10"/>
  <c r="AD17" i="10"/>
  <c r="DW18" i="10"/>
  <c r="AH13" i="9"/>
  <c r="AK13" i="9" s="1"/>
  <c r="AL12" i="9"/>
  <c r="F12" i="9" s="1"/>
  <c r="E12" i="9"/>
  <c r="AI15" i="9"/>
  <c r="AF15" i="9"/>
  <c r="HS7" i="9"/>
  <c r="HW6" i="9"/>
  <c r="J6" i="9" s="1"/>
  <c r="I6" i="9"/>
  <c r="FW17" i="9"/>
  <c r="GQ16" i="9"/>
  <c r="GS16" i="9"/>
  <c r="AD17" i="9"/>
  <c r="BY17" i="9"/>
  <c r="EB17" i="9"/>
  <c r="FF16" i="9"/>
  <c r="DW19" i="9"/>
  <c r="DB17" i="9"/>
  <c r="DQ16" i="9"/>
  <c r="Z16" i="9"/>
  <c r="CJ15" i="9"/>
  <c r="CK17" i="9"/>
  <c r="DG16" i="9"/>
  <c r="DE16" i="9"/>
  <c r="DD16" i="9" s="1"/>
  <c r="FM16" i="9" s="1"/>
  <c r="DV16" i="9"/>
  <c r="DX16" i="9" s="1"/>
  <c r="DZ16" i="9" s="1"/>
  <c r="AC16" i="9"/>
  <c r="AE16" i="9" s="1"/>
  <c r="X17" i="9"/>
  <c r="CI16" i="9"/>
  <c r="DD15" i="9"/>
  <c r="FM15" i="9" s="1"/>
  <c r="HI17" i="9"/>
  <c r="HH16" i="9"/>
  <c r="HJ16" i="9" s="1"/>
  <c r="HL16" i="9" s="1"/>
  <c r="BR15" i="9"/>
  <c r="BT15" i="9" s="1"/>
  <c r="BV15" i="9" s="1"/>
  <c r="AN16" i="9"/>
  <c r="BE15" i="9"/>
  <c r="BG15" i="9"/>
  <c r="CR14" i="9"/>
  <c r="M18" i="9"/>
  <c r="L19" i="9"/>
  <c r="DQ15" i="8"/>
  <c r="DR15" i="8" s="1"/>
  <c r="DD15" i="8"/>
  <c r="FM15" i="8" s="1"/>
  <c r="DB16" i="8"/>
  <c r="HI20" i="8"/>
  <c r="GD16" i="8"/>
  <c r="HD14" i="8"/>
  <c r="CI15" i="8"/>
  <c r="AC15" i="8"/>
  <c r="AE15" i="8" s="1"/>
  <c r="X16" i="8"/>
  <c r="FW16" i="8"/>
  <c r="GQ15" i="8"/>
  <c r="GP15" i="8" s="1"/>
  <c r="GS15" i="8"/>
  <c r="HH15" i="8"/>
  <c r="HJ15" i="8" s="1"/>
  <c r="HL15" i="8" s="1"/>
  <c r="GN16" i="8"/>
  <c r="HC15" i="8"/>
  <c r="CR20" i="8"/>
  <c r="Z17" i="8"/>
  <c r="CJ16" i="8"/>
  <c r="DW18" i="8"/>
  <c r="BY16" i="8"/>
  <c r="AD16" i="8"/>
  <c r="AH12" i="8"/>
  <c r="AK12" i="8" s="1"/>
  <c r="E11" i="8"/>
  <c r="AL11" i="8"/>
  <c r="F11" i="8" s="1"/>
  <c r="BR16" i="8"/>
  <c r="BT16" i="8" s="1"/>
  <c r="BV16" i="8" s="1"/>
  <c r="AN17" i="8"/>
  <c r="BE16" i="8"/>
  <c r="BG16" i="8"/>
  <c r="GP14" i="8"/>
  <c r="DT14" i="8"/>
  <c r="L18" i="8"/>
  <c r="M17" i="8"/>
  <c r="DX16" i="8"/>
  <c r="DZ16" i="8" s="1"/>
  <c r="CK17" i="8"/>
  <c r="DV17" i="8" s="1"/>
  <c r="DG16" i="8"/>
  <c r="DE16" i="8"/>
  <c r="AL11" i="7"/>
  <c r="F11" i="7" s="1"/>
  <c r="E11" i="7"/>
  <c r="AH12" i="7"/>
  <c r="AK12" i="7" s="1"/>
  <c r="HF14" i="7"/>
  <c r="HO14" i="7"/>
  <c r="FW16" i="7"/>
  <c r="GS15" i="7"/>
  <c r="GQ15" i="7"/>
  <c r="GP15" i="7" s="1"/>
  <c r="HH15" i="7"/>
  <c r="HJ15" i="7" s="1"/>
  <c r="HL15" i="7" s="1"/>
  <c r="GN16" i="7"/>
  <c r="HC15" i="7"/>
  <c r="AF14" i="7"/>
  <c r="AI14" i="7"/>
  <c r="X17" i="7"/>
  <c r="CI16" i="7"/>
  <c r="AC16" i="7"/>
  <c r="GD15" i="7"/>
  <c r="DB16" i="7"/>
  <c r="DQ15" i="7"/>
  <c r="HI19" i="7"/>
  <c r="AN16" i="7"/>
  <c r="BG15" i="7"/>
  <c r="BE15" i="7"/>
  <c r="BR15" i="7"/>
  <c r="BT15" i="7" s="1"/>
  <c r="BV15" i="7" s="1"/>
  <c r="DS7" i="7"/>
  <c r="CT7" i="7"/>
  <c r="DW17" i="7"/>
  <c r="CR14" i="7"/>
  <c r="HD14" i="7"/>
  <c r="AD16" i="7"/>
  <c r="BY16" i="7"/>
  <c r="M17" i="7"/>
  <c r="L18" i="7"/>
  <c r="AI15" i="6"/>
  <c r="AF15" i="6"/>
  <c r="HI19" i="6"/>
  <c r="AC16" i="6"/>
  <c r="AE16" i="6" s="1"/>
  <c r="X17" i="6"/>
  <c r="CI16" i="6"/>
  <c r="L19" i="6"/>
  <c r="M18" i="6"/>
  <c r="DS7" i="6"/>
  <c r="CT7" i="6"/>
  <c r="BY17" i="6"/>
  <c r="AD17" i="6"/>
  <c r="DQ16" i="6"/>
  <c r="DB17" i="6"/>
  <c r="HF15" i="6"/>
  <c r="HO15" i="6"/>
  <c r="DT15" i="6"/>
  <c r="Z18" i="6"/>
  <c r="CJ17" i="6"/>
  <c r="FT6" i="6"/>
  <c r="GN17" i="6"/>
  <c r="HC16" i="6"/>
  <c r="EB17" i="6"/>
  <c r="FF16" i="6"/>
  <c r="CR20" i="6"/>
  <c r="GD14" i="6"/>
  <c r="HD15" i="6"/>
  <c r="AN17" i="6"/>
  <c r="BR16" i="6"/>
  <c r="BT16" i="6" s="1"/>
  <c r="BV16" i="6" s="1"/>
  <c r="BG16" i="6"/>
  <c r="BE16" i="6"/>
  <c r="DT14" i="6"/>
  <c r="DR15" i="6"/>
  <c r="DW19" i="6"/>
  <c r="CK17" i="6"/>
  <c r="DE16" i="6"/>
  <c r="DG16" i="6"/>
  <c r="DV16" i="6"/>
  <c r="DX16" i="6" s="1"/>
  <c r="DZ16" i="6" s="1"/>
  <c r="FW17" i="6"/>
  <c r="GQ16" i="6"/>
  <c r="GP16" i="6" s="1"/>
  <c r="GS16" i="6"/>
  <c r="HH16" i="6"/>
  <c r="HJ16" i="6" s="1"/>
  <c r="HL16" i="6" s="1"/>
  <c r="AC16" i="5"/>
  <c r="AE16" i="5" s="1"/>
  <c r="CI16" i="5"/>
  <c r="X17" i="5"/>
  <c r="Z17" i="5"/>
  <c r="CJ16" i="5"/>
  <c r="HI18" i="5"/>
  <c r="GN17" i="5"/>
  <c r="HC16" i="5"/>
  <c r="AI15" i="5"/>
  <c r="AF15" i="5"/>
  <c r="DW24" i="5"/>
  <c r="HE7" i="5"/>
  <c r="GF7" i="5"/>
  <c r="E12" i="5"/>
  <c r="AH13" i="5"/>
  <c r="AK13" i="5" s="1"/>
  <c r="AL12" i="5"/>
  <c r="F12" i="5" s="1"/>
  <c r="AN17" i="5"/>
  <c r="BG16" i="5"/>
  <c r="BR16" i="5"/>
  <c r="BT16" i="5" s="1"/>
  <c r="BV16" i="5" s="1"/>
  <c r="BE16" i="5"/>
  <c r="HF13" i="5"/>
  <c r="HO13" i="5"/>
  <c r="GD15" i="5"/>
  <c r="HD14" i="5"/>
  <c r="GP14" i="5"/>
  <c r="CK17" i="5"/>
  <c r="DG16" i="5"/>
  <c r="DE16" i="5"/>
  <c r="DV16" i="5"/>
  <c r="DX16" i="5" s="1"/>
  <c r="DZ16" i="5" s="1"/>
  <c r="L19" i="5"/>
  <c r="M18" i="5"/>
  <c r="BY17" i="5"/>
  <c r="AD17" i="5"/>
  <c r="CR16" i="5"/>
  <c r="EB18" i="5"/>
  <c r="FF17" i="5"/>
  <c r="GQ15" i="5"/>
  <c r="FW16" i="5"/>
  <c r="GS15" i="5"/>
  <c r="HH15" i="5"/>
  <c r="HJ15" i="5" s="1"/>
  <c r="HL15" i="5" s="1"/>
  <c r="GB7" i="5"/>
  <c r="DD15" i="5"/>
  <c r="FM15" i="5" s="1"/>
  <c r="GS15" i="3"/>
  <c r="GQ15" i="3"/>
  <c r="GP15" i="3" s="1"/>
  <c r="HF15" i="3" s="1"/>
  <c r="DV15" i="3"/>
  <c r="DX15" i="3" s="1"/>
  <c r="DZ15" i="3" s="1"/>
  <c r="DG15" i="3"/>
  <c r="DE15" i="3"/>
  <c r="DD15" i="3" s="1"/>
  <c r="Z16" i="3"/>
  <c r="CJ16" i="3" s="1"/>
  <c r="GN23" i="3"/>
  <c r="HD14" i="3"/>
  <c r="DB20" i="3"/>
  <c r="HC16" i="3"/>
  <c r="DQ15" i="3"/>
  <c r="BR15" i="3"/>
  <c r="BT15" i="3" s="1"/>
  <c r="BV15" i="3" s="1"/>
  <c r="BG15" i="3"/>
  <c r="BE15" i="3"/>
  <c r="EB17" i="3"/>
  <c r="FF16" i="3"/>
  <c r="AC15" i="3"/>
  <c r="AE15" i="3" s="1"/>
  <c r="DR14" i="3"/>
  <c r="X16" i="3"/>
  <c r="CI16" i="3" s="1"/>
  <c r="AN16" i="3"/>
  <c r="FW16" i="3"/>
  <c r="AD16" i="3"/>
  <c r="BY16" i="3"/>
  <c r="L18" i="3"/>
  <c r="M17" i="3"/>
  <c r="BP15" i="3"/>
  <c r="DW17" i="3"/>
  <c r="CK16" i="3"/>
  <c r="HK15" i="3"/>
  <c r="HH15" i="3"/>
  <c r="HJ15" i="3" s="1"/>
  <c r="AJ15" i="11" l="1"/>
  <c r="AJ14" i="7"/>
  <c r="GN16" i="9"/>
  <c r="HC15" i="9"/>
  <c r="HD15" i="9" s="1"/>
  <c r="GP15" i="9"/>
  <c r="GP16" i="9"/>
  <c r="CJ16" i="7"/>
  <c r="Z17" i="7"/>
  <c r="BC7" i="10"/>
  <c r="BC8" i="10" s="1"/>
  <c r="BC9" i="10" s="1"/>
  <c r="BC10" i="10" s="1"/>
  <c r="BC11" i="10" s="1"/>
  <c r="DQ15" i="5"/>
  <c r="DR15" i="5" s="1"/>
  <c r="DB16" i="5"/>
  <c r="DD16" i="5"/>
  <c r="FM16" i="5" s="1"/>
  <c r="GN16" i="10"/>
  <c r="HC15" i="10"/>
  <c r="AU6" i="7"/>
  <c r="AU7" i="7" s="1"/>
  <c r="AZ7" i="7" s="1"/>
  <c r="BB7" i="7" s="1"/>
  <c r="AU6" i="6"/>
  <c r="AU7" i="6" s="1"/>
  <c r="AZ7" i="6" s="1"/>
  <c r="BB7" i="6" s="1"/>
  <c r="BB8" i="6" s="1"/>
  <c r="BB9" i="6" s="1"/>
  <c r="BB10" i="6" s="1"/>
  <c r="BB11" i="6" s="1"/>
  <c r="AQ5" i="11"/>
  <c r="AF14" i="8"/>
  <c r="AF15" i="8" s="1"/>
  <c r="GC10" i="7"/>
  <c r="GE11" i="7" s="1"/>
  <c r="AJ15" i="5"/>
  <c r="G6" i="12"/>
  <c r="FU6" i="11"/>
  <c r="AJ14" i="8"/>
  <c r="FQ7" i="11"/>
  <c r="DT14" i="7"/>
  <c r="HQ7" i="10"/>
  <c r="HO15" i="11"/>
  <c r="AJ15" i="9"/>
  <c r="AH14" i="6"/>
  <c r="AK14" i="6" s="1"/>
  <c r="GC9" i="11"/>
  <c r="GG10" i="11" s="1"/>
  <c r="HT9" i="11"/>
  <c r="HU9" i="11" s="1"/>
  <c r="FU6" i="12"/>
  <c r="I7" i="8"/>
  <c r="HW7" i="8"/>
  <c r="J7" i="8" s="1"/>
  <c r="G6" i="9"/>
  <c r="FU6" i="9"/>
  <c r="DR15" i="12"/>
  <c r="DT15" i="12"/>
  <c r="AF15" i="7"/>
  <c r="CP8" i="12"/>
  <c r="CQ8" i="12" s="1"/>
  <c r="CU9" i="12" s="1"/>
  <c r="AJ15" i="12"/>
  <c r="EB16" i="7"/>
  <c r="FF15" i="7"/>
  <c r="EB16" i="8"/>
  <c r="FF15" i="8"/>
  <c r="CK16" i="7"/>
  <c r="DE15" i="7"/>
  <c r="DD15" i="7" s="1"/>
  <c r="FM15" i="7" s="1"/>
  <c r="DV15" i="7"/>
  <c r="DX15" i="7" s="1"/>
  <c r="DZ15" i="7" s="1"/>
  <c r="DG15" i="7"/>
  <c r="DR14" i="7"/>
  <c r="AJ15" i="6"/>
  <c r="AI15" i="7"/>
  <c r="AJ15" i="7" s="1"/>
  <c r="DV16" i="12"/>
  <c r="DX16" i="12" s="1"/>
  <c r="DZ16" i="12" s="1"/>
  <c r="DE16" i="12"/>
  <c r="DD16" i="12" s="1"/>
  <c r="FM16" i="12" s="1"/>
  <c r="DG16" i="12"/>
  <c r="CK17" i="12"/>
  <c r="FT7" i="12"/>
  <c r="G7" i="12" s="1"/>
  <c r="CS8" i="5"/>
  <c r="CP8" i="5" s="1"/>
  <c r="CQ8" i="5" s="1"/>
  <c r="CQ7" i="11"/>
  <c r="FL7" i="11"/>
  <c r="FN7" i="11" s="1"/>
  <c r="CT8" i="12"/>
  <c r="DS8" i="12"/>
  <c r="G6" i="5"/>
  <c r="FU6" i="5"/>
  <c r="FQ7" i="5"/>
  <c r="DR16" i="6"/>
  <c r="DT15" i="3"/>
  <c r="FM15" i="3"/>
  <c r="DD16" i="6"/>
  <c r="FM16" i="6" s="1"/>
  <c r="FL7" i="6"/>
  <c r="FN7" i="6" s="1"/>
  <c r="FR7" i="6" s="1"/>
  <c r="FS7" i="6" s="1"/>
  <c r="HT8" i="8"/>
  <c r="HU8" i="8" s="1"/>
  <c r="GE8" i="9"/>
  <c r="GB8" i="9" s="1"/>
  <c r="GC8" i="9" s="1"/>
  <c r="HV7" i="9"/>
  <c r="HW7" i="9" s="1"/>
  <c r="J7" i="9" s="1"/>
  <c r="FO7" i="5"/>
  <c r="FR7" i="5"/>
  <c r="FS7" i="5" s="1"/>
  <c r="CQ6" i="8"/>
  <c r="FL6" i="8"/>
  <c r="FN6" i="8" s="1"/>
  <c r="FU5" i="8"/>
  <c r="FQ6" i="8"/>
  <c r="HV7" i="10"/>
  <c r="GF8" i="10"/>
  <c r="HE8" i="10"/>
  <c r="GB8" i="10"/>
  <c r="HN9" i="8"/>
  <c r="HP9" i="8" s="1"/>
  <c r="GC9" i="8"/>
  <c r="CU8" i="9"/>
  <c r="CS8" i="9"/>
  <c r="FR7" i="9"/>
  <c r="FO7" i="9"/>
  <c r="HV7" i="12"/>
  <c r="I7" i="12" s="1"/>
  <c r="GB8" i="12"/>
  <c r="GC8" i="12" s="1"/>
  <c r="GG9" i="12" s="1"/>
  <c r="HD15" i="7"/>
  <c r="G6" i="7"/>
  <c r="AE16" i="7"/>
  <c r="FQ7" i="7"/>
  <c r="CS8" i="7"/>
  <c r="DS8" i="7" s="1"/>
  <c r="FL7" i="7"/>
  <c r="FN7" i="7" s="1"/>
  <c r="FR7" i="7" s="1"/>
  <c r="FS7" i="7" s="1"/>
  <c r="CQ7" i="6"/>
  <c r="CU8" i="6" s="1"/>
  <c r="AL13" i="6"/>
  <c r="F13" i="6" s="1"/>
  <c r="HT7" i="6"/>
  <c r="HU7" i="6" s="1"/>
  <c r="HQ7" i="6"/>
  <c r="GE8" i="6"/>
  <c r="GG8" i="6"/>
  <c r="I6" i="5"/>
  <c r="HW6" i="5"/>
  <c r="J6" i="5" s="1"/>
  <c r="AH14" i="12"/>
  <c r="AK14" i="12" s="1"/>
  <c r="E13" i="12"/>
  <c r="AL13" i="12"/>
  <c r="F13" i="12" s="1"/>
  <c r="AF16" i="12"/>
  <c r="AI16" i="12"/>
  <c r="CR18" i="12"/>
  <c r="X18" i="12"/>
  <c r="CI17" i="12"/>
  <c r="HD15" i="12"/>
  <c r="GP15" i="12"/>
  <c r="HF14" i="12"/>
  <c r="HO14" i="12"/>
  <c r="BE16" i="12"/>
  <c r="AN17" i="12"/>
  <c r="BR16" i="12"/>
  <c r="BT16" i="12" s="1"/>
  <c r="BV16" i="12" s="1"/>
  <c r="BG16" i="12"/>
  <c r="CJ16" i="12"/>
  <c r="Z17" i="12"/>
  <c r="HI19" i="12"/>
  <c r="L20" i="12"/>
  <c r="M19" i="12"/>
  <c r="AD18" i="12"/>
  <c r="BY18" i="12"/>
  <c r="GD18" i="12"/>
  <c r="EB18" i="12"/>
  <c r="FF17" i="12"/>
  <c r="HE8" i="12"/>
  <c r="GF8" i="12"/>
  <c r="HC17" i="12"/>
  <c r="GN18" i="12"/>
  <c r="DW19" i="12"/>
  <c r="FW17" i="12"/>
  <c r="GQ16" i="12"/>
  <c r="GS16" i="12"/>
  <c r="HH16" i="12"/>
  <c r="HJ16" i="12" s="1"/>
  <c r="HL16" i="12" s="1"/>
  <c r="DB18" i="12"/>
  <c r="DQ17" i="12"/>
  <c r="AL13" i="11"/>
  <c r="F13" i="11" s="1"/>
  <c r="AH14" i="11"/>
  <c r="AK14" i="11" s="1"/>
  <c r="E13" i="11"/>
  <c r="AF16" i="11"/>
  <c r="AI16" i="11"/>
  <c r="AJ16" i="11" s="1"/>
  <c r="HI20" i="11"/>
  <c r="AD18" i="11"/>
  <c r="BY18" i="11"/>
  <c r="DT14" i="11"/>
  <c r="BR17" i="11"/>
  <c r="BT17" i="11" s="1"/>
  <c r="BV17" i="11" s="1"/>
  <c r="BG17" i="11"/>
  <c r="AN18" i="11"/>
  <c r="BE17" i="11"/>
  <c r="HD16" i="11"/>
  <c r="CR18" i="11"/>
  <c r="DW19" i="11"/>
  <c r="GS17" i="11"/>
  <c r="FW18" i="11"/>
  <c r="GQ17" i="11"/>
  <c r="HH17" i="11"/>
  <c r="HJ17" i="11" s="1"/>
  <c r="HL17" i="11" s="1"/>
  <c r="GP16" i="11"/>
  <c r="AC17" i="11"/>
  <c r="AE17" i="11" s="1"/>
  <c r="X18" i="11"/>
  <c r="CI17" i="11"/>
  <c r="GD18" i="11"/>
  <c r="L20" i="11"/>
  <c r="M19" i="11"/>
  <c r="Z18" i="11"/>
  <c r="CJ17" i="11"/>
  <c r="HC17" i="11"/>
  <c r="GN18" i="11"/>
  <c r="EB18" i="11"/>
  <c r="FF17" i="11"/>
  <c r="DR15" i="11"/>
  <c r="DD15" i="11"/>
  <c r="FM15" i="11" s="1"/>
  <c r="DQ17" i="11"/>
  <c r="DB18" i="11"/>
  <c r="CK17" i="11"/>
  <c r="DG16" i="11"/>
  <c r="DE16" i="11"/>
  <c r="DV16" i="11"/>
  <c r="DX16" i="11" s="1"/>
  <c r="DZ16" i="11" s="1"/>
  <c r="M19" i="10"/>
  <c r="L20" i="10"/>
  <c r="AI15" i="10"/>
  <c r="AJ15" i="10" s="1"/>
  <c r="AF15" i="10"/>
  <c r="AI16" i="10" s="1"/>
  <c r="DQ17" i="10"/>
  <c r="DB18" i="10"/>
  <c r="DW19" i="10"/>
  <c r="CI17" i="10"/>
  <c r="X18" i="10"/>
  <c r="DT16" i="10"/>
  <c r="FW17" i="10"/>
  <c r="GS16" i="10"/>
  <c r="GQ16" i="10"/>
  <c r="HH16" i="10"/>
  <c r="HJ16" i="10" s="1"/>
  <c r="HL16" i="10" s="1"/>
  <c r="CU7" i="10"/>
  <c r="CS7" i="10"/>
  <c r="FF17" i="10"/>
  <c r="EB18" i="10"/>
  <c r="FR6" i="10"/>
  <c r="FS6" i="10" s="1"/>
  <c r="FO6" i="10"/>
  <c r="HI22" i="10"/>
  <c r="DR16" i="10"/>
  <c r="GD20" i="10"/>
  <c r="E13" i="10"/>
  <c r="AL13" i="10"/>
  <c r="F13" i="10" s="1"/>
  <c r="AH14" i="10"/>
  <c r="AK14" i="10" s="1"/>
  <c r="DE17" i="10"/>
  <c r="DD17" i="10" s="1"/>
  <c r="FM17" i="10" s="1"/>
  <c r="CK18" i="10"/>
  <c r="DX17" i="10"/>
  <c r="DZ17" i="10" s="1"/>
  <c r="DG17" i="10"/>
  <c r="BY18" i="10"/>
  <c r="AD18" i="10"/>
  <c r="BE16" i="10"/>
  <c r="AN17" i="10"/>
  <c r="BG16" i="10"/>
  <c r="BR16" i="10"/>
  <c r="BT16" i="10" s="1"/>
  <c r="BV16" i="10" s="1"/>
  <c r="CR16" i="10"/>
  <c r="HD15" i="10"/>
  <c r="GP15" i="10"/>
  <c r="HF14" i="10"/>
  <c r="HO14" i="10"/>
  <c r="Z17" i="10"/>
  <c r="CJ16" i="10"/>
  <c r="AF16" i="9"/>
  <c r="AI16" i="9"/>
  <c r="DT16" i="9"/>
  <c r="AD18" i="9"/>
  <c r="BY18" i="9"/>
  <c r="CK18" i="9"/>
  <c r="DG17" i="9"/>
  <c r="DE17" i="9"/>
  <c r="DV17" i="9"/>
  <c r="DX17" i="9" s="1"/>
  <c r="DZ17" i="9" s="1"/>
  <c r="AN17" i="9"/>
  <c r="BR16" i="9"/>
  <c r="BT16" i="9" s="1"/>
  <c r="BV16" i="9" s="1"/>
  <c r="BE16" i="9"/>
  <c r="BG16" i="9"/>
  <c r="L20" i="9"/>
  <c r="M19" i="9"/>
  <c r="DQ17" i="9"/>
  <c r="DB18" i="9"/>
  <c r="EB18" i="9"/>
  <c r="FF17" i="9"/>
  <c r="X18" i="9"/>
  <c r="CI17" i="9"/>
  <c r="AC17" i="9"/>
  <c r="AE17" i="9" s="1"/>
  <c r="CR15" i="9"/>
  <c r="HF16" i="9"/>
  <c r="HO16" i="9"/>
  <c r="DT15" i="9"/>
  <c r="AL13" i="9"/>
  <c r="F13" i="9" s="1"/>
  <c r="AH14" i="9"/>
  <c r="AK14" i="9" s="1"/>
  <c r="E13" i="9"/>
  <c r="DW20" i="9"/>
  <c r="FW18" i="9"/>
  <c r="GS17" i="9"/>
  <c r="GQ17" i="9"/>
  <c r="Z17" i="9"/>
  <c r="CJ16" i="9"/>
  <c r="HI18" i="9"/>
  <c r="HH17" i="9"/>
  <c r="HJ17" i="9" s="1"/>
  <c r="HL17" i="9" s="1"/>
  <c r="DR16" i="9"/>
  <c r="GD17" i="8"/>
  <c r="E12" i="8"/>
  <c r="AL12" i="8"/>
  <c r="F12" i="8" s="1"/>
  <c r="AH13" i="8"/>
  <c r="AK13" i="8" s="1"/>
  <c r="GN17" i="8"/>
  <c r="HC16" i="8"/>
  <c r="Z18" i="8"/>
  <c r="CJ17" i="8"/>
  <c r="CR21" i="8"/>
  <c r="L19" i="8"/>
  <c r="M18" i="8"/>
  <c r="DB17" i="8"/>
  <c r="DD16" i="8"/>
  <c r="FM16" i="8" s="1"/>
  <c r="DQ16" i="8"/>
  <c r="DR16" i="8" s="1"/>
  <c r="HF14" i="8"/>
  <c r="HO14" i="8"/>
  <c r="DW19" i="8"/>
  <c r="DX17" i="8"/>
  <c r="DZ17" i="8" s="1"/>
  <c r="CK18" i="8"/>
  <c r="DG17" i="8"/>
  <c r="DE17" i="8"/>
  <c r="AN18" i="8"/>
  <c r="BE17" i="8"/>
  <c r="BG17" i="8"/>
  <c r="BR17" i="8"/>
  <c r="BT17" i="8" s="1"/>
  <c r="BV17" i="8" s="1"/>
  <c r="HD15" i="8"/>
  <c r="DT15" i="8"/>
  <c r="HI21" i="8"/>
  <c r="BY17" i="8"/>
  <c r="AD17" i="8"/>
  <c r="GS16" i="8"/>
  <c r="FW17" i="8"/>
  <c r="GQ16" i="8"/>
  <c r="GP16" i="8" s="1"/>
  <c r="HH16" i="8"/>
  <c r="HJ16" i="8" s="1"/>
  <c r="HL16" i="8" s="1"/>
  <c r="X17" i="8"/>
  <c r="CI16" i="8"/>
  <c r="AC16" i="8"/>
  <c r="AE16" i="8" s="1"/>
  <c r="HF15" i="8"/>
  <c r="HO15" i="8"/>
  <c r="HT10" i="7"/>
  <c r="HU10" i="7" s="1"/>
  <c r="HQ10" i="7"/>
  <c r="GD16" i="7"/>
  <c r="DW18" i="7"/>
  <c r="CI17" i="7"/>
  <c r="X18" i="7"/>
  <c r="AC17" i="7"/>
  <c r="L19" i="7"/>
  <c r="M18" i="7"/>
  <c r="BY17" i="7"/>
  <c r="AD17" i="7"/>
  <c r="AN17" i="7"/>
  <c r="BR16" i="7"/>
  <c r="BT16" i="7" s="1"/>
  <c r="BV16" i="7" s="1"/>
  <c r="BE16" i="7"/>
  <c r="BG16" i="7"/>
  <c r="CR15" i="7"/>
  <c r="FW17" i="7"/>
  <c r="GQ16" i="7"/>
  <c r="GP16" i="7" s="1"/>
  <c r="GS16" i="7"/>
  <c r="HH16" i="7"/>
  <c r="HJ16" i="7" s="1"/>
  <c r="HL16" i="7" s="1"/>
  <c r="HI20" i="7"/>
  <c r="HF15" i="7"/>
  <c r="HO15" i="7"/>
  <c r="AL12" i="7"/>
  <c r="F12" i="7" s="1"/>
  <c r="AH13" i="7"/>
  <c r="AK13" i="7" s="1"/>
  <c r="E12" i="7"/>
  <c r="HC16" i="7"/>
  <c r="GN17" i="7"/>
  <c r="DQ16" i="7"/>
  <c r="DB17" i="7"/>
  <c r="HF16" i="6"/>
  <c r="HO16" i="6"/>
  <c r="E14" i="6"/>
  <c r="AH15" i="6"/>
  <c r="AK15" i="6" s="1"/>
  <c r="AL14" i="6"/>
  <c r="F14" i="6" s="1"/>
  <c r="HI20" i="6"/>
  <c r="CR21" i="6"/>
  <c r="Z19" i="6"/>
  <c r="CJ18" i="6"/>
  <c r="EB18" i="6"/>
  <c r="FF17" i="6"/>
  <c r="FW18" i="6"/>
  <c r="GS17" i="6"/>
  <c r="GQ17" i="6"/>
  <c r="GP17" i="6" s="1"/>
  <c r="HH17" i="6"/>
  <c r="HJ17" i="6" s="1"/>
  <c r="HL17" i="6" s="1"/>
  <c r="AI16" i="6"/>
  <c r="AF16" i="6"/>
  <c r="AD18" i="6"/>
  <c r="BY18" i="6"/>
  <c r="GN18" i="6"/>
  <c r="HC17" i="6"/>
  <c r="DB18" i="6"/>
  <c r="DQ17" i="6"/>
  <c r="M19" i="6"/>
  <c r="L20" i="6"/>
  <c r="DW20" i="6"/>
  <c r="HD16" i="6"/>
  <c r="AN18" i="6"/>
  <c r="BG17" i="6"/>
  <c r="BE17" i="6"/>
  <c r="BR17" i="6"/>
  <c r="BT17" i="6" s="1"/>
  <c r="BV17" i="6" s="1"/>
  <c r="CK18" i="6"/>
  <c r="DE17" i="6"/>
  <c r="DG17" i="6"/>
  <c r="DV17" i="6"/>
  <c r="DX17" i="6" s="1"/>
  <c r="DZ17" i="6" s="1"/>
  <c r="GD15" i="6"/>
  <c r="FQ7" i="6"/>
  <c r="FU6" i="6"/>
  <c r="G6" i="6"/>
  <c r="X18" i="6"/>
  <c r="AC17" i="6"/>
  <c r="AE17" i="6" s="1"/>
  <c r="CI17" i="6"/>
  <c r="L20" i="5"/>
  <c r="M19" i="5"/>
  <c r="EB19" i="5"/>
  <c r="FF18" i="5"/>
  <c r="GN18" i="5"/>
  <c r="HC17" i="5"/>
  <c r="DT15" i="5"/>
  <c r="HI19" i="5"/>
  <c r="BY18" i="5"/>
  <c r="AD18" i="5"/>
  <c r="CR17" i="5"/>
  <c r="DT16" i="5"/>
  <c r="AN18" i="5"/>
  <c r="BR17" i="5"/>
  <c r="BT17" i="5" s="1"/>
  <c r="BV17" i="5" s="1"/>
  <c r="BE17" i="5"/>
  <c r="BG17" i="5"/>
  <c r="DW25" i="5"/>
  <c r="E13" i="5"/>
  <c r="AH14" i="5"/>
  <c r="AK14" i="5" s="1"/>
  <c r="AL13" i="5"/>
  <c r="F13" i="5" s="1"/>
  <c r="HN7" i="5"/>
  <c r="HP7" i="5" s="1"/>
  <c r="GC7" i="5"/>
  <c r="CK18" i="5"/>
  <c r="DE17" i="5"/>
  <c r="DG17" i="5"/>
  <c r="DV17" i="5"/>
  <c r="DX17" i="5" s="1"/>
  <c r="DZ17" i="5" s="1"/>
  <c r="X18" i="5"/>
  <c r="CI17" i="5"/>
  <c r="AC17" i="5"/>
  <c r="AE17" i="5" s="1"/>
  <c r="Z18" i="5"/>
  <c r="CJ17" i="5"/>
  <c r="GQ16" i="5"/>
  <c r="FW17" i="5"/>
  <c r="GS16" i="5"/>
  <c r="HH16" i="5"/>
  <c r="HJ16" i="5" s="1"/>
  <c r="HL16" i="5" s="1"/>
  <c r="AI16" i="5"/>
  <c r="AF16" i="5"/>
  <c r="HF14" i="5"/>
  <c r="HO14" i="5"/>
  <c r="HD15" i="5"/>
  <c r="GP15" i="5"/>
  <c r="GD16" i="5"/>
  <c r="DV16" i="3"/>
  <c r="DX16" i="3" s="1"/>
  <c r="DZ16" i="3" s="1"/>
  <c r="DG16" i="3"/>
  <c r="DE16" i="3"/>
  <c r="DD16" i="3" s="1"/>
  <c r="GQ16" i="3"/>
  <c r="GP16" i="3" s="1"/>
  <c r="HF16" i="3" s="1"/>
  <c r="GS16" i="3"/>
  <c r="HL15" i="3"/>
  <c r="HD15" i="3"/>
  <c r="GN24" i="3"/>
  <c r="Z17" i="3"/>
  <c r="CJ17" i="3" s="1"/>
  <c r="DB21" i="3"/>
  <c r="DB22" i="3" s="1"/>
  <c r="DB23" i="3" s="1"/>
  <c r="DB24" i="3" s="1"/>
  <c r="DB25" i="3" s="1"/>
  <c r="DB26" i="3" s="1"/>
  <c r="DB27" i="3" s="1"/>
  <c r="DB28" i="3" s="1"/>
  <c r="DB29" i="3" s="1"/>
  <c r="DB30" i="3" s="1"/>
  <c r="DB31" i="3" s="1"/>
  <c r="DB32" i="3" s="1"/>
  <c r="DB33" i="3" s="1"/>
  <c r="DB34" i="3" s="1"/>
  <c r="DB35" i="3" s="1"/>
  <c r="DB36" i="3" s="1"/>
  <c r="DB37" i="3" s="1"/>
  <c r="DB38" i="3" s="1"/>
  <c r="DB39" i="3" s="1"/>
  <c r="DB40" i="3" s="1"/>
  <c r="DB41" i="3" s="1"/>
  <c r="DB42" i="3" s="1"/>
  <c r="DB43" i="3" s="1"/>
  <c r="DB44" i="3" s="1"/>
  <c r="DB45" i="3" s="1"/>
  <c r="DB46" i="3" s="1"/>
  <c r="DB47" i="3" s="1"/>
  <c r="DB48" i="3" s="1"/>
  <c r="DB49" i="3" s="1"/>
  <c r="DB50" i="3" s="1"/>
  <c r="DB51" i="3" s="1"/>
  <c r="DB52" i="3" s="1"/>
  <c r="HC17" i="3"/>
  <c r="DQ16" i="3"/>
  <c r="EB18" i="3"/>
  <c r="FF17" i="3"/>
  <c r="FH17" i="3" s="1"/>
  <c r="BR16" i="3"/>
  <c r="BT16" i="3" s="1"/>
  <c r="BV16" i="3" s="1"/>
  <c r="BG16" i="3"/>
  <c r="BE16" i="3"/>
  <c r="DR15" i="3"/>
  <c r="X17" i="3"/>
  <c r="CI17" i="3" s="1"/>
  <c r="AC16" i="3"/>
  <c r="AE16" i="3" s="1"/>
  <c r="FW17" i="3"/>
  <c r="AN17" i="3"/>
  <c r="AD17" i="3"/>
  <c r="BY17" i="3"/>
  <c r="L19" i="3"/>
  <c r="M18" i="3"/>
  <c r="DW18" i="3"/>
  <c r="BP16" i="3"/>
  <c r="CK17" i="3"/>
  <c r="HK16" i="3"/>
  <c r="HH16" i="3"/>
  <c r="HJ16" i="3" s="1"/>
  <c r="GG11" i="7" l="1"/>
  <c r="HC16" i="10"/>
  <c r="GN17" i="10"/>
  <c r="AI15" i="8"/>
  <c r="AJ15" i="8" s="1"/>
  <c r="DB17" i="5"/>
  <c r="DQ16" i="5"/>
  <c r="DR16" i="5" s="1"/>
  <c r="DD17" i="5"/>
  <c r="FM17" i="5" s="1"/>
  <c r="Z18" i="7"/>
  <c r="CJ17" i="7"/>
  <c r="HO15" i="9"/>
  <c r="HF15" i="9"/>
  <c r="GN17" i="9"/>
  <c r="HC16" i="9"/>
  <c r="HD16" i="9" s="1"/>
  <c r="BC7" i="6"/>
  <c r="BC8" i="6" s="1"/>
  <c r="BC9" i="6" s="1"/>
  <c r="BC10" i="6" s="1"/>
  <c r="BC11" i="6" s="1"/>
  <c r="AU6" i="11"/>
  <c r="AU7" i="11" s="1"/>
  <c r="AZ7" i="11" s="1"/>
  <c r="BB7" i="11" s="1"/>
  <c r="BC7" i="11" s="1"/>
  <c r="BB8" i="7"/>
  <c r="BB9" i="7" s="1"/>
  <c r="BB10" i="7" s="1"/>
  <c r="BB11" i="7" s="1"/>
  <c r="BC7" i="7"/>
  <c r="AF16" i="7"/>
  <c r="AJ16" i="5"/>
  <c r="AJ16" i="9"/>
  <c r="I7" i="10"/>
  <c r="AJ16" i="12"/>
  <c r="HV9" i="11"/>
  <c r="HS10" i="11" s="1"/>
  <c r="CS9" i="12"/>
  <c r="CP9" i="12" s="1"/>
  <c r="GE10" i="11"/>
  <c r="HE10" i="11" s="1"/>
  <c r="AJ16" i="6"/>
  <c r="DT15" i="7"/>
  <c r="AI16" i="7"/>
  <c r="AJ16" i="7" s="1"/>
  <c r="DT16" i="12"/>
  <c r="AF16" i="10"/>
  <c r="DS8" i="5"/>
  <c r="FL8" i="5" s="1"/>
  <c r="FN8" i="5" s="1"/>
  <c r="FR8" i="5" s="1"/>
  <c r="FS8" i="5" s="1"/>
  <c r="FL8" i="12"/>
  <c r="FN8" i="12" s="1"/>
  <c r="CT8" i="5"/>
  <c r="DE16" i="7"/>
  <c r="DD16" i="7" s="1"/>
  <c r="FM16" i="7" s="1"/>
  <c r="DV16" i="7"/>
  <c r="DX16" i="7" s="1"/>
  <c r="DZ16" i="7" s="1"/>
  <c r="DG16" i="7"/>
  <c r="CK17" i="7"/>
  <c r="HL16" i="3"/>
  <c r="DR15" i="7"/>
  <c r="HV8" i="8"/>
  <c r="I8" i="8" s="1"/>
  <c r="CK18" i="12"/>
  <c r="DE17" i="12"/>
  <c r="DD17" i="12" s="1"/>
  <c r="FM17" i="12" s="1"/>
  <c r="DG17" i="12"/>
  <c r="DV17" i="12"/>
  <c r="DX17" i="12" s="1"/>
  <c r="DZ17" i="12" s="1"/>
  <c r="FF16" i="8"/>
  <c r="EB17" i="8"/>
  <c r="FF16" i="7"/>
  <c r="EB17" i="7"/>
  <c r="HD17" i="11"/>
  <c r="DR16" i="12"/>
  <c r="FQ8" i="12"/>
  <c r="FU7" i="12"/>
  <c r="DT16" i="6"/>
  <c r="FR7" i="11"/>
  <c r="FS7" i="11" s="1"/>
  <c r="FO7" i="11"/>
  <c r="CU8" i="11"/>
  <c r="CS8" i="11"/>
  <c r="FO7" i="6"/>
  <c r="DT16" i="3"/>
  <c r="FM16" i="3"/>
  <c r="DR17" i="9"/>
  <c r="GF8" i="9"/>
  <c r="GG9" i="9"/>
  <c r="GE9" i="9"/>
  <c r="HE9" i="9" s="1"/>
  <c r="HE8" i="9"/>
  <c r="HN8" i="9" s="1"/>
  <c r="HP8" i="9" s="1"/>
  <c r="HQ8" i="9" s="1"/>
  <c r="HW7" i="12"/>
  <c r="J7" i="12" s="1"/>
  <c r="HS8" i="12"/>
  <c r="GE9" i="12"/>
  <c r="HE9" i="12" s="1"/>
  <c r="HN8" i="12"/>
  <c r="HP8" i="12" s="1"/>
  <c r="HT8" i="12" s="1"/>
  <c r="HU8" i="12" s="1"/>
  <c r="I7" i="9"/>
  <c r="HS8" i="9"/>
  <c r="DS8" i="9"/>
  <c r="CT8" i="9"/>
  <c r="AJ16" i="10"/>
  <c r="GB8" i="6"/>
  <c r="GC8" i="6" s="1"/>
  <c r="CP8" i="9"/>
  <c r="HS8" i="10"/>
  <c r="HW7" i="10"/>
  <c r="J7" i="10" s="1"/>
  <c r="FT7" i="5"/>
  <c r="GG10" i="8"/>
  <c r="GE10" i="8"/>
  <c r="HT9" i="8"/>
  <c r="HU9" i="8" s="1"/>
  <c r="HQ9" i="8"/>
  <c r="FO6" i="8"/>
  <c r="FR6" i="8"/>
  <c r="FS6" i="8" s="1"/>
  <c r="GC8" i="10"/>
  <c r="HN8" i="10"/>
  <c r="HP8" i="10" s="1"/>
  <c r="CS7" i="8"/>
  <c r="CU7" i="8"/>
  <c r="CS9" i="5"/>
  <c r="DS9" i="5" s="1"/>
  <c r="CU9" i="5"/>
  <c r="FS7" i="9"/>
  <c r="FT7" i="9"/>
  <c r="CP7" i="10"/>
  <c r="CQ7" i="10" s="1"/>
  <c r="CP8" i="7"/>
  <c r="CQ8" i="7" s="1"/>
  <c r="FO7" i="7"/>
  <c r="CT8" i="7"/>
  <c r="CS8" i="6"/>
  <c r="DS8" i="6" s="1"/>
  <c r="HE8" i="6"/>
  <c r="GF8" i="6"/>
  <c r="HV7" i="6"/>
  <c r="I7" i="6" s="1"/>
  <c r="DW20" i="12"/>
  <c r="BG17" i="12"/>
  <c r="BE17" i="12"/>
  <c r="BR17" i="12"/>
  <c r="BT17" i="12" s="1"/>
  <c r="BV17" i="12" s="1"/>
  <c r="AN18" i="12"/>
  <c r="CI18" i="12"/>
  <c r="X19" i="12"/>
  <c r="AD19" i="12"/>
  <c r="BY19" i="12"/>
  <c r="M20" i="12"/>
  <c r="L21" i="12"/>
  <c r="GN19" i="12"/>
  <c r="HC18" i="12"/>
  <c r="AC17" i="12"/>
  <c r="AE17" i="12" s="1"/>
  <c r="HI20" i="12"/>
  <c r="DB19" i="12"/>
  <c r="DQ18" i="12"/>
  <c r="HD16" i="12"/>
  <c r="GP16" i="12"/>
  <c r="GS17" i="12"/>
  <c r="FW18" i="12"/>
  <c r="GQ17" i="12"/>
  <c r="HH17" i="12"/>
  <c r="HJ17" i="12" s="1"/>
  <c r="HL17" i="12" s="1"/>
  <c r="CR19" i="12"/>
  <c r="EB19" i="12"/>
  <c r="FF18" i="12"/>
  <c r="AL14" i="12"/>
  <c r="F14" i="12" s="1"/>
  <c r="AH15" i="12"/>
  <c r="AK15" i="12" s="1"/>
  <c r="E14" i="12"/>
  <c r="Z18" i="12"/>
  <c r="AC18" i="12" s="1"/>
  <c r="AE18" i="12" s="1"/>
  <c r="CJ17" i="12"/>
  <c r="GD19" i="12"/>
  <c r="HF15" i="12"/>
  <c r="HO15" i="12"/>
  <c r="DE17" i="11"/>
  <c r="CK18" i="11"/>
  <c r="DG17" i="11"/>
  <c r="DV17" i="11"/>
  <c r="DX17" i="11" s="1"/>
  <c r="DZ17" i="11" s="1"/>
  <c r="GP17" i="11"/>
  <c r="AI17" i="11"/>
  <c r="AJ17" i="11" s="1"/>
  <c r="AF17" i="11"/>
  <c r="CI18" i="11"/>
  <c r="AC18" i="11"/>
  <c r="AE18" i="11" s="1"/>
  <c r="X19" i="11"/>
  <c r="GN19" i="11"/>
  <c r="HC18" i="11"/>
  <c r="DB19" i="11"/>
  <c r="DQ18" i="11"/>
  <c r="DW20" i="11"/>
  <c r="FW19" i="11"/>
  <c r="GS18" i="11"/>
  <c r="GQ18" i="11"/>
  <c r="GP18" i="11" s="1"/>
  <c r="HH18" i="11"/>
  <c r="HJ18" i="11" s="1"/>
  <c r="HL18" i="11" s="1"/>
  <c r="Z19" i="11"/>
  <c r="CJ18" i="11"/>
  <c r="HI21" i="11"/>
  <c r="HF16" i="11"/>
  <c r="HO16" i="11"/>
  <c r="CR19" i="11"/>
  <c r="DR16" i="11"/>
  <c r="DD16" i="11"/>
  <c r="FM16" i="11" s="1"/>
  <c r="M20" i="11"/>
  <c r="L21" i="11"/>
  <c r="DT15" i="11"/>
  <c r="FF18" i="11"/>
  <c r="EB19" i="11"/>
  <c r="BY19" i="11"/>
  <c r="AD19" i="11"/>
  <c r="AN19" i="11"/>
  <c r="BE18" i="11"/>
  <c r="BR18" i="11"/>
  <c r="BT18" i="11" s="1"/>
  <c r="BV18" i="11" s="1"/>
  <c r="BG18" i="11"/>
  <c r="AL14" i="11"/>
  <c r="F14" i="11" s="1"/>
  <c r="E14" i="11"/>
  <c r="AH15" i="11"/>
  <c r="AK15" i="11" s="1"/>
  <c r="GD19" i="11"/>
  <c r="DT17" i="10"/>
  <c r="CJ17" i="10"/>
  <c r="Z18" i="10"/>
  <c r="CR17" i="10"/>
  <c r="DG18" i="10"/>
  <c r="DE18" i="10"/>
  <c r="DD18" i="10" s="1"/>
  <c r="FM18" i="10" s="1"/>
  <c r="CK19" i="10"/>
  <c r="HI23" i="10"/>
  <c r="DR17" i="10"/>
  <c r="FW18" i="10"/>
  <c r="GS17" i="10"/>
  <c r="GQ17" i="10"/>
  <c r="HH17" i="10"/>
  <c r="HJ17" i="10" s="1"/>
  <c r="HL17" i="10" s="1"/>
  <c r="HF15" i="10"/>
  <c r="HO15" i="10"/>
  <c r="FT6" i="10"/>
  <c r="G6" i="10" s="1"/>
  <c r="AC17" i="10"/>
  <c r="AE17" i="10" s="1"/>
  <c r="AN18" i="10"/>
  <c r="BE17" i="10"/>
  <c r="BG17" i="10"/>
  <c r="BR17" i="10"/>
  <c r="BT17" i="10" s="1"/>
  <c r="BV17" i="10" s="1"/>
  <c r="X19" i="10"/>
  <c r="AC18" i="10"/>
  <c r="AE18" i="10" s="1"/>
  <c r="CI18" i="10"/>
  <c r="EB19" i="10"/>
  <c r="FF18" i="10"/>
  <c r="DS7" i="10"/>
  <c r="CT7" i="10"/>
  <c r="DV18" i="10"/>
  <c r="DX18" i="10" s="1"/>
  <c r="DZ18" i="10" s="1"/>
  <c r="M20" i="10"/>
  <c r="L21" i="10"/>
  <c r="GD21" i="10"/>
  <c r="DW20" i="10"/>
  <c r="BY19" i="10"/>
  <c r="AD19" i="10"/>
  <c r="HD16" i="10"/>
  <c r="GP16" i="10"/>
  <c r="DB19" i="10"/>
  <c r="DQ18" i="10"/>
  <c r="AH15" i="10"/>
  <c r="AK15" i="10" s="1"/>
  <c r="AL14" i="10"/>
  <c r="F14" i="10" s="1"/>
  <c r="E14" i="10"/>
  <c r="AL14" i="9"/>
  <c r="F14" i="9" s="1"/>
  <c r="E14" i="9"/>
  <c r="AH15" i="9"/>
  <c r="AK15" i="9" s="1"/>
  <c r="AI17" i="9"/>
  <c r="AJ17" i="9" s="1"/>
  <c r="AF17" i="9"/>
  <c r="CI18" i="9"/>
  <c r="X19" i="9"/>
  <c r="GQ18" i="9"/>
  <c r="FW19" i="9"/>
  <c r="GS18" i="9"/>
  <c r="HI19" i="9"/>
  <c r="HH18" i="9"/>
  <c r="HJ18" i="9" s="1"/>
  <c r="HL18" i="9" s="1"/>
  <c r="FF18" i="9"/>
  <c r="EB19" i="9"/>
  <c r="BY19" i="9"/>
  <c r="AD19" i="9"/>
  <c r="M20" i="9"/>
  <c r="L21" i="9"/>
  <c r="CR16" i="9"/>
  <c r="DW21" i="9"/>
  <c r="AN18" i="9"/>
  <c r="BG17" i="9"/>
  <c r="BR17" i="9"/>
  <c r="BT17" i="9" s="1"/>
  <c r="BV17" i="9" s="1"/>
  <c r="BE17" i="9"/>
  <c r="Z18" i="9"/>
  <c r="AC18" i="9" s="1"/>
  <c r="AE18" i="9" s="1"/>
  <c r="CJ17" i="9"/>
  <c r="DQ18" i="9"/>
  <c r="DB19" i="9"/>
  <c r="DE18" i="9"/>
  <c r="CK19" i="9"/>
  <c r="DG18" i="9"/>
  <c r="DV18" i="9"/>
  <c r="DX18" i="9" s="1"/>
  <c r="DZ18" i="9" s="1"/>
  <c r="DD17" i="9"/>
  <c r="FM17" i="9" s="1"/>
  <c r="X18" i="8"/>
  <c r="CI17" i="8"/>
  <c r="AC17" i="8"/>
  <c r="AE17" i="8" s="1"/>
  <c r="HD16" i="8"/>
  <c r="M19" i="8"/>
  <c r="L20" i="8"/>
  <c r="DT16" i="8"/>
  <c r="CR22" i="8"/>
  <c r="DW20" i="8"/>
  <c r="GQ17" i="8"/>
  <c r="FW18" i="8"/>
  <c r="GS17" i="8"/>
  <c r="HH17" i="8"/>
  <c r="HJ17" i="8" s="1"/>
  <c r="HL17" i="8" s="1"/>
  <c r="BR18" i="8"/>
  <c r="BT18" i="8" s="1"/>
  <c r="BV18" i="8" s="1"/>
  <c r="AN19" i="8"/>
  <c r="BG18" i="8"/>
  <c r="BE18" i="8"/>
  <c r="GD18" i="8"/>
  <c r="CK19" i="8"/>
  <c r="DE18" i="8"/>
  <c r="DG18" i="8"/>
  <c r="HI22" i="8"/>
  <c r="Z19" i="8"/>
  <c r="CJ18" i="8"/>
  <c r="HF16" i="8"/>
  <c r="HO16" i="8"/>
  <c r="GN18" i="8"/>
  <c r="HC17" i="8"/>
  <c r="AL13" i="8"/>
  <c r="F13" i="8" s="1"/>
  <c r="E13" i="8"/>
  <c r="AH14" i="8"/>
  <c r="AK14" i="8" s="1"/>
  <c r="DB18" i="8"/>
  <c r="DD17" i="8"/>
  <c r="FM17" i="8" s="1"/>
  <c r="DQ17" i="8"/>
  <c r="DR17" i="8" s="1"/>
  <c r="AD18" i="8"/>
  <c r="BY18" i="8"/>
  <c r="AI16" i="8"/>
  <c r="AF16" i="8"/>
  <c r="DV18" i="8"/>
  <c r="DX18" i="8" s="1"/>
  <c r="DZ18" i="8" s="1"/>
  <c r="E13" i="7"/>
  <c r="AL13" i="7"/>
  <c r="F13" i="7" s="1"/>
  <c r="AH14" i="7"/>
  <c r="AK14" i="7" s="1"/>
  <c r="HI21" i="7"/>
  <c r="GN18" i="7"/>
  <c r="HC17" i="7"/>
  <c r="HF16" i="7"/>
  <c r="HO16" i="7"/>
  <c r="AN18" i="7"/>
  <c r="BE17" i="7"/>
  <c r="BR17" i="7"/>
  <c r="BT17" i="7" s="1"/>
  <c r="BV17" i="7" s="1"/>
  <c r="BG17" i="7"/>
  <c r="HD16" i="7"/>
  <c r="AE17" i="7"/>
  <c r="GS17" i="7"/>
  <c r="GQ17" i="7"/>
  <c r="FW18" i="7"/>
  <c r="HH17" i="7"/>
  <c r="HJ17" i="7" s="1"/>
  <c r="HL17" i="7" s="1"/>
  <c r="AD18" i="7"/>
  <c r="BY18" i="7"/>
  <c r="DB18" i="7"/>
  <c r="DQ17" i="7"/>
  <c r="L20" i="7"/>
  <c r="M19" i="7"/>
  <c r="GD17" i="7"/>
  <c r="FT7" i="7"/>
  <c r="GB11" i="7"/>
  <c r="DW19" i="7"/>
  <c r="HV10" i="7"/>
  <c r="I10" i="7" s="1"/>
  <c r="HE11" i="7"/>
  <c r="GF11" i="7"/>
  <c r="AC18" i="7"/>
  <c r="X19" i="7"/>
  <c r="CI18" i="7"/>
  <c r="CR16" i="7"/>
  <c r="DW21" i="6"/>
  <c r="FW19" i="6"/>
  <c r="GQ18" i="6"/>
  <c r="GP18" i="6" s="1"/>
  <c r="GS18" i="6"/>
  <c r="HH18" i="6"/>
  <c r="HJ18" i="6" s="1"/>
  <c r="HL18" i="6" s="1"/>
  <c r="L21" i="6"/>
  <c r="M20" i="6"/>
  <c r="CR22" i="6"/>
  <c r="DG18" i="6"/>
  <c r="CK19" i="6"/>
  <c r="DE18" i="6"/>
  <c r="DV18" i="6"/>
  <c r="DX18" i="6" s="1"/>
  <c r="DZ18" i="6" s="1"/>
  <c r="BY19" i="6"/>
  <c r="AD19" i="6"/>
  <c r="HI21" i="6"/>
  <c r="DR17" i="6"/>
  <c r="DD17" i="6"/>
  <c r="FM17" i="6" s="1"/>
  <c r="DB19" i="6"/>
  <c r="DQ18" i="6"/>
  <c r="HF17" i="6"/>
  <c r="HO17" i="6"/>
  <c r="HC18" i="6"/>
  <c r="GN19" i="6"/>
  <c r="EB19" i="6"/>
  <c r="FF18" i="6"/>
  <c r="CJ19" i="6"/>
  <c r="Z20" i="6"/>
  <c r="E15" i="6"/>
  <c r="AH16" i="6"/>
  <c r="AK16" i="6" s="1"/>
  <c r="AL15" i="6"/>
  <c r="F15" i="6" s="1"/>
  <c r="GD16" i="6"/>
  <c r="FT7" i="6"/>
  <c r="BE18" i="6"/>
  <c r="BG18" i="6"/>
  <c r="AN19" i="6"/>
  <c r="BR18" i="6"/>
  <c r="BT18" i="6" s="1"/>
  <c r="BV18" i="6" s="1"/>
  <c r="AI17" i="6"/>
  <c r="AF17" i="6"/>
  <c r="AC18" i="6"/>
  <c r="AE18" i="6" s="1"/>
  <c r="X19" i="6"/>
  <c r="CI18" i="6"/>
  <c r="HD17" i="6"/>
  <c r="DT17" i="5"/>
  <c r="AF17" i="5"/>
  <c r="AI17" i="5"/>
  <c r="CK19" i="5"/>
  <c r="DE18" i="5"/>
  <c r="DG18" i="5"/>
  <c r="DV18" i="5"/>
  <c r="DX18" i="5" s="1"/>
  <c r="DZ18" i="5" s="1"/>
  <c r="HD16" i="5"/>
  <c r="GP16" i="5"/>
  <c r="GD17" i="5"/>
  <c r="Z19" i="5"/>
  <c r="CJ18" i="5"/>
  <c r="AN19" i="5"/>
  <c r="BG18" i="5"/>
  <c r="BR18" i="5"/>
  <c r="BT18" i="5" s="1"/>
  <c r="BV18" i="5" s="1"/>
  <c r="BE18" i="5"/>
  <c r="HF15" i="5"/>
  <c r="HO15" i="5"/>
  <c r="GG8" i="5"/>
  <c r="GE8" i="5"/>
  <c r="HT7" i="5"/>
  <c r="HU7" i="5" s="1"/>
  <c r="HQ7" i="5"/>
  <c r="GN19" i="5"/>
  <c r="HC18" i="5"/>
  <c r="FW18" i="5"/>
  <c r="GS17" i="5"/>
  <c r="GQ17" i="5"/>
  <c r="HH17" i="5"/>
  <c r="HJ17" i="5" s="1"/>
  <c r="HL17" i="5" s="1"/>
  <c r="CR18" i="5"/>
  <c r="E14" i="5"/>
  <c r="AH15" i="5"/>
  <c r="AK15" i="5" s="1"/>
  <c r="AL14" i="5"/>
  <c r="F14" i="5" s="1"/>
  <c r="CI18" i="5"/>
  <c r="AC18" i="5"/>
  <c r="AE18" i="5" s="1"/>
  <c r="X19" i="5"/>
  <c r="AD19" i="5"/>
  <c r="BY19" i="5"/>
  <c r="HI20" i="5"/>
  <c r="EB20" i="5"/>
  <c r="FF19" i="5"/>
  <c r="L21" i="5"/>
  <c r="M20" i="5"/>
  <c r="DW26" i="5"/>
  <c r="DV17" i="3"/>
  <c r="DX17" i="3" s="1"/>
  <c r="DZ17" i="3" s="1"/>
  <c r="DE17" i="3"/>
  <c r="DD17" i="3" s="1"/>
  <c r="DG17" i="3"/>
  <c r="GS17" i="3"/>
  <c r="GQ17" i="3"/>
  <c r="GP17" i="3" s="1"/>
  <c r="HF17" i="3" s="1"/>
  <c r="HD16" i="3"/>
  <c r="Z18" i="3"/>
  <c r="CJ18" i="3" s="1"/>
  <c r="GN25" i="3"/>
  <c r="HC18" i="3"/>
  <c r="DQ17" i="3"/>
  <c r="AC17" i="3"/>
  <c r="AE17" i="3" s="1"/>
  <c r="EB19" i="3"/>
  <c r="FF18" i="3"/>
  <c r="FH18" i="3" s="1"/>
  <c r="BG17" i="3"/>
  <c r="BE17" i="3"/>
  <c r="BR17" i="3"/>
  <c r="BT17" i="3" s="1"/>
  <c r="BV17" i="3" s="1"/>
  <c r="X18" i="3"/>
  <c r="CI18" i="3" s="1"/>
  <c r="DR16" i="3"/>
  <c r="AN18" i="3"/>
  <c r="FW18" i="3"/>
  <c r="AD18" i="3"/>
  <c r="BY18" i="3"/>
  <c r="L20" i="3"/>
  <c r="M19" i="3"/>
  <c r="BP17" i="3"/>
  <c r="DW19" i="3"/>
  <c r="CK18" i="3"/>
  <c r="HK17" i="3"/>
  <c r="HH17" i="3"/>
  <c r="HJ17" i="3" s="1"/>
  <c r="BB8" i="11" l="1"/>
  <c r="BB9" i="11" s="1"/>
  <c r="BB10" i="11" s="1"/>
  <c r="BB11" i="11" s="1"/>
  <c r="BC8" i="7"/>
  <c r="BC9" i="7" s="1"/>
  <c r="BC10" i="7" s="1"/>
  <c r="BC11" i="7" s="1"/>
  <c r="HC17" i="9"/>
  <c r="HD17" i="9" s="1"/>
  <c r="GN18" i="9"/>
  <c r="GP17" i="9"/>
  <c r="HL17" i="3"/>
  <c r="Z19" i="7"/>
  <c r="CJ18" i="7"/>
  <c r="DB18" i="5"/>
  <c r="DQ17" i="5"/>
  <c r="DR17" i="5" s="1"/>
  <c r="HC17" i="10"/>
  <c r="GN18" i="10"/>
  <c r="DD18" i="5"/>
  <c r="FM18" i="5" s="1"/>
  <c r="AJ17" i="5"/>
  <c r="AJ16" i="8"/>
  <c r="AJ17" i="6"/>
  <c r="HW9" i="11"/>
  <c r="J9" i="11" s="1"/>
  <c r="CT9" i="12"/>
  <c r="DS9" i="12"/>
  <c r="FL9" i="12" s="1"/>
  <c r="FN9" i="12" s="1"/>
  <c r="DT16" i="7"/>
  <c r="GF10" i="11"/>
  <c r="I9" i="11"/>
  <c r="GB10" i="11"/>
  <c r="DT17" i="12"/>
  <c r="DR16" i="7"/>
  <c r="HT8" i="9"/>
  <c r="HU8" i="9" s="1"/>
  <c r="FR8" i="12"/>
  <c r="FS8" i="12" s="1"/>
  <c r="FO8" i="12"/>
  <c r="EB18" i="8"/>
  <c r="FF17" i="8"/>
  <c r="HS9" i="8"/>
  <c r="HV9" i="8" s="1"/>
  <c r="I9" i="8" s="1"/>
  <c r="HW8" i="8"/>
  <c r="J8" i="8" s="1"/>
  <c r="DV18" i="12"/>
  <c r="DX18" i="12" s="1"/>
  <c r="DZ18" i="12" s="1"/>
  <c r="DE18" i="12"/>
  <c r="DD18" i="12" s="1"/>
  <c r="FM18" i="12" s="1"/>
  <c r="DG18" i="12"/>
  <c r="CK19" i="12"/>
  <c r="DR17" i="12"/>
  <c r="HD18" i="6"/>
  <c r="DV17" i="7"/>
  <c r="DX17" i="7" s="1"/>
  <c r="DZ17" i="7" s="1"/>
  <c r="CK18" i="7"/>
  <c r="DE17" i="7"/>
  <c r="DD17" i="7" s="1"/>
  <c r="FM17" i="7" s="1"/>
  <c r="DG17" i="7"/>
  <c r="EB18" i="7"/>
  <c r="FF17" i="7"/>
  <c r="HD17" i="7"/>
  <c r="GP18" i="9"/>
  <c r="FT7" i="11"/>
  <c r="G7" i="11" s="1"/>
  <c r="DS8" i="11"/>
  <c r="CT8" i="11"/>
  <c r="CP8" i="11"/>
  <c r="FO8" i="5"/>
  <c r="DR18" i="6"/>
  <c r="DT17" i="3"/>
  <c r="FM17" i="3"/>
  <c r="CT8" i="6"/>
  <c r="CP8" i="6"/>
  <c r="FL8" i="6" s="1"/>
  <c r="FN8" i="6" s="1"/>
  <c r="GB9" i="9"/>
  <c r="HN9" i="9" s="1"/>
  <c r="HP9" i="9" s="1"/>
  <c r="HQ9" i="9" s="1"/>
  <c r="GF9" i="9"/>
  <c r="HN8" i="6"/>
  <c r="HP8" i="6" s="1"/>
  <c r="HQ8" i="6" s="1"/>
  <c r="GF9" i="12"/>
  <c r="HQ8" i="12"/>
  <c r="GB9" i="12"/>
  <c r="GB10" i="8"/>
  <c r="GC10" i="8" s="1"/>
  <c r="CT9" i="5"/>
  <c r="FU7" i="9"/>
  <c r="FQ8" i="9"/>
  <c r="G7" i="9"/>
  <c r="CP7" i="8"/>
  <c r="FL7" i="10"/>
  <c r="FN7" i="10" s="1"/>
  <c r="FR7" i="10" s="1"/>
  <c r="FS7" i="10" s="1"/>
  <c r="CT7" i="8"/>
  <c r="DS7" i="8"/>
  <c r="HT8" i="10"/>
  <c r="HU8" i="10" s="1"/>
  <c r="HQ8" i="10"/>
  <c r="GG9" i="10"/>
  <c r="GE9" i="10"/>
  <c r="FQ8" i="5"/>
  <c r="FT8" i="5" s="1"/>
  <c r="FU7" i="5"/>
  <c r="FT6" i="8"/>
  <c r="FL8" i="9"/>
  <c r="FN8" i="9" s="1"/>
  <c r="CQ8" i="9"/>
  <c r="G7" i="5"/>
  <c r="GF10" i="8"/>
  <c r="HE10" i="8"/>
  <c r="CP9" i="5"/>
  <c r="FL9" i="5" s="1"/>
  <c r="CQ9" i="12"/>
  <c r="GP17" i="7"/>
  <c r="HF17" i="7" s="1"/>
  <c r="FL8" i="7"/>
  <c r="FN8" i="7" s="1"/>
  <c r="FO8" i="7" s="1"/>
  <c r="AE18" i="7"/>
  <c r="GE9" i="6"/>
  <c r="HE9" i="6" s="1"/>
  <c r="GG9" i="6"/>
  <c r="HW7" i="6"/>
  <c r="J7" i="6" s="1"/>
  <c r="HS8" i="6"/>
  <c r="AL15" i="12"/>
  <c r="F15" i="12" s="1"/>
  <c r="E15" i="12"/>
  <c r="AH16" i="12"/>
  <c r="AK16" i="12" s="1"/>
  <c r="HF16" i="12"/>
  <c r="HO16" i="12"/>
  <c r="M21" i="12"/>
  <c r="L22" i="12"/>
  <c r="EB20" i="12"/>
  <c r="FF19" i="12"/>
  <c r="BY20" i="12"/>
  <c r="AD20" i="12"/>
  <c r="DQ19" i="12"/>
  <c r="DB20" i="12"/>
  <c r="DW21" i="12"/>
  <c r="GN20" i="12"/>
  <c r="HC19" i="12"/>
  <c r="CR20" i="12"/>
  <c r="GD20" i="12"/>
  <c r="AN19" i="12"/>
  <c r="BG18" i="12"/>
  <c r="BE18" i="12"/>
  <c r="BR18" i="12"/>
  <c r="BT18" i="12" s="1"/>
  <c r="BV18" i="12" s="1"/>
  <c r="AI17" i="12"/>
  <c r="AJ17" i="12" s="1"/>
  <c r="AF17" i="12"/>
  <c r="AF18" i="12" s="1"/>
  <c r="HV8" i="12"/>
  <c r="HD17" i="12"/>
  <c r="GP17" i="12"/>
  <c r="Z19" i="12"/>
  <c r="CJ18" i="12"/>
  <c r="GS18" i="12"/>
  <c r="FW19" i="12"/>
  <c r="GQ18" i="12"/>
  <c r="HH18" i="12"/>
  <c r="HJ18" i="12" s="1"/>
  <c r="HL18" i="12" s="1"/>
  <c r="HI21" i="12"/>
  <c r="CI19" i="12"/>
  <c r="X20" i="12"/>
  <c r="AH16" i="11"/>
  <c r="AK16" i="11" s="1"/>
  <c r="E15" i="11"/>
  <c r="AL15" i="11"/>
  <c r="F15" i="11" s="1"/>
  <c r="AI18" i="11"/>
  <c r="AJ18" i="11" s="1"/>
  <c r="AF18" i="11"/>
  <c r="HF18" i="11"/>
  <c r="HO18" i="11"/>
  <c r="GQ19" i="11"/>
  <c r="FW20" i="11"/>
  <c r="GS19" i="11"/>
  <c r="HH19" i="11"/>
  <c r="HJ19" i="11" s="1"/>
  <c r="HL19" i="11" s="1"/>
  <c r="BE19" i="11"/>
  <c r="AN20" i="11"/>
  <c r="BR19" i="11"/>
  <c r="BT19" i="11" s="1"/>
  <c r="BV19" i="11" s="1"/>
  <c r="BG19" i="11"/>
  <c r="AC19" i="11"/>
  <c r="AE19" i="11" s="1"/>
  <c r="X20" i="11"/>
  <c r="CI19" i="11"/>
  <c r="DW21" i="11"/>
  <c r="DQ19" i="11"/>
  <c r="DB20" i="11"/>
  <c r="CR20" i="11"/>
  <c r="M21" i="11"/>
  <c r="L22" i="11"/>
  <c r="DT16" i="11"/>
  <c r="HC19" i="11"/>
  <c r="GN20" i="11"/>
  <c r="GD20" i="11"/>
  <c r="HI22" i="11"/>
  <c r="HF17" i="11"/>
  <c r="HO17" i="11"/>
  <c r="AD20" i="11"/>
  <c r="BY20" i="11"/>
  <c r="CJ19" i="11"/>
  <c r="Z20" i="11"/>
  <c r="DE18" i="11"/>
  <c r="CK19" i="11"/>
  <c r="DG18" i="11"/>
  <c r="DV18" i="11"/>
  <c r="DX18" i="11" s="1"/>
  <c r="DZ18" i="11" s="1"/>
  <c r="DR17" i="11"/>
  <c r="DD17" i="11"/>
  <c r="FM17" i="11" s="1"/>
  <c r="EB20" i="11"/>
  <c r="FF19" i="11"/>
  <c r="HD18" i="11"/>
  <c r="CU8" i="10"/>
  <c r="CS8" i="10"/>
  <c r="DS8" i="10" s="1"/>
  <c r="HF16" i="10"/>
  <c r="HO16" i="10"/>
  <c r="FW19" i="10"/>
  <c r="GQ18" i="10"/>
  <c r="GS18" i="10"/>
  <c r="HH18" i="10"/>
  <c r="HJ18" i="10" s="1"/>
  <c r="HL18" i="10" s="1"/>
  <c r="AH16" i="10"/>
  <c r="AK16" i="10" s="1"/>
  <c r="AL15" i="10"/>
  <c r="F15" i="10" s="1"/>
  <c r="E15" i="10"/>
  <c r="L22" i="10"/>
  <c r="M21" i="10"/>
  <c r="X20" i="10"/>
  <c r="CI19" i="10"/>
  <c r="AC19" i="10"/>
  <c r="AE19" i="10" s="1"/>
  <c r="CK20" i="10"/>
  <c r="DG19" i="10"/>
  <c r="DE19" i="10"/>
  <c r="BY20" i="10"/>
  <c r="AD20" i="10"/>
  <c r="DR18" i="10"/>
  <c r="DT18" i="10"/>
  <c r="CR18" i="10"/>
  <c r="GD22" i="10"/>
  <c r="BE18" i="10"/>
  <c r="AN19" i="10"/>
  <c r="BG18" i="10"/>
  <c r="BR18" i="10"/>
  <c r="BT18" i="10" s="1"/>
  <c r="BV18" i="10" s="1"/>
  <c r="EB20" i="10"/>
  <c r="FF19" i="10"/>
  <c r="HI24" i="10"/>
  <c r="CJ18" i="10"/>
  <c r="Z19" i="10"/>
  <c r="DV19" i="10"/>
  <c r="DX19" i="10" s="1"/>
  <c r="DZ19" i="10" s="1"/>
  <c r="FU6" i="10"/>
  <c r="FQ7" i="10"/>
  <c r="AF17" i="10"/>
  <c r="AI18" i="10" s="1"/>
  <c r="AI17" i="10"/>
  <c r="AJ17" i="10" s="1"/>
  <c r="DQ19" i="10"/>
  <c r="DB20" i="10"/>
  <c r="DW21" i="10"/>
  <c r="HD17" i="10"/>
  <c r="GP17" i="10"/>
  <c r="AF18" i="9"/>
  <c r="AI18" i="9"/>
  <c r="AJ18" i="9" s="1"/>
  <c r="DW22" i="9"/>
  <c r="HH19" i="9"/>
  <c r="HJ19" i="9" s="1"/>
  <c r="HL19" i="9" s="1"/>
  <c r="HI20" i="9"/>
  <c r="CR17" i="9"/>
  <c r="DR18" i="9"/>
  <c r="M21" i="9"/>
  <c r="L22" i="9"/>
  <c r="DD18" i="9"/>
  <c r="FM18" i="9" s="1"/>
  <c r="BY20" i="9"/>
  <c r="AD20" i="9"/>
  <c r="GQ19" i="9"/>
  <c r="FW20" i="9"/>
  <c r="GS19" i="9"/>
  <c r="X20" i="9"/>
  <c r="CI19" i="9"/>
  <c r="AN19" i="9"/>
  <c r="BE18" i="9"/>
  <c r="BR18" i="9"/>
  <c r="BT18" i="9" s="1"/>
  <c r="BV18" i="9" s="1"/>
  <c r="BG18" i="9"/>
  <c r="DT17" i="9"/>
  <c r="EB20" i="9"/>
  <c r="FF19" i="9"/>
  <c r="Z19" i="9"/>
  <c r="CJ18" i="9"/>
  <c r="E15" i="9"/>
  <c r="AL15" i="9"/>
  <c r="F15" i="9" s="1"/>
  <c r="AH16" i="9"/>
  <c r="AK16" i="9" s="1"/>
  <c r="DB20" i="9"/>
  <c r="DQ19" i="9"/>
  <c r="HF18" i="9"/>
  <c r="HO18" i="9"/>
  <c r="DG19" i="9"/>
  <c r="CK20" i="9"/>
  <c r="DE19" i="9"/>
  <c r="DV19" i="9"/>
  <c r="DX19" i="9" s="1"/>
  <c r="DZ19" i="9" s="1"/>
  <c r="GD19" i="8"/>
  <c r="AD19" i="8"/>
  <c r="BY19" i="8"/>
  <c r="DW21" i="8"/>
  <c r="CR23" i="8"/>
  <c r="BE19" i="8"/>
  <c r="AN20" i="8"/>
  <c r="BG19" i="8"/>
  <c r="BR19" i="8"/>
  <c r="BT19" i="8" s="1"/>
  <c r="BV19" i="8" s="1"/>
  <c r="DT17" i="8"/>
  <c r="DQ18" i="8"/>
  <c r="DR18" i="8" s="1"/>
  <c r="DD18" i="8"/>
  <c r="FM18" i="8" s="1"/>
  <c r="DB19" i="8"/>
  <c r="CJ19" i="8"/>
  <c r="Z20" i="8"/>
  <c r="AH15" i="8"/>
  <c r="AK15" i="8" s="1"/>
  <c r="AL14" i="8"/>
  <c r="F14" i="8" s="1"/>
  <c r="E14" i="8"/>
  <c r="HI23" i="8"/>
  <c r="AI17" i="8"/>
  <c r="AJ17" i="8" s="1"/>
  <c r="AF17" i="8"/>
  <c r="GQ18" i="8"/>
  <c r="GP18" i="8" s="1"/>
  <c r="FW19" i="8"/>
  <c r="GS18" i="8"/>
  <c r="HH18" i="8"/>
  <c r="HJ18" i="8" s="1"/>
  <c r="HL18" i="8" s="1"/>
  <c r="HD17" i="8"/>
  <c r="AC18" i="8"/>
  <c r="AE18" i="8" s="1"/>
  <c r="CI18" i="8"/>
  <c r="X19" i="8"/>
  <c r="HC18" i="8"/>
  <c r="GN19" i="8"/>
  <c r="CK20" i="8"/>
  <c r="DV20" i="8" s="1"/>
  <c r="DE19" i="8"/>
  <c r="DG19" i="8"/>
  <c r="DV19" i="8"/>
  <c r="DX19" i="8" s="1"/>
  <c r="DZ19" i="8" s="1"/>
  <c r="GP17" i="8"/>
  <c r="L21" i="8"/>
  <c r="M20" i="8"/>
  <c r="M20" i="7"/>
  <c r="L21" i="7"/>
  <c r="DW20" i="7"/>
  <c r="HC18" i="7"/>
  <c r="GN19" i="7"/>
  <c r="HN11" i="7"/>
  <c r="HP11" i="7" s="1"/>
  <c r="GC11" i="7"/>
  <c r="CR17" i="7"/>
  <c r="AF17" i="7"/>
  <c r="AI17" i="7"/>
  <c r="AJ17" i="7" s="1"/>
  <c r="HI22" i="7"/>
  <c r="DQ18" i="7"/>
  <c r="DB19" i="7"/>
  <c r="FU7" i="7"/>
  <c r="FQ8" i="7"/>
  <c r="AC19" i="7"/>
  <c r="X20" i="7"/>
  <c r="CI19" i="7"/>
  <c r="G7" i="7"/>
  <c r="GD18" i="7"/>
  <c r="FW19" i="7"/>
  <c r="GS18" i="7"/>
  <c r="GQ18" i="7"/>
  <c r="GP18" i="7" s="1"/>
  <c r="HH18" i="7"/>
  <c r="HJ18" i="7" s="1"/>
  <c r="HL18" i="7" s="1"/>
  <c r="BG18" i="7"/>
  <c r="BE18" i="7"/>
  <c r="AN19" i="7"/>
  <c r="BR18" i="7"/>
  <c r="BT18" i="7" s="1"/>
  <c r="BV18" i="7" s="1"/>
  <c r="CU9" i="7"/>
  <c r="CS9" i="7"/>
  <c r="E14" i="7"/>
  <c r="AL14" i="7"/>
  <c r="F14" i="7" s="1"/>
  <c r="AH15" i="7"/>
  <c r="AK15" i="7" s="1"/>
  <c r="HW10" i="7"/>
  <c r="J10" i="7" s="1"/>
  <c r="HS11" i="7"/>
  <c r="BY19" i="7"/>
  <c r="AD19" i="7"/>
  <c r="AH17" i="6"/>
  <c r="AK17" i="6" s="1"/>
  <c r="AL16" i="6"/>
  <c r="F16" i="6" s="1"/>
  <c r="E16" i="6"/>
  <c r="DW22" i="6"/>
  <c r="CK20" i="6"/>
  <c r="DG19" i="6"/>
  <c r="DE19" i="6"/>
  <c r="DD19" i="6" s="1"/>
  <c r="FM19" i="6" s="1"/>
  <c r="DV19" i="6"/>
  <c r="DX19" i="6" s="1"/>
  <c r="DZ19" i="6" s="1"/>
  <c r="GN20" i="6"/>
  <c r="HC19" i="6"/>
  <c r="HF18" i="6"/>
  <c r="HO18" i="6"/>
  <c r="CR23" i="6"/>
  <c r="DT17" i="6"/>
  <c r="AD20" i="6"/>
  <c r="BY20" i="6"/>
  <c r="HI22" i="6"/>
  <c r="L22" i="6"/>
  <c r="M21" i="6"/>
  <c r="BG19" i="6"/>
  <c r="BE19" i="6"/>
  <c r="AN20" i="6"/>
  <c r="BR19" i="6"/>
  <c r="BT19" i="6" s="1"/>
  <c r="BV19" i="6" s="1"/>
  <c r="Z21" i="6"/>
  <c r="CJ20" i="6"/>
  <c r="AF18" i="6"/>
  <c r="AI18" i="6"/>
  <c r="AJ18" i="6" s="1"/>
  <c r="GD17" i="6"/>
  <c r="CI19" i="6"/>
  <c r="X20" i="6"/>
  <c r="AC19" i="6"/>
  <c r="AE19" i="6" s="1"/>
  <c r="EB20" i="6"/>
  <c r="FF19" i="6"/>
  <c r="FW20" i="6"/>
  <c r="GQ19" i="6"/>
  <c r="GS19" i="6"/>
  <c r="HH19" i="6"/>
  <c r="HJ19" i="6" s="1"/>
  <c r="HL19" i="6" s="1"/>
  <c r="DQ19" i="6"/>
  <c r="DB20" i="6"/>
  <c r="FU7" i="6"/>
  <c r="FQ8" i="6"/>
  <c r="G7" i="6"/>
  <c r="DD18" i="6"/>
  <c r="FM18" i="6" s="1"/>
  <c r="HE8" i="5"/>
  <c r="GF8" i="5"/>
  <c r="GD18" i="5"/>
  <c r="GN20" i="5"/>
  <c r="HC19" i="5"/>
  <c r="GB8" i="5"/>
  <c r="HF16" i="5"/>
  <c r="HO16" i="5"/>
  <c r="DT18" i="5"/>
  <c r="AH16" i="5"/>
  <c r="AK16" i="5" s="1"/>
  <c r="E15" i="5"/>
  <c r="AL15" i="5"/>
  <c r="F15" i="5" s="1"/>
  <c r="HI21" i="5"/>
  <c r="DW27" i="5"/>
  <c r="AI18" i="5"/>
  <c r="AF18" i="5"/>
  <c r="HD17" i="5"/>
  <c r="GP17" i="5"/>
  <c r="AD20" i="5"/>
  <c r="BY20" i="5"/>
  <c r="CK20" i="5"/>
  <c r="DG19" i="5"/>
  <c r="DE19" i="5"/>
  <c r="DV19" i="5"/>
  <c r="DX19" i="5" s="1"/>
  <c r="DZ19" i="5" s="1"/>
  <c r="CJ19" i="5"/>
  <c r="Z20" i="5"/>
  <c r="CR19" i="5"/>
  <c r="M21" i="5"/>
  <c r="L22" i="5"/>
  <c r="FW19" i="5"/>
  <c r="GQ18" i="5"/>
  <c r="GS18" i="5"/>
  <c r="HH18" i="5"/>
  <c r="HJ18" i="5" s="1"/>
  <c r="HL18" i="5" s="1"/>
  <c r="HV7" i="5"/>
  <c r="AC19" i="5"/>
  <c r="AE19" i="5" s="1"/>
  <c r="CI19" i="5"/>
  <c r="X20" i="5"/>
  <c r="EB21" i="5"/>
  <c r="FF20" i="5"/>
  <c r="AN20" i="5"/>
  <c r="BR19" i="5"/>
  <c r="BT19" i="5" s="1"/>
  <c r="BV19" i="5" s="1"/>
  <c r="BG19" i="5"/>
  <c r="BE19" i="5"/>
  <c r="DV18" i="3"/>
  <c r="DX18" i="3" s="1"/>
  <c r="DZ18" i="3" s="1"/>
  <c r="DG18" i="3"/>
  <c r="DE18" i="3"/>
  <c r="DD18" i="3" s="1"/>
  <c r="GS18" i="3"/>
  <c r="GQ18" i="3"/>
  <c r="GP18" i="3" s="1"/>
  <c r="HF18" i="3" s="1"/>
  <c r="HD17" i="3"/>
  <c r="GN26" i="3"/>
  <c r="Z19" i="3"/>
  <c r="CJ19" i="3" s="1"/>
  <c r="HC19" i="3"/>
  <c r="HC23" i="3"/>
  <c r="HK18" i="3"/>
  <c r="DQ18" i="3"/>
  <c r="BG18" i="3"/>
  <c r="BE18" i="3"/>
  <c r="BR18" i="3"/>
  <c r="BT18" i="3" s="1"/>
  <c r="BV18" i="3" s="1"/>
  <c r="EB20" i="3"/>
  <c r="FF19" i="3"/>
  <c r="FH19" i="3" s="1"/>
  <c r="AC18" i="3"/>
  <c r="AE18" i="3" s="1"/>
  <c r="X19" i="3"/>
  <c r="CI19" i="3" s="1"/>
  <c r="DR17" i="3"/>
  <c r="FW19" i="3"/>
  <c r="AN19" i="3"/>
  <c r="AD19" i="3"/>
  <c r="BY19" i="3"/>
  <c r="L21" i="3"/>
  <c r="M20" i="3"/>
  <c r="BP18" i="3"/>
  <c r="DW20" i="3"/>
  <c r="DQ22" i="3"/>
  <c r="CK19" i="3"/>
  <c r="HH18" i="3"/>
  <c r="HJ18" i="3" s="1"/>
  <c r="BC8" i="11" l="1"/>
  <c r="BC9" i="11" s="1"/>
  <c r="BC10" i="11" s="1"/>
  <c r="BC11" i="11" s="1"/>
  <c r="HC18" i="10"/>
  <c r="GN19" i="10"/>
  <c r="DQ18" i="5"/>
  <c r="DR18" i="5" s="1"/>
  <c r="DB19" i="5"/>
  <c r="CJ19" i="7"/>
  <c r="Z20" i="7"/>
  <c r="DD19" i="5"/>
  <c r="FM19" i="5" s="1"/>
  <c r="HF17" i="9"/>
  <c r="HO17" i="9"/>
  <c r="HC18" i="9"/>
  <c r="HD18" i="9" s="1"/>
  <c r="GN19" i="9"/>
  <c r="AJ18" i="5"/>
  <c r="AI18" i="7"/>
  <c r="AJ18" i="7" s="1"/>
  <c r="HO17" i="7"/>
  <c r="GC10" i="11"/>
  <c r="HN10" i="11"/>
  <c r="HP10" i="11" s="1"/>
  <c r="DR17" i="7"/>
  <c r="DT17" i="7"/>
  <c r="DT18" i="12"/>
  <c r="AF18" i="7"/>
  <c r="HV8" i="9"/>
  <c r="I8" i="9" s="1"/>
  <c r="FQ8" i="11"/>
  <c r="DR18" i="12"/>
  <c r="FT8" i="12"/>
  <c r="DE18" i="7"/>
  <c r="DD18" i="7" s="1"/>
  <c r="FM18" i="7" s="1"/>
  <c r="DV18" i="7"/>
  <c r="DX18" i="7" s="1"/>
  <c r="DZ18" i="7" s="1"/>
  <c r="CK19" i="7"/>
  <c r="DG18" i="7"/>
  <c r="DE19" i="12"/>
  <c r="DD19" i="12" s="1"/>
  <c r="FM19" i="12" s="1"/>
  <c r="DG19" i="12"/>
  <c r="DV19" i="12"/>
  <c r="DX19" i="12" s="1"/>
  <c r="DZ19" i="12" s="1"/>
  <c r="CK20" i="12"/>
  <c r="EB19" i="7"/>
  <c r="FF18" i="7"/>
  <c r="EB19" i="8"/>
  <c r="FF18" i="8"/>
  <c r="FU7" i="11"/>
  <c r="FL8" i="11"/>
  <c r="FN8" i="11" s="1"/>
  <c r="CQ8" i="11"/>
  <c r="DR19" i="10"/>
  <c r="CQ8" i="6"/>
  <c r="CU9" i="6" s="1"/>
  <c r="DR19" i="9"/>
  <c r="DT18" i="3"/>
  <c r="FM18" i="3"/>
  <c r="FR8" i="7"/>
  <c r="FS8" i="7" s="1"/>
  <c r="HT8" i="6"/>
  <c r="HU8" i="6" s="1"/>
  <c r="HT9" i="9"/>
  <c r="HU9" i="9" s="1"/>
  <c r="HN10" i="8"/>
  <c r="HP10" i="8" s="1"/>
  <c r="HQ10" i="8" s="1"/>
  <c r="GC9" i="9"/>
  <c r="GG10" i="9" s="1"/>
  <c r="I8" i="12"/>
  <c r="HN9" i="12"/>
  <c r="HP9" i="12" s="1"/>
  <c r="GC9" i="12"/>
  <c r="FU8" i="5"/>
  <c r="FQ9" i="5"/>
  <c r="G8" i="5"/>
  <c r="GF9" i="6"/>
  <c r="GG11" i="8"/>
  <c r="GE11" i="8"/>
  <c r="FN9" i="5"/>
  <c r="CQ9" i="5"/>
  <c r="G6" i="8"/>
  <c r="FU6" i="8"/>
  <c r="FQ7" i="8"/>
  <c r="FL7" i="8"/>
  <c r="FN7" i="8" s="1"/>
  <c r="CQ7" i="8"/>
  <c r="GB9" i="6"/>
  <c r="HN9" i="6" s="1"/>
  <c r="HP9" i="6" s="1"/>
  <c r="HQ9" i="6" s="1"/>
  <c r="HE9" i="10"/>
  <c r="GF9" i="10"/>
  <c r="GB9" i="10"/>
  <c r="AF18" i="10"/>
  <c r="AF19" i="10" s="1"/>
  <c r="HV8" i="10"/>
  <c r="HW9" i="8"/>
  <c r="J9" i="8" s="1"/>
  <c r="HS10" i="8"/>
  <c r="FO7" i="10"/>
  <c r="CU9" i="9"/>
  <c r="CS9" i="9"/>
  <c r="FR8" i="9"/>
  <c r="FS8" i="9" s="1"/>
  <c r="FO8" i="9"/>
  <c r="FO9" i="12"/>
  <c r="FR9" i="12"/>
  <c r="FS9" i="12" s="1"/>
  <c r="CU10" i="12"/>
  <c r="CS10" i="12"/>
  <c r="CT8" i="10"/>
  <c r="FT7" i="10"/>
  <c r="FQ8" i="10" s="1"/>
  <c r="CP9" i="7"/>
  <c r="CQ9" i="7" s="1"/>
  <c r="FO8" i="6"/>
  <c r="FR8" i="6"/>
  <c r="FS8" i="6" s="1"/>
  <c r="CR21" i="12"/>
  <c r="M22" i="12"/>
  <c r="L23" i="12"/>
  <c r="Z20" i="12"/>
  <c r="CJ19" i="12"/>
  <c r="BR19" i="12"/>
  <c r="BT19" i="12" s="1"/>
  <c r="BV19" i="12" s="1"/>
  <c r="AN20" i="12"/>
  <c r="BG19" i="12"/>
  <c r="BE19" i="12"/>
  <c r="HF17" i="12"/>
  <c r="HO17" i="12"/>
  <c r="AC19" i="12"/>
  <c r="AE19" i="12" s="1"/>
  <c r="HS9" i="12"/>
  <c r="HW8" i="12"/>
  <c r="J8" i="12" s="1"/>
  <c r="HD18" i="12"/>
  <c r="GP18" i="12"/>
  <c r="X21" i="12"/>
  <c r="CI20" i="12"/>
  <c r="HI22" i="12"/>
  <c r="GD21" i="12"/>
  <c r="GN21" i="12"/>
  <c r="HC20" i="12"/>
  <c r="AI18" i="12"/>
  <c r="AJ18" i="12" s="1"/>
  <c r="BY21" i="12"/>
  <c r="AD21" i="12"/>
  <c r="DW22" i="12"/>
  <c r="AH17" i="12"/>
  <c r="AK17" i="12" s="1"/>
  <c r="AL16" i="12"/>
  <c r="F16" i="12" s="1"/>
  <c r="E16" i="12"/>
  <c r="GQ19" i="12"/>
  <c r="FW20" i="12"/>
  <c r="GS19" i="12"/>
  <c r="HH19" i="12"/>
  <c r="HJ19" i="12" s="1"/>
  <c r="HL19" i="12" s="1"/>
  <c r="DB21" i="12"/>
  <c r="DQ20" i="12"/>
  <c r="FF20" i="12"/>
  <c r="EB21" i="12"/>
  <c r="AL16" i="11"/>
  <c r="F16" i="11" s="1"/>
  <c r="E16" i="11"/>
  <c r="AH17" i="11"/>
  <c r="AK17" i="11" s="1"/>
  <c r="L23" i="11"/>
  <c r="M22" i="11"/>
  <c r="AD21" i="11"/>
  <c r="BY21" i="11"/>
  <c r="CR21" i="11"/>
  <c r="GS20" i="11"/>
  <c r="GQ20" i="11"/>
  <c r="GP20" i="11" s="1"/>
  <c r="FW21" i="11"/>
  <c r="HH20" i="11"/>
  <c r="HJ20" i="11" s="1"/>
  <c r="HL20" i="11" s="1"/>
  <c r="DB21" i="11"/>
  <c r="DQ20" i="11"/>
  <c r="HD19" i="11"/>
  <c r="AI19" i="11"/>
  <c r="AJ19" i="11" s="1"/>
  <c r="AF19" i="11"/>
  <c r="DT17" i="11"/>
  <c r="BG20" i="11"/>
  <c r="BE20" i="11"/>
  <c r="AN21" i="11"/>
  <c r="BR20" i="11"/>
  <c r="BT20" i="11" s="1"/>
  <c r="BV20" i="11" s="1"/>
  <c r="DR18" i="11"/>
  <c r="DD18" i="11"/>
  <c r="FM18" i="11" s="1"/>
  <c r="GN21" i="11"/>
  <c r="HC20" i="11"/>
  <c r="DG19" i="11"/>
  <c r="DE19" i="11"/>
  <c r="CK20" i="11"/>
  <c r="DV19" i="11"/>
  <c r="DX19" i="11" s="1"/>
  <c r="DZ19" i="11" s="1"/>
  <c r="EB21" i="11"/>
  <c r="FF20" i="11"/>
  <c r="Z21" i="11"/>
  <c r="CJ20" i="11"/>
  <c r="GP19" i="11"/>
  <c r="CI20" i="11"/>
  <c r="X21" i="11"/>
  <c r="AC20" i="11"/>
  <c r="AE20" i="11" s="1"/>
  <c r="HI23" i="11"/>
  <c r="GD21" i="11"/>
  <c r="DW22" i="11"/>
  <c r="CR19" i="10"/>
  <c r="DG20" i="10"/>
  <c r="CK21" i="10"/>
  <c r="DV21" i="10" s="1"/>
  <c r="DE20" i="10"/>
  <c r="HF17" i="10"/>
  <c r="HO17" i="10"/>
  <c r="BG19" i="10"/>
  <c r="AN20" i="10"/>
  <c r="BE19" i="10"/>
  <c r="BR19" i="10"/>
  <c r="BT19" i="10" s="1"/>
  <c r="BV19" i="10" s="1"/>
  <c r="X21" i="10"/>
  <c r="CI20" i="10"/>
  <c r="DW22" i="10"/>
  <c r="M22" i="10"/>
  <c r="L23" i="10"/>
  <c r="DV20" i="10"/>
  <c r="DX20" i="10" s="1"/>
  <c r="DZ20" i="10" s="1"/>
  <c r="BY21" i="10"/>
  <c r="AD21" i="10"/>
  <c r="HD18" i="10"/>
  <c r="GP18" i="10"/>
  <c r="FW20" i="10"/>
  <c r="GS19" i="10"/>
  <c r="GQ19" i="10"/>
  <c r="HH19" i="10"/>
  <c r="HJ19" i="10" s="1"/>
  <c r="HL19" i="10" s="1"/>
  <c r="DB21" i="10"/>
  <c r="DQ20" i="10"/>
  <c r="Z20" i="10"/>
  <c r="AC20" i="10" s="1"/>
  <c r="AE20" i="10" s="1"/>
  <c r="CJ19" i="10"/>
  <c r="DD19" i="10"/>
  <c r="FM19" i="10" s="1"/>
  <c r="AJ18" i="10"/>
  <c r="HI25" i="10"/>
  <c r="GD23" i="10"/>
  <c r="CP8" i="10"/>
  <c r="EB21" i="10"/>
  <c r="FF20" i="10"/>
  <c r="AH17" i="10"/>
  <c r="AK17" i="10" s="1"/>
  <c r="AL16" i="10"/>
  <c r="F16" i="10" s="1"/>
  <c r="E16" i="10"/>
  <c r="CJ19" i="9"/>
  <c r="Z20" i="9"/>
  <c r="AC20" i="9" s="1"/>
  <c r="AE20" i="9" s="1"/>
  <c r="E16" i="9"/>
  <c r="AL16" i="9"/>
  <c r="F16" i="9" s="1"/>
  <c r="AH17" i="9"/>
  <c r="AK17" i="9" s="1"/>
  <c r="DT18" i="9"/>
  <c r="FF20" i="9"/>
  <c r="EB21" i="9"/>
  <c r="DD19" i="9"/>
  <c r="FM19" i="9" s="1"/>
  <c r="AC19" i="9"/>
  <c r="AE19" i="9" s="1"/>
  <c r="BY21" i="9"/>
  <c r="AD21" i="9"/>
  <c r="AN20" i="9"/>
  <c r="BE19" i="9"/>
  <c r="BG19" i="9"/>
  <c r="BR19" i="9"/>
  <c r="BT19" i="9" s="1"/>
  <c r="BV19" i="9" s="1"/>
  <c r="CR18" i="9"/>
  <c r="CI20" i="9"/>
  <c r="X21" i="9"/>
  <c r="CK21" i="9"/>
  <c r="DG20" i="9"/>
  <c r="DE20" i="9"/>
  <c r="DD20" i="9" s="1"/>
  <c r="FM20" i="9" s="1"/>
  <c r="DV20" i="9"/>
  <c r="DX20" i="9" s="1"/>
  <c r="DZ20" i="9" s="1"/>
  <c r="DW23" i="9"/>
  <c r="L23" i="9"/>
  <c r="M22" i="9"/>
  <c r="DB21" i="9"/>
  <c r="DQ20" i="9"/>
  <c r="HH20" i="9"/>
  <c r="HJ20" i="9" s="1"/>
  <c r="HL20" i="9" s="1"/>
  <c r="HI21" i="9"/>
  <c r="FW21" i="9"/>
  <c r="GS20" i="9"/>
  <c r="GQ20" i="9"/>
  <c r="AI18" i="8"/>
  <c r="AJ18" i="8" s="1"/>
  <c r="AF18" i="8"/>
  <c r="FW20" i="8"/>
  <c r="GS19" i="8"/>
  <c r="GQ19" i="8"/>
  <c r="GP19" i="8" s="1"/>
  <c r="HH19" i="8"/>
  <c r="HJ19" i="8" s="1"/>
  <c r="HL19" i="8" s="1"/>
  <c r="GN20" i="8"/>
  <c r="HC19" i="8"/>
  <c r="CJ20" i="8"/>
  <c r="Z21" i="8"/>
  <c r="AL15" i="8"/>
  <c r="F15" i="8" s="1"/>
  <c r="AH16" i="8"/>
  <c r="AK16" i="8" s="1"/>
  <c r="E15" i="8"/>
  <c r="DW22" i="8"/>
  <c r="CK21" i="8"/>
  <c r="DV21" i="8" s="1"/>
  <c r="DE20" i="8"/>
  <c r="DX20" i="8"/>
  <c r="DZ20" i="8" s="1"/>
  <c r="DG20" i="8"/>
  <c r="HD18" i="8"/>
  <c r="DQ19" i="8"/>
  <c r="DR19" i="8" s="1"/>
  <c r="DB20" i="8"/>
  <c r="DD19" i="8"/>
  <c r="FM19" i="8" s="1"/>
  <c r="AN21" i="8"/>
  <c r="BE20" i="8"/>
  <c r="BG20" i="8"/>
  <c r="BR20" i="8"/>
  <c r="BT20" i="8" s="1"/>
  <c r="BV20" i="8" s="1"/>
  <c r="GD20" i="8"/>
  <c r="DT18" i="8"/>
  <c r="L22" i="8"/>
  <c r="M21" i="8"/>
  <c r="CI19" i="8"/>
  <c r="X20" i="8"/>
  <c r="AC19" i="8"/>
  <c r="AE19" i="8" s="1"/>
  <c r="HF18" i="8"/>
  <c r="HO18" i="8"/>
  <c r="CR24" i="8"/>
  <c r="HF17" i="8"/>
  <c r="HO17" i="8"/>
  <c r="BY20" i="8"/>
  <c r="AD20" i="8"/>
  <c r="HI24" i="8"/>
  <c r="HF18" i="7"/>
  <c r="HO18" i="7"/>
  <c r="FW20" i="7"/>
  <c r="GS19" i="7"/>
  <c r="GQ19" i="7"/>
  <c r="GP19" i="7" s="1"/>
  <c r="HH19" i="7"/>
  <c r="HJ19" i="7" s="1"/>
  <c r="HL19" i="7" s="1"/>
  <c r="AN20" i="7"/>
  <c r="BR19" i="7"/>
  <c r="BT19" i="7" s="1"/>
  <c r="BV19" i="7" s="1"/>
  <c r="BE19" i="7"/>
  <c r="BG19" i="7"/>
  <c r="GD19" i="7"/>
  <c r="AL15" i="7"/>
  <c r="F15" i="7" s="1"/>
  <c r="AH16" i="7"/>
  <c r="AK16" i="7" s="1"/>
  <c r="E15" i="7"/>
  <c r="DW21" i="7"/>
  <c r="AE19" i="7"/>
  <c r="M21" i="7"/>
  <c r="L22" i="7"/>
  <c r="HI23" i="7"/>
  <c r="CI20" i="7"/>
  <c r="AC20" i="7"/>
  <c r="X21" i="7"/>
  <c r="AD20" i="7"/>
  <c r="BY20" i="7"/>
  <c r="DQ19" i="7"/>
  <c r="DB20" i="7"/>
  <c r="HQ11" i="7"/>
  <c r="HT11" i="7"/>
  <c r="HU11" i="7" s="1"/>
  <c r="CR18" i="7"/>
  <c r="DS9" i="7"/>
  <c r="CT9" i="7"/>
  <c r="GG12" i="7"/>
  <c r="GE12" i="7"/>
  <c r="HD18" i="7"/>
  <c r="HC19" i="7"/>
  <c r="GN20" i="7"/>
  <c r="AL17" i="6"/>
  <c r="F17" i="6" s="1"/>
  <c r="AH18" i="6"/>
  <c r="AK18" i="6" s="1"/>
  <c r="E17" i="6"/>
  <c r="HC20" i="6"/>
  <c r="GN21" i="6"/>
  <c r="DT19" i="6"/>
  <c r="X21" i="6"/>
  <c r="AC20" i="6"/>
  <c r="AE20" i="6" s="1"/>
  <c r="CI20" i="6"/>
  <c r="DR19" i="6"/>
  <c r="AF19" i="6"/>
  <c r="AI19" i="6"/>
  <c r="AJ19" i="6" s="1"/>
  <c r="GD18" i="6"/>
  <c r="AD21" i="6"/>
  <c r="BY21" i="6"/>
  <c r="CR24" i="6"/>
  <c r="DG20" i="6"/>
  <c r="CK21" i="6"/>
  <c r="DE20" i="6"/>
  <c r="DV20" i="6"/>
  <c r="DX20" i="6" s="1"/>
  <c r="DZ20" i="6" s="1"/>
  <c r="M22" i="6"/>
  <c r="L23" i="6"/>
  <c r="DW23" i="6"/>
  <c r="HI23" i="6"/>
  <c r="HD19" i="6"/>
  <c r="DB21" i="6"/>
  <c r="DQ20" i="6"/>
  <c r="FW21" i="6"/>
  <c r="GQ20" i="6"/>
  <c r="GS20" i="6"/>
  <c r="HH20" i="6"/>
  <c r="HJ20" i="6" s="1"/>
  <c r="HL20" i="6" s="1"/>
  <c r="CJ21" i="6"/>
  <c r="Z22" i="6"/>
  <c r="DT18" i="6"/>
  <c r="EB21" i="6"/>
  <c r="FF20" i="6"/>
  <c r="BG20" i="6"/>
  <c r="AN21" i="6"/>
  <c r="BE20" i="6"/>
  <c r="BR20" i="6"/>
  <c r="BT20" i="6" s="1"/>
  <c r="BV20" i="6" s="1"/>
  <c r="GP19" i="6"/>
  <c r="AI19" i="5"/>
  <c r="AF19" i="5"/>
  <c r="L23" i="5"/>
  <c r="M22" i="5"/>
  <c r="CR20" i="5"/>
  <c r="HF17" i="5"/>
  <c r="HO17" i="5"/>
  <c r="HN8" i="5"/>
  <c r="HP8" i="5" s="1"/>
  <c r="GC8" i="5"/>
  <c r="GN21" i="5"/>
  <c r="HC20" i="5"/>
  <c r="HS8" i="5"/>
  <c r="HW7" i="5"/>
  <c r="J7" i="5" s="1"/>
  <c r="I7" i="5"/>
  <c r="DW28" i="5"/>
  <c r="CI20" i="5"/>
  <c r="X21" i="5"/>
  <c r="AC20" i="5"/>
  <c r="AE20" i="5" s="1"/>
  <c r="CK21" i="5"/>
  <c r="DE20" i="5"/>
  <c r="DG20" i="5"/>
  <c r="DV20" i="5"/>
  <c r="DX20" i="5" s="1"/>
  <c r="DZ20" i="5" s="1"/>
  <c r="CJ20" i="5"/>
  <c r="Z21" i="5"/>
  <c r="GD19" i="5"/>
  <c r="HD18" i="5"/>
  <c r="GP18" i="5"/>
  <c r="FW20" i="5"/>
  <c r="GS19" i="5"/>
  <c r="GQ19" i="5"/>
  <c r="HH19" i="5"/>
  <c r="HJ19" i="5" s="1"/>
  <c r="HL19" i="5" s="1"/>
  <c r="HI22" i="5"/>
  <c r="AN21" i="5"/>
  <c r="BE20" i="5"/>
  <c r="BG20" i="5"/>
  <c r="BR20" i="5"/>
  <c r="BT20" i="5" s="1"/>
  <c r="BV20" i="5" s="1"/>
  <c r="E16" i="5"/>
  <c r="AH17" i="5"/>
  <c r="AK17" i="5" s="1"/>
  <c r="AL16" i="5"/>
  <c r="F16" i="5" s="1"/>
  <c r="DT19" i="5"/>
  <c r="EB22" i="5"/>
  <c r="FF21" i="5"/>
  <c r="BY21" i="5"/>
  <c r="AD21" i="5"/>
  <c r="DV19" i="3"/>
  <c r="DX19" i="3" s="1"/>
  <c r="DZ19" i="3" s="1"/>
  <c r="DG19" i="3"/>
  <c r="DE19" i="3"/>
  <c r="DD19" i="3" s="1"/>
  <c r="GQ19" i="3"/>
  <c r="GP19" i="3" s="1"/>
  <c r="HF19" i="3" s="1"/>
  <c r="GS19" i="3"/>
  <c r="HL18" i="3"/>
  <c r="Z20" i="3"/>
  <c r="CJ20" i="3" s="1"/>
  <c r="GN27" i="3"/>
  <c r="HD18" i="3"/>
  <c r="HC24" i="3"/>
  <c r="HC20" i="3"/>
  <c r="HK19" i="3"/>
  <c r="DQ19" i="3"/>
  <c r="BE19" i="3"/>
  <c r="BG19" i="3"/>
  <c r="BR19" i="3"/>
  <c r="BT19" i="3" s="1"/>
  <c r="BV19" i="3" s="1"/>
  <c r="EB21" i="3"/>
  <c r="FF20" i="3"/>
  <c r="FH20" i="3" s="1"/>
  <c r="AC19" i="3"/>
  <c r="AE19" i="3" s="1"/>
  <c r="X20" i="3"/>
  <c r="CI20" i="3" s="1"/>
  <c r="DR18" i="3"/>
  <c r="AN20" i="3"/>
  <c r="FW20" i="3"/>
  <c r="AD20" i="3"/>
  <c r="BY20" i="3"/>
  <c r="L22" i="3"/>
  <c r="M21" i="3"/>
  <c r="DW21" i="3"/>
  <c r="DQ23" i="3"/>
  <c r="CK20" i="3"/>
  <c r="BP19" i="3"/>
  <c r="HH19" i="3"/>
  <c r="HJ19" i="3" s="1"/>
  <c r="AJ19" i="5" l="1"/>
  <c r="CJ20" i="7"/>
  <c r="Z21" i="7"/>
  <c r="DB20" i="5"/>
  <c r="DQ19" i="5"/>
  <c r="DR19" i="5" s="1"/>
  <c r="GN20" i="9"/>
  <c r="HC19" i="9"/>
  <c r="HD19" i="9" s="1"/>
  <c r="DD20" i="5"/>
  <c r="FM20" i="5" s="1"/>
  <c r="GP19" i="9"/>
  <c r="HC19" i="10"/>
  <c r="GN20" i="10"/>
  <c r="AP7" i="8"/>
  <c r="HS9" i="9"/>
  <c r="HV9" i="9" s="1"/>
  <c r="I9" i="9" s="1"/>
  <c r="HW8" i="9"/>
  <c r="J8" i="9" s="1"/>
  <c r="CS9" i="6"/>
  <c r="CT9" i="6" s="1"/>
  <c r="HQ10" i="11"/>
  <c r="HT10" i="11"/>
  <c r="GG11" i="11"/>
  <c r="GE11" i="11"/>
  <c r="DR18" i="7"/>
  <c r="DT18" i="7"/>
  <c r="AI19" i="10"/>
  <c r="AJ19" i="10" s="1"/>
  <c r="DT19" i="12"/>
  <c r="FT8" i="7"/>
  <c r="FQ9" i="7" s="1"/>
  <c r="GE10" i="9"/>
  <c r="HE10" i="9" s="1"/>
  <c r="HD19" i="3"/>
  <c r="FU8" i="12"/>
  <c r="FQ9" i="12"/>
  <c r="FT9" i="12" s="1"/>
  <c r="G9" i="12" s="1"/>
  <c r="G8" i="12"/>
  <c r="EB20" i="8"/>
  <c r="FF19" i="8"/>
  <c r="HV8" i="6"/>
  <c r="HW8" i="6" s="1"/>
  <c r="J8" i="6" s="1"/>
  <c r="HD20" i="6"/>
  <c r="EB20" i="7"/>
  <c r="FF19" i="7"/>
  <c r="DG20" i="12"/>
  <c r="DE20" i="12"/>
  <c r="DD20" i="12" s="1"/>
  <c r="FM20" i="12" s="1"/>
  <c r="DV20" i="12"/>
  <c r="DX20" i="12" s="1"/>
  <c r="DZ20" i="12" s="1"/>
  <c r="CK21" i="12"/>
  <c r="DV19" i="7"/>
  <c r="DX19" i="7" s="1"/>
  <c r="DZ19" i="7" s="1"/>
  <c r="CK20" i="7"/>
  <c r="DE19" i="7"/>
  <c r="DD19" i="7" s="1"/>
  <c r="FM19" i="7" s="1"/>
  <c r="DG19" i="7"/>
  <c r="DR19" i="12"/>
  <c r="CS9" i="11"/>
  <c r="CU9" i="11"/>
  <c r="FR8" i="11"/>
  <c r="FS8" i="11" s="1"/>
  <c r="FO8" i="11"/>
  <c r="FT8" i="6"/>
  <c r="FU8" i="6" s="1"/>
  <c r="DT19" i="3"/>
  <c r="FM19" i="3"/>
  <c r="CP9" i="9"/>
  <c r="CQ9" i="9" s="1"/>
  <c r="CS10" i="9" s="1"/>
  <c r="DS10" i="9" s="1"/>
  <c r="FT8" i="9"/>
  <c r="FU8" i="9" s="1"/>
  <c r="HT10" i="8"/>
  <c r="HV10" i="8" s="1"/>
  <c r="HT9" i="6"/>
  <c r="HU9" i="6" s="1"/>
  <c r="GC9" i="6"/>
  <c r="GG10" i="6" s="1"/>
  <c r="GG10" i="12"/>
  <c r="GE10" i="12"/>
  <c r="HT9" i="12"/>
  <c r="HU9" i="12" s="1"/>
  <c r="HQ9" i="12"/>
  <c r="FO7" i="8"/>
  <c r="FR7" i="8"/>
  <c r="FS7" i="8" s="1"/>
  <c r="CP10" i="12"/>
  <c r="CQ10" i="12" s="1"/>
  <c r="CU11" i="12" s="1"/>
  <c r="AE20" i="7"/>
  <c r="CU10" i="5"/>
  <c r="CS10" i="5"/>
  <c r="I8" i="10"/>
  <c r="HW8" i="10"/>
  <c r="J8" i="10" s="1"/>
  <c r="HS9" i="10"/>
  <c r="FR9" i="5"/>
  <c r="FS9" i="5" s="1"/>
  <c r="FO9" i="5"/>
  <c r="HN9" i="10"/>
  <c r="HP9" i="10" s="1"/>
  <c r="GC9" i="10"/>
  <c r="GB11" i="8"/>
  <c r="HE11" i="8"/>
  <c r="GF11" i="8"/>
  <c r="CT9" i="9"/>
  <c r="DS9" i="9"/>
  <c r="CS8" i="8"/>
  <c r="CU8" i="8"/>
  <c r="DS10" i="12"/>
  <c r="CT10" i="12"/>
  <c r="G7" i="10"/>
  <c r="FU7" i="10"/>
  <c r="HD19" i="7"/>
  <c r="GB12" i="7"/>
  <c r="GC12" i="7" s="1"/>
  <c r="GE13" i="7" s="1"/>
  <c r="HE13" i="7" s="1"/>
  <c r="FL9" i="7"/>
  <c r="FN9" i="7" s="1"/>
  <c r="FR9" i="7" s="1"/>
  <c r="FS9" i="7" s="1"/>
  <c r="HV11" i="7"/>
  <c r="I11" i="7" s="1"/>
  <c r="E17" i="12"/>
  <c r="AH18" i="12"/>
  <c r="AK18" i="12" s="1"/>
  <c r="AL17" i="12"/>
  <c r="F17" i="12" s="1"/>
  <c r="HF18" i="12"/>
  <c r="HO18" i="12"/>
  <c r="Z21" i="12"/>
  <c r="AC21" i="12" s="1"/>
  <c r="AE21" i="12" s="1"/>
  <c r="CJ20" i="12"/>
  <c r="HC21" i="12"/>
  <c r="GN22" i="12"/>
  <c r="M23" i="12"/>
  <c r="L24" i="12"/>
  <c r="DQ21" i="12"/>
  <c r="DB22" i="12"/>
  <c r="GD22" i="12"/>
  <c r="AD22" i="12"/>
  <c r="BY22" i="12"/>
  <c r="DW23" i="12"/>
  <c r="CR22" i="12"/>
  <c r="HI23" i="12"/>
  <c r="AF19" i="12"/>
  <c r="AI19" i="12"/>
  <c r="AJ19" i="12" s="1"/>
  <c r="FW21" i="12"/>
  <c r="GS20" i="12"/>
  <c r="GQ20" i="12"/>
  <c r="HH20" i="12"/>
  <c r="HJ20" i="12" s="1"/>
  <c r="HL20" i="12" s="1"/>
  <c r="AC20" i="12"/>
  <c r="AE20" i="12" s="1"/>
  <c r="HD19" i="12"/>
  <c r="GP19" i="12"/>
  <c r="X22" i="12"/>
  <c r="CI21" i="12"/>
  <c r="FF21" i="12"/>
  <c r="EB22" i="12"/>
  <c r="AN21" i="12"/>
  <c r="BR20" i="12"/>
  <c r="BT20" i="12" s="1"/>
  <c r="BV20" i="12" s="1"/>
  <c r="BE20" i="12"/>
  <c r="BG20" i="12"/>
  <c r="AH18" i="11"/>
  <c r="AK18" i="11" s="1"/>
  <c r="E17" i="11"/>
  <c r="AL17" i="11"/>
  <c r="F17" i="11" s="1"/>
  <c r="HF20" i="11"/>
  <c r="HO20" i="11"/>
  <c r="AI20" i="11"/>
  <c r="AJ20" i="11" s="1"/>
  <c r="AF20" i="11"/>
  <c r="CR22" i="11"/>
  <c r="X22" i="11"/>
  <c r="CI21" i="11"/>
  <c r="AC21" i="11"/>
  <c r="AE21" i="11" s="1"/>
  <c r="GN22" i="11"/>
  <c r="HC21" i="11"/>
  <c r="GD22" i="11"/>
  <c r="BG21" i="11"/>
  <c r="AN22" i="11"/>
  <c r="BR21" i="11"/>
  <c r="BT21" i="11" s="1"/>
  <c r="BV21" i="11" s="1"/>
  <c r="BE21" i="11"/>
  <c r="DT18" i="11"/>
  <c r="EB22" i="11"/>
  <c r="FF21" i="11"/>
  <c r="DW23" i="11"/>
  <c r="HF19" i="11"/>
  <c r="HO19" i="11"/>
  <c r="HI24" i="11"/>
  <c r="CJ21" i="11"/>
  <c r="Z22" i="11"/>
  <c r="BY22" i="11"/>
  <c r="AD22" i="11"/>
  <c r="DQ21" i="11"/>
  <c r="DB22" i="11"/>
  <c r="L24" i="11"/>
  <c r="M23" i="11"/>
  <c r="FW22" i="11"/>
  <c r="GS21" i="11"/>
  <c r="GQ21" i="11"/>
  <c r="HH21" i="11"/>
  <c r="HJ21" i="11" s="1"/>
  <c r="HL21" i="11" s="1"/>
  <c r="CK21" i="11"/>
  <c r="DG20" i="11"/>
  <c r="DE20" i="11"/>
  <c r="DV20" i="11"/>
  <c r="DX20" i="11" s="1"/>
  <c r="DZ20" i="11" s="1"/>
  <c r="HD20" i="11"/>
  <c r="DR19" i="11"/>
  <c r="DD19" i="11"/>
  <c r="FM19" i="11" s="1"/>
  <c r="AI20" i="10"/>
  <c r="AF20" i="10"/>
  <c r="HD19" i="10"/>
  <c r="GP19" i="10"/>
  <c r="BY22" i="10"/>
  <c r="AD22" i="10"/>
  <c r="DR20" i="10"/>
  <c r="AL17" i="10"/>
  <c r="F17" i="10" s="1"/>
  <c r="AH18" i="10"/>
  <c r="AK18" i="10" s="1"/>
  <c r="E17" i="10"/>
  <c r="HF18" i="10"/>
  <c r="HO18" i="10"/>
  <c r="DX21" i="10"/>
  <c r="DZ21" i="10" s="1"/>
  <c r="CK22" i="10"/>
  <c r="DV22" i="10" s="1"/>
  <c r="DG21" i="10"/>
  <c r="DE21" i="10"/>
  <c r="DD21" i="10" s="1"/>
  <c r="FM21" i="10" s="1"/>
  <c r="EB22" i="10"/>
  <c r="FF21" i="10"/>
  <c r="DW23" i="10"/>
  <c r="FW21" i="10"/>
  <c r="GQ20" i="10"/>
  <c r="GS20" i="10"/>
  <c r="HH20" i="10"/>
  <c r="HJ20" i="10" s="1"/>
  <c r="HL20" i="10" s="1"/>
  <c r="FL8" i="10"/>
  <c r="FN8" i="10" s="1"/>
  <c r="CQ8" i="10"/>
  <c r="L24" i="10"/>
  <c r="M23" i="10"/>
  <c r="GD24" i="10"/>
  <c r="CR20" i="10"/>
  <c r="HI26" i="10"/>
  <c r="Z21" i="10"/>
  <c r="AC21" i="10" s="1"/>
  <c r="AE21" i="10" s="1"/>
  <c r="CJ20" i="10"/>
  <c r="X22" i="10"/>
  <c r="CI21" i="10"/>
  <c r="DT19" i="10"/>
  <c r="DD20" i="10"/>
  <c r="FM20" i="10" s="1"/>
  <c r="DQ21" i="10"/>
  <c r="DB22" i="10"/>
  <c r="BR20" i="10"/>
  <c r="BT20" i="10" s="1"/>
  <c r="BV20" i="10" s="1"/>
  <c r="AN21" i="10"/>
  <c r="BG20" i="10"/>
  <c r="BE20" i="10"/>
  <c r="CK22" i="9"/>
  <c r="DG21" i="9"/>
  <c r="DE21" i="9"/>
  <c r="DD21" i="9" s="1"/>
  <c r="FM21" i="9" s="1"/>
  <c r="DV21" i="9"/>
  <c r="DX21" i="9" s="1"/>
  <c r="DZ21" i="9" s="1"/>
  <c r="DT20" i="9"/>
  <c r="X22" i="9"/>
  <c r="CI21" i="9"/>
  <c r="AC21" i="9"/>
  <c r="AE21" i="9" s="1"/>
  <c r="M23" i="9"/>
  <c r="L24" i="9"/>
  <c r="DB22" i="9"/>
  <c r="DQ21" i="9"/>
  <c r="HF19" i="9"/>
  <c r="HO19" i="9"/>
  <c r="DT19" i="9"/>
  <c r="E17" i="9"/>
  <c r="AH18" i="9"/>
  <c r="AK18" i="9" s="1"/>
  <c r="AL17" i="9"/>
  <c r="F17" i="9" s="1"/>
  <c r="CR19" i="9"/>
  <c r="Z21" i="9"/>
  <c r="CJ20" i="9"/>
  <c r="BY22" i="9"/>
  <c r="AD22" i="9"/>
  <c r="AI19" i="9"/>
  <c r="AJ19" i="9" s="1"/>
  <c r="AF19" i="9"/>
  <c r="AF20" i="9" s="1"/>
  <c r="DW24" i="9"/>
  <c r="FW22" i="9"/>
  <c r="GS21" i="9"/>
  <c r="GQ21" i="9"/>
  <c r="FF21" i="9"/>
  <c r="EB22" i="9"/>
  <c r="HH21" i="9"/>
  <c r="HJ21" i="9" s="1"/>
  <c r="HL21" i="9" s="1"/>
  <c r="HI22" i="9"/>
  <c r="DR20" i="9"/>
  <c r="BE20" i="9"/>
  <c r="AN21" i="9"/>
  <c r="BR20" i="9"/>
  <c r="BT20" i="9" s="1"/>
  <c r="BV20" i="9" s="1"/>
  <c r="BG20" i="9"/>
  <c r="HF19" i="8"/>
  <c r="HO19" i="8"/>
  <c r="DQ20" i="8"/>
  <c r="DR20" i="8" s="1"/>
  <c r="DD20" i="8"/>
  <c r="FM20" i="8" s="1"/>
  <c r="DB21" i="8"/>
  <c r="M22" i="8"/>
  <c r="L23" i="8"/>
  <c r="CJ21" i="8"/>
  <c r="Z22" i="8"/>
  <c r="GD21" i="8"/>
  <c r="CK22" i="8"/>
  <c r="DV22" i="8" s="1"/>
  <c r="DX21" i="8"/>
  <c r="DZ21" i="8" s="1"/>
  <c r="DG21" i="8"/>
  <c r="DE21" i="8"/>
  <c r="CR25" i="8"/>
  <c r="HC20" i="8"/>
  <c r="GN21" i="8"/>
  <c r="CI20" i="8"/>
  <c r="AC20" i="8"/>
  <c r="AE20" i="8" s="1"/>
  <c r="X21" i="8"/>
  <c r="AN22" i="8"/>
  <c r="BE21" i="8"/>
  <c r="BG21" i="8"/>
  <c r="BR21" i="8"/>
  <c r="BT21" i="8" s="1"/>
  <c r="BV21" i="8" s="1"/>
  <c r="BY21" i="8"/>
  <c r="AD21" i="8"/>
  <c r="DW23" i="8"/>
  <c r="E16" i="8"/>
  <c r="AH17" i="8"/>
  <c r="AK17" i="8" s="1"/>
  <c r="AL16" i="8"/>
  <c r="F16" i="8" s="1"/>
  <c r="DT19" i="8"/>
  <c r="AF19" i="8"/>
  <c r="AI19" i="8"/>
  <c r="AJ19" i="8" s="1"/>
  <c r="HI25" i="8"/>
  <c r="HD19" i="8"/>
  <c r="FW21" i="8"/>
  <c r="GS20" i="8"/>
  <c r="GQ20" i="8"/>
  <c r="GP20" i="8" s="1"/>
  <c r="HH20" i="8"/>
  <c r="HJ20" i="8" s="1"/>
  <c r="HL20" i="8" s="1"/>
  <c r="DW22" i="7"/>
  <c r="AN21" i="7"/>
  <c r="BE20" i="7"/>
  <c r="BG20" i="7"/>
  <c r="BR20" i="7"/>
  <c r="BT20" i="7" s="1"/>
  <c r="BV20" i="7" s="1"/>
  <c r="HI24" i="7"/>
  <c r="AL16" i="7"/>
  <c r="F16" i="7" s="1"/>
  <c r="E16" i="7"/>
  <c r="AH17" i="7"/>
  <c r="AK17" i="7" s="1"/>
  <c r="L23" i="7"/>
  <c r="M22" i="7"/>
  <c r="GS20" i="7"/>
  <c r="FW21" i="7"/>
  <c r="GQ20" i="7"/>
  <c r="HH20" i="7"/>
  <c r="HJ20" i="7" s="1"/>
  <c r="HL20" i="7" s="1"/>
  <c r="CR19" i="7"/>
  <c r="HC20" i="7"/>
  <c r="GN21" i="7"/>
  <c r="BY21" i="7"/>
  <c r="AD21" i="7"/>
  <c r="HF19" i="7"/>
  <c r="HO19" i="7"/>
  <c r="CU10" i="7"/>
  <c r="CS10" i="7"/>
  <c r="DS10" i="7" s="1"/>
  <c r="HE12" i="7"/>
  <c r="GF12" i="7"/>
  <c r="X22" i="7"/>
  <c r="CI21" i="7"/>
  <c r="AC21" i="7"/>
  <c r="AI19" i="7"/>
  <c r="AJ19" i="7" s="1"/>
  <c r="AF19" i="7"/>
  <c r="GD20" i="7"/>
  <c r="DB21" i="7"/>
  <c r="DQ20" i="7"/>
  <c r="AL18" i="6"/>
  <c r="F18" i="6" s="1"/>
  <c r="AH19" i="6"/>
  <c r="AK19" i="6" s="1"/>
  <c r="E18" i="6"/>
  <c r="AN22" i="6"/>
  <c r="BG21" i="6"/>
  <c r="BE21" i="6"/>
  <c r="BR21" i="6"/>
  <c r="BT21" i="6" s="1"/>
  <c r="BV21" i="6" s="1"/>
  <c r="L24" i="6"/>
  <c r="M23" i="6"/>
  <c r="GD19" i="6"/>
  <c r="BY22" i="6"/>
  <c r="AD22" i="6"/>
  <c r="FW22" i="6"/>
  <c r="GQ21" i="6"/>
  <c r="GP21" i="6" s="1"/>
  <c r="GS21" i="6"/>
  <c r="HH21" i="6"/>
  <c r="HJ21" i="6" s="1"/>
  <c r="HL21" i="6" s="1"/>
  <c r="GP20" i="6"/>
  <c r="GN22" i="6"/>
  <c r="HC21" i="6"/>
  <c r="DR20" i="6"/>
  <c r="EB22" i="6"/>
  <c r="FF21" i="6"/>
  <c r="DD20" i="6"/>
  <c r="FM20" i="6" s="1"/>
  <c r="CK22" i="6"/>
  <c r="DG21" i="6"/>
  <c r="DE21" i="6"/>
  <c r="DV21" i="6"/>
  <c r="DX21" i="6" s="1"/>
  <c r="DZ21" i="6" s="1"/>
  <c r="DQ21" i="6"/>
  <c r="DB22" i="6"/>
  <c r="CR25" i="6"/>
  <c r="HI24" i="6"/>
  <c r="HF19" i="6"/>
  <c r="HO19" i="6"/>
  <c r="CJ22" i="6"/>
  <c r="Z23" i="6"/>
  <c r="AI20" i="6"/>
  <c r="AJ20" i="6" s="1"/>
  <c r="AF20" i="6"/>
  <c r="DW24" i="6"/>
  <c r="AC21" i="6"/>
  <c r="AE21" i="6" s="1"/>
  <c r="X22" i="6"/>
  <c r="CI21" i="6"/>
  <c r="AI20" i="5"/>
  <c r="AF20" i="5"/>
  <c r="HF18" i="5"/>
  <c r="HO18" i="5"/>
  <c r="X22" i="5"/>
  <c r="AC21" i="5"/>
  <c r="AE21" i="5" s="1"/>
  <c r="CI21" i="5"/>
  <c r="AN22" i="5"/>
  <c r="BR21" i="5"/>
  <c r="BT21" i="5" s="1"/>
  <c r="BV21" i="5" s="1"/>
  <c r="BG21" i="5"/>
  <c r="BE21" i="5"/>
  <c r="GD20" i="5"/>
  <c r="DW29" i="5"/>
  <c r="CR21" i="5"/>
  <c r="HI23" i="5"/>
  <c r="E17" i="5"/>
  <c r="AH18" i="5"/>
  <c r="AK18" i="5" s="1"/>
  <c r="AL17" i="5"/>
  <c r="F17" i="5" s="1"/>
  <c r="HT8" i="5"/>
  <c r="HU8" i="5" s="1"/>
  <c r="HQ8" i="5"/>
  <c r="HD19" i="5"/>
  <c r="GP19" i="5"/>
  <c r="AD22" i="5"/>
  <c r="BY22" i="5"/>
  <c r="CJ21" i="5"/>
  <c r="Z22" i="5"/>
  <c r="DT20" i="5"/>
  <c r="L24" i="5"/>
  <c r="M23" i="5"/>
  <c r="EB23" i="5"/>
  <c r="FF22" i="5"/>
  <c r="GN22" i="5"/>
  <c r="HC21" i="5"/>
  <c r="FW21" i="5"/>
  <c r="GQ20" i="5"/>
  <c r="GS20" i="5"/>
  <c r="HH20" i="5"/>
  <c r="HJ20" i="5" s="1"/>
  <c r="HL20" i="5" s="1"/>
  <c r="CK22" i="5"/>
  <c r="DE21" i="5"/>
  <c r="DG21" i="5"/>
  <c r="DV21" i="5"/>
  <c r="DX21" i="5" s="1"/>
  <c r="DZ21" i="5" s="1"/>
  <c r="GG9" i="5"/>
  <c r="GE9" i="5"/>
  <c r="GQ20" i="3"/>
  <c r="GS20" i="3"/>
  <c r="HL19" i="3"/>
  <c r="DV20" i="3"/>
  <c r="DX20" i="3" s="1"/>
  <c r="DZ20" i="3" s="1"/>
  <c r="DE20" i="3"/>
  <c r="DD20" i="3" s="1"/>
  <c r="DG20" i="3"/>
  <c r="GN28" i="3"/>
  <c r="Z21" i="3"/>
  <c r="CJ21" i="3" s="1"/>
  <c r="HC21" i="3"/>
  <c r="HC25" i="3"/>
  <c r="HK20" i="3"/>
  <c r="DQ20" i="3"/>
  <c r="BE20" i="3"/>
  <c r="BG20" i="3"/>
  <c r="BR20" i="3"/>
  <c r="BT20" i="3" s="1"/>
  <c r="BV20" i="3" s="1"/>
  <c r="EB22" i="3"/>
  <c r="FF21" i="3"/>
  <c r="FH21" i="3" s="1"/>
  <c r="AC20" i="3"/>
  <c r="AE20" i="3" s="1"/>
  <c r="X21" i="3"/>
  <c r="CI21" i="3" s="1"/>
  <c r="DR19" i="3"/>
  <c r="FW21" i="3"/>
  <c r="AN21" i="3"/>
  <c r="AD21" i="3"/>
  <c r="BY21" i="3"/>
  <c r="L23" i="3"/>
  <c r="M22" i="3"/>
  <c r="BP20" i="3"/>
  <c r="DW22" i="3"/>
  <c r="DQ24" i="3"/>
  <c r="CK21" i="3"/>
  <c r="HH20" i="3"/>
  <c r="HJ20" i="3" s="1"/>
  <c r="AJ20" i="5" l="1"/>
  <c r="HC20" i="10"/>
  <c r="GN21" i="10"/>
  <c r="GN21" i="9"/>
  <c r="HC20" i="9"/>
  <c r="HD20" i="9" s="1"/>
  <c r="GP21" i="9"/>
  <c r="DB21" i="5"/>
  <c r="DQ20" i="5"/>
  <c r="DR20" i="5" s="1"/>
  <c r="GP20" i="9"/>
  <c r="Z22" i="7"/>
  <c r="CJ21" i="7"/>
  <c r="AP7" i="6"/>
  <c r="AP7" i="10"/>
  <c r="DS9" i="6"/>
  <c r="CP9" i="6"/>
  <c r="GF10" i="9"/>
  <c r="HE11" i="11"/>
  <c r="GF11" i="11"/>
  <c r="GB11" i="11"/>
  <c r="HU10" i="11"/>
  <c r="HV10" i="11"/>
  <c r="I10" i="11" s="1"/>
  <c r="HD20" i="3"/>
  <c r="GE10" i="6"/>
  <c r="GB10" i="6" s="1"/>
  <c r="GC10" i="6" s="1"/>
  <c r="GG11" i="6" s="1"/>
  <c r="FT8" i="11"/>
  <c r="G8" i="11" s="1"/>
  <c r="AJ20" i="10"/>
  <c r="G8" i="7"/>
  <c r="FU8" i="7"/>
  <c r="HS9" i="6"/>
  <c r="HV9" i="6" s="1"/>
  <c r="I9" i="6" s="1"/>
  <c r="GB10" i="9"/>
  <c r="DT19" i="7"/>
  <c r="CP9" i="11"/>
  <c r="CQ9" i="11" s="1"/>
  <c r="CS10" i="11" s="1"/>
  <c r="DS10" i="11" s="1"/>
  <c r="GP20" i="3"/>
  <c r="HF20" i="3" s="1"/>
  <c r="DR20" i="12"/>
  <c r="HD21" i="11"/>
  <c r="DV21" i="12"/>
  <c r="DX21" i="12" s="1"/>
  <c r="DZ21" i="12" s="1"/>
  <c r="CK22" i="12"/>
  <c r="DE21" i="12"/>
  <c r="DD21" i="12" s="1"/>
  <c r="FM21" i="12" s="1"/>
  <c r="DG21" i="12"/>
  <c r="DR21" i="12" s="1"/>
  <c r="HS10" i="9"/>
  <c r="EB21" i="7"/>
  <c r="FF20" i="7"/>
  <c r="DT20" i="12"/>
  <c r="I8" i="6"/>
  <c r="DE20" i="7"/>
  <c r="DD20" i="7" s="1"/>
  <c r="FM20" i="7" s="1"/>
  <c r="DG20" i="7"/>
  <c r="CK21" i="7"/>
  <c r="DV20" i="7"/>
  <c r="DX20" i="7" s="1"/>
  <c r="DZ20" i="7" s="1"/>
  <c r="EB21" i="8"/>
  <c r="FF20" i="8"/>
  <c r="DR19" i="7"/>
  <c r="FQ9" i="6"/>
  <c r="G8" i="6"/>
  <c r="FL9" i="9"/>
  <c r="FN9" i="9" s="1"/>
  <c r="FO9" i="9" s="1"/>
  <c r="DS9" i="11"/>
  <c r="CT9" i="11"/>
  <c r="FU9" i="12"/>
  <c r="FL10" i="12"/>
  <c r="FN10" i="12" s="1"/>
  <c r="FO10" i="12" s="1"/>
  <c r="FQ10" i="12"/>
  <c r="G8" i="9"/>
  <c r="CS11" i="12"/>
  <c r="DS11" i="12" s="1"/>
  <c r="FQ9" i="9"/>
  <c r="CU10" i="9"/>
  <c r="CP10" i="9" s="1"/>
  <c r="DR21" i="6"/>
  <c r="FT9" i="5"/>
  <c r="FU9" i="5" s="1"/>
  <c r="DT20" i="3"/>
  <c r="FM20" i="3"/>
  <c r="FT7" i="8"/>
  <c r="FQ8" i="8" s="1"/>
  <c r="CP8" i="8"/>
  <c r="CQ8" i="8" s="1"/>
  <c r="HW9" i="9"/>
  <c r="J9" i="9" s="1"/>
  <c r="HU10" i="8"/>
  <c r="HW10" i="8" s="1"/>
  <c r="J10" i="8" s="1"/>
  <c r="HV9" i="12"/>
  <c r="GF10" i="12"/>
  <c r="HE10" i="12"/>
  <c r="GB10" i="12"/>
  <c r="GC11" i="8"/>
  <c r="HN11" i="8"/>
  <c r="HP11" i="8" s="1"/>
  <c r="GE10" i="10"/>
  <c r="GG10" i="10"/>
  <c r="CP10" i="5"/>
  <c r="HT9" i="10"/>
  <c r="HU9" i="10" s="1"/>
  <c r="HQ9" i="10"/>
  <c r="DS8" i="8"/>
  <c r="CT8" i="8"/>
  <c r="DS10" i="5"/>
  <c r="CT10" i="5"/>
  <c r="CT10" i="9"/>
  <c r="HS11" i="8"/>
  <c r="I10" i="8"/>
  <c r="AF20" i="7"/>
  <c r="HW11" i="7"/>
  <c r="J11" i="7" s="1"/>
  <c r="GG13" i="7"/>
  <c r="GB13" i="7" s="1"/>
  <c r="GC13" i="7" s="1"/>
  <c r="HN12" i="7"/>
  <c r="HP12" i="7" s="1"/>
  <c r="HT12" i="7" s="1"/>
  <c r="HU12" i="7" s="1"/>
  <c r="GF13" i="7"/>
  <c r="HS12" i="7"/>
  <c r="FO9" i="7"/>
  <c r="AI20" i="7"/>
  <c r="AJ20" i="7" s="1"/>
  <c r="FT9" i="7"/>
  <c r="GB9" i="5"/>
  <c r="GC9" i="5" s="1"/>
  <c r="GG10" i="5" s="1"/>
  <c r="E18" i="12"/>
  <c r="AL18" i="12"/>
  <c r="F18" i="12" s="1"/>
  <c r="AH19" i="12"/>
  <c r="AK19" i="12" s="1"/>
  <c r="EB23" i="12"/>
  <c r="FF22" i="12"/>
  <c r="GN23" i="12"/>
  <c r="HC22" i="12"/>
  <c r="GD23" i="12"/>
  <c r="DW24" i="12"/>
  <c r="HD20" i="12"/>
  <c r="GP20" i="12"/>
  <c r="X23" i="12"/>
  <c r="CI22" i="12"/>
  <c r="FW22" i="12"/>
  <c r="GS21" i="12"/>
  <c r="GQ21" i="12"/>
  <c r="HH21" i="12"/>
  <c r="HJ21" i="12" s="1"/>
  <c r="HL21" i="12" s="1"/>
  <c r="Z22" i="12"/>
  <c r="AC22" i="12" s="1"/>
  <c r="AE22" i="12" s="1"/>
  <c r="CJ21" i="12"/>
  <c r="AF20" i="12"/>
  <c r="AI21" i="12" s="1"/>
  <c r="AI20" i="12"/>
  <c r="AJ20" i="12" s="1"/>
  <c r="DB23" i="12"/>
  <c r="DQ22" i="12"/>
  <c r="HI24" i="12"/>
  <c r="L25" i="12"/>
  <c r="M24" i="12"/>
  <c r="CR23" i="12"/>
  <c r="HF19" i="12"/>
  <c r="HO19" i="12"/>
  <c r="AN22" i="12"/>
  <c r="BE21" i="12"/>
  <c r="BR21" i="12"/>
  <c r="BT21" i="12" s="1"/>
  <c r="BV21" i="12" s="1"/>
  <c r="BG21" i="12"/>
  <c r="AD23" i="12"/>
  <c r="BY23" i="12"/>
  <c r="AF21" i="11"/>
  <c r="AI21" i="11"/>
  <c r="AJ21" i="11" s="1"/>
  <c r="E18" i="11"/>
  <c r="AL18" i="11"/>
  <c r="F18" i="11" s="1"/>
  <c r="AH19" i="11"/>
  <c r="AK19" i="11" s="1"/>
  <c r="GD23" i="11"/>
  <c r="CK22" i="11"/>
  <c r="DE21" i="11"/>
  <c r="DG21" i="11"/>
  <c r="DV21" i="11"/>
  <c r="DX21" i="11" s="1"/>
  <c r="DZ21" i="11" s="1"/>
  <c r="DQ22" i="11"/>
  <c r="DB23" i="11"/>
  <c r="GP21" i="11"/>
  <c r="AN23" i="11"/>
  <c r="BG22" i="11"/>
  <c r="BR22" i="11"/>
  <c r="BT22" i="11" s="1"/>
  <c r="BV22" i="11" s="1"/>
  <c r="BE22" i="11"/>
  <c r="DW24" i="11"/>
  <c r="HI25" i="11"/>
  <c r="DR20" i="11"/>
  <c r="DD20" i="11"/>
  <c r="FM20" i="11" s="1"/>
  <c r="HC22" i="11"/>
  <c r="GN23" i="11"/>
  <c r="FW23" i="11"/>
  <c r="GQ22" i="11"/>
  <c r="GS22" i="11"/>
  <c r="HH22" i="11"/>
  <c r="HJ22" i="11" s="1"/>
  <c r="HL22" i="11" s="1"/>
  <c r="EB23" i="11"/>
  <c r="FF22" i="11"/>
  <c r="BY23" i="11"/>
  <c r="AD23" i="11"/>
  <c r="DT19" i="11"/>
  <c r="M24" i="11"/>
  <c r="L25" i="11"/>
  <c r="Z23" i="11"/>
  <c r="CJ22" i="11"/>
  <c r="X23" i="11"/>
  <c r="AC22" i="11"/>
  <c r="AE22" i="11" s="1"/>
  <c r="CI22" i="11"/>
  <c r="CR23" i="11"/>
  <c r="AL18" i="10"/>
  <c r="F18" i="10" s="1"/>
  <c r="E18" i="10"/>
  <c r="AH19" i="10"/>
  <c r="AK19" i="10" s="1"/>
  <c r="AF21" i="10"/>
  <c r="AI21" i="10"/>
  <c r="HI27" i="10"/>
  <c r="CR21" i="10"/>
  <c r="GQ21" i="10"/>
  <c r="FW22" i="10"/>
  <c r="GS21" i="10"/>
  <c r="HH21" i="10"/>
  <c r="HJ21" i="10" s="1"/>
  <c r="HL21" i="10" s="1"/>
  <c r="AN22" i="10"/>
  <c r="BE21" i="10"/>
  <c r="BR21" i="10"/>
  <c r="BT21" i="10" s="1"/>
  <c r="BV21" i="10" s="1"/>
  <c r="BG21" i="10"/>
  <c r="CI22" i="10"/>
  <c r="X23" i="10"/>
  <c r="GD25" i="10"/>
  <c r="DT20" i="10"/>
  <c r="DW24" i="10"/>
  <c r="DT21" i="10"/>
  <c r="BY23" i="10"/>
  <c r="AD23" i="10"/>
  <c r="HF19" i="10"/>
  <c r="HO19" i="10"/>
  <c r="M24" i="10"/>
  <c r="L25" i="10"/>
  <c r="EB23" i="10"/>
  <c r="FF22" i="10"/>
  <c r="CK23" i="10"/>
  <c r="DX22" i="10"/>
  <c r="DZ22" i="10" s="1"/>
  <c r="DE22" i="10"/>
  <c r="DD22" i="10" s="1"/>
  <c r="FM22" i="10" s="1"/>
  <c r="DG22" i="10"/>
  <c r="HD20" i="10"/>
  <c r="GP20" i="10"/>
  <c r="DB23" i="10"/>
  <c r="DQ22" i="10"/>
  <c r="Z22" i="10"/>
  <c r="CJ21" i="10"/>
  <c r="CU9" i="10"/>
  <c r="CS9" i="10"/>
  <c r="FR8" i="10"/>
  <c r="FS8" i="10" s="1"/>
  <c r="FO8" i="10"/>
  <c r="DR21" i="10"/>
  <c r="E18" i="9"/>
  <c r="AL18" i="9"/>
  <c r="F18" i="9" s="1"/>
  <c r="AH19" i="9"/>
  <c r="AK19" i="9" s="1"/>
  <c r="AI21" i="9"/>
  <c r="AF21" i="9"/>
  <c r="M24" i="9"/>
  <c r="L25" i="9"/>
  <c r="CR20" i="9"/>
  <c r="DT21" i="9"/>
  <c r="HF21" i="9"/>
  <c r="HO21" i="9"/>
  <c r="HH22" i="9"/>
  <c r="HJ22" i="9" s="1"/>
  <c r="HL22" i="9" s="1"/>
  <c r="HI23" i="9"/>
  <c r="EB23" i="9"/>
  <c r="FF22" i="9"/>
  <c r="DR21" i="9"/>
  <c r="AN22" i="9"/>
  <c r="BE21" i="9"/>
  <c r="BR21" i="9"/>
  <c r="BT21" i="9" s="1"/>
  <c r="BV21" i="9" s="1"/>
  <c r="BG21" i="9"/>
  <c r="AD23" i="9"/>
  <c r="BY23" i="9"/>
  <c r="AI20" i="9"/>
  <c r="AJ20" i="9" s="1"/>
  <c r="CK23" i="9"/>
  <c r="DG22" i="9"/>
  <c r="DE22" i="9"/>
  <c r="DD22" i="9" s="1"/>
  <c r="FM22" i="9" s="1"/>
  <c r="DV22" i="9"/>
  <c r="DX22" i="9" s="1"/>
  <c r="DZ22" i="9" s="1"/>
  <c r="FW23" i="9"/>
  <c r="GS22" i="9"/>
  <c r="GQ22" i="9"/>
  <c r="AC22" i="9"/>
  <c r="AE22" i="9" s="1"/>
  <c r="X23" i="9"/>
  <c r="CI22" i="9"/>
  <c r="DW25" i="9"/>
  <c r="Z22" i="9"/>
  <c r="CJ21" i="9"/>
  <c r="DQ22" i="9"/>
  <c r="DB23" i="9"/>
  <c r="AI20" i="8"/>
  <c r="AJ20" i="8" s="1"/>
  <c r="AF20" i="8"/>
  <c r="HF20" i="8"/>
  <c r="HO20" i="8"/>
  <c r="BY22" i="8"/>
  <c r="AD22" i="8"/>
  <c r="M23" i="8"/>
  <c r="L24" i="8"/>
  <c r="DW24" i="8"/>
  <c r="GN22" i="8"/>
  <c r="HC21" i="8"/>
  <c r="GD22" i="8"/>
  <c r="HD20" i="8"/>
  <c r="CR26" i="8"/>
  <c r="DT20" i="8"/>
  <c r="FW22" i="8"/>
  <c r="GS21" i="8"/>
  <c r="GQ21" i="8"/>
  <c r="HH21" i="8"/>
  <c r="HJ21" i="8" s="1"/>
  <c r="HL21" i="8" s="1"/>
  <c r="DQ21" i="8"/>
  <c r="DR21" i="8" s="1"/>
  <c r="DB22" i="8"/>
  <c r="DD21" i="8"/>
  <c r="FM21" i="8" s="1"/>
  <c r="CJ22" i="8"/>
  <c r="Z23" i="8"/>
  <c r="AL17" i="8"/>
  <c r="F17" i="8" s="1"/>
  <c r="AH18" i="8"/>
  <c r="AK18" i="8" s="1"/>
  <c r="E17" i="8"/>
  <c r="HI26" i="8"/>
  <c r="BR22" i="8"/>
  <c r="BT22" i="8" s="1"/>
  <c r="BV22" i="8" s="1"/>
  <c r="AN23" i="8"/>
  <c r="BE22" i="8"/>
  <c r="BG22" i="8"/>
  <c r="X22" i="8"/>
  <c r="CI21" i="8"/>
  <c r="AC21" i="8"/>
  <c r="AE21" i="8" s="1"/>
  <c r="DX22" i="8"/>
  <c r="DZ22" i="8" s="1"/>
  <c r="CK23" i="8"/>
  <c r="DV23" i="8" s="1"/>
  <c r="DE22" i="8"/>
  <c r="DG22" i="8"/>
  <c r="HD20" i="7"/>
  <c r="HI25" i="7"/>
  <c r="AE21" i="7"/>
  <c r="CT10" i="7"/>
  <c r="DQ21" i="7"/>
  <c r="DB22" i="7"/>
  <c r="AD22" i="7"/>
  <c r="BY22" i="7"/>
  <c r="FW22" i="7"/>
  <c r="GS21" i="7"/>
  <c r="GQ21" i="7"/>
  <c r="HH21" i="7"/>
  <c r="HJ21" i="7" s="1"/>
  <c r="HL21" i="7" s="1"/>
  <c r="CI22" i="7"/>
  <c r="X23" i="7"/>
  <c r="AC22" i="7"/>
  <c r="HC21" i="7"/>
  <c r="GN22" i="7"/>
  <c r="L24" i="7"/>
  <c r="M23" i="7"/>
  <c r="GP20" i="7"/>
  <c r="AN22" i="7"/>
  <c r="BE21" i="7"/>
  <c r="BR21" i="7"/>
  <c r="BT21" i="7" s="1"/>
  <c r="BV21" i="7" s="1"/>
  <c r="BG21" i="7"/>
  <c r="DW23" i="7"/>
  <c r="GD21" i="7"/>
  <c r="AH18" i="7"/>
  <c r="AK18" i="7" s="1"/>
  <c r="E17" i="7"/>
  <c r="AL17" i="7"/>
  <c r="F17" i="7" s="1"/>
  <c r="CP10" i="7"/>
  <c r="CR20" i="7"/>
  <c r="AI21" i="6"/>
  <c r="AJ21" i="6" s="1"/>
  <c r="AF21" i="6"/>
  <c r="CJ23" i="6"/>
  <c r="Z24" i="6"/>
  <c r="GN23" i="6"/>
  <c r="HC22" i="6"/>
  <c r="GD20" i="6"/>
  <c r="DE22" i="6"/>
  <c r="CK23" i="6"/>
  <c r="DG22" i="6"/>
  <c r="DV22" i="6"/>
  <c r="DX22" i="6" s="1"/>
  <c r="DZ22" i="6" s="1"/>
  <c r="HI25" i="6"/>
  <c r="DT20" i="6"/>
  <c r="HD21" i="6"/>
  <c r="FW23" i="6"/>
  <c r="GQ22" i="6"/>
  <c r="GS22" i="6"/>
  <c r="HH22" i="6"/>
  <c r="HJ22" i="6" s="1"/>
  <c r="HL22" i="6" s="1"/>
  <c r="HF21" i="6"/>
  <c r="HO21" i="6"/>
  <c r="HF20" i="6"/>
  <c r="HO20" i="6"/>
  <c r="X23" i="6"/>
  <c r="CI22" i="6"/>
  <c r="AC22" i="6"/>
  <c r="AE22" i="6" s="1"/>
  <c r="M24" i="6"/>
  <c r="L25" i="6"/>
  <c r="AN23" i="6"/>
  <c r="BR22" i="6"/>
  <c r="BT22" i="6" s="1"/>
  <c r="BV22" i="6" s="1"/>
  <c r="BG22" i="6"/>
  <c r="BE22" i="6"/>
  <c r="AH20" i="6"/>
  <c r="AK20" i="6" s="1"/>
  <c r="E19" i="6"/>
  <c r="AL19" i="6"/>
  <c r="F19" i="6" s="1"/>
  <c r="BY23" i="6"/>
  <c r="AD23" i="6"/>
  <c r="EB23" i="6"/>
  <c r="FF22" i="6"/>
  <c r="DW25" i="6"/>
  <c r="DQ22" i="6"/>
  <c r="DB23" i="6"/>
  <c r="CR26" i="6"/>
  <c r="DD21" i="6"/>
  <c r="FM21" i="6" s="1"/>
  <c r="E18" i="5"/>
  <c r="AL18" i="5"/>
  <c r="F18" i="5" s="1"/>
  <c r="AH19" i="5"/>
  <c r="AK19" i="5" s="1"/>
  <c r="DW30" i="5"/>
  <c r="HE9" i="5"/>
  <c r="GF9" i="5"/>
  <c r="CJ22" i="5"/>
  <c r="Z23" i="5"/>
  <c r="HC22" i="5"/>
  <c r="GN23" i="5"/>
  <c r="AC22" i="5"/>
  <c r="AE22" i="5" s="1"/>
  <c r="CI22" i="5"/>
  <c r="X23" i="5"/>
  <c r="DD21" i="5"/>
  <c r="FM21" i="5" s="1"/>
  <c r="HI24" i="5"/>
  <c r="GD21" i="5"/>
  <c r="HD20" i="5"/>
  <c r="GP20" i="5"/>
  <c r="DE22" i="5"/>
  <c r="CK23" i="5"/>
  <c r="DG22" i="5"/>
  <c r="DV22" i="5"/>
  <c r="DX22" i="5" s="1"/>
  <c r="DZ22" i="5" s="1"/>
  <c r="HF19" i="5"/>
  <c r="HO19" i="5"/>
  <c r="AF21" i="5"/>
  <c r="AI21" i="5"/>
  <c r="AJ21" i="5" s="1"/>
  <c r="EB24" i="5"/>
  <c r="FF23" i="5"/>
  <c r="HV8" i="5"/>
  <c r="CR22" i="5"/>
  <c r="BR22" i="5"/>
  <c r="BT22" i="5" s="1"/>
  <c r="BV22" i="5" s="1"/>
  <c r="AN23" i="5"/>
  <c r="BG22" i="5"/>
  <c r="BE22" i="5"/>
  <c r="BY23" i="5"/>
  <c r="AD23" i="5"/>
  <c r="FW22" i="5"/>
  <c r="GQ21" i="5"/>
  <c r="GS21" i="5"/>
  <c r="HH21" i="5"/>
  <c r="HJ21" i="5" s="1"/>
  <c r="HL21" i="5" s="1"/>
  <c r="M24" i="5"/>
  <c r="L25" i="5"/>
  <c r="GQ21" i="3"/>
  <c r="GP21" i="3" s="1"/>
  <c r="HF21" i="3" s="1"/>
  <c r="GS21" i="3"/>
  <c r="HL20" i="3"/>
  <c r="DV21" i="3"/>
  <c r="DX21" i="3" s="1"/>
  <c r="DZ21" i="3" s="1"/>
  <c r="DG21" i="3"/>
  <c r="DE21" i="3"/>
  <c r="DD21" i="3" s="1"/>
  <c r="Z22" i="3"/>
  <c r="GN29" i="3"/>
  <c r="DQ21" i="3"/>
  <c r="HC26" i="3"/>
  <c r="X22" i="3"/>
  <c r="CI22" i="3" s="1"/>
  <c r="BR21" i="3"/>
  <c r="BT21" i="3" s="1"/>
  <c r="BV21" i="3" s="1"/>
  <c r="BE21" i="3"/>
  <c r="BG21" i="3"/>
  <c r="ES22" i="3"/>
  <c r="EU22" i="3"/>
  <c r="FF22" i="3"/>
  <c r="FH22" i="3" s="1"/>
  <c r="EB23" i="3"/>
  <c r="AC21" i="3"/>
  <c r="AE21" i="3" s="1"/>
  <c r="DR20" i="3"/>
  <c r="AN22" i="3"/>
  <c r="FW22" i="3"/>
  <c r="AD22" i="3"/>
  <c r="BY22" i="3"/>
  <c r="L24" i="3"/>
  <c r="M23" i="3"/>
  <c r="BP21" i="3"/>
  <c r="DW23" i="3"/>
  <c r="DQ25" i="3"/>
  <c r="CK22" i="3"/>
  <c r="HH21" i="3"/>
  <c r="HJ21" i="3" s="1"/>
  <c r="HL21" i="3" s="1"/>
  <c r="CJ22" i="7" l="1"/>
  <c r="Z23" i="7"/>
  <c r="HF20" i="9"/>
  <c r="HO20" i="9"/>
  <c r="DB22" i="5"/>
  <c r="DQ21" i="5"/>
  <c r="DR21" i="5" s="1"/>
  <c r="HC21" i="9"/>
  <c r="HD21" i="9" s="1"/>
  <c r="GN22" i="9"/>
  <c r="DD22" i="5"/>
  <c r="FM22" i="5" s="1"/>
  <c r="Z23" i="3"/>
  <c r="CJ22" i="3"/>
  <c r="HC21" i="10"/>
  <c r="HD21" i="10" s="1"/>
  <c r="GN22" i="10"/>
  <c r="AP7" i="7"/>
  <c r="FL9" i="6"/>
  <c r="FN9" i="6" s="1"/>
  <c r="FO9" i="6" s="1"/>
  <c r="CQ9" i="6"/>
  <c r="CS10" i="6" s="1"/>
  <c r="AJ21" i="10"/>
  <c r="GF10" i="6"/>
  <c r="HE10" i="6"/>
  <c r="HN10" i="6" s="1"/>
  <c r="HP10" i="6" s="1"/>
  <c r="HT10" i="6" s="1"/>
  <c r="FU8" i="11"/>
  <c r="HW10" i="11"/>
  <c r="J10" i="11" s="1"/>
  <c r="HS11" i="11"/>
  <c r="GC11" i="11"/>
  <c r="HN11" i="11"/>
  <c r="HP11" i="11" s="1"/>
  <c r="DT21" i="12"/>
  <c r="FQ9" i="11"/>
  <c r="G9" i="5"/>
  <c r="CU10" i="11"/>
  <c r="CP10" i="11" s="1"/>
  <c r="CQ10" i="11" s="1"/>
  <c r="FL9" i="11"/>
  <c r="FN9" i="11" s="1"/>
  <c r="FR9" i="11" s="1"/>
  <c r="FS9" i="11" s="1"/>
  <c r="GC10" i="9"/>
  <c r="HN10" i="9"/>
  <c r="HP10" i="9" s="1"/>
  <c r="HS10" i="6"/>
  <c r="FQ10" i="5"/>
  <c r="AJ21" i="9"/>
  <c r="FF21" i="7"/>
  <c r="EB22" i="7"/>
  <c r="DR20" i="7"/>
  <c r="FF21" i="8"/>
  <c r="EB22" i="8"/>
  <c r="CK22" i="7"/>
  <c r="DE21" i="7"/>
  <c r="DD21" i="7" s="1"/>
  <c r="FM21" i="7" s="1"/>
  <c r="DG21" i="7"/>
  <c r="DV21" i="7"/>
  <c r="DX21" i="7" s="1"/>
  <c r="DZ21" i="7" s="1"/>
  <c r="DE22" i="12"/>
  <c r="CK23" i="12"/>
  <c r="DG22" i="12"/>
  <c r="DV22" i="12"/>
  <c r="DX22" i="12" s="1"/>
  <c r="DZ22" i="12" s="1"/>
  <c r="DT20" i="7"/>
  <c r="CT10" i="11"/>
  <c r="FR9" i="9"/>
  <c r="FS9" i="9" s="1"/>
  <c r="FR10" i="12"/>
  <c r="FS10" i="12" s="1"/>
  <c r="G7" i="8"/>
  <c r="CT11" i="12"/>
  <c r="CP11" i="12"/>
  <c r="FL10" i="5"/>
  <c r="FN10" i="5" s="1"/>
  <c r="FU7" i="8"/>
  <c r="DT21" i="3"/>
  <c r="FM21" i="3"/>
  <c r="DR22" i="6"/>
  <c r="FL8" i="8"/>
  <c r="FN8" i="8" s="1"/>
  <c r="FO8" i="8" s="1"/>
  <c r="HW9" i="6"/>
  <c r="J9" i="6" s="1"/>
  <c r="GE10" i="5"/>
  <c r="HE10" i="5" s="1"/>
  <c r="HS10" i="12"/>
  <c r="HW9" i="12"/>
  <c r="J9" i="12" s="1"/>
  <c r="I9" i="12"/>
  <c r="HV9" i="10"/>
  <c r="HS10" i="10" s="1"/>
  <c r="HN10" i="12"/>
  <c r="HP10" i="12" s="1"/>
  <c r="GC10" i="12"/>
  <c r="HN9" i="5"/>
  <c r="HP9" i="5" s="1"/>
  <c r="HT9" i="5" s="1"/>
  <c r="HU9" i="5" s="1"/>
  <c r="CS9" i="8"/>
  <c r="DS9" i="8" s="1"/>
  <c r="CU9" i="8"/>
  <c r="AE22" i="7"/>
  <c r="AF21" i="12"/>
  <c r="AF22" i="12" s="1"/>
  <c r="CQ10" i="5"/>
  <c r="AJ21" i="12"/>
  <c r="FL10" i="9"/>
  <c r="FN10" i="9" s="1"/>
  <c r="CQ10" i="9"/>
  <c r="GB10" i="10"/>
  <c r="GC10" i="10" s="1"/>
  <c r="HE10" i="10"/>
  <c r="GF10" i="10"/>
  <c r="HT11" i="8"/>
  <c r="HU11" i="8" s="1"/>
  <c r="HQ11" i="8"/>
  <c r="GG12" i="8"/>
  <c r="GE12" i="8"/>
  <c r="HD21" i="8"/>
  <c r="HD21" i="7"/>
  <c r="HQ12" i="7"/>
  <c r="HV12" i="7"/>
  <c r="G9" i="7"/>
  <c r="FU9" i="7"/>
  <c r="FQ10" i="7"/>
  <c r="HN13" i="7"/>
  <c r="HP13" i="7" s="1"/>
  <c r="GE11" i="6"/>
  <c r="HE11" i="6" s="1"/>
  <c r="E19" i="12"/>
  <c r="AL19" i="12"/>
  <c r="F19" i="12" s="1"/>
  <c r="AH20" i="12"/>
  <c r="AK20" i="12" s="1"/>
  <c r="CR24" i="12"/>
  <c r="HC23" i="12"/>
  <c r="GN24" i="12"/>
  <c r="HD21" i="12"/>
  <c r="GP21" i="12"/>
  <c r="FW23" i="12"/>
  <c r="GQ22" i="12"/>
  <c r="GS22" i="12"/>
  <c r="HH22" i="12"/>
  <c r="HJ22" i="12" s="1"/>
  <c r="HL22" i="12" s="1"/>
  <c r="AN23" i="12"/>
  <c r="BE22" i="12"/>
  <c r="BR22" i="12"/>
  <c r="BT22" i="12" s="1"/>
  <c r="BV22" i="12" s="1"/>
  <c r="BG22" i="12"/>
  <c r="FF23" i="12"/>
  <c r="EB24" i="12"/>
  <c r="BY24" i="12"/>
  <c r="AD24" i="12"/>
  <c r="GD24" i="12"/>
  <c r="L26" i="12"/>
  <c r="M25" i="12"/>
  <c r="HI25" i="12"/>
  <c r="HF20" i="12"/>
  <c r="HO20" i="12"/>
  <c r="CI23" i="12"/>
  <c r="AC23" i="12"/>
  <c r="AE23" i="12" s="1"/>
  <c r="X24" i="12"/>
  <c r="DB24" i="12"/>
  <c r="DQ23" i="12"/>
  <c r="Z23" i="12"/>
  <c r="CJ22" i="12"/>
  <c r="DW25" i="12"/>
  <c r="AI22" i="11"/>
  <c r="AJ22" i="11" s="1"/>
  <c r="AF22" i="11"/>
  <c r="HD22" i="11"/>
  <c r="Z24" i="11"/>
  <c r="CJ23" i="11"/>
  <c r="GS23" i="11"/>
  <c r="GQ23" i="11"/>
  <c r="FW24" i="11"/>
  <c r="HH23" i="11"/>
  <c r="HJ23" i="11" s="1"/>
  <c r="HL23" i="11" s="1"/>
  <c r="GD24" i="11"/>
  <c r="AN24" i="11"/>
  <c r="BR23" i="11"/>
  <c r="BT23" i="11" s="1"/>
  <c r="BV23" i="11" s="1"/>
  <c r="BG23" i="11"/>
  <c r="BE23" i="11"/>
  <c r="BY24" i="11"/>
  <c r="AD24" i="11"/>
  <c r="CK23" i="11"/>
  <c r="DE22" i="11"/>
  <c r="DG22" i="11"/>
  <c r="DV22" i="11"/>
  <c r="DX22" i="11" s="1"/>
  <c r="DZ22" i="11" s="1"/>
  <c r="HI26" i="11"/>
  <c r="M25" i="11"/>
  <c r="L26" i="11"/>
  <c r="GP22" i="11"/>
  <c r="DB24" i="11"/>
  <c r="DQ23" i="11"/>
  <c r="DW25" i="11"/>
  <c r="EB24" i="11"/>
  <c r="FF23" i="11"/>
  <c r="AC23" i="11"/>
  <c r="AE23" i="11" s="1"/>
  <c r="CI23" i="11"/>
  <c r="X24" i="11"/>
  <c r="HF21" i="11"/>
  <c r="HO21" i="11"/>
  <c r="DT20" i="11"/>
  <c r="AL19" i="11"/>
  <c r="F19" i="11" s="1"/>
  <c r="E19" i="11"/>
  <c r="AH20" i="11"/>
  <c r="AK20" i="11" s="1"/>
  <c r="DR21" i="11"/>
  <c r="DD21" i="11"/>
  <c r="FM21" i="11" s="1"/>
  <c r="GN24" i="11"/>
  <c r="HC23" i="11"/>
  <c r="CR24" i="11"/>
  <c r="DS9" i="10"/>
  <c r="CT9" i="10"/>
  <c r="Z23" i="10"/>
  <c r="AC23" i="10" s="1"/>
  <c r="AE23" i="10" s="1"/>
  <c r="CJ22" i="10"/>
  <c r="AD24" i="10"/>
  <c r="BY24" i="10"/>
  <c r="GS22" i="10"/>
  <c r="FW23" i="10"/>
  <c r="GQ22" i="10"/>
  <c r="HH22" i="10"/>
  <c r="HJ22" i="10" s="1"/>
  <c r="HL22" i="10" s="1"/>
  <c r="GP21" i="10"/>
  <c r="CK24" i="10"/>
  <c r="DV24" i="10" s="1"/>
  <c r="DG23" i="10"/>
  <c r="DE23" i="10"/>
  <c r="DD23" i="10" s="1"/>
  <c r="FM23" i="10" s="1"/>
  <c r="L26" i="10"/>
  <c r="M25" i="10"/>
  <c r="DT22" i="10"/>
  <c r="CR22" i="10"/>
  <c r="DV23" i="10"/>
  <c r="DX23" i="10" s="1"/>
  <c r="DZ23" i="10" s="1"/>
  <c r="DQ23" i="10"/>
  <c r="DB24" i="10"/>
  <c r="GD26" i="10"/>
  <c r="E19" i="10"/>
  <c r="AL19" i="10"/>
  <c r="F19" i="10" s="1"/>
  <c r="AH20" i="10"/>
  <c r="AK20" i="10" s="1"/>
  <c r="DW25" i="10"/>
  <c r="FT8" i="10"/>
  <c r="HF20" i="10"/>
  <c r="HO20" i="10"/>
  <c r="CP9" i="10"/>
  <c r="FF23" i="10"/>
  <c r="EB24" i="10"/>
  <c r="HI28" i="10"/>
  <c r="AC22" i="10"/>
  <c r="AE22" i="10" s="1"/>
  <c r="BG22" i="10"/>
  <c r="BR22" i="10"/>
  <c r="BT22" i="10" s="1"/>
  <c r="BV22" i="10" s="1"/>
  <c r="AN23" i="10"/>
  <c r="BE22" i="10"/>
  <c r="DR22" i="10"/>
  <c r="X24" i="10"/>
  <c r="CI23" i="10"/>
  <c r="DT22" i="9"/>
  <c r="CI23" i="9"/>
  <c r="X24" i="9"/>
  <c r="BR22" i="9"/>
  <c r="BT22" i="9" s="1"/>
  <c r="BV22" i="9" s="1"/>
  <c r="AN23" i="9"/>
  <c r="BG22" i="9"/>
  <c r="BE22" i="9"/>
  <c r="DQ23" i="9"/>
  <c r="DB24" i="9"/>
  <c r="DW26" i="9"/>
  <c r="L26" i="9"/>
  <c r="M25" i="9"/>
  <c r="CR21" i="9"/>
  <c r="CJ22" i="9"/>
  <c r="Z23" i="9"/>
  <c r="AC23" i="9" s="1"/>
  <c r="AE23" i="9" s="1"/>
  <c r="BY24" i="9"/>
  <c r="AD24" i="9"/>
  <c r="FW24" i="9"/>
  <c r="GQ23" i="9"/>
  <c r="GS23" i="9"/>
  <c r="GP22" i="9"/>
  <c r="DR22" i="9"/>
  <c r="FF23" i="9"/>
  <c r="EB24" i="9"/>
  <c r="E19" i="9"/>
  <c r="AH20" i="9"/>
  <c r="AK20" i="9" s="1"/>
  <c r="AL19" i="9"/>
  <c r="F19" i="9" s="1"/>
  <c r="HH23" i="9"/>
  <c r="HJ23" i="9" s="1"/>
  <c r="HL23" i="9" s="1"/>
  <c r="HI24" i="9"/>
  <c r="DE23" i="9"/>
  <c r="CK24" i="9"/>
  <c r="DG23" i="9"/>
  <c r="DV23" i="9"/>
  <c r="DX23" i="9" s="1"/>
  <c r="DZ23" i="9" s="1"/>
  <c r="AI22" i="9"/>
  <c r="AF22" i="9"/>
  <c r="AL18" i="8"/>
  <c r="F18" i="8" s="1"/>
  <c r="AH19" i="8"/>
  <c r="AK19" i="8" s="1"/>
  <c r="E18" i="8"/>
  <c r="AF21" i="8"/>
  <c r="AI21" i="8"/>
  <c r="AJ21" i="8" s="1"/>
  <c r="AN24" i="8"/>
  <c r="BG23" i="8"/>
  <c r="BR23" i="8"/>
  <c r="BT23" i="8" s="1"/>
  <c r="BV23" i="8" s="1"/>
  <c r="BE23" i="8"/>
  <c r="HI27" i="8"/>
  <c r="DQ22" i="8"/>
  <c r="DR22" i="8" s="1"/>
  <c r="DB23" i="8"/>
  <c r="DD22" i="8"/>
  <c r="FM22" i="8" s="1"/>
  <c r="GD23" i="8"/>
  <c r="DX23" i="8"/>
  <c r="DZ23" i="8" s="1"/>
  <c r="CK24" i="8"/>
  <c r="DV24" i="8" s="1"/>
  <c r="DE23" i="8"/>
  <c r="DG23" i="8"/>
  <c r="DW25" i="8"/>
  <c r="HC22" i="8"/>
  <c r="GN23" i="8"/>
  <c r="FW23" i="8"/>
  <c r="GQ22" i="8"/>
  <c r="GP22" i="8" s="1"/>
  <c r="GS22" i="8"/>
  <c r="HH22" i="8"/>
  <c r="HJ22" i="8" s="1"/>
  <c r="HL22" i="8" s="1"/>
  <c r="GP21" i="8"/>
  <c r="CI22" i="8"/>
  <c r="X23" i="8"/>
  <c r="AC22" i="8"/>
  <c r="AE22" i="8" s="1"/>
  <c r="Z24" i="8"/>
  <c r="CJ23" i="8"/>
  <c r="CR27" i="8"/>
  <c r="DT21" i="8"/>
  <c r="M24" i="8"/>
  <c r="L25" i="8"/>
  <c r="AD23" i="8"/>
  <c r="BY23" i="8"/>
  <c r="AH19" i="7"/>
  <c r="AK19" i="7" s="1"/>
  <c r="AL18" i="7"/>
  <c r="F18" i="7" s="1"/>
  <c r="E18" i="7"/>
  <c r="AF21" i="7"/>
  <c r="AI21" i="7"/>
  <c r="AJ21" i="7" s="1"/>
  <c r="HI26" i="7"/>
  <c r="GG14" i="7"/>
  <c r="GE14" i="7"/>
  <c r="BY23" i="7"/>
  <c r="AD23" i="7"/>
  <c r="L25" i="7"/>
  <c r="M24" i="7"/>
  <c r="HC22" i="7"/>
  <c r="GN23" i="7"/>
  <c r="CR21" i="7"/>
  <c r="FL10" i="7"/>
  <c r="FN10" i="7" s="1"/>
  <c r="CQ10" i="7"/>
  <c r="DW24" i="7"/>
  <c r="GP21" i="7"/>
  <c r="DB23" i="7"/>
  <c r="DQ22" i="7"/>
  <c r="X24" i="7"/>
  <c r="AC23" i="7"/>
  <c r="CI23" i="7"/>
  <c r="GD22" i="7"/>
  <c r="AN23" i="7"/>
  <c r="BR22" i="7"/>
  <c r="BT22" i="7" s="1"/>
  <c r="BV22" i="7" s="1"/>
  <c r="BG22" i="7"/>
  <c r="BE22" i="7"/>
  <c r="HF20" i="7"/>
  <c r="HO20" i="7"/>
  <c r="GS22" i="7"/>
  <c r="FW23" i="7"/>
  <c r="GQ22" i="7"/>
  <c r="HH22" i="7"/>
  <c r="HJ22" i="7" s="1"/>
  <c r="HL22" i="7" s="1"/>
  <c r="AL20" i="6"/>
  <c r="F20" i="6" s="1"/>
  <c r="E20" i="6"/>
  <c r="AH21" i="6"/>
  <c r="AK21" i="6" s="1"/>
  <c r="GD21" i="6"/>
  <c r="CK24" i="6"/>
  <c r="DG23" i="6"/>
  <c r="DE23" i="6"/>
  <c r="DD23" i="6" s="1"/>
  <c r="FM23" i="6" s="1"/>
  <c r="DV23" i="6"/>
  <c r="DX23" i="6" s="1"/>
  <c r="DZ23" i="6" s="1"/>
  <c r="CR27" i="6"/>
  <c r="HD22" i="6"/>
  <c r="BE23" i="6"/>
  <c r="AN24" i="6"/>
  <c r="BG23" i="6"/>
  <c r="BR23" i="6"/>
  <c r="BT23" i="6" s="1"/>
  <c r="BV23" i="6" s="1"/>
  <c r="GS23" i="6"/>
  <c r="FW24" i="6"/>
  <c r="GQ23" i="6"/>
  <c r="GP23" i="6" s="1"/>
  <c r="HH23" i="6"/>
  <c r="HJ23" i="6" s="1"/>
  <c r="HL23" i="6" s="1"/>
  <c r="M25" i="6"/>
  <c r="L26" i="6"/>
  <c r="HC23" i="6"/>
  <c r="GN24" i="6"/>
  <c r="EB24" i="6"/>
  <c r="FF23" i="6"/>
  <c r="AD24" i="6"/>
  <c r="BY24" i="6"/>
  <c r="GP22" i="6"/>
  <c r="CJ24" i="6"/>
  <c r="Z25" i="6"/>
  <c r="DW26" i="6"/>
  <c r="DD22" i="6"/>
  <c r="FM22" i="6" s="1"/>
  <c r="DT21" i="6"/>
  <c r="DB24" i="6"/>
  <c r="DQ23" i="6"/>
  <c r="AI22" i="6"/>
  <c r="AJ22" i="6" s="1"/>
  <c r="AF22" i="6"/>
  <c r="X24" i="6"/>
  <c r="CI23" i="6"/>
  <c r="AC23" i="6"/>
  <c r="AE23" i="6" s="1"/>
  <c r="HI26" i="6"/>
  <c r="AI22" i="5"/>
  <c r="AJ22" i="5" s="1"/>
  <c r="AF22" i="5"/>
  <c r="DW31" i="5"/>
  <c r="AH20" i="5"/>
  <c r="AK20" i="5" s="1"/>
  <c r="AL19" i="5"/>
  <c r="F19" i="5" s="1"/>
  <c r="E19" i="5"/>
  <c r="HS9" i="5"/>
  <c r="HW8" i="5"/>
  <c r="J8" i="5" s="1"/>
  <c r="I8" i="5"/>
  <c r="HF20" i="5"/>
  <c r="HO20" i="5"/>
  <c r="DT21" i="5"/>
  <c r="CR23" i="5"/>
  <c r="EB25" i="5"/>
  <c r="FF24" i="5"/>
  <c r="GD22" i="5"/>
  <c r="CK24" i="5"/>
  <c r="DG23" i="5"/>
  <c r="DE23" i="5"/>
  <c r="DV23" i="5"/>
  <c r="DX23" i="5" s="1"/>
  <c r="DZ23" i="5" s="1"/>
  <c r="HC23" i="5"/>
  <c r="GN24" i="5"/>
  <c r="CJ23" i="5"/>
  <c r="Z24" i="5"/>
  <c r="DT22" i="5"/>
  <c r="FW23" i="5"/>
  <c r="GS22" i="5"/>
  <c r="GQ22" i="5"/>
  <c r="HH22" i="5"/>
  <c r="HJ22" i="5" s="1"/>
  <c r="HL22" i="5" s="1"/>
  <c r="AD24" i="5"/>
  <c r="BY24" i="5"/>
  <c r="AN24" i="5"/>
  <c r="BG23" i="5"/>
  <c r="BR23" i="5"/>
  <c r="BT23" i="5" s="1"/>
  <c r="BV23" i="5" s="1"/>
  <c r="BE23" i="5"/>
  <c r="HI25" i="5"/>
  <c r="M25" i="5"/>
  <c r="L26" i="5"/>
  <c r="CI23" i="5"/>
  <c r="X24" i="5"/>
  <c r="AC23" i="5"/>
  <c r="AE23" i="5" s="1"/>
  <c r="HD21" i="5"/>
  <c r="GP21" i="5"/>
  <c r="DV22" i="3"/>
  <c r="DX22" i="3" s="1"/>
  <c r="DZ22" i="3" s="1"/>
  <c r="DG22" i="3"/>
  <c r="DE22" i="3"/>
  <c r="GQ22" i="3"/>
  <c r="GP22" i="3" s="1"/>
  <c r="HF22" i="3" s="1"/>
  <c r="GS22" i="3"/>
  <c r="GN30" i="3"/>
  <c r="HD21" i="3"/>
  <c r="HC22" i="3"/>
  <c r="HC27" i="3"/>
  <c r="AC22" i="3"/>
  <c r="AE22" i="3" s="1"/>
  <c r="X23" i="3"/>
  <c r="CI23" i="3" s="1"/>
  <c r="EB24" i="3"/>
  <c r="EU23" i="3"/>
  <c r="ES23" i="3"/>
  <c r="FF23" i="3"/>
  <c r="FH23" i="3" s="1"/>
  <c r="BG22" i="3"/>
  <c r="BR22" i="3"/>
  <c r="BT22" i="3" s="1"/>
  <c r="BV22" i="3" s="1"/>
  <c r="BE22" i="3"/>
  <c r="DR21" i="3"/>
  <c r="FW23" i="3"/>
  <c r="AN23" i="3"/>
  <c r="AD23" i="3"/>
  <c r="BY23" i="3"/>
  <c r="L25" i="3"/>
  <c r="M24" i="3"/>
  <c r="DW24" i="3"/>
  <c r="BP22" i="3"/>
  <c r="DQ26" i="3"/>
  <c r="CK23" i="3"/>
  <c r="HH22" i="3"/>
  <c r="Z24" i="3" l="1"/>
  <c r="CJ23" i="3"/>
  <c r="GN23" i="9"/>
  <c r="HC22" i="9"/>
  <c r="HD22" i="9" s="1"/>
  <c r="DB23" i="5"/>
  <c r="DQ22" i="5"/>
  <c r="DR22" i="5" s="1"/>
  <c r="CJ23" i="7"/>
  <c r="Z24" i="7"/>
  <c r="GN23" i="10"/>
  <c r="HC22" i="10"/>
  <c r="DT21" i="7"/>
  <c r="FR9" i="6"/>
  <c r="FS9" i="6" s="1"/>
  <c r="CU10" i="6"/>
  <c r="CP10" i="6" s="1"/>
  <c r="CQ10" i="6" s="1"/>
  <c r="CU11" i="6" s="1"/>
  <c r="AI22" i="7"/>
  <c r="FO9" i="11"/>
  <c r="HT11" i="11"/>
  <c r="HU11" i="11" s="1"/>
  <c r="HQ11" i="11"/>
  <c r="GG12" i="11"/>
  <c r="GE12" i="11"/>
  <c r="FT10" i="12"/>
  <c r="G10" i="12" s="1"/>
  <c r="AI22" i="12"/>
  <c r="AJ22" i="12" s="1"/>
  <c r="HQ10" i="9"/>
  <c r="HT10" i="9"/>
  <c r="GG11" i="9"/>
  <c r="GE11" i="9"/>
  <c r="HW9" i="10"/>
  <c r="J9" i="10" s="1"/>
  <c r="GF10" i="5"/>
  <c r="FL10" i="11"/>
  <c r="FN10" i="11" s="1"/>
  <c r="AJ22" i="9"/>
  <c r="DG23" i="12"/>
  <c r="DV23" i="12"/>
  <c r="DX23" i="12" s="1"/>
  <c r="DZ23" i="12" s="1"/>
  <c r="DE23" i="12"/>
  <c r="DD23" i="12" s="1"/>
  <c r="FM23" i="12" s="1"/>
  <c r="CK24" i="12"/>
  <c r="DD22" i="12"/>
  <c r="DR22" i="12"/>
  <c r="DV22" i="7"/>
  <c r="DX22" i="7" s="1"/>
  <c r="DZ22" i="7" s="1"/>
  <c r="DG22" i="7"/>
  <c r="CK23" i="7"/>
  <c r="DE22" i="7"/>
  <c r="DD22" i="7" s="1"/>
  <c r="FM22" i="7" s="1"/>
  <c r="EB23" i="8"/>
  <c r="FF22" i="8"/>
  <c r="I9" i="10"/>
  <c r="EB23" i="7"/>
  <c r="FF22" i="7"/>
  <c r="DR21" i="7"/>
  <c r="HD22" i="7"/>
  <c r="FT9" i="9"/>
  <c r="FQ10" i="9" s="1"/>
  <c r="FT9" i="11"/>
  <c r="CU11" i="11"/>
  <c r="CS11" i="11"/>
  <c r="CQ11" i="12"/>
  <c r="FL11" i="12"/>
  <c r="FN11" i="12" s="1"/>
  <c r="CP9" i="8"/>
  <c r="FL9" i="8" s="1"/>
  <c r="FN9" i="8" s="1"/>
  <c r="FO9" i="8" s="1"/>
  <c r="FR8" i="8"/>
  <c r="FS8" i="8" s="1"/>
  <c r="CT9" i="8"/>
  <c r="GB10" i="5"/>
  <c r="HN10" i="5" s="1"/>
  <c r="HP10" i="5" s="1"/>
  <c r="HQ9" i="5"/>
  <c r="HV11" i="8"/>
  <c r="I11" i="8" s="1"/>
  <c r="GG11" i="12"/>
  <c r="GE11" i="12"/>
  <c r="HT10" i="12"/>
  <c r="HQ10" i="12"/>
  <c r="CU11" i="9"/>
  <c r="CS11" i="9"/>
  <c r="CS11" i="5"/>
  <c r="CU11" i="5"/>
  <c r="GG11" i="10"/>
  <c r="GE11" i="10"/>
  <c r="HE11" i="10" s="1"/>
  <c r="FO10" i="5"/>
  <c r="FR10" i="5"/>
  <c r="FS10" i="5" s="1"/>
  <c r="I12" i="7"/>
  <c r="HE12" i="8"/>
  <c r="GF12" i="8"/>
  <c r="GB12" i="8"/>
  <c r="HN10" i="10"/>
  <c r="HP10" i="10" s="1"/>
  <c r="FR10" i="9"/>
  <c r="FS10" i="9" s="1"/>
  <c r="FO10" i="9"/>
  <c r="HW12" i="7"/>
  <c r="J12" i="7" s="1"/>
  <c r="HT13" i="7"/>
  <c r="HU13" i="7" s="1"/>
  <c r="HS13" i="7"/>
  <c r="HQ13" i="7"/>
  <c r="GB14" i="7"/>
  <c r="GC14" i="7" s="1"/>
  <c r="AJ22" i="7"/>
  <c r="AF22" i="7"/>
  <c r="AE23" i="7"/>
  <c r="GF11" i="6"/>
  <c r="GB11" i="6"/>
  <c r="HQ10" i="6"/>
  <c r="DS10" i="6"/>
  <c r="CT10" i="6"/>
  <c r="HV10" i="6"/>
  <c r="HU10" i="6"/>
  <c r="AH21" i="12"/>
  <c r="AK21" i="12" s="1"/>
  <c r="AL20" i="12"/>
  <c r="F20" i="12" s="1"/>
  <c r="E20" i="12"/>
  <c r="BY25" i="12"/>
  <c r="AD25" i="12"/>
  <c r="L27" i="12"/>
  <c r="M26" i="12"/>
  <c r="GD25" i="12"/>
  <c r="HC24" i="12"/>
  <c r="GN25" i="12"/>
  <c r="X25" i="12"/>
  <c r="AC24" i="12"/>
  <c r="AE24" i="12" s="1"/>
  <c r="CI24" i="12"/>
  <c r="CR25" i="12"/>
  <c r="HF21" i="12"/>
  <c r="HO21" i="12"/>
  <c r="DB25" i="12"/>
  <c r="DQ24" i="12"/>
  <c r="AI23" i="12"/>
  <c r="AF23" i="12"/>
  <c r="DW26" i="12"/>
  <c r="AN24" i="12"/>
  <c r="BG23" i="12"/>
  <c r="BE23" i="12"/>
  <c r="BR23" i="12"/>
  <c r="BT23" i="12" s="1"/>
  <c r="BV23" i="12" s="1"/>
  <c r="Z24" i="12"/>
  <c r="CJ23" i="12"/>
  <c r="HI26" i="12"/>
  <c r="EB25" i="12"/>
  <c r="FF24" i="12"/>
  <c r="HD22" i="12"/>
  <c r="GP22" i="12"/>
  <c r="FW24" i="12"/>
  <c r="GQ23" i="12"/>
  <c r="GS23" i="12"/>
  <c r="HH23" i="12"/>
  <c r="HJ23" i="12" s="1"/>
  <c r="HL23" i="12" s="1"/>
  <c r="AN25" i="11"/>
  <c r="BG24" i="11"/>
  <c r="BE24" i="11"/>
  <c r="BR24" i="11"/>
  <c r="BT24" i="11" s="1"/>
  <c r="BV24" i="11" s="1"/>
  <c r="DB25" i="11"/>
  <c r="DQ24" i="11"/>
  <c r="DR22" i="11"/>
  <c r="DD22" i="11"/>
  <c r="FM22" i="11" s="1"/>
  <c r="CK24" i="11"/>
  <c r="DG23" i="11"/>
  <c r="DE23" i="11"/>
  <c r="DV23" i="11"/>
  <c r="DX23" i="11" s="1"/>
  <c r="DZ23" i="11" s="1"/>
  <c r="FW25" i="11"/>
  <c r="GQ24" i="11"/>
  <c r="GP24" i="11" s="1"/>
  <c r="GS24" i="11"/>
  <c r="HH24" i="11"/>
  <c r="HJ24" i="11" s="1"/>
  <c r="HL24" i="11" s="1"/>
  <c r="EB25" i="11"/>
  <c r="FF24" i="11"/>
  <c r="HD23" i="11"/>
  <c r="AD25" i="11"/>
  <c r="BY25" i="11"/>
  <c r="HF22" i="11"/>
  <c r="HO22" i="11"/>
  <c r="DT21" i="11"/>
  <c r="AF23" i="11"/>
  <c r="AI23" i="11"/>
  <c r="AJ23" i="11" s="1"/>
  <c r="CR25" i="11"/>
  <c r="GN25" i="11"/>
  <c r="HC24" i="11"/>
  <c r="M26" i="11"/>
  <c r="L27" i="11"/>
  <c r="DW26" i="11"/>
  <c r="Z25" i="11"/>
  <c r="CJ24" i="11"/>
  <c r="GP23" i="11"/>
  <c r="HI27" i="11"/>
  <c r="AH21" i="11"/>
  <c r="AK21" i="11" s="1"/>
  <c r="E20" i="11"/>
  <c r="AL20" i="11"/>
  <c r="F20" i="11" s="1"/>
  <c r="GD25" i="11"/>
  <c r="CI24" i="11"/>
  <c r="AC24" i="11"/>
  <c r="AE24" i="11" s="1"/>
  <c r="X25" i="11"/>
  <c r="AN24" i="10"/>
  <c r="BE23" i="10"/>
  <c r="BR23" i="10"/>
  <c r="BT23" i="10" s="1"/>
  <c r="BV23" i="10" s="1"/>
  <c r="BG23" i="10"/>
  <c r="CR23" i="10"/>
  <c r="FW24" i="10"/>
  <c r="GS23" i="10"/>
  <c r="GQ23" i="10"/>
  <c r="HH23" i="10"/>
  <c r="HJ23" i="10" s="1"/>
  <c r="HL23" i="10" s="1"/>
  <c r="FL9" i="10"/>
  <c r="FN9" i="10" s="1"/>
  <c r="CQ9" i="10"/>
  <c r="GD27" i="10"/>
  <c r="DQ24" i="10"/>
  <c r="DB25" i="10"/>
  <c r="AI22" i="10"/>
  <c r="AJ22" i="10" s="1"/>
  <c r="AF22" i="10"/>
  <c r="AI23" i="10" s="1"/>
  <c r="DT23" i="10"/>
  <c r="HI29" i="10"/>
  <c r="L27" i="10"/>
  <c r="M26" i="10"/>
  <c r="FU8" i="10"/>
  <c r="FQ9" i="10"/>
  <c r="G8" i="10"/>
  <c r="DR23" i="10"/>
  <c r="DW26" i="10"/>
  <c r="Z24" i="10"/>
  <c r="CJ23" i="10"/>
  <c r="DG24" i="10"/>
  <c r="DX24" i="10"/>
  <c r="DZ24" i="10" s="1"/>
  <c r="DE24" i="10"/>
  <c r="CK25" i="10"/>
  <c r="DV25" i="10" s="1"/>
  <c r="CI24" i="10"/>
  <c r="X25" i="10"/>
  <c r="HF21" i="10"/>
  <c r="HO21" i="10"/>
  <c r="AH21" i="10"/>
  <c r="AK21" i="10" s="1"/>
  <c r="AL20" i="10"/>
  <c r="F20" i="10" s="1"/>
  <c r="E20" i="10"/>
  <c r="AD25" i="10"/>
  <c r="BY25" i="10"/>
  <c r="EB25" i="10"/>
  <c r="FF24" i="10"/>
  <c r="HD22" i="10"/>
  <c r="GP22" i="10"/>
  <c r="E20" i="9"/>
  <c r="AH21" i="9"/>
  <c r="AK21" i="9" s="1"/>
  <c r="AL20" i="9"/>
  <c r="F20" i="9" s="1"/>
  <c r="AF23" i="9"/>
  <c r="AI23" i="9"/>
  <c r="BY25" i="9"/>
  <c r="AD25" i="9"/>
  <c r="AN24" i="9"/>
  <c r="BG23" i="9"/>
  <c r="BE23" i="9"/>
  <c r="BR23" i="9"/>
  <c r="BT23" i="9" s="1"/>
  <c r="BV23" i="9" s="1"/>
  <c r="HF22" i="9"/>
  <c r="HO22" i="9"/>
  <c r="M26" i="9"/>
  <c r="L27" i="9"/>
  <c r="CK25" i="9"/>
  <c r="DG24" i="9"/>
  <c r="DE24" i="9"/>
  <c r="DV24" i="9"/>
  <c r="DX24" i="9" s="1"/>
  <c r="DZ24" i="9" s="1"/>
  <c r="DR23" i="9"/>
  <c r="FW25" i="9"/>
  <c r="GQ24" i="9"/>
  <c r="GS24" i="9"/>
  <c r="X25" i="9"/>
  <c r="CI24" i="9"/>
  <c r="AC24" i="9"/>
  <c r="AE24" i="9" s="1"/>
  <c r="HH24" i="9"/>
  <c r="HJ24" i="9" s="1"/>
  <c r="HL24" i="9" s="1"/>
  <c r="HI25" i="9"/>
  <c r="DB25" i="9"/>
  <c r="DQ24" i="9"/>
  <c r="Z24" i="9"/>
  <c r="CJ23" i="9"/>
  <c r="DD23" i="9"/>
  <c r="FM23" i="9" s="1"/>
  <c r="DW27" i="9"/>
  <c r="EB25" i="9"/>
  <c r="FF24" i="9"/>
  <c r="CR22" i="9"/>
  <c r="GN24" i="8"/>
  <c r="HC23" i="8"/>
  <c r="L26" i="8"/>
  <c r="M25" i="8"/>
  <c r="AD24" i="8"/>
  <c r="BY24" i="8"/>
  <c r="DW26" i="8"/>
  <c r="GD24" i="8"/>
  <c r="AN25" i="8"/>
  <c r="BR24" i="8"/>
  <c r="BT24" i="8" s="1"/>
  <c r="BV24" i="8" s="1"/>
  <c r="BG24" i="8"/>
  <c r="BE24" i="8"/>
  <c r="CR28" i="8"/>
  <c r="HF21" i="8"/>
  <c r="HO21" i="8"/>
  <c r="DT22" i="8"/>
  <c r="HD22" i="8"/>
  <c r="HF22" i="8"/>
  <c r="HO22" i="8"/>
  <c r="CI23" i="8"/>
  <c r="AC23" i="8"/>
  <c r="AE23" i="8" s="1"/>
  <c r="X24" i="8"/>
  <c r="AI22" i="8"/>
  <c r="AJ22" i="8" s="1"/>
  <c r="AF22" i="8"/>
  <c r="DD23" i="8"/>
  <c r="FM23" i="8" s="1"/>
  <c r="DQ23" i="8"/>
  <c r="DR23" i="8" s="1"/>
  <c r="DB24" i="8"/>
  <c r="Z25" i="8"/>
  <c r="CJ24" i="8"/>
  <c r="FW24" i="8"/>
  <c r="GS23" i="8"/>
  <c r="GQ23" i="8"/>
  <c r="HH23" i="8"/>
  <c r="HJ23" i="8" s="1"/>
  <c r="HL23" i="8" s="1"/>
  <c r="DX24" i="8"/>
  <c r="DZ24" i="8" s="1"/>
  <c r="CK25" i="8"/>
  <c r="DE24" i="8"/>
  <c r="DG24" i="8"/>
  <c r="HI28" i="8"/>
  <c r="AH20" i="8"/>
  <c r="AK20" i="8" s="1"/>
  <c r="E19" i="8"/>
  <c r="AL19" i="8"/>
  <c r="F19" i="8" s="1"/>
  <c r="L26" i="7"/>
  <c r="M25" i="7"/>
  <c r="HE14" i="7"/>
  <c r="GF14" i="7"/>
  <c r="DW25" i="7"/>
  <c r="GD23" i="7"/>
  <c r="CU11" i="7"/>
  <c r="CS11" i="7"/>
  <c r="FR10" i="7"/>
  <c r="FS10" i="7" s="1"/>
  <c r="FO10" i="7"/>
  <c r="CR22" i="7"/>
  <c r="BE23" i="7"/>
  <c r="AN24" i="7"/>
  <c r="BG23" i="7"/>
  <c r="BR23" i="7"/>
  <c r="BT23" i="7" s="1"/>
  <c r="BV23" i="7" s="1"/>
  <c r="HI27" i="7"/>
  <c r="FW24" i="7"/>
  <c r="GS23" i="7"/>
  <c r="GQ23" i="7"/>
  <c r="GP23" i="7" s="1"/>
  <c r="HH23" i="7"/>
  <c r="HJ23" i="7" s="1"/>
  <c r="HL23" i="7" s="1"/>
  <c r="DB24" i="7"/>
  <c r="DQ23" i="7"/>
  <c r="HF21" i="7"/>
  <c r="HO21" i="7"/>
  <c r="E19" i="7"/>
  <c r="AH20" i="7"/>
  <c r="AK20" i="7" s="1"/>
  <c r="AL19" i="7"/>
  <c r="F19" i="7" s="1"/>
  <c r="GP22" i="7"/>
  <c r="HC23" i="7"/>
  <c r="GN24" i="7"/>
  <c r="X25" i="7"/>
  <c r="CI24" i="7"/>
  <c r="AC24" i="7"/>
  <c r="AD24" i="7"/>
  <c r="BY24" i="7"/>
  <c r="AI23" i="6"/>
  <c r="AJ23" i="6" s="1"/>
  <c r="AF23" i="6"/>
  <c r="AL21" i="6"/>
  <c r="F21" i="6" s="1"/>
  <c r="E21" i="6"/>
  <c r="AH22" i="6"/>
  <c r="AK22" i="6" s="1"/>
  <c r="FF24" i="6"/>
  <c r="EB25" i="6"/>
  <c r="CJ25" i="6"/>
  <c r="Z26" i="6"/>
  <c r="HC24" i="6"/>
  <c r="GN25" i="6"/>
  <c r="AN25" i="6"/>
  <c r="BG24" i="6"/>
  <c r="BE24" i="6"/>
  <c r="BR24" i="6"/>
  <c r="BT24" i="6" s="1"/>
  <c r="BV24" i="6" s="1"/>
  <c r="HF23" i="6"/>
  <c r="HO23" i="6"/>
  <c r="GD22" i="6"/>
  <c r="L27" i="6"/>
  <c r="M26" i="6"/>
  <c r="HI27" i="6"/>
  <c r="AC24" i="6"/>
  <c r="AE24" i="6" s="1"/>
  <c r="CI24" i="6"/>
  <c r="X25" i="6"/>
  <c r="BY25" i="6"/>
  <c r="AD25" i="6"/>
  <c r="CR28" i="6"/>
  <c r="DW27" i="6"/>
  <c r="DT23" i="6"/>
  <c r="DQ24" i="6"/>
  <c r="DB25" i="6"/>
  <c r="HF22" i="6"/>
  <c r="HO22" i="6"/>
  <c r="HD23" i="6"/>
  <c r="DR23" i="6"/>
  <c r="DT22" i="6"/>
  <c r="FW25" i="6"/>
  <c r="GS24" i="6"/>
  <c r="GQ24" i="6"/>
  <c r="HH24" i="6"/>
  <c r="HJ24" i="6" s="1"/>
  <c r="HL24" i="6" s="1"/>
  <c r="CK25" i="6"/>
  <c r="DG24" i="6"/>
  <c r="DE24" i="6"/>
  <c r="DV24" i="6"/>
  <c r="DX24" i="6" s="1"/>
  <c r="DZ24" i="6" s="1"/>
  <c r="AH21" i="5"/>
  <c r="AK21" i="5" s="1"/>
  <c r="AL20" i="5"/>
  <c r="F20" i="5" s="1"/>
  <c r="E20" i="5"/>
  <c r="AI23" i="5"/>
  <c r="AJ23" i="5" s="1"/>
  <c r="AF23" i="5"/>
  <c r="HV9" i="5"/>
  <c r="CK25" i="5"/>
  <c r="DE24" i="5"/>
  <c r="DG24" i="5"/>
  <c r="DV24" i="5"/>
  <c r="DX24" i="5" s="1"/>
  <c r="DZ24" i="5" s="1"/>
  <c r="Z25" i="5"/>
  <c r="CJ24" i="5"/>
  <c r="BR24" i="5"/>
  <c r="BT24" i="5" s="1"/>
  <c r="BV24" i="5" s="1"/>
  <c r="AN25" i="5"/>
  <c r="BG24" i="5"/>
  <c r="BE24" i="5"/>
  <c r="CI24" i="5"/>
  <c r="AC24" i="5"/>
  <c r="AE24" i="5" s="1"/>
  <c r="X25" i="5"/>
  <c r="GD23" i="5"/>
  <c r="L27" i="5"/>
  <c r="M26" i="5"/>
  <c r="EB26" i="5"/>
  <c r="FF25" i="5"/>
  <c r="BY25" i="5"/>
  <c r="AD25" i="5"/>
  <c r="HC24" i="5"/>
  <c r="GN25" i="5"/>
  <c r="HI26" i="5"/>
  <c r="HD22" i="5"/>
  <c r="GP22" i="5"/>
  <c r="DW32" i="5"/>
  <c r="CR24" i="5"/>
  <c r="DD23" i="5"/>
  <c r="FM23" i="5" s="1"/>
  <c r="GQ23" i="5"/>
  <c r="FW24" i="5"/>
  <c r="GS23" i="5"/>
  <c r="HH23" i="5"/>
  <c r="HJ23" i="5" s="1"/>
  <c r="HL23" i="5" s="1"/>
  <c r="HF21" i="5"/>
  <c r="HO21" i="5"/>
  <c r="GS23" i="3"/>
  <c r="GQ23" i="3"/>
  <c r="DV23" i="3"/>
  <c r="DX23" i="3" s="1"/>
  <c r="DZ23" i="3" s="1"/>
  <c r="DG23" i="3"/>
  <c r="DE23" i="3"/>
  <c r="HD22" i="3"/>
  <c r="GN31" i="3"/>
  <c r="DD22" i="3"/>
  <c r="HC28" i="3"/>
  <c r="X24" i="3"/>
  <c r="CI24" i="3" s="1"/>
  <c r="AC23" i="3"/>
  <c r="AE23" i="3" s="1"/>
  <c r="BR23" i="3"/>
  <c r="BT23" i="3" s="1"/>
  <c r="BV23" i="3" s="1"/>
  <c r="BE23" i="3"/>
  <c r="BG23" i="3"/>
  <c r="EB25" i="3"/>
  <c r="ES24" i="3"/>
  <c r="EU24" i="3"/>
  <c r="FF24" i="3"/>
  <c r="FH24" i="3" s="1"/>
  <c r="DR22" i="3"/>
  <c r="AN24" i="3"/>
  <c r="FW24" i="3"/>
  <c r="HJ22" i="3"/>
  <c r="HL22" i="3" s="1"/>
  <c r="AD24" i="3"/>
  <c r="BY24" i="3"/>
  <c r="L26" i="3"/>
  <c r="M25" i="3"/>
  <c r="DW25" i="3"/>
  <c r="DQ27" i="3"/>
  <c r="CK24" i="3"/>
  <c r="BP23" i="3"/>
  <c r="HH23" i="3"/>
  <c r="HJ23" i="3" s="1"/>
  <c r="HL23" i="3" s="1"/>
  <c r="HC23" i="10" l="1"/>
  <c r="GN24" i="10"/>
  <c r="CJ24" i="7"/>
  <c r="Z25" i="7"/>
  <c r="DQ23" i="5"/>
  <c r="DR23" i="5" s="1"/>
  <c r="DB24" i="5"/>
  <c r="GN24" i="9"/>
  <c r="HC23" i="9"/>
  <c r="HD23" i="9" s="1"/>
  <c r="Z25" i="3"/>
  <c r="CJ24" i="3"/>
  <c r="FT9" i="6"/>
  <c r="FQ10" i="6" s="1"/>
  <c r="GP23" i="9"/>
  <c r="AP7" i="11"/>
  <c r="AJ23" i="12"/>
  <c r="AJ23" i="9"/>
  <c r="G9" i="11"/>
  <c r="HV11" i="11"/>
  <c r="HW11" i="11" s="1"/>
  <c r="J11" i="11" s="1"/>
  <c r="FQ11" i="12"/>
  <c r="FU10" i="12"/>
  <c r="FO10" i="11"/>
  <c r="GF12" i="11"/>
  <c r="HE12" i="11"/>
  <c r="GB12" i="11"/>
  <c r="HU10" i="9"/>
  <c r="HV10" i="9"/>
  <c r="AE24" i="7"/>
  <c r="HE11" i="9"/>
  <c r="GF11" i="9"/>
  <c r="GB11" i="9"/>
  <c r="FR10" i="11"/>
  <c r="FS10" i="11" s="1"/>
  <c r="DT23" i="12"/>
  <c r="FQ10" i="11"/>
  <c r="FU9" i="11"/>
  <c r="EB24" i="7"/>
  <c r="FF23" i="7"/>
  <c r="HD24" i="6"/>
  <c r="AF23" i="10"/>
  <c r="EB24" i="8"/>
  <c r="FF23" i="8"/>
  <c r="CK24" i="7"/>
  <c r="DG23" i="7"/>
  <c r="DE23" i="7"/>
  <c r="DD23" i="7" s="1"/>
  <c r="FM23" i="7" s="1"/>
  <c r="DV23" i="7"/>
  <c r="DX23" i="7" s="1"/>
  <c r="DZ23" i="7" s="1"/>
  <c r="HT10" i="5"/>
  <c r="HU10" i="5" s="1"/>
  <c r="GC10" i="5"/>
  <c r="G9" i="9"/>
  <c r="FU9" i="9"/>
  <c r="FM22" i="12"/>
  <c r="DT22" i="12"/>
  <c r="DV24" i="12"/>
  <c r="DX24" i="12" s="1"/>
  <c r="DZ24" i="12" s="1"/>
  <c r="CK25" i="12"/>
  <c r="DG24" i="12"/>
  <c r="DE24" i="12"/>
  <c r="DD24" i="12" s="1"/>
  <c r="FM24" i="12" s="1"/>
  <c r="DR22" i="7"/>
  <c r="DT22" i="7"/>
  <c r="DR23" i="12"/>
  <c r="FR9" i="8"/>
  <c r="FS9" i="8" s="1"/>
  <c r="FT8" i="8"/>
  <c r="FQ9" i="8" s="1"/>
  <c r="DS11" i="11"/>
  <c r="CT11" i="11"/>
  <c r="CP11" i="11"/>
  <c r="FT10" i="9"/>
  <c r="G10" i="9" s="1"/>
  <c r="CQ9" i="8"/>
  <c r="CU10" i="8" s="1"/>
  <c r="FR11" i="12"/>
  <c r="FS11" i="12" s="1"/>
  <c r="FO11" i="12"/>
  <c r="CU12" i="12"/>
  <c r="CS12" i="12"/>
  <c r="FT10" i="5"/>
  <c r="G10" i="5" s="1"/>
  <c r="CP11" i="9"/>
  <c r="CQ11" i="9" s="1"/>
  <c r="CU12" i="9" s="1"/>
  <c r="DR24" i="6"/>
  <c r="DR24" i="9"/>
  <c r="DT22" i="3"/>
  <c r="FM22" i="3"/>
  <c r="CP11" i="5"/>
  <c r="HQ10" i="5"/>
  <c r="I9" i="5"/>
  <c r="HW11" i="8"/>
  <c r="J11" i="8" s="1"/>
  <c r="HS12" i="8"/>
  <c r="HV13" i="7"/>
  <c r="HW13" i="7" s="1"/>
  <c r="J13" i="7" s="1"/>
  <c r="I10" i="6"/>
  <c r="GB11" i="12"/>
  <c r="HU10" i="12"/>
  <c r="HV10" i="12"/>
  <c r="HE11" i="12"/>
  <c r="GF11" i="12"/>
  <c r="GB11" i="10"/>
  <c r="HN12" i="8"/>
  <c r="HP12" i="8" s="1"/>
  <c r="GC12" i="8"/>
  <c r="HT10" i="10"/>
  <c r="HU10" i="10" s="1"/>
  <c r="HQ10" i="10"/>
  <c r="DS11" i="5"/>
  <c r="CT11" i="5"/>
  <c r="GF11" i="10"/>
  <c r="AI23" i="7"/>
  <c r="AJ23" i="7" s="1"/>
  <c r="DS11" i="9"/>
  <c r="CT11" i="9"/>
  <c r="HN14" i="7"/>
  <c r="HP14" i="7" s="1"/>
  <c r="HT14" i="7" s="1"/>
  <c r="HU14" i="7" s="1"/>
  <c r="CP11" i="7"/>
  <c r="CQ11" i="7" s="1"/>
  <c r="AF23" i="7"/>
  <c r="HN11" i="6"/>
  <c r="HP11" i="6" s="1"/>
  <c r="GC11" i="6"/>
  <c r="FL10" i="6"/>
  <c r="FN10" i="6" s="1"/>
  <c r="FO10" i="6" s="1"/>
  <c r="CS11" i="6"/>
  <c r="DS11" i="6" s="1"/>
  <c r="HS11" i="6"/>
  <c r="HW10" i="6"/>
  <c r="J10" i="6" s="1"/>
  <c r="AH22" i="12"/>
  <c r="AK22" i="12" s="1"/>
  <c r="AL21" i="12"/>
  <c r="F21" i="12" s="1"/>
  <c r="E21" i="12"/>
  <c r="AI24" i="12"/>
  <c r="AF24" i="12"/>
  <c r="X26" i="12"/>
  <c r="CI25" i="12"/>
  <c r="BY26" i="12"/>
  <c r="AD26" i="12"/>
  <c r="EB26" i="12"/>
  <c r="FF25" i="12"/>
  <c r="CJ24" i="12"/>
  <c r="Z25" i="12"/>
  <c r="AC25" i="12" s="1"/>
  <c r="AE25" i="12" s="1"/>
  <c r="DQ25" i="12"/>
  <c r="DB26" i="12"/>
  <c r="M27" i="12"/>
  <c r="L28" i="12"/>
  <c r="HC25" i="12"/>
  <c r="GN26" i="12"/>
  <c r="GD26" i="12"/>
  <c r="HI27" i="12"/>
  <c r="BE24" i="12"/>
  <c r="AN25" i="12"/>
  <c r="BR24" i="12"/>
  <c r="BT24" i="12" s="1"/>
  <c r="BV24" i="12" s="1"/>
  <c r="BG24" i="12"/>
  <c r="CR26" i="12"/>
  <c r="HD23" i="12"/>
  <c r="GP23" i="12"/>
  <c r="DW27" i="12"/>
  <c r="FW25" i="12"/>
  <c r="GQ24" i="12"/>
  <c r="GS24" i="12"/>
  <c r="HH24" i="12"/>
  <c r="HJ24" i="12" s="1"/>
  <c r="HL24" i="12" s="1"/>
  <c r="HF22" i="12"/>
  <c r="HO22" i="12"/>
  <c r="E21" i="11"/>
  <c r="AL21" i="11"/>
  <c r="F21" i="11" s="1"/>
  <c r="AH22" i="11"/>
  <c r="AK22" i="11" s="1"/>
  <c r="DT22" i="11"/>
  <c r="HI28" i="11"/>
  <c r="HF24" i="11"/>
  <c r="HO24" i="11"/>
  <c r="HD24" i="11"/>
  <c r="DB26" i="11"/>
  <c r="DQ25" i="11"/>
  <c r="HF23" i="11"/>
  <c r="HO23" i="11"/>
  <c r="FW26" i="11"/>
  <c r="GS25" i="11"/>
  <c r="GQ25" i="11"/>
  <c r="GP25" i="11" s="1"/>
  <c r="HH25" i="11"/>
  <c r="HJ25" i="11" s="1"/>
  <c r="HL25" i="11" s="1"/>
  <c r="GD26" i="11"/>
  <c r="AN26" i="11"/>
  <c r="BG25" i="11"/>
  <c r="BR25" i="11"/>
  <c r="BT25" i="11" s="1"/>
  <c r="BV25" i="11" s="1"/>
  <c r="BE25" i="11"/>
  <c r="AD26" i="11"/>
  <c r="BY26" i="11"/>
  <c r="CI25" i="11"/>
  <c r="X26" i="11"/>
  <c r="AC25" i="11"/>
  <c r="AE25" i="11" s="1"/>
  <c r="CJ25" i="11"/>
  <c r="Z26" i="11"/>
  <c r="DW27" i="11"/>
  <c r="CR26" i="11"/>
  <c r="AI24" i="11"/>
  <c r="AJ24" i="11" s="1"/>
  <c r="AF24" i="11"/>
  <c r="GN26" i="11"/>
  <c r="HC25" i="11"/>
  <c r="DR23" i="11"/>
  <c r="DD23" i="11"/>
  <c r="FM23" i="11" s="1"/>
  <c r="L28" i="11"/>
  <c r="M27" i="11"/>
  <c r="DE24" i="11"/>
  <c r="CK25" i="11"/>
  <c r="DG24" i="11"/>
  <c r="DV24" i="11"/>
  <c r="DX24" i="11" s="1"/>
  <c r="DZ24" i="11" s="1"/>
  <c r="EB26" i="11"/>
  <c r="FF25" i="11"/>
  <c r="E21" i="10"/>
  <c r="AL21" i="10"/>
  <c r="F21" i="10" s="1"/>
  <c r="AH22" i="10"/>
  <c r="AK22" i="10" s="1"/>
  <c r="CJ24" i="10"/>
  <c r="Z25" i="10"/>
  <c r="GD28" i="10"/>
  <c r="X26" i="10"/>
  <c r="AC25" i="10"/>
  <c r="AE25" i="10" s="1"/>
  <c r="CI25" i="10"/>
  <c r="AC24" i="10"/>
  <c r="AE24" i="10" s="1"/>
  <c r="DW27" i="10"/>
  <c r="CU10" i="10"/>
  <c r="CS10" i="10"/>
  <c r="FR9" i="10"/>
  <c r="FS9" i="10" s="1"/>
  <c r="FO9" i="10"/>
  <c r="CK26" i="10"/>
  <c r="DX25" i="10"/>
  <c r="DZ25" i="10" s="1"/>
  <c r="DG25" i="10"/>
  <c r="DE25" i="10"/>
  <c r="DR24" i="10"/>
  <c r="AJ23" i="10"/>
  <c r="FW25" i="10"/>
  <c r="GS24" i="10"/>
  <c r="GQ24" i="10"/>
  <c r="HH24" i="10"/>
  <c r="HJ24" i="10" s="1"/>
  <c r="HL24" i="10" s="1"/>
  <c r="CR24" i="10"/>
  <c r="HD23" i="10"/>
  <c r="GP23" i="10"/>
  <c r="HF22" i="10"/>
  <c r="HO22" i="10"/>
  <c r="AD26" i="10"/>
  <c r="BY26" i="10"/>
  <c r="DB26" i="10"/>
  <c r="DQ25" i="10"/>
  <c r="M27" i="10"/>
  <c r="L28" i="10"/>
  <c r="HI30" i="10"/>
  <c r="FF25" i="10"/>
  <c r="EB26" i="10"/>
  <c r="DD24" i="10"/>
  <c r="FM24" i="10" s="1"/>
  <c r="BG24" i="10"/>
  <c r="BR24" i="10"/>
  <c r="BT24" i="10" s="1"/>
  <c r="BV24" i="10" s="1"/>
  <c r="AN25" i="10"/>
  <c r="BE24" i="10"/>
  <c r="EB26" i="9"/>
  <c r="FF25" i="9"/>
  <c r="CK26" i="9"/>
  <c r="DG25" i="9"/>
  <c r="DE25" i="9"/>
  <c r="DD25" i="9" s="1"/>
  <c r="FM25" i="9" s="1"/>
  <c r="DV25" i="9"/>
  <c r="DX25" i="9" s="1"/>
  <c r="DZ25" i="9" s="1"/>
  <c r="DD24" i="9"/>
  <c r="FM24" i="9" s="1"/>
  <c r="M27" i="9"/>
  <c r="L28" i="9"/>
  <c r="DW28" i="9"/>
  <c r="X26" i="9"/>
  <c r="CI25" i="9"/>
  <c r="BY26" i="9"/>
  <c r="AD26" i="9"/>
  <c r="DB26" i="9"/>
  <c r="DQ25" i="9"/>
  <c r="Z25" i="9"/>
  <c r="AC25" i="9" s="1"/>
  <c r="AE25" i="9" s="1"/>
  <c r="CJ24" i="9"/>
  <c r="FW26" i="9"/>
  <c r="GQ25" i="9"/>
  <c r="GS25" i="9"/>
  <c r="E21" i="9"/>
  <c r="AL21" i="9"/>
  <c r="F21" i="9" s="1"/>
  <c r="AH22" i="9"/>
  <c r="AK22" i="9" s="1"/>
  <c r="BG24" i="9"/>
  <c r="AN25" i="9"/>
  <c r="BE24" i="9"/>
  <c r="BR24" i="9"/>
  <c r="BT24" i="9" s="1"/>
  <c r="BV24" i="9" s="1"/>
  <c r="DT23" i="9"/>
  <c r="CR23" i="9"/>
  <c r="AF24" i="9"/>
  <c r="AI24" i="9"/>
  <c r="HH25" i="9"/>
  <c r="HJ25" i="9" s="1"/>
  <c r="HL25" i="9" s="1"/>
  <c r="HI26" i="9"/>
  <c r="GP24" i="9"/>
  <c r="HD23" i="8"/>
  <c r="CR29" i="8"/>
  <c r="GP23" i="8"/>
  <c r="AH21" i="8"/>
  <c r="AK21" i="8" s="1"/>
  <c r="E20" i="8"/>
  <c r="AL20" i="8"/>
  <c r="F20" i="8" s="1"/>
  <c r="GQ24" i="8"/>
  <c r="GP24" i="8" s="1"/>
  <c r="FW25" i="8"/>
  <c r="GS24" i="8"/>
  <c r="HH24" i="8"/>
  <c r="HJ24" i="8" s="1"/>
  <c r="HL24" i="8" s="1"/>
  <c r="CI24" i="8"/>
  <c r="X25" i="8"/>
  <c r="AC24" i="8"/>
  <c r="AE24" i="8" s="1"/>
  <c r="BY25" i="8"/>
  <c r="AD25" i="8"/>
  <c r="DT23" i="8"/>
  <c r="HI29" i="8"/>
  <c r="AI23" i="8"/>
  <c r="AJ23" i="8" s="1"/>
  <c r="AF23" i="8"/>
  <c r="BE25" i="8"/>
  <c r="AN26" i="8"/>
  <c r="BG25" i="8"/>
  <c r="BR25" i="8"/>
  <c r="BT25" i="8" s="1"/>
  <c r="BV25" i="8" s="1"/>
  <c r="DB25" i="8"/>
  <c r="DQ24" i="8"/>
  <c r="DR24" i="8" s="1"/>
  <c r="DD24" i="8"/>
  <c r="FM24" i="8" s="1"/>
  <c r="GD25" i="8"/>
  <c r="L27" i="8"/>
  <c r="M26" i="8"/>
  <c r="Z26" i="8"/>
  <c r="CJ25" i="8"/>
  <c r="CK26" i="8"/>
  <c r="DG25" i="8"/>
  <c r="DE25" i="8"/>
  <c r="DV25" i="8"/>
  <c r="DX25" i="8" s="1"/>
  <c r="DZ25" i="8" s="1"/>
  <c r="HC24" i="8"/>
  <c r="GN25" i="8"/>
  <c r="DW27" i="8"/>
  <c r="HF23" i="7"/>
  <c r="HO23" i="7"/>
  <c r="GG15" i="7"/>
  <c r="GE15" i="7"/>
  <c r="HE15" i="7" s="1"/>
  <c r="AN25" i="7"/>
  <c r="BR24" i="7"/>
  <c r="BT24" i="7" s="1"/>
  <c r="BV24" i="7" s="1"/>
  <c r="BG24" i="7"/>
  <c r="BE24" i="7"/>
  <c r="BY25" i="7"/>
  <c r="AD25" i="7"/>
  <c r="HF22" i="7"/>
  <c r="HO22" i="7"/>
  <c r="L27" i="7"/>
  <c r="M26" i="7"/>
  <c r="DQ24" i="7"/>
  <c r="DB25" i="7"/>
  <c r="GS24" i="7"/>
  <c r="FW25" i="7"/>
  <c r="GQ24" i="7"/>
  <c r="GP24" i="7" s="1"/>
  <c r="HH24" i="7"/>
  <c r="HJ24" i="7" s="1"/>
  <c r="HL24" i="7" s="1"/>
  <c r="AC25" i="7"/>
  <c r="CI25" i="7"/>
  <c r="X26" i="7"/>
  <c r="HD23" i="7"/>
  <c r="GD24" i="7"/>
  <c r="HC24" i="7"/>
  <c r="GN25" i="7"/>
  <c r="DW26" i="7"/>
  <c r="CR23" i="7"/>
  <c r="AL20" i="7"/>
  <c r="F20" i="7" s="1"/>
  <c r="AH21" i="7"/>
  <c r="AK21" i="7" s="1"/>
  <c r="E20" i="7"/>
  <c r="HI28" i="7"/>
  <c r="FT10" i="7"/>
  <c r="G10" i="7" s="1"/>
  <c r="DS11" i="7"/>
  <c r="CT11" i="7"/>
  <c r="AL22" i="6"/>
  <c r="F22" i="6" s="1"/>
  <c r="AH23" i="6"/>
  <c r="AK23" i="6" s="1"/>
  <c r="E22" i="6"/>
  <c r="GD23" i="6"/>
  <c r="CJ26" i="6"/>
  <c r="Z27" i="6"/>
  <c r="FF25" i="6"/>
  <c r="EB26" i="6"/>
  <c r="FW26" i="6"/>
  <c r="GS25" i="6"/>
  <c r="GQ25" i="6"/>
  <c r="HH25" i="6"/>
  <c r="HJ25" i="6" s="1"/>
  <c r="HL25" i="6" s="1"/>
  <c r="X26" i="6"/>
  <c r="AC25" i="6"/>
  <c r="AE25" i="6" s="1"/>
  <c r="CI25" i="6"/>
  <c r="DE25" i="6"/>
  <c r="CK26" i="6"/>
  <c r="DG25" i="6"/>
  <c r="DV25" i="6"/>
  <c r="DX25" i="6" s="1"/>
  <c r="DZ25" i="6" s="1"/>
  <c r="DD24" i="6"/>
  <c r="FM24" i="6" s="1"/>
  <c r="HI28" i="6"/>
  <c r="DB26" i="6"/>
  <c r="DQ25" i="6"/>
  <c r="GN26" i="6"/>
  <c r="HC25" i="6"/>
  <c r="BY26" i="6"/>
  <c r="AD26" i="6"/>
  <c r="AF24" i="6"/>
  <c r="AI24" i="6"/>
  <c r="AJ24" i="6" s="1"/>
  <c r="DW28" i="6"/>
  <c r="M27" i="6"/>
  <c r="L28" i="6"/>
  <c r="AN26" i="6"/>
  <c r="BE25" i="6"/>
  <c r="BR25" i="6"/>
  <c r="BT25" i="6" s="1"/>
  <c r="BV25" i="6" s="1"/>
  <c r="BG25" i="6"/>
  <c r="CR29" i="6"/>
  <c r="GP24" i="6"/>
  <c r="E21" i="5"/>
  <c r="AH22" i="5"/>
  <c r="AK22" i="5" s="1"/>
  <c r="AL21" i="5"/>
  <c r="F21" i="5" s="1"/>
  <c r="AI24" i="5"/>
  <c r="AJ24" i="5" s="1"/>
  <c r="AF24" i="5"/>
  <c r="HI27" i="5"/>
  <c r="AD26" i="5"/>
  <c r="BY26" i="5"/>
  <c r="GD24" i="5"/>
  <c r="L28" i="5"/>
  <c r="M27" i="5"/>
  <c r="X26" i="5"/>
  <c r="CI25" i="5"/>
  <c r="AC25" i="5"/>
  <c r="AE25" i="5" s="1"/>
  <c r="DT23" i="5"/>
  <c r="CR25" i="5"/>
  <c r="DW33" i="5"/>
  <c r="DD24" i="5"/>
  <c r="FM24" i="5" s="1"/>
  <c r="AN26" i="5"/>
  <c r="BE25" i="5"/>
  <c r="BR25" i="5"/>
  <c r="BT25" i="5" s="1"/>
  <c r="BV25" i="5" s="1"/>
  <c r="BG25" i="5"/>
  <c r="CK26" i="5"/>
  <c r="DG25" i="5"/>
  <c r="DE25" i="5"/>
  <c r="DV25" i="5"/>
  <c r="DX25" i="5" s="1"/>
  <c r="DZ25" i="5" s="1"/>
  <c r="HC25" i="5"/>
  <c r="GN26" i="5"/>
  <c r="HW9" i="5"/>
  <c r="J9" i="5" s="1"/>
  <c r="HS10" i="5"/>
  <c r="GQ24" i="5"/>
  <c r="FW25" i="5"/>
  <c r="GS24" i="5"/>
  <c r="HH24" i="5"/>
  <c r="HJ24" i="5" s="1"/>
  <c r="HL24" i="5" s="1"/>
  <c r="HF22" i="5"/>
  <c r="HO22" i="5"/>
  <c r="CJ25" i="5"/>
  <c r="Z26" i="5"/>
  <c r="HD23" i="5"/>
  <c r="GP23" i="5"/>
  <c r="EB27" i="5"/>
  <c r="FF26" i="5"/>
  <c r="GQ24" i="3"/>
  <c r="GS24" i="3"/>
  <c r="DV24" i="3"/>
  <c r="DX24" i="3" s="1"/>
  <c r="DZ24" i="3" s="1"/>
  <c r="DE24" i="3"/>
  <c r="DG24" i="3"/>
  <c r="GN32" i="3"/>
  <c r="DD23" i="3"/>
  <c r="FM23" i="3" s="1"/>
  <c r="GP23" i="3"/>
  <c r="HF23" i="3" s="1"/>
  <c r="HD23" i="3"/>
  <c r="HC29" i="3"/>
  <c r="X25" i="3"/>
  <c r="CI25" i="3" s="1"/>
  <c r="AC24" i="3"/>
  <c r="AE24" i="3" s="1"/>
  <c r="BR24" i="3"/>
  <c r="BT24" i="3" s="1"/>
  <c r="BV24" i="3" s="1"/>
  <c r="BE24" i="3"/>
  <c r="BG24" i="3"/>
  <c r="EB26" i="3"/>
  <c r="EU25" i="3"/>
  <c r="ES25" i="3"/>
  <c r="FF25" i="3"/>
  <c r="FH25" i="3" s="1"/>
  <c r="DR23" i="3"/>
  <c r="FW25" i="3"/>
  <c r="AN25" i="3"/>
  <c r="BY25" i="3"/>
  <c r="AD25" i="3"/>
  <c r="L27" i="3"/>
  <c r="M26" i="3"/>
  <c r="DW26" i="3"/>
  <c r="BP24" i="3"/>
  <c r="DQ28" i="3"/>
  <c r="CK25" i="3"/>
  <c r="HH24" i="3"/>
  <c r="G9" i="6" l="1"/>
  <c r="FU9" i="6"/>
  <c r="AJ24" i="9"/>
  <c r="Z26" i="3"/>
  <c r="CJ25" i="3"/>
  <c r="HF23" i="9"/>
  <c r="HO23" i="9"/>
  <c r="HC24" i="9"/>
  <c r="HD24" i="9" s="1"/>
  <c r="GN25" i="9"/>
  <c r="DB25" i="5"/>
  <c r="DQ24" i="5"/>
  <c r="DR24" i="5" s="1"/>
  <c r="Z26" i="7"/>
  <c r="CJ25" i="7"/>
  <c r="GP25" i="9"/>
  <c r="HF25" i="9" s="1"/>
  <c r="AJ24" i="12"/>
  <c r="GN25" i="10"/>
  <c r="HC24" i="10"/>
  <c r="DT23" i="7"/>
  <c r="I11" i="11"/>
  <c r="HS12" i="11"/>
  <c r="GC12" i="11"/>
  <c r="HN12" i="11"/>
  <c r="HP12" i="11" s="1"/>
  <c r="HV10" i="5"/>
  <c r="HS11" i="5" s="1"/>
  <c r="FT9" i="8"/>
  <c r="G9" i="8" s="1"/>
  <c r="FQ11" i="9"/>
  <c r="FU10" i="9"/>
  <c r="DR23" i="7"/>
  <c r="AF24" i="7"/>
  <c r="FT10" i="11"/>
  <c r="G10" i="11" s="1"/>
  <c r="HS11" i="9"/>
  <c r="HW10" i="9"/>
  <c r="J10" i="9" s="1"/>
  <c r="I10" i="9"/>
  <c r="HN11" i="9"/>
  <c r="HP11" i="9" s="1"/>
  <c r="GC11" i="9"/>
  <c r="DT24" i="12"/>
  <c r="FU8" i="8"/>
  <c r="I13" i="7"/>
  <c r="DR24" i="12"/>
  <c r="GE11" i="5"/>
  <c r="GG11" i="5"/>
  <c r="DV24" i="7"/>
  <c r="DX24" i="7" s="1"/>
  <c r="DZ24" i="7" s="1"/>
  <c r="DG24" i="7"/>
  <c r="DE24" i="7"/>
  <c r="DD24" i="7" s="1"/>
  <c r="FM24" i="7" s="1"/>
  <c r="CK25" i="7"/>
  <c r="CK26" i="12"/>
  <c r="DG25" i="12"/>
  <c r="DE25" i="12"/>
  <c r="DD25" i="12" s="1"/>
  <c r="FM25" i="12" s="1"/>
  <c r="DV25" i="12"/>
  <c r="DX25" i="12" s="1"/>
  <c r="DZ25" i="12" s="1"/>
  <c r="FF24" i="8"/>
  <c r="EB25" i="8"/>
  <c r="HD25" i="6"/>
  <c r="EB25" i="7"/>
  <c r="FF24" i="7"/>
  <c r="CS10" i="8"/>
  <c r="CT10" i="8" s="1"/>
  <c r="G8" i="8"/>
  <c r="FQ11" i="5"/>
  <c r="FU10" i="5"/>
  <c r="FL11" i="11"/>
  <c r="FN11" i="11" s="1"/>
  <c r="CQ11" i="11"/>
  <c r="CS12" i="9"/>
  <c r="DS12" i="9" s="1"/>
  <c r="FL11" i="9"/>
  <c r="FN11" i="9" s="1"/>
  <c r="FR11" i="9" s="1"/>
  <c r="CT12" i="12"/>
  <c r="DS12" i="12"/>
  <c r="CP12" i="12"/>
  <c r="FT11" i="12"/>
  <c r="CQ11" i="5"/>
  <c r="CU12" i="5" s="1"/>
  <c r="FL11" i="5"/>
  <c r="FN11" i="5" s="1"/>
  <c r="CT11" i="6"/>
  <c r="DR25" i="10"/>
  <c r="FR10" i="6"/>
  <c r="FS10" i="6" s="1"/>
  <c r="HS14" i="7"/>
  <c r="HV14" i="7" s="1"/>
  <c r="HV10" i="10"/>
  <c r="I10" i="10" s="1"/>
  <c r="HS11" i="12"/>
  <c r="HW10" i="12"/>
  <c r="J10" i="12" s="1"/>
  <c r="I10" i="12"/>
  <c r="HN11" i="12"/>
  <c r="HP11" i="12" s="1"/>
  <c r="GC11" i="12"/>
  <c r="HN11" i="10"/>
  <c r="HP11" i="10" s="1"/>
  <c r="GC11" i="10"/>
  <c r="CP11" i="6"/>
  <c r="FL11" i="6" s="1"/>
  <c r="FN11" i="6" s="1"/>
  <c r="FO11" i="6" s="1"/>
  <c r="GE13" i="8"/>
  <c r="GG13" i="8"/>
  <c r="HT12" i="8"/>
  <c r="HU12" i="8" s="1"/>
  <c r="HQ12" i="8"/>
  <c r="HD25" i="11"/>
  <c r="CP10" i="10"/>
  <c r="CQ10" i="10" s="1"/>
  <c r="FT9" i="10"/>
  <c r="FU9" i="10" s="1"/>
  <c r="GB15" i="7"/>
  <c r="HN15" i="7" s="1"/>
  <c r="HP15" i="7" s="1"/>
  <c r="GF15" i="7"/>
  <c r="HQ14" i="7"/>
  <c r="FL11" i="7"/>
  <c r="FN11" i="7" s="1"/>
  <c r="FO11" i="7" s="1"/>
  <c r="AI24" i="7"/>
  <c r="AJ24" i="7" s="1"/>
  <c r="GE12" i="6"/>
  <c r="GG12" i="6"/>
  <c r="HT11" i="6"/>
  <c r="HU11" i="6" s="1"/>
  <c r="HQ11" i="6"/>
  <c r="AI25" i="12"/>
  <c r="AF25" i="12"/>
  <c r="HD24" i="12"/>
  <c r="GP24" i="12"/>
  <c r="DQ26" i="12"/>
  <c r="DB27" i="12"/>
  <c r="HI28" i="12"/>
  <c r="DW28" i="12"/>
  <c r="AN26" i="12"/>
  <c r="BG25" i="12"/>
  <c r="BR25" i="12"/>
  <c r="BT25" i="12" s="1"/>
  <c r="BV25" i="12" s="1"/>
  <c r="BE25" i="12"/>
  <c r="GD27" i="12"/>
  <c r="X27" i="12"/>
  <c r="CI26" i="12"/>
  <c r="Z26" i="12"/>
  <c r="AC26" i="12" s="1"/>
  <c r="AE26" i="12" s="1"/>
  <c r="CJ25" i="12"/>
  <c r="EB27" i="12"/>
  <c r="FF26" i="12"/>
  <c r="HF23" i="12"/>
  <c r="HO23" i="12"/>
  <c r="GN27" i="12"/>
  <c r="HC26" i="12"/>
  <c r="CR27" i="12"/>
  <c r="M28" i="12"/>
  <c r="L29" i="12"/>
  <c r="BY27" i="12"/>
  <c r="AD27" i="12"/>
  <c r="GS25" i="12"/>
  <c r="GQ25" i="12"/>
  <c r="FW26" i="12"/>
  <c r="HH25" i="12"/>
  <c r="HJ25" i="12" s="1"/>
  <c r="HL25" i="12" s="1"/>
  <c r="AL22" i="12"/>
  <c r="F22" i="12" s="1"/>
  <c r="E22" i="12"/>
  <c r="AH23" i="12"/>
  <c r="AK23" i="12" s="1"/>
  <c r="E22" i="11"/>
  <c r="AH23" i="11"/>
  <c r="AK23" i="11" s="1"/>
  <c r="AL22" i="11"/>
  <c r="F22" i="11" s="1"/>
  <c r="CK26" i="11"/>
  <c r="DG25" i="11"/>
  <c r="DE25" i="11"/>
  <c r="DV25" i="11"/>
  <c r="DX25" i="11" s="1"/>
  <c r="DZ25" i="11" s="1"/>
  <c r="DR24" i="11"/>
  <c r="DD24" i="11"/>
  <c r="FM24" i="11" s="1"/>
  <c r="AC26" i="11"/>
  <c r="AE26" i="11" s="1"/>
  <c r="X27" i="11"/>
  <c r="CI26" i="11"/>
  <c r="AD27" i="11"/>
  <c r="BY27" i="11"/>
  <c r="CR27" i="11"/>
  <c r="HI29" i="11"/>
  <c r="GS26" i="11"/>
  <c r="FW27" i="11"/>
  <c r="GQ26" i="11"/>
  <c r="HH26" i="11"/>
  <c r="HJ26" i="11" s="1"/>
  <c r="HL26" i="11" s="1"/>
  <c r="DB27" i="11"/>
  <c r="DQ26" i="11"/>
  <c r="AN27" i="11"/>
  <c r="BE26" i="11"/>
  <c r="BG26" i="11"/>
  <c r="BR26" i="11"/>
  <c r="BT26" i="11" s="1"/>
  <c r="BV26" i="11" s="1"/>
  <c r="GD27" i="11"/>
  <c r="EB27" i="11"/>
  <c r="FF26" i="11"/>
  <c r="L29" i="11"/>
  <c r="M28" i="11"/>
  <c r="DT23" i="11"/>
  <c r="AI25" i="11"/>
  <c r="AJ25" i="11" s="1"/>
  <c r="AF25" i="11"/>
  <c r="DW28" i="11"/>
  <c r="CJ26" i="11"/>
  <c r="Z27" i="11"/>
  <c r="HF25" i="11"/>
  <c r="HO25" i="11"/>
  <c r="HC26" i="11"/>
  <c r="GN27" i="11"/>
  <c r="X27" i="10"/>
  <c r="CI26" i="10"/>
  <c r="GD29" i="10"/>
  <c r="DS10" i="10"/>
  <c r="CT10" i="10"/>
  <c r="HI31" i="10"/>
  <c r="CR25" i="10"/>
  <c r="DT24" i="10"/>
  <c r="EB27" i="10"/>
  <c r="FF26" i="10"/>
  <c r="HF23" i="10"/>
  <c r="HO23" i="10"/>
  <c r="M28" i="10"/>
  <c r="L29" i="10"/>
  <c r="AN26" i="10"/>
  <c r="BR25" i="10"/>
  <c r="BT25" i="10" s="1"/>
  <c r="BV25" i="10" s="1"/>
  <c r="BE25" i="10"/>
  <c r="BG25" i="10"/>
  <c r="AD27" i="10"/>
  <c r="BY27" i="10"/>
  <c r="DW28" i="10"/>
  <c r="DD25" i="10"/>
  <c r="FM25" i="10" s="1"/>
  <c r="HD24" i="10"/>
  <c r="GP24" i="10"/>
  <c r="DG26" i="10"/>
  <c r="CK27" i="10"/>
  <c r="DE26" i="10"/>
  <c r="DV26" i="10"/>
  <c r="DX26" i="10" s="1"/>
  <c r="DZ26" i="10" s="1"/>
  <c r="Z26" i="10"/>
  <c r="CJ25" i="10"/>
  <c r="AI24" i="10"/>
  <c r="AJ24" i="10" s="1"/>
  <c r="AF24" i="10"/>
  <c r="AI25" i="10" s="1"/>
  <c r="DB27" i="10"/>
  <c r="DQ26" i="10"/>
  <c r="GS25" i="10"/>
  <c r="FW26" i="10"/>
  <c r="GQ25" i="10"/>
  <c r="HH25" i="10"/>
  <c r="HJ25" i="10" s="1"/>
  <c r="HL25" i="10" s="1"/>
  <c r="AH23" i="10"/>
  <c r="AK23" i="10" s="1"/>
  <c r="E22" i="10"/>
  <c r="AL22" i="10"/>
  <c r="F22" i="10" s="1"/>
  <c r="DT24" i="9"/>
  <c r="AH23" i="9"/>
  <c r="AK23" i="9" s="1"/>
  <c r="E22" i="9"/>
  <c r="AL22" i="9"/>
  <c r="F22" i="9" s="1"/>
  <c r="DQ26" i="9"/>
  <c r="DB27" i="9"/>
  <c r="AI25" i="9"/>
  <c r="AJ25" i="9" s="1"/>
  <c r="AF25" i="9"/>
  <c r="M28" i="9"/>
  <c r="L29" i="9"/>
  <c r="HF24" i="9"/>
  <c r="HO24" i="9"/>
  <c r="FW27" i="9"/>
  <c r="GS26" i="9"/>
  <c r="GQ26" i="9"/>
  <c r="DR25" i="9"/>
  <c r="BY27" i="9"/>
  <c r="AD27" i="9"/>
  <c r="DT25" i="9"/>
  <c r="HI27" i="9"/>
  <c r="HH26" i="9"/>
  <c r="HJ26" i="9" s="1"/>
  <c r="HL26" i="9" s="1"/>
  <c r="CI26" i="9"/>
  <c r="X27" i="9"/>
  <c r="AC26" i="9"/>
  <c r="AE26" i="9" s="1"/>
  <c r="FF26" i="9"/>
  <c r="EB27" i="9"/>
  <c r="Z26" i="9"/>
  <c r="CJ25" i="9"/>
  <c r="DW29" i="9"/>
  <c r="CK27" i="9"/>
  <c r="DE26" i="9"/>
  <c r="DG26" i="9"/>
  <c r="DV26" i="9"/>
  <c r="DX26" i="9" s="1"/>
  <c r="DZ26" i="9" s="1"/>
  <c r="BG25" i="9"/>
  <c r="AN26" i="9"/>
  <c r="BE25" i="9"/>
  <c r="BR25" i="9"/>
  <c r="BT25" i="9" s="1"/>
  <c r="BV25" i="9" s="1"/>
  <c r="CR24" i="9"/>
  <c r="AH22" i="8"/>
  <c r="AK22" i="8" s="1"/>
  <c r="AL21" i="8"/>
  <c r="F21" i="8" s="1"/>
  <c r="E21" i="8"/>
  <c r="AI24" i="8"/>
  <c r="AJ24" i="8" s="1"/>
  <c r="AF24" i="8"/>
  <c r="CK27" i="8"/>
  <c r="DV27" i="8" s="1"/>
  <c r="DE26" i="8"/>
  <c r="DG26" i="8"/>
  <c r="HF24" i="8"/>
  <c r="HO24" i="8"/>
  <c r="M27" i="8"/>
  <c r="L28" i="8"/>
  <c r="GD26" i="8"/>
  <c r="X26" i="8"/>
  <c r="CI25" i="8"/>
  <c r="AC25" i="8"/>
  <c r="AE25" i="8" s="1"/>
  <c r="HI30" i="8"/>
  <c r="FW26" i="8"/>
  <c r="GQ25" i="8"/>
  <c r="GP25" i="8" s="1"/>
  <c r="GS25" i="8"/>
  <c r="HH25" i="8"/>
  <c r="HJ25" i="8" s="1"/>
  <c r="HL25" i="8" s="1"/>
  <c r="HD24" i="8"/>
  <c r="HF23" i="8"/>
  <c r="HO23" i="8"/>
  <c r="DT24" i="8"/>
  <c r="DB26" i="8"/>
  <c r="DD25" i="8"/>
  <c r="FM25" i="8" s="1"/>
  <c r="DQ25" i="8"/>
  <c r="DR25" i="8" s="1"/>
  <c r="DV26" i="8"/>
  <c r="DX26" i="8" s="1"/>
  <c r="DZ26" i="8" s="1"/>
  <c r="CR30" i="8"/>
  <c r="DW28" i="8"/>
  <c r="GN26" i="8"/>
  <c r="HC25" i="8"/>
  <c r="Z27" i="8"/>
  <c r="CJ26" i="8"/>
  <c r="BR26" i="8"/>
  <c r="BT26" i="8" s="1"/>
  <c r="BV26" i="8" s="1"/>
  <c r="AN27" i="8"/>
  <c r="BG26" i="8"/>
  <c r="BE26" i="8"/>
  <c r="AD26" i="8"/>
  <c r="BY26" i="8"/>
  <c r="AH22" i="7"/>
  <c r="AK22" i="7" s="1"/>
  <c r="E21" i="7"/>
  <c r="AL21" i="7"/>
  <c r="F21" i="7" s="1"/>
  <c r="DT24" i="7"/>
  <c r="AD26" i="7"/>
  <c r="BY26" i="7"/>
  <c r="M27" i="7"/>
  <c r="L28" i="7"/>
  <c r="FU10" i="7"/>
  <c r="FQ11" i="7"/>
  <c r="HD24" i="7"/>
  <c r="DW27" i="7"/>
  <c r="FW26" i="7"/>
  <c r="GQ25" i="7"/>
  <c r="GP25" i="7" s="1"/>
  <c r="GS25" i="7"/>
  <c r="HH25" i="7"/>
  <c r="HJ25" i="7" s="1"/>
  <c r="HL25" i="7" s="1"/>
  <c r="CR24" i="7"/>
  <c r="AE25" i="7"/>
  <c r="GN26" i="7"/>
  <c r="HC25" i="7"/>
  <c r="CU12" i="7"/>
  <c r="CS12" i="7"/>
  <c r="DS12" i="7" s="1"/>
  <c r="HI29" i="7"/>
  <c r="DQ25" i="7"/>
  <c r="DB26" i="7"/>
  <c r="AN26" i="7"/>
  <c r="BR25" i="7"/>
  <c r="BT25" i="7" s="1"/>
  <c r="BV25" i="7" s="1"/>
  <c r="BG25" i="7"/>
  <c r="BE25" i="7"/>
  <c r="HF24" i="7"/>
  <c r="HO24" i="7"/>
  <c r="GD25" i="7"/>
  <c r="AC26" i="7"/>
  <c r="X27" i="7"/>
  <c r="CI26" i="7"/>
  <c r="AI25" i="6"/>
  <c r="AF25" i="6"/>
  <c r="AH24" i="6"/>
  <c r="AK24" i="6" s="1"/>
  <c r="E23" i="6"/>
  <c r="AL23" i="6"/>
  <c r="F23" i="6" s="1"/>
  <c r="DG26" i="6"/>
  <c r="DE26" i="6"/>
  <c r="DD26" i="6" s="1"/>
  <c r="FM26" i="6" s="1"/>
  <c r="CK27" i="6"/>
  <c r="DV26" i="6"/>
  <c r="DX26" i="6" s="1"/>
  <c r="DZ26" i="6" s="1"/>
  <c r="EB27" i="6"/>
  <c r="FF26" i="6"/>
  <c r="DR25" i="6"/>
  <c r="BE26" i="6"/>
  <c r="AN27" i="6"/>
  <c r="BR26" i="6"/>
  <c r="BT26" i="6" s="1"/>
  <c r="BV26" i="6" s="1"/>
  <c r="BG26" i="6"/>
  <c r="DD25" i="6"/>
  <c r="FM25" i="6" s="1"/>
  <c r="BY27" i="6"/>
  <c r="AD27" i="6"/>
  <c r="HI29" i="6"/>
  <c r="DB27" i="6"/>
  <c r="DQ26" i="6"/>
  <c r="DW29" i="6"/>
  <c r="DT24" i="6"/>
  <c r="FW27" i="6"/>
  <c r="GQ26" i="6"/>
  <c r="GS26" i="6"/>
  <c r="HH26" i="6"/>
  <c r="HJ26" i="6" s="1"/>
  <c r="HL26" i="6" s="1"/>
  <c r="Z28" i="6"/>
  <c r="CJ27" i="6"/>
  <c r="HF24" i="6"/>
  <c r="HO24" i="6"/>
  <c r="HC26" i="6"/>
  <c r="GN27" i="6"/>
  <c r="M28" i="6"/>
  <c r="L29" i="6"/>
  <c r="CR30" i="6"/>
  <c r="GP25" i="6"/>
  <c r="GD24" i="6"/>
  <c r="X27" i="6"/>
  <c r="CI26" i="6"/>
  <c r="AC26" i="6"/>
  <c r="AE26" i="6" s="1"/>
  <c r="E22" i="5"/>
  <c r="AH23" i="5"/>
  <c r="AK23" i="5" s="1"/>
  <c r="AL22" i="5"/>
  <c r="F22" i="5" s="1"/>
  <c r="AI25" i="5"/>
  <c r="AJ25" i="5" s="1"/>
  <c r="AF25" i="5"/>
  <c r="AN27" i="5"/>
  <c r="BR26" i="5"/>
  <c r="BT26" i="5" s="1"/>
  <c r="BV26" i="5" s="1"/>
  <c r="BG26" i="5"/>
  <c r="BE26" i="5"/>
  <c r="HD24" i="5"/>
  <c r="GP24" i="5"/>
  <c r="DT24" i="5"/>
  <c r="HI28" i="5"/>
  <c r="X27" i="5"/>
  <c r="CI26" i="5"/>
  <c r="AC26" i="5"/>
  <c r="AE26" i="5" s="1"/>
  <c r="BY27" i="5"/>
  <c r="AD27" i="5"/>
  <c r="EB28" i="5"/>
  <c r="FF27" i="5"/>
  <c r="HC26" i="5"/>
  <c r="GN27" i="5"/>
  <c r="L29" i="5"/>
  <c r="M28" i="5"/>
  <c r="GS25" i="5"/>
  <c r="FW26" i="5"/>
  <c r="GQ25" i="5"/>
  <c r="HH25" i="5"/>
  <c r="HJ25" i="5" s="1"/>
  <c r="HL25" i="5" s="1"/>
  <c r="HF23" i="5"/>
  <c r="HO23" i="5"/>
  <c r="GD25" i="5"/>
  <c r="DW34" i="5"/>
  <c r="Z27" i="5"/>
  <c r="CJ26" i="5"/>
  <c r="CR26" i="5"/>
  <c r="CK27" i="5"/>
  <c r="DG26" i="5"/>
  <c r="DE26" i="5"/>
  <c r="DV26" i="5"/>
  <c r="DX26" i="5" s="1"/>
  <c r="DZ26" i="5" s="1"/>
  <c r="DV25" i="3"/>
  <c r="DX25" i="3" s="1"/>
  <c r="DZ25" i="3" s="1"/>
  <c r="DG25" i="3"/>
  <c r="DE25" i="3"/>
  <c r="GS25" i="3"/>
  <c r="GQ25" i="3"/>
  <c r="DT23" i="3"/>
  <c r="GP24" i="3"/>
  <c r="HF24" i="3" s="1"/>
  <c r="HD24" i="3"/>
  <c r="DD24" i="3"/>
  <c r="GN33" i="3"/>
  <c r="HC30" i="3"/>
  <c r="HH25" i="3"/>
  <c r="HJ25" i="3" s="1"/>
  <c r="HL25" i="3" s="1"/>
  <c r="AC25" i="3"/>
  <c r="AE25" i="3" s="1"/>
  <c r="X26" i="3"/>
  <c r="CI26" i="3" s="1"/>
  <c r="BR25" i="3"/>
  <c r="BT25" i="3" s="1"/>
  <c r="BV25" i="3" s="1"/>
  <c r="BG25" i="3"/>
  <c r="BE25" i="3"/>
  <c r="EB27" i="3"/>
  <c r="ES26" i="3"/>
  <c r="EU26" i="3"/>
  <c r="FF26" i="3"/>
  <c r="FH26" i="3" s="1"/>
  <c r="DW27" i="3"/>
  <c r="DW28" i="3" s="1"/>
  <c r="DR24" i="3"/>
  <c r="AN26" i="3"/>
  <c r="FW26" i="3"/>
  <c r="HJ24" i="3"/>
  <c r="HL24" i="3" s="1"/>
  <c r="BY26" i="3"/>
  <c r="AD26" i="3"/>
  <c r="L28" i="3"/>
  <c r="M27" i="3"/>
  <c r="DQ29" i="3"/>
  <c r="BP25" i="3"/>
  <c r="CK26" i="3"/>
  <c r="AJ25" i="12" l="1"/>
  <c r="GN26" i="10"/>
  <c r="HC25" i="10"/>
  <c r="DB26" i="5"/>
  <c r="DQ25" i="5"/>
  <c r="DR25" i="5" s="1"/>
  <c r="GN26" i="9"/>
  <c r="HC25" i="9"/>
  <c r="HD25" i="9" s="1"/>
  <c r="Z27" i="7"/>
  <c r="CJ26" i="7"/>
  <c r="HO25" i="9"/>
  <c r="Z27" i="3"/>
  <c r="CJ26" i="3"/>
  <c r="DD25" i="5"/>
  <c r="HV12" i="8"/>
  <c r="HS13" i="8" s="1"/>
  <c r="HW10" i="5"/>
  <c r="J10" i="5" s="1"/>
  <c r="I10" i="5"/>
  <c r="FU9" i="8"/>
  <c r="FQ11" i="11"/>
  <c r="FU10" i="11"/>
  <c r="FQ10" i="8"/>
  <c r="HT12" i="11"/>
  <c r="HU12" i="11" s="1"/>
  <c r="HQ12" i="11"/>
  <c r="GE13" i="11"/>
  <c r="GG13" i="11"/>
  <c r="DT25" i="12"/>
  <c r="HT11" i="9"/>
  <c r="HQ11" i="9"/>
  <c r="GG12" i="9"/>
  <c r="GE12" i="9"/>
  <c r="CP10" i="8"/>
  <c r="CQ10" i="8" s="1"/>
  <c r="HD26" i="11"/>
  <c r="DS10" i="8"/>
  <c r="GB11" i="5"/>
  <c r="GC11" i="5" s="1"/>
  <c r="DV26" i="12"/>
  <c r="DX26" i="12" s="1"/>
  <c r="DZ26" i="12" s="1"/>
  <c r="DG26" i="12"/>
  <c r="CK27" i="12"/>
  <c r="DE26" i="12"/>
  <c r="DD26" i="12" s="1"/>
  <c r="FM26" i="12" s="1"/>
  <c r="CK26" i="7"/>
  <c r="DG25" i="7"/>
  <c r="DV25" i="7"/>
  <c r="DX25" i="7" s="1"/>
  <c r="DZ25" i="7" s="1"/>
  <c r="DE25" i="7"/>
  <c r="DD25" i="7" s="1"/>
  <c r="FM25" i="7" s="1"/>
  <c r="HD26" i="6"/>
  <c r="EB26" i="7"/>
  <c r="FF25" i="7"/>
  <c r="DR24" i="7"/>
  <c r="DR25" i="12"/>
  <c r="FF25" i="8"/>
  <c r="EB26" i="8"/>
  <c r="FO11" i="9"/>
  <c r="HE11" i="5"/>
  <c r="GF11" i="5"/>
  <c r="CP12" i="9"/>
  <c r="CQ12" i="9" s="1"/>
  <c r="CS13" i="9" s="1"/>
  <c r="DS13" i="9" s="1"/>
  <c r="CU12" i="11"/>
  <c r="CS12" i="11"/>
  <c r="FR11" i="11"/>
  <c r="FO11" i="11"/>
  <c r="CS12" i="5"/>
  <c r="CP12" i="5" s="1"/>
  <c r="CQ12" i="5" s="1"/>
  <c r="CT12" i="9"/>
  <c r="FT10" i="6"/>
  <c r="G10" i="6" s="1"/>
  <c r="FR11" i="5"/>
  <c r="FS11" i="5" s="1"/>
  <c r="FO11" i="5"/>
  <c r="FU11" i="12"/>
  <c r="G11" i="12"/>
  <c r="FQ12" i="12"/>
  <c r="FL12" i="12"/>
  <c r="FN12" i="12" s="1"/>
  <c r="CQ12" i="12"/>
  <c r="DR26" i="10"/>
  <c r="DT24" i="3"/>
  <c r="FM24" i="3"/>
  <c r="GB12" i="6"/>
  <c r="GC12" i="6" s="1"/>
  <c r="GG13" i="6" s="1"/>
  <c r="GC15" i="7"/>
  <c r="GE16" i="7" s="1"/>
  <c r="HW10" i="10"/>
  <c r="J10" i="10" s="1"/>
  <c r="GE12" i="12"/>
  <c r="GG12" i="12"/>
  <c r="HT11" i="12"/>
  <c r="HQ11" i="12"/>
  <c r="HS11" i="10"/>
  <c r="FR11" i="6"/>
  <c r="FS11" i="6" s="1"/>
  <c r="FL10" i="10"/>
  <c r="FN10" i="10" s="1"/>
  <c r="FR10" i="10" s="1"/>
  <c r="FS10" i="10" s="1"/>
  <c r="CQ11" i="6"/>
  <c r="CS12" i="6" s="1"/>
  <c r="GE12" i="10"/>
  <c r="GG12" i="10"/>
  <c r="FS11" i="9"/>
  <c r="FT11" i="9"/>
  <c r="AF25" i="10"/>
  <c r="HQ11" i="10"/>
  <c r="HT11" i="10"/>
  <c r="HU11" i="10" s="1"/>
  <c r="GB13" i="8"/>
  <c r="GC13" i="8" s="1"/>
  <c r="GF13" i="8"/>
  <c r="HE13" i="8"/>
  <c r="HQ15" i="7"/>
  <c r="FQ10" i="10"/>
  <c r="G9" i="10"/>
  <c r="HT15" i="7"/>
  <c r="HU15" i="7" s="1"/>
  <c r="FR11" i="7"/>
  <c r="FS11" i="7" s="1"/>
  <c r="AE26" i="7"/>
  <c r="HV11" i="6"/>
  <c r="HE12" i="6"/>
  <c r="GF12" i="6"/>
  <c r="AF26" i="12"/>
  <c r="AI26" i="12"/>
  <c r="AJ26" i="12" s="1"/>
  <c r="CI27" i="12"/>
  <c r="X28" i="12"/>
  <c r="AC27" i="12"/>
  <c r="AE27" i="12" s="1"/>
  <c r="GN28" i="12"/>
  <c r="HC27" i="12"/>
  <c r="DB28" i="12"/>
  <c r="DQ27" i="12"/>
  <c r="GD28" i="12"/>
  <c r="HD25" i="12"/>
  <c r="GP25" i="12"/>
  <c r="HF24" i="12"/>
  <c r="HO24" i="12"/>
  <c r="L30" i="12"/>
  <c r="M29" i="12"/>
  <c r="AD28" i="12"/>
  <c r="BY28" i="12"/>
  <c r="GQ26" i="12"/>
  <c r="FW27" i="12"/>
  <c r="GS26" i="12"/>
  <c r="HH26" i="12"/>
  <c r="HJ26" i="12" s="1"/>
  <c r="HL26" i="12" s="1"/>
  <c r="EB28" i="12"/>
  <c r="FF27" i="12"/>
  <c r="Z27" i="12"/>
  <c r="CJ26" i="12"/>
  <c r="AN27" i="12"/>
  <c r="BE26" i="12"/>
  <c r="BG26" i="12"/>
  <c r="BR26" i="12"/>
  <c r="BT26" i="12" s="1"/>
  <c r="BV26" i="12" s="1"/>
  <c r="CR28" i="12"/>
  <c r="DW29" i="12"/>
  <c r="AL23" i="12"/>
  <c r="F23" i="12" s="1"/>
  <c r="AH24" i="12"/>
  <c r="AK24" i="12" s="1"/>
  <c r="E23" i="12"/>
  <c r="HI29" i="12"/>
  <c r="E23" i="11"/>
  <c r="AH24" i="11"/>
  <c r="AK24" i="11" s="1"/>
  <c r="AL23" i="11"/>
  <c r="F23" i="11" s="1"/>
  <c r="DT24" i="11"/>
  <c r="DR25" i="11"/>
  <c r="DD25" i="11"/>
  <c r="FM25" i="11" s="1"/>
  <c r="DB28" i="11"/>
  <c r="DQ27" i="11"/>
  <c r="BY28" i="11"/>
  <c r="AD28" i="11"/>
  <c r="CJ27" i="11"/>
  <c r="Z28" i="11"/>
  <c r="L30" i="11"/>
  <c r="M29" i="11"/>
  <c r="DW29" i="11"/>
  <c r="HC27" i="11"/>
  <c r="GN28" i="11"/>
  <c r="EB28" i="11"/>
  <c r="FF27" i="11"/>
  <c r="GD28" i="11"/>
  <c r="AI26" i="11"/>
  <c r="AJ26" i="11" s="1"/>
  <c r="AF26" i="11"/>
  <c r="AN28" i="11"/>
  <c r="BG27" i="11"/>
  <c r="BR27" i="11"/>
  <c r="BT27" i="11" s="1"/>
  <c r="BV27" i="11" s="1"/>
  <c r="BE27" i="11"/>
  <c r="HI30" i="11"/>
  <c r="GQ27" i="11"/>
  <c r="GP27" i="11" s="1"/>
  <c r="FW28" i="11"/>
  <c r="GS27" i="11"/>
  <c r="HH27" i="11"/>
  <c r="HJ27" i="11" s="1"/>
  <c r="HL27" i="11" s="1"/>
  <c r="AC27" i="11"/>
  <c r="AE27" i="11" s="1"/>
  <c r="CI27" i="11"/>
  <c r="X28" i="11"/>
  <c r="GP26" i="11"/>
  <c r="CR28" i="11"/>
  <c r="CK27" i="11"/>
  <c r="DG26" i="11"/>
  <c r="DE26" i="11"/>
  <c r="DV26" i="11"/>
  <c r="DX26" i="11" s="1"/>
  <c r="DZ26" i="11" s="1"/>
  <c r="Z27" i="10"/>
  <c r="AC27" i="10" s="1"/>
  <c r="AE27" i="10" s="1"/>
  <c r="CJ26" i="10"/>
  <c r="HD25" i="10"/>
  <c r="GP25" i="10"/>
  <c r="CU11" i="10"/>
  <c r="CS11" i="10"/>
  <c r="DS11" i="10" s="1"/>
  <c r="GQ26" i="10"/>
  <c r="FW27" i="10"/>
  <c r="GS26" i="10"/>
  <c r="HH26" i="10"/>
  <c r="HJ26" i="10" s="1"/>
  <c r="HL26" i="10" s="1"/>
  <c r="CR26" i="10"/>
  <c r="CK28" i="10"/>
  <c r="DV28" i="10" s="1"/>
  <c r="DE27" i="10"/>
  <c r="DD27" i="10" s="1"/>
  <c r="DG27" i="10"/>
  <c r="AC26" i="10"/>
  <c r="AE26" i="10" s="1"/>
  <c r="HF24" i="10"/>
  <c r="HO24" i="10"/>
  <c r="AN27" i="10"/>
  <c r="BE26" i="10"/>
  <c r="BR26" i="10"/>
  <c r="BT26" i="10" s="1"/>
  <c r="BV26" i="10" s="1"/>
  <c r="BG26" i="10"/>
  <c r="E23" i="10"/>
  <c r="AL23" i="10"/>
  <c r="F23" i="10" s="1"/>
  <c r="AH24" i="10"/>
  <c r="AK24" i="10" s="1"/>
  <c r="DD26" i="10"/>
  <c r="FM26" i="10" s="1"/>
  <c r="CI27" i="10"/>
  <c r="X28" i="10"/>
  <c r="DQ27" i="10"/>
  <c r="DB28" i="10"/>
  <c r="DT25" i="10"/>
  <c r="L30" i="10"/>
  <c r="M29" i="10"/>
  <c r="AJ25" i="10"/>
  <c r="AD28" i="10"/>
  <c r="BY28" i="10"/>
  <c r="HI32" i="10"/>
  <c r="DW29" i="10"/>
  <c r="DV27" i="10"/>
  <c r="DX27" i="10" s="1"/>
  <c r="DZ27" i="10" s="1"/>
  <c r="GD30" i="10"/>
  <c r="GD31" i="10" s="1"/>
  <c r="GD32" i="10" s="1"/>
  <c r="GD33" i="10" s="1"/>
  <c r="EB28" i="10"/>
  <c r="FF27" i="10"/>
  <c r="AI26" i="9"/>
  <c r="AJ26" i="9" s="1"/>
  <c r="AF26" i="9"/>
  <c r="AC27" i="9"/>
  <c r="AE27" i="9" s="1"/>
  <c r="X28" i="9"/>
  <c r="CI27" i="9"/>
  <c r="DR26" i="9"/>
  <c r="DE27" i="9"/>
  <c r="DD27" i="9" s="1"/>
  <c r="DG27" i="9"/>
  <c r="CK28" i="9"/>
  <c r="DV27" i="9"/>
  <c r="DX27" i="9" s="1"/>
  <c r="DZ27" i="9" s="1"/>
  <c r="DB28" i="9"/>
  <c r="DQ27" i="9"/>
  <c r="GS27" i="9"/>
  <c r="FW28" i="9"/>
  <c r="GQ27" i="9"/>
  <c r="DD26" i="9"/>
  <c r="FM26" i="9" s="1"/>
  <c r="AL23" i="9"/>
  <c r="F23" i="9" s="1"/>
  <c r="AH24" i="9"/>
  <c r="AK24" i="9" s="1"/>
  <c r="E23" i="9"/>
  <c r="GP26" i="9"/>
  <c r="Z27" i="9"/>
  <c r="CJ26" i="9"/>
  <c r="HH27" i="9"/>
  <c r="HJ27" i="9" s="1"/>
  <c r="HL27" i="9" s="1"/>
  <c r="HI28" i="9"/>
  <c r="DW30" i="9"/>
  <c r="EB28" i="9"/>
  <c r="FF27" i="9"/>
  <c r="CR25" i="9"/>
  <c r="AN27" i="9"/>
  <c r="BG26" i="9"/>
  <c r="BE26" i="9"/>
  <c r="BR26" i="9"/>
  <c r="BT26" i="9" s="1"/>
  <c r="BV26" i="9" s="1"/>
  <c r="M29" i="9"/>
  <c r="L30" i="9"/>
  <c r="BY28" i="9"/>
  <c r="AD28" i="9"/>
  <c r="AH23" i="8"/>
  <c r="AK23" i="8" s="1"/>
  <c r="AL22" i="8"/>
  <c r="F22" i="8" s="1"/>
  <c r="E22" i="8"/>
  <c r="DT25" i="8"/>
  <c r="GD27" i="8"/>
  <c r="HD25" i="8"/>
  <c r="DD26" i="8"/>
  <c r="FM26" i="8" s="1"/>
  <c r="DQ26" i="8"/>
  <c r="DR26" i="8" s="1"/>
  <c r="DB27" i="8"/>
  <c r="FW27" i="8"/>
  <c r="GQ26" i="8"/>
  <c r="GP26" i="8" s="1"/>
  <c r="GS26" i="8"/>
  <c r="HH26" i="8"/>
  <c r="HJ26" i="8" s="1"/>
  <c r="HL26" i="8" s="1"/>
  <c r="L29" i="8"/>
  <c r="M28" i="8"/>
  <c r="CK28" i="8"/>
  <c r="DV28" i="8" s="1"/>
  <c r="DE27" i="8"/>
  <c r="DX27" i="8"/>
  <c r="DZ27" i="8" s="1"/>
  <c r="DG27" i="8"/>
  <c r="DW29" i="8"/>
  <c r="BY27" i="8"/>
  <c r="AD27" i="8"/>
  <c r="HI31" i="8"/>
  <c r="BR27" i="8"/>
  <c r="BT27" i="8" s="1"/>
  <c r="BV27" i="8" s="1"/>
  <c r="AN28" i="8"/>
  <c r="BG27" i="8"/>
  <c r="BE27" i="8"/>
  <c r="CJ27" i="8"/>
  <c r="Z28" i="8"/>
  <c r="AI25" i="8"/>
  <c r="AJ25" i="8" s="1"/>
  <c r="AF25" i="8"/>
  <c r="HF25" i="8"/>
  <c r="HO25" i="8"/>
  <c r="HC26" i="8"/>
  <c r="GN27" i="8"/>
  <c r="AC26" i="8"/>
  <c r="AE26" i="8" s="1"/>
  <c r="X27" i="8"/>
  <c r="CI26" i="8"/>
  <c r="DW28" i="7"/>
  <c r="HI30" i="7"/>
  <c r="HD25" i="7"/>
  <c r="AH23" i="7"/>
  <c r="AK23" i="7" s="1"/>
  <c r="AL22" i="7"/>
  <c r="F22" i="7" s="1"/>
  <c r="E22" i="7"/>
  <c r="CP12" i="7"/>
  <c r="GQ26" i="7"/>
  <c r="FW27" i="7"/>
  <c r="GS26" i="7"/>
  <c r="HH26" i="7"/>
  <c r="HJ26" i="7" s="1"/>
  <c r="HL26" i="7" s="1"/>
  <c r="CT12" i="7"/>
  <c r="BR26" i="7"/>
  <c r="BT26" i="7" s="1"/>
  <c r="BV26" i="7" s="1"/>
  <c r="AN27" i="7"/>
  <c r="BE26" i="7"/>
  <c r="BG26" i="7"/>
  <c r="GN27" i="7"/>
  <c r="HC26" i="7"/>
  <c r="DQ26" i="7"/>
  <c r="DB27" i="7"/>
  <c r="CI27" i="7"/>
  <c r="X28" i="7"/>
  <c r="AC27" i="7"/>
  <c r="GD26" i="7"/>
  <c r="HF25" i="7"/>
  <c r="HO25" i="7"/>
  <c r="M28" i="7"/>
  <c r="L29" i="7"/>
  <c r="AI25" i="7"/>
  <c r="AJ25" i="7" s="1"/>
  <c r="AF25" i="7"/>
  <c r="BY27" i="7"/>
  <c r="AD27" i="7"/>
  <c r="CR25" i="7"/>
  <c r="HW14" i="7"/>
  <c r="J14" i="7" s="1"/>
  <c r="HS15" i="7"/>
  <c r="I14" i="7"/>
  <c r="AI26" i="6"/>
  <c r="AF26" i="6"/>
  <c r="AJ25" i="6"/>
  <c r="HI30" i="6"/>
  <c r="BG27" i="6"/>
  <c r="BE27" i="6"/>
  <c r="AN28" i="6"/>
  <c r="BR27" i="6"/>
  <c r="BT27" i="6" s="1"/>
  <c r="BV27" i="6" s="1"/>
  <c r="GD25" i="6"/>
  <c r="L30" i="6"/>
  <c r="M29" i="6"/>
  <c r="FW28" i="6"/>
  <c r="GQ27" i="6"/>
  <c r="GS27" i="6"/>
  <c r="HH27" i="6"/>
  <c r="HJ27" i="6" s="1"/>
  <c r="HL27" i="6" s="1"/>
  <c r="HF25" i="6"/>
  <c r="HO25" i="6"/>
  <c r="Z29" i="6"/>
  <c r="CJ28" i="6"/>
  <c r="AH25" i="6"/>
  <c r="AK25" i="6" s="1"/>
  <c r="E24" i="6"/>
  <c r="AL24" i="6"/>
  <c r="F24" i="6" s="1"/>
  <c r="HC27" i="6"/>
  <c r="GN28" i="6"/>
  <c r="DB28" i="6"/>
  <c r="DQ27" i="6"/>
  <c r="DT25" i="6"/>
  <c r="GP26" i="6"/>
  <c r="AD28" i="6"/>
  <c r="BY28" i="6"/>
  <c r="DW30" i="6"/>
  <c r="EB28" i="6"/>
  <c r="FF27" i="6"/>
  <c r="DT26" i="6"/>
  <c r="DG27" i="6"/>
  <c r="CK28" i="6"/>
  <c r="DE27" i="6"/>
  <c r="DD27" i="6" s="1"/>
  <c r="DV27" i="6"/>
  <c r="DX27" i="6" s="1"/>
  <c r="DZ27" i="6" s="1"/>
  <c r="DR26" i="6"/>
  <c r="X28" i="6"/>
  <c r="CI27" i="6"/>
  <c r="AC27" i="6"/>
  <c r="AE27" i="6" s="1"/>
  <c r="Z28" i="5"/>
  <c r="CJ27" i="5"/>
  <c r="AN28" i="5"/>
  <c r="BG27" i="5"/>
  <c r="BR27" i="5"/>
  <c r="BT27" i="5" s="1"/>
  <c r="BV27" i="5" s="1"/>
  <c r="BE27" i="5"/>
  <c r="HD25" i="5"/>
  <c r="GP25" i="5"/>
  <c r="CK28" i="5"/>
  <c r="DG27" i="5"/>
  <c r="DE27" i="5"/>
  <c r="DV27" i="5"/>
  <c r="DX27" i="5" s="1"/>
  <c r="DZ27" i="5" s="1"/>
  <c r="FW27" i="5"/>
  <c r="GS26" i="5"/>
  <c r="GQ26" i="5"/>
  <c r="HH26" i="5"/>
  <c r="HJ26" i="5" s="1"/>
  <c r="HL26" i="5" s="1"/>
  <c r="X28" i="5"/>
  <c r="CI27" i="5"/>
  <c r="AC27" i="5"/>
  <c r="AE27" i="5" s="1"/>
  <c r="FF28" i="5"/>
  <c r="EB29" i="5"/>
  <c r="HI29" i="5"/>
  <c r="DW35" i="5"/>
  <c r="DD26" i="5"/>
  <c r="FM26" i="5" s="1"/>
  <c r="AL23" i="5"/>
  <c r="F23" i="5" s="1"/>
  <c r="E23" i="5"/>
  <c r="AH24" i="5"/>
  <c r="AK24" i="5" s="1"/>
  <c r="AI26" i="5"/>
  <c r="AJ26" i="5" s="1"/>
  <c r="AF26" i="5"/>
  <c r="BY28" i="5"/>
  <c r="AD28" i="5"/>
  <c r="M29" i="5"/>
  <c r="L30" i="5"/>
  <c r="CR27" i="5"/>
  <c r="GD26" i="5"/>
  <c r="HF24" i="5"/>
  <c r="HO24" i="5"/>
  <c r="GN28" i="5"/>
  <c r="HC27" i="5"/>
  <c r="GQ26" i="3"/>
  <c r="GS26" i="3"/>
  <c r="DV26" i="3"/>
  <c r="DX26" i="3" s="1"/>
  <c r="DZ26" i="3" s="1"/>
  <c r="DE26" i="3"/>
  <c r="DG26" i="3"/>
  <c r="DD25" i="3"/>
  <c r="GP25" i="3"/>
  <c r="HF25" i="3" s="1"/>
  <c r="HD25" i="3"/>
  <c r="GN34" i="3"/>
  <c r="HC31" i="3"/>
  <c r="AC26" i="3"/>
  <c r="AE26" i="3" s="1"/>
  <c r="X27" i="3"/>
  <c r="CI27" i="3" s="1"/>
  <c r="EB28" i="3"/>
  <c r="EU27" i="3"/>
  <c r="ES27" i="3"/>
  <c r="FF27" i="3"/>
  <c r="FH27" i="3" s="1"/>
  <c r="BR26" i="3"/>
  <c r="BT26" i="3" s="1"/>
  <c r="BV26" i="3" s="1"/>
  <c r="BE26" i="3"/>
  <c r="BG26" i="3"/>
  <c r="DR25" i="3"/>
  <c r="AN27" i="3"/>
  <c r="FW27" i="3"/>
  <c r="BY27" i="3"/>
  <c r="AD27" i="3"/>
  <c r="L29" i="3"/>
  <c r="M28" i="3"/>
  <c r="BP26" i="3"/>
  <c r="DW29" i="3"/>
  <c r="DQ30" i="3"/>
  <c r="CK27" i="3"/>
  <c r="HH26" i="3"/>
  <c r="HJ26" i="3" s="1"/>
  <c r="HL26" i="3" s="1"/>
  <c r="I12" i="8" l="1"/>
  <c r="HW12" i="8"/>
  <c r="J12" i="8" s="1"/>
  <c r="Z28" i="3"/>
  <c r="CJ27" i="3"/>
  <c r="CJ27" i="7"/>
  <c r="Z28" i="7"/>
  <c r="HC26" i="9"/>
  <c r="HD26" i="9" s="1"/>
  <c r="GN27" i="9"/>
  <c r="DB27" i="5"/>
  <c r="DQ26" i="5"/>
  <c r="DR26" i="5" s="1"/>
  <c r="FM25" i="5"/>
  <c r="DT25" i="5"/>
  <c r="HC26" i="10"/>
  <c r="GN27" i="10"/>
  <c r="HV12" i="11"/>
  <c r="I12" i="11" s="1"/>
  <c r="AF26" i="7"/>
  <c r="GB13" i="11"/>
  <c r="GC13" i="11" s="1"/>
  <c r="GG14" i="11" s="1"/>
  <c r="DT26" i="12"/>
  <c r="HE13" i="11"/>
  <c r="GF13" i="11"/>
  <c r="DR26" i="12"/>
  <c r="GB12" i="9"/>
  <c r="GC12" i="9" s="1"/>
  <c r="GG13" i="9" s="1"/>
  <c r="HU11" i="9"/>
  <c r="HV11" i="9"/>
  <c r="HE12" i="9"/>
  <c r="GF12" i="9"/>
  <c r="FL10" i="8"/>
  <c r="FN10" i="8" s="1"/>
  <c r="FR10" i="8" s="1"/>
  <c r="FS10" i="8" s="1"/>
  <c r="CU13" i="9"/>
  <c r="CP13" i="9" s="1"/>
  <c r="CQ13" i="9" s="1"/>
  <c r="CU14" i="9" s="1"/>
  <c r="DT25" i="7"/>
  <c r="GG16" i="7"/>
  <c r="GB16" i="7" s="1"/>
  <c r="DR25" i="7"/>
  <c r="GB12" i="12"/>
  <c r="GC12" i="12" s="1"/>
  <c r="GG13" i="12" s="1"/>
  <c r="HN11" i="5"/>
  <c r="HP11" i="5" s="1"/>
  <c r="HT11" i="5" s="1"/>
  <c r="HU11" i="5" s="1"/>
  <c r="EB27" i="7"/>
  <c r="FF26" i="7"/>
  <c r="GG12" i="5"/>
  <c r="GE12" i="5"/>
  <c r="EB27" i="8"/>
  <c r="FF26" i="8"/>
  <c r="DV26" i="7"/>
  <c r="DX26" i="7" s="1"/>
  <c r="DZ26" i="7" s="1"/>
  <c r="DE26" i="7"/>
  <c r="DD26" i="7" s="1"/>
  <c r="FM26" i="7" s="1"/>
  <c r="CK27" i="7"/>
  <c r="DG26" i="7"/>
  <c r="CK28" i="12"/>
  <c r="DG27" i="12"/>
  <c r="DE27" i="12"/>
  <c r="DD27" i="12" s="1"/>
  <c r="DT27" i="12" s="1"/>
  <c r="DV27" i="12"/>
  <c r="DX27" i="12" s="1"/>
  <c r="DZ27" i="12" s="1"/>
  <c r="AI26" i="7"/>
  <c r="AJ26" i="7" s="1"/>
  <c r="FL12" i="9"/>
  <c r="FN12" i="9" s="1"/>
  <c r="FR12" i="9" s="1"/>
  <c r="FS12" i="9" s="1"/>
  <c r="CT13" i="9"/>
  <c r="FT11" i="7"/>
  <c r="G11" i="7" s="1"/>
  <c r="CU13" i="5"/>
  <c r="CS13" i="5"/>
  <c r="DS13" i="5" s="1"/>
  <c r="DS12" i="5"/>
  <c r="FL12" i="5" s="1"/>
  <c r="FN12" i="5" s="1"/>
  <c r="FO12" i="5" s="1"/>
  <c r="CT12" i="5"/>
  <c r="FU10" i="6"/>
  <c r="FQ11" i="6"/>
  <c r="FT11" i="6" s="1"/>
  <c r="FS11" i="11"/>
  <c r="FT11" i="11"/>
  <c r="DS12" i="11"/>
  <c r="CT12" i="11"/>
  <c r="CP12" i="11"/>
  <c r="FT11" i="5"/>
  <c r="CU13" i="12"/>
  <c r="CS13" i="12"/>
  <c r="FR12" i="12"/>
  <c r="FS12" i="12" s="1"/>
  <c r="FO12" i="12"/>
  <c r="CP11" i="10"/>
  <c r="CQ11" i="10" s="1"/>
  <c r="CU12" i="10" s="1"/>
  <c r="DT25" i="3"/>
  <c r="FM25" i="3"/>
  <c r="FO10" i="10"/>
  <c r="GE13" i="6"/>
  <c r="HE13" i="6" s="1"/>
  <c r="HN12" i="6"/>
  <c r="HP12" i="6" s="1"/>
  <c r="HT12" i="6" s="1"/>
  <c r="HU12" i="6" s="1"/>
  <c r="HV11" i="10"/>
  <c r="HW11" i="10" s="1"/>
  <c r="J11" i="10" s="1"/>
  <c r="HU11" i="12"/>
  <c r="HV11" i="12"/>
  <c r="HE12" i="12"/>
  <c r="GF12" i="12"/>
  <c r="HE12" i="10"/>
  <c r="GF12" i="10"/>
  <c r="GG14" i="8"/>
  <c r="GE14" i="8"/>
  <c r="HE14" i="8" s="1"/>
  <c r="G11" i="9"/>
  <c r="FU11" i="9"/>
  <c r="FQ12" i="9"/>
  <c r="HN13" i="8"/>
  <c r="HP13" i="8" s="1"/>
  <c r="CU12" i="6"/>
  <c r="CP12" i="6" s="1"/>
  <c r="CQ12" i="6" s="1"/>
  <c r="CU11" i="8"/>
  <c r="CS11" i="8"/>
  <c r="GB12" i="10"/>
  <c r="CT11" i="10"/>
  <c r="HV15" i="7"/>
  <c r="I15" i="7" s="1"/>
  <c r="HS12" i="6"/>
  <c r="HW11" i="6"/>
  <c r="J11" i="6" s="1"/>
  <c r="I11" i="6"/>
  <c r="DS12" i="6"/>
  <c r="CT12" i="6"/>
  <c r="AJ26" i="6"/>
  <c r="E24" i="12"/>
  <c r="AH25" i="12"/>
  <c r="AK25" i="12" s="1"/>
  <c r="AL24" i="12"/>
  <c r="F24" i="12" s="1"/>
  <c r="GD29" i="12"/>
  <c r="HI30" i="12"/>
  <c r="AN28" i="12"/>
  <c r="BG27" i="12"/>
  <c r="BR27" i="12"/>
  <c r="BT27" i="12" s="1"/>
  <c r="BV27" i="12" s="1"/>
  <c r="BE27" i="12"/>
  <c r="BY29" i="12"/>
  <c r="AD29" i="12"/>
  <c r="CI28" i="12"/>
  <c r="X29" i="12"/>
  <c r="M30" i="12"/>
  <c r="L31" i="12"/>
  <c r="CJ27" i="12"/>
  <c r="Z28" i="12"/>
  <c r="AC28" i="12" s="1"/>
  <c r="AE28" i="12" s="1"/>
  <c r="DB29" i="12"/>
  <c r="DQ28" i="12"/>
  <c r="HD26" i="12"/>
  <c r="GP26" i="12"/>
  <c r="HF25" i="12"/>
  <c r="HO25" i="12"/>
  <c r="CR29" i="12"/>
  <c r="EB29" i="12"/>
  <c r="FF28" i="12"/>
  <c r="AI27" i="12"/>
  <c r="AJ27" i="12" s="1"/>
  <c r="AF27" i="12"/>
  <c r="HC28" i="12"/>
  <c r="GN29" i="12"/>
  <c r="DW30" i="12"/>
  <c r="FW28" i="12"/>
  <c r="GS27" i="12"/>
  <c r="GQ27" i="12"/>
  <c r="HH27" i="12"/>
  <c r="HJ27" i="12" s="1"/>
  <c r="HL27" i="12" s="1"/>
  <c r="AI27" i="11"/>
  <c r="AJ27" i="11" s="1"/>
  <c r="AF27" i="11"/>
  <c r="DB29" i="11"/>
  <c r="DQ28" i="11"/>
  <c r="GD29" i="11"/>
  <c r="DW30" i="11"/>
  <c r="DT25" i="11"/>
  <c r="CK28" i="11"/>
  <c r="DG27" i="11"/>
  <c r="DE27" i="11"/>
  <c r="DV27" i="11"/>
  <c r="DX27" i="11" s="1"/>
  <c r="DZ27" i="11" s="1"/>
  <c r="AH25" i="11"/>
  <c r="AK25" i="11" s="1"/>
  <c r="AL24" i="11"/>
  <c r="F24" i="11" s="1"/>
  <c r="E24" i="11"/>
  <c r="EB29" i="11"/>
  <c r="FF28" i="11"/>
  <c r="Z29" i="11"/>
  <c r="CJ28" i="11"/>
  <c r="CR29" i="11"/>
  <c r="HF27" i="11"/>
  <c r="HO27" i="11"/>
  <c r="HF26" i="11"/>
  <c r="HO26" i="11"/>
  <c r="HC28" i="11"/>
  <c r="GN29" i="11"/>
  <c r="HI31" i="11"/>
  <c r="AD29" i="11"/>
  <c r="BY29" i="11"/>
  <c r="DR26" i="11"/>
  <c r="DD26" i="11"/>
  <c r="FM26" i="11" s="1"/>
  <c r="CI28" i="11"/>
  <c r="X29" i="11"/>
  <c r="AC28" i="11"/>
  <c r="AE28" i="11" s="1"/>
  <c r="L31" i="11"/>
  <c r="M30" i="11"/>
  <c r="FW29" i="11"/>
  <c r="GS28" i="11"/>
  <c r="GQ28" i="11"/>
  <c r="HH28" i="11"/>
  <c r="HJ28" i="11" s="1"/>
  <c r="HL28" i="11" s="1"/>
  <c r="HD27" i="11"/>
  <c r="AN29" i="11"/>
  <c r="BR28" i="11"/>
  <c r="BT28" i="11" s="1"/>
  <c r="BV28" i="11" s="1"/>
  <c r="BG28" i="11"/>
  <c r="BE28" i="11"/>
  <c r="CI28" i="10"/>
  <c r="X29" i="10"/>
  <c r="FT10" i="10"/>
  <c r="AN28" i="10"/>
  <c r="BG27" i="10"/>
  <c r="BR27" i="10"/>
  <c r="BT27" i="10" s="1"/>
  <c r="BV27" i="10" s="1"/>
  <c r="BE27" i="10"/>
  <c r="HD26" i="10"/>
  <c r="GP26" i="10"/>
  <c r="DW30" i="10"/>
  <c r="BY29" i="10"/>
  <c r="AD29" i="10"/>
  <c r="AI26" i="10"/>
  <c r="AJ26" i="10" s="1"/>
  <c r="AF26" i="10"/>
  <c r="AF27" i="10" s="1"/>
  <c r="L31" i="10"/>
  <c r="M30" i="10"/>
  <c r="DR27" i="10"/>
  <c r="HF25" i="10"/>
  <c r="HO25" i="10"/>
  <c r="HI33" i="10"/>
  <c r="DT26" i="10"/>
  <c r="CK29" i="10"/>
  <c r="DV29" i="10" s="1"/>
  <c r="DX28" i="10"/>
  <c r="DZ28" i="10" s="1"/>
  <c r="DE28" i="10"/>
  <c r="DG28" i="10"/>
  <c r="AH25" i="10"/>
  <c r="AK25" i="10" s="1"/>
  <c r="E24" i="10"/>
  <c r="AL24" i="10"/>
  <c r="F24" i="10" s="1"/>
  <c r="DQ28" i="10"/>
  <c r="DB29" i="10"/>
  <c r="EB29" i="10"/>
  <c r="FF28" i="10"/>
  <c r="CJ27" i="10"/>
  <c r="Z28" i="10"/>
  <c r="DT27" i="10"/>
  <c r="CR27" i="10"/>
  <c r="FW28" i="10"/>
  <c r="GS27" i="10"/>
  <c r="GQ27" i="10"/>
  <c r="HH27" i="10"/>
  <c r="HJ27" i="10" s="1"/>
  <c r="HL27" i="10" s="1"/>
  <c r="AF27" i="9"/>
  <c r="AI27" i="9"/>
  <c r="AJ27" i="9" s="1"/>
  <c r="GQ28" i="9"/>
  <c r="FW29" i="9"/>
  <c r="GS28" i="9"/>
  <c r="EB29" i="9"/>
  <c r="FF28" i="9"/>
  <c r="CR26" i="9"/>
  <c r="Z28" i="9"/>
  <c r="CJ27" i="9"/>
  <c r="CK29" i="9"/>
  <c r="DG28" i="9"/>
  <c r="DE28" i="9"/>
  <c r="DD28" i="9" s="1"/>
  <c r="FM28" i="9" s="1"/>
  <c r="DV28" i="9"/>
  <c r="DX28" i="9" s="1"/>
  <c r="DZ28" i="9" s="1"/>
  <c r="HI29" i="9"/>
  <c r="HH28" i="9"/>
  <c r="HJ28" i="9" s="1"/>
  <c r="HL28" i="9" s="1"/>
  <c r="M30" i="9"/>
  <c r="L31" i="9"/>
  <c r="HF26" i="9"/>
  <c r="HO26" i="9"/>
  <c r="BY29" i="9"/>
  <c r="AD29" i="9"/>
  <c r="AL24" i="9"/>
  <c r="F24" i="9" s="1"/>
  <c r="AH25" i="9"/>
  <c r="AK25" i="9" s="1"/>
  <c r="E24" i="9"/>
  <c r="DB29" i="9"/>
  <c r="DQ28" i="9"/>
  <c r="DW31" i="9"/>
  <c r="CI28" i="9"/>
  <c r="AC28" i="9"/>
  <c r="AE28" i="9" s="1"/>
  <c r="X29" i="9"/>
  <c r="BG27" i="9"/>
  <c r="BR27" i="9"/>
  <c r="BT27" i="9" s="1"/>
  <c r="BV27" i="9" s="1"/>
  <c r="AN28" i="9"/>
  <c r="BE27" i="9"/>
  <c r="DT27" i="9"/>
  <c r="DT26" i="9"/>
  <c r="DR27" i="9"/>
  <c r="AL23" i="8"/>
  <c r="F23" i="8" s="1"/>
  <c r="E23" i="8"/>
  <c r="AH24" i="8"/>
  <c r="AK24" i="8" s="1"/>
  <c r="GD28" i="8"/>
  <c r="CI27" i="8"/>
  <c r="X28" i="8"/>
  <c r="AC27" i="8"/>
  <c r="AE27" i="8" s="1"/>
  <c r="Z29" i="8"/>
  <c r="CJ28" i="8"/>
  <c r="AI26" i="8"/>
  <c r="AJ26" i="8" s="1"/>
  <c r="AF26" i="8"/>
  <c r="HD26" i="8"/>
  <c r="FW28" i="8"/>
  <c r="GQ27" i="8"/>
  <c r="GP27" i="8" s="1"/>
  <c r="GS27" i="8"/>
  <c r="HH27" i="8"/>
  <c r="HJ27" i="8" s="1"/>
  <c r="HL27" i="8" s="1"/>
  <c r="DW30" i="8"/>
  <c r="HF26" i="8"/>
  <c r="HO26" i="8"/>
  <c r="AD28" i="8"/>
  <c r="BY28" i="8"/>
  <c r="DQ27" i="8"/>
  <c r="DR27" i="8" s="1"/>
  <c r="DB28" i="8"/>
  <c r="DD27" i="8"/>
  <c r="AN29" i="8"/>
  <c r="BE28" i="8"/>
  <c r="BR28" i="8"/>
  <c r="BT28" i="8" s="1"/>
  <c r="BV28" i="8" s="1"/>
  <c r="BG28" i="8"/>
  <c r="CK29" i="8"/>
  <c r="DV29" i="8" s="1"/>
  <c r="DX28" i="8"/>
  <c r="DZ28" i="8" s="1"/>
  <c r="DE28" i="8"/>
  <c r="DG28" i="8"/>
  <c r="DT26" i="8"/>
  <c r="L30" i="8"/>
  <c r="M29" i="8"/>
  <c r="GN28" i="8"/>
  <c r="HC27" i="8"/>
  <c r="HI32" i="8"/>
  <c r="AH24" i="7"/>
  <c r="AK24" i="7" s="1"/>
  <c r="AL23" i="7"/>
  <c r="F23" i="7" s="1"/>
  <c r="E23" i="7"/>
  <c r="CR26" i="7"/>
  <c r="HI31" i="7"/>
  <c r="AE27" i="7"/>
  <c r="GS27" i="7"/>
  <c r="FW28" i="7"/>
  <c r="GQ27" i="7"/>
  <c r="GP27" i="7" s="1"/>
  <c r="HH27" i="7"/>
  <c r="HJ27" i="7" s="1"/>
  <c r="HL27" i="7" s="1"/>
  <c r="FL12" i="7"/>
  <c r="FN12" i="7" s="1"/>
  <c r="CQ12" i="7"/>
  <c r="GD27" i="7"/>
  <c r="DW29" i="7"/>
  <c r="HE16" i="7"/>
  <c r="GF16" i="7"/>
  <c r="HD26" i="7"/>
  <c r="GP26" i="7"/>
  <c r="M29" i="7"/>
  <c r="L30" i="7"/>
  <c r="BY28" i="7"/>
  <c r="AD28" i="7"/>
  <c r="DQ27" i="7"/>
  <c r="DB28" i="7"/>
  <c r="BR27" i="7"/>
  <c r="BT27" i="7" s="1"/>
  <c r="BV27" i="7" s="1"/>
  <c r="AN28" i="7"/>
  <c r="BE27" i="7"/>
  <c r="BG27" i="7"/>
  <c r="GN28" i="7"/>
  <c r="HC27" i="7"/>
  <c r="X29" i="7"/>
  <c r="CI28" i="7"/>
  <c r="AC28" i="7"/>
  <c r="AI27" i="6"/>
  <c r="AF27" i="6"/>
  <c r="AL25" i="6"/>
  <c r="F25" i="6" s="1"/>
  <c r="AH26" i="6"/>
  <c r="AK26" i="6" s="1"/>
  <c r="E25" i="6"/>
  <c r="HI31" i="6"/>
  <c r="L31" i="6"/>
  <c r="M30" i="6"/>
  <c r="GD26" i="6"/>
  <c r="DB29" i="6"/>
  <c r="DQ28" i="6"/>
  <c r="AC28" i="6"/>
  <c r="AE28" i="6" s="1"/>
  <c r="CI28" i="6"/>
  <c r="X29" i="6"/>
  <c r="DW31" i="6"/>
  <c r="DT27" i="6"/>
  <c r="DR27" i="6"/>
  <c r="HC28" i="6"/>
  <c r="GN29" i="6"/>
  <c r="BG28" i="6"/>
  <c r="AN29" i="6"/>
  <c r="BR28" i="6"/>
  <c r="BT28" i="6" s="1"/>
  <c r="BV28" i="6" s="1"/>
  <c r="BE28" i="6"/>
  <c r="EB29" i="6"/>
  <c r="FF28" i="6"/>
  <c r="DE28" i="6"/>
  <c r="DD28" i="6" s="1"/>
  <c r="FM28" i="6" s="1"/>
  <c r="CK29" i="6"/>
  <c r="DG28" i="6"/>
  <c r="DV28" i="6"/>
  <c r="DX28" i="6" s="1"/>
  <c r="DZ28" i="6" s="1"/>
  <c r="HD27" i="6"/>
  <c r="BY29" i="6"/>
  <c r="AD29" i="6"/>
  <c r="CJ29" i="6"/>
  <c r="Z30" i="6"/>
  <c r="HF26" i="6"/>
  <c r="HO26" i="6"/>
  <c r="GP27" i="6"/>
  <c r="GQ28" i="6"/>
  <c r="GP28" i="6" s="1"/>
  <c r="FW29" i="6"/>
  <c r="GS28" i="6"/>
  <c r="HH28" i="6"/>
  <c r="HJ28" i="6" s="1"/>
  <c r="HL28" i="6" s="1"/>
  <c r="AI27" i="5"/>
  <c r="AJ27" i="5" s="1"/>
  <c r="AF27" i="5"/>
  <c r="GD27" i="5"/>
  <c r="CR28" i="5"/>
  <c r="L31" i="5"/>
  <c r="M30" i="5"/>
  <c r="DT26" i="5"/>
  <c r="HF25" i="5"/>
  <c r="HO25" i="5"/>
  <c r="BY29" i="5"/>
  <c r="AD29" i="5"/>
  <c r="FW28" i="5"/>
  <c r="GS27" i="5"/>
  <c r="GQ27" i="5"/>
  <c r="HH27" i="5"/>
  <c r="HJ27" i="5" s="1"/>
  <c r="HL27" i="5" s="1"/>
  <c r="AL24" i="5"/>
  <c r="F24" i="5" s="1"/>
  <c r="AH25" i="5"/>
  <c r="AK25" i="5" s="1"/>
  <c r="E24" i="5"/>
  <c r="DW36" i="5"/>
  <c r="AC28" i="5"/>
  <c r="AE28" i="5" s="1"/>
  <c r="X29" i="5"/>
  <c r="CI28" i="5"/>
  <c r="HD26" i="5"/>
  <c r="GP26" i="5"/>
  <c r="AN29" i="5"/>
  <c r="BE28" i="5"/>
  <c r="BR28" i="5"/>
  <c r="BT28" i="5" s="1"/>
  <c r="BV28" i="5" s="1"/>
  <c r="BG28" i="5"/>
  <c r="GN29" i="5"/>
  <c r="HC28" i="5"/>
  <c r="HI30" i="5"/>
  <c r="EB30" i="5"/>
  <c r="FF29" i="5"/>
  <c r="Z29" i="5"/>
  <c r="CJ28" i="5"/>
  <c r="CK29" i="5"/>
  <c r="DG28" i="5"/>
  <c r="DE28" i="5"/>
  <c r="DV28" i="5"/>
  <c r="DX28" i="5" s="1"/>
  <c r="DZ28" i="5" s="1"/>
  <c r="DV27" i="3"/>
  <c r="DX27" i="3" s="1"/>
  <c r="DZ27" i="3" s="1"/>
  <c r="DG27" i="3"/>
  <c r="DE27" i="3"/>
  <c r="GQ27" i="3"/>
  <c r="GS27" i="3"/>
  <c r="DD26" i="3"/>
  <c r="FM26" i="3" s="1"/>
  <c r="GN35" i="3"/>
  <c r="GP26" i="3"/>
  <c r="HF26" i="3" s="1"/>
  <c r="HD26" i="3"/>
  <c r="X28" i="3"/>
  <c r="CI28" i="3" s="1"/>
  <c r="HC32" i="3"/>
  <c r="HH27" i="3"/>
  <c r="HJ27" i="3" s="1"/>
  <c r="HL27" i="3" s="1"/>
  <c r="AC27" i="3"/>
  <c r="AE27" i="3" s="1"/>
  <c r="BR27" i="3"/>
  <c r="BT27" i="3" s="1"/>
  <c r="BV27" i="3" s="1"/>
  <c r="BE27" i="3"/>
  <c r="BG27" i="3"/>
  <c r="EB29" i="3"/>
  <c r="EU28" i="3"/>
  <c r="ES28" i="3"/>
  <c r="FF28" i="3"/>
  <c r="FH28" i="3" s="1"/>
  <c r="DR26" i="3"/>
  <c r="FW28" i="3"/>
  <c r="AN28" i="3"/>
  <c r="BY28" i="3"/>
  <c r="AD28" i="3"/>
  <c r="L30" i="3"/>
  <c r="M29" i="3"/>
  <c r="DW30" i="3"/>
  <c r="DQ31" i="3"/>
  <c r="BP27" i="3"/>
  <c r="CK28" i="3"/>
  <c r="GN28" i="10" l="1"/>
  <c r="HC27" i="10"/>
  <c r="HD27" i="10" s="1"/>
  <c r="DB28" i="5"/>
  <c r="DQ27" i="5"/>
  <c r="DR27" i="5" s="1"/>
  <c r="GN28" i="9"/>
  <c r="HC27" i="9"/>
  <c r="HD27" i="9" s="1"/>
  <c r="HW12" i="11"/>
  <c r="J12" i="11" s="1"/>
  <c r="HS13" i="11"/>
  <c r="DD27" i="5"/>
  <c r="DT27" i="5" s="1"/>
  <c r="Z29" i="7"/>
  <c r="CJ28" i="7"/>
  <c r="GP28" i="9"/>
  <c r="HO28" i="9" s="1"/>
  <c r="Z29" i="3"/>
  <c r="CJ28" i="3"/>
  <c r="GP27" i="9"/>
  <c r="FT12" i="12"/>
  <c r="FQ13" i="12" s="1"/>
  <c r="HN13" i="11"/>
  <c r="HP13" i="11" s="1"/>
  <c r="GE14" i="11"/>
  <c r="HE14" i="11" s="1"/>
  <c r="GE13" i="9"/>
  <c r="HE13" i="9" s="1"/>
  <c r="HT13" i="11"/>
  <c r="HU13" i="11" s="1"/>
  <c r="HQ13" i="11"/>
  <c r="DT26" i="7"/>
  <c r="FU11" i="7"/>
  <c r="HN12" i="9"/>
  <c r="HP12" i="9" s="1"/>
  <c r="HT12" i="9" s="1"/>
  <c r="HU12" i="9" s="1"/>
  <c r="HS12" i="9"/>
  <c r="HW11" i="9"/>
  <c r="J11" i="9" s="1"/>
  <c r="FO10" i="8"/>
  <c r="FL13" i="9"/>
  <c r="FN13" i="9" s="1"/>
  <c r="CS14" i="9"/>
  <c r="DS14" i="9" s="1"/>
  <c r="I11" i="9"/>
  <c r="HQ11" i="5"/>
  <c r="FQ12" i="7"/>
  <c r="FT12" i="9"/>
  <c r="FQ13" i="9" s="1"/>
  <c r="HV11" i="5"/>
  <c r="HS12" i="5" s="1"/>
  <c r="GB13" i="6"/>
  <c r="GC13" i="6" s="1"/>
  <c r="GG14" i="6" s="1"/>
  <c r="HN12" i="12"/>
  <c r="HP12" i="12" s="1"/>
  <c r="HT12" i="12" s="1"/>
  <c r="HU12" i="12" s="1"/>
  <c r="GE13" i="12"/>
  <c r="HE13" i="12" s="1"/>
  <c r="CT13" i="5"/>
  <c r="CP13" i="5"/>
  <c r="FL13" i="5" s="1"/>
  <c r="FN13" i="5" s="1"/>
  <c r="DR27" i="12"/>
  <c r="CK29" i="12"/>
  <c r="DG28" i="12"/>
  <c r="DV28" i="12"/>
  <c r="DX28" i="12" s="1"/>
  <c r="DZ28" i="12" s="1"/>
  <c r="DE28" i="12"/>
  <c r="DD28" i="12" s="1"/>
  <c r="FM28" i="12" s="1"/>
  <c r="CK28" i="7"/>
  <c r="DV27" i="7"/>
  <c r="DX27" i="7" s="1"/>
  <c r="DZ27" i="7" s="1"/>
  <c r="DG27" i="7"/>
  <c r="DE27" i="7"/>
  <c r="DD27" i="7" s="1"/>
  <c r="DT27" i="7" s="1"/>
  <c r="FF27" i="8"/>
  <c r="EB28" i="8"/>
  <c r="HE12" i="5"/>
  <c r="GF12" i="5"/>
  <c r="GB12" i="5"/>
  <c r="AJ27" i="6"/>
  <c r="DR26" i="7"/>
  <c r="FF27" i="7"/>
  <c r="EB28" i="7"/>
  <c r="FO12" i="9"/>
  <c r="FU11" i="6"/>
  <c r="G11" i="6"/>
  <c r="FQ12" i="6"/>
  <c r="G11" i="11"/>
  <c r="FU11" i="11"/>
  <c r="FQ12" i="11"/>
  <c r="FR12" i="5"/>
  <c r="FS12" i="5" s="1"/>
  <c r="DR28" i="10"/>
  <c r="CQ12" i="11"/>
  <c r="FL12" i="11"/>
  <c r="FN12" i="11" s="1"/>
  <c r="FL11" i="10"/>
  <c r="FN11" i="10" s="1"/>
  <c r="FO11" i="10" s="1"/>
  <c r="CS12" i="10"/>
  <c r="DS12" i="10" s="1"/>
  <c r="FQ12" i="5"/>
  <c r="FU11" i="5"/>
  <c r="G11" i="5"/>
  <c r="DS13" i="12"/>
  <c r="CT13" i="12"/>
  <c r="CP13" i="12"/>
  <c r="G10" i="10"/>
  <c r="DD28" i="10"/>
  <c r="FM28" i="10" s="1"/>
  <c r="CP11" i="8"/>
  <c r="CQ11" i="8" s="1"/>
  <c r="HV12" i="6"/>
  <c r="HS13" i="6" s="1"/>
  <c r="GF13" i="6"/>
  <c r="I11" i="10"/>
  <c r="HQ12" i="6"/>
  <c r="HS12" i="10"/>
  <c r="GF14" i="8"/>
  <c r="GB14" i="8"/>
  <c r="HN14" i="8" s="1"/>
  <c r="HP14" i="8" s="1"/>
  <c r="HS12" i="12"/>
  <c r="HW11" i="12"/>
  <c r="J11" i="12" s="1"/>
  <c r="I11" i="12"/>
  <c r="CU13" i="6"/>
  <c r="CS13" i="6"/>
  <c r="DS13" i="6" s="1"/>
  <c r="AI27" i="10"/>
  <c r="AJ27" i="10" s="1"/>
  <c r="FL12" i="6"/>
  <c r="FN12" i="6" s="1"/>
  <c r="FT10" i="8"/>
  <c r="HQ13" i="8"/>
  <c r="HT13" i="8"/>
  <c r="HU13" i="8" s="1"/>
  <c r="HN12" i="10"/>
  <c r="HP12" i="10" s="1"/>
  <c r="GC12" i="10"/>
  <c r="CT11" i="8"/>
  <c r="DS11" i="8"/>
  <c r="HS16" i="7"/>
  <c r="HW15" i="7"/>
  <c r="J15" i="7" s="1"/>
  <c r="AE28" i="7"/>
  <c r="AH26" i="12"/>
  <c r="AK26" i="12" s="1"/>
  <c r="E25" i="12"/>
  <c r="AL25" i="12"/>
  <c r="F25" i="12" s="1"/>
  <c r="HD27" i="12"/>
  <c r="GP27" i="12"/>
  <c r="M31" i="12"/>
  <c r="L32" i="12"/>
  <c r="BY30" i="12"/>
  <c r="AD30" i="12"/>
  <c r="BG28" i="12"/>
  <c r="AN29" i="12"/>
  <c r="BE28" i="12"/>
  <c r="BR28" i="12"/>
  <c r="BT28" i="12" s="1"/>
  <c r="BV28" i="12" s="1"/>
  <c r="FW29" i="12"/>
  <c r="GS28" i="12"/>
  <c r="GQ28" i="12"/>
  <c r="HH28" i="12"/>
  <c r="HJ28" i="12" s="1"/>
  <c r="HL28" i="12" s="1"/>
  <c r="HI31" i="12"/>
  <c r="DW31" i="12"/>
  <c r="CI29" i="12"/>
  <c r="X30" i="12"/>
  <c r="HC29" i="12"/>
  <c r="GN30" i="12"/>
  <c r="CR30" i="12"/>
  <c r="GD30" i="12"/>
  <c r="GD31" i="12" s="1"/>
  <c r="GD32" i="12" s="1"/>
  <c r="GD33" i="12" s="1"/>
  <c r="GD34" i="12" s="1"/>
  <c r="GD35" i="12" s="1"/>
  <c r="GD36" i="12" s="1"/>
  <c r="FF29" i="12"/>
  <c r="EB30" i="12"/>
  <c r="HF26" i="12"/>
  <c r="HO26" i="12"/>
  <c r="DQ29" i="12"/>
  <c r="DB30" i="12"/>
  <c r="Z29" i="12"/>
  <c r="AC29" i="12" s="1"/>
  <c r="AE29" i="12" s="1"/>
  <c r="CJ28" i="12"/>
  <c r="AI28" i="12"/>
  <c r="AJ28" i="12" s="1"/>
  <c r="AF28" i="12"/>
  <c r="AI28" i="11"/>
  <c r="AJ28" i="11" s="1"/>
  <c r="AF28" i="11"/>
  <c r="AH26" i="11"/>
  <c r="AK26" i="11" s="1"/>
  <c r="AL25" i="11"/>
  <c r="F25" i="11" s="1"/>
  <c r="E25" i="11"/>
  <c r="CR30" i="11"/>
  <c r="CK29" i="11"/>
  <c r="DE28" i="11"/>
  <c r="DG28" i="11"/>
  <c r="DV28" i="11"/>
  <c r="DX28" i="11" s="1"/>
  <c r="DZ28" i="11" s="1"/>
  <c r="DB30" i="11"/>
  <c r="DQ29" i="11"/>
  <c r="HD28" i="11"/>
  <c r="HC29" i="11"/>
  <c r="GN30" i="11"/>
  <c r="HI32" i="11"/>
  <c r="FW30" i="11"/>
  <c r="GS29" i="11"/>
  <c r="GQ29" i="11"/>
  <c r="GP29" i="11" s="1"/>
  <c r="HH29" i="11"/>
  <c r="HJ29" i="11" s="1"/>
  <c r="HL29" i="11" s="1"/>
  <c r="BY30" i="11"/>
  <c r="AD30" i="11"/>
  <c r="GP28" i="11"/>
  <c r="EB30" i="11"/>
  <c r="FF29" i="11"/>
  <c r="DW31" i="11"/>
  <c r="Z30" i="11"/>
  <c r="CJ29" i="11"/>
  <c r="L32" i="11"/>
  <c r="M31" i="11"/>
  <c r="CI29" i="11"/>
  <c r="AC29" i="11"/>
  <c r="AE29" i="11" s="1"/>
  <c r="X30" i="11"/>
  <c r="AN30" i="11"/>
  <c r="BE29" i="11"/>
  <c r="BR29" i="11"/>
  <c r="BT29" i="11" s="1"/>
  <c r="BV29" i="11" s="1"/>
  <c r="BG29" i="11"/>
  <c r="GD30" i="11"/>
  <c r="GD31" i="11" s="1"/>
  <c r="GD32" i="11" s="1"/>
  <c r="GD33" i="11" s="1"/>
  <c r="GD34" i="11" s="1"/>
  <c r="GD35" i="11" s="1"/>
  <c r="GD36" i="11" s="1"/>
  <c r="DT26" i="11"/>
  <c r="DR27" i="11"/>
  <c r="DD27" i="11"/>
  <c r="AH26" i="10"/>
  <c r="AK26" i="10" s="1"/>
  <c r="AL25" i="10"/>
  <c r="F25" i="10" s="1"/>
  <c r="E25" i="10"/>
  <c r="DW31" i="10"/>
  <c r="GP27" i="10"/>
  <c r="DQ29" i="10"/>
  <c r="DB30" i="10"/>
  <c r="AN29" i="10"/>
  <c r="BR28" i="10"/>
  <c r="BT28" i="10" s="1"/>
  <c r="BV28" i="10" s="1"/>
  <c r="BE28" i="10"/>
  <c r="BG28" i="10"/>
  <c r="FW29" i="10"/>
  <c r="GS28" i="10"/>
  <c r="GQ28" i="10"/>
  <c r="HH28" i="10"/>
  <c r="HJ28" i="10" s="1"/>
  <c r="HL28" i="10" s="1"/>
  <c r="AD30" i="10"/>
  <c r="BY30" i="10"/>
  <c r="FU10" i="10"/>
  <c r="FQ11" i="10"/>
  <c r="CK30" i="10"/>
  <c r="DV30" i="10" s="1"/>
  <c r="DG29" i="10"/>
  <c r="DX29" i="10"/>
  <c r="DZ29" i="10" s="1"/>
  <c r="DE29" i="10"/>
  <c r="CI29" i="10"/>
  <c r="X30" i="10"/>
  <c r="CJ28" i="10"/>
  <c r="Z29" i="10"/>
  <c r="AC28" i="10"/>
  <c r="AE28" i="10" s="1"/>
  <c r="CR28" i="10"/>
  <c r="L32" i="10"/>
  <c r="M31" i="10"/>
  <c r="HI34" i="10"/>
  <c r="EB30" i="10"/>
  <c r="FF29" i="10"/>
  <c r="HF26" i="10"/>
  <c r="HO26" i="10"/>
  <c r="DT28" i="9"/>
  <c r="HI30" i="9"/>
  <c r="HH29" i="9"/>
  <c r="HJ29" i="9" s="1"/>
  <c r="HL29" i="9" s="1"/>
  <c r="FW30" i="9"/>
  <c r="GQ29" i="9"/>
  <c r="GS29" i="9"/>
  <c r="DR28" i="9"/>
  <c r="CI29" i="9"/>
  <c r="X30" i="9"/>
  <c r="CK30" i="9"/>
  <c r="DG29" i="9"/>
  <c r="DE29" i="9"/>
  <c r="DD29" i="9" s="1"/>
  <c r="FM29" i="9" s="1"/>
  <c r="DV29" i="9"/>
  <c r="DX29" i="9" s="1"/>
  <c r="DZ29" i="9" s="1"/>
  <c r="BY30" i="9"/>
  <c r="AD30" i="9"/>
  <c r="GF13" i="9"/>
  <c r="M31" i="9"/>
  <c r="L32" i="9"/>
  <c r="DB30" i="9"/>
  <c r="DQ29" i="9"/>
  <c r="DW32" i="9"/>
  <c r="AN29" i="9"/>
  <c r="BE28" i="9"/>
  <c r="BR28" i="9"/>
  <c r="BT28" i="9" s="1"/>
  <c r="BV28" i="9" s="1"/>
  <c r="BG28" i="9"/>
  <c r="Z29" i="9"/>
  <c r="CJ28" i="9"/>
  <c r="CR27" i="9"/>
  <c r="E25" i="9"/>
  <c r="AH26" i="9"/>
  <c r="AK26" i="9" s="1"/>
  <c r="AL25" i="9"/>
  <c r="F25" i="9" s="1"/>
  <c r="AI28" i="9"/>
  <c r="AJ28" i="9" s="1"/>
  <c r="AF28" i="9"/>
  <c r="EB30" i="9"/>
  <c r="FF29" i="9"/>
  <c r="HF28" i="9"/>
  <c r="AF27" i="8"/>
  <c r="AI27" i="8"/>
  <c r="AJ27" i="8" s="1"/>
  <c r="E24" i="8"/>
  <c r="AL24" i="8"/>
  <c r="F24" i="8" s="1"/>
  <c r="AH25" i="8"/>
  <c r="AK25" i="8" s="1"/>
  <c r="CJ29" i="8"/>
  <c r="Z30" i="8"/>
  <c r="CK30" i="8"/>
  <c r="DV30" i="8" s="1"/>
  <c r="DX29" i="8"/>
  <c r="DZ29" i="8" s="1"/>
  <c r="DE29" i="8"/>
  <c r="DG29" i="8"/>
  <c r="DW31" i="8"/>
  <c r="HI33" i="8"/>
  <c r="X29" i="8"/>
  <c r="AC28" i="8"/>
  <c r="AE28" i="8" s="1"/>
  <c r="CI28" i="8"/>
  <c r="HC28" i="8"/>
  <c r="GN29" i="8"/>
  <c r="GS28" i="8"/>
  <c r="GQ28" i="8"/>
  <c r="FW29" i="8"/>
  <c r="HH28" i="8"/>
  <c r="HJ28" i="8" s="1"/>
  <c r="HL28" i="8" s="1"/>
  <c r="DT27" i="8"/>
  <c r="HF27" i="8"/>
  <c r="HO27" i="8"/>
  <c r="GD29" i="8"/>
  <c r="HD27" i="8"/>
  <c r="AD29" i="8"/>
  <c r="BY29" i="8"/>
  <c r="DB29" i="8"/>
  <c r="DD28" i="8"/>
  <c r="FM28" i="8" s="1"/>
  <c r="DQ28" i="8"/>
  <c r="DR28" i="8" s="1"/>
  <c r="AN30" i="8"/>
  <c r="BR29" i="8"/>
  <c r="BT29" i="8" s="1"/>
  <c r="BV29" i="8" s="1"/>
  <c r="BE29" i="8"/>
  <c r="BG29" i="8"/>
  <c r="M30" i="8"/>
  <c r="L31" i="8"/>
  <c r="BR28" i="7"/>
  <c r="BT28" i="7" s="1"/>
  <c r="BV28" i="7" s="1"/>
  <c r="AN29" i="7"/>
  <c r="BG28" i="7"/>
  <c r="BE28" i="7"/>
  <c r="HF26" i="7"/>
  <c r="HO26" i="7"/>
  <c r="AF27" i="7"/>
  <c r="AI27" i="7"/>
  <c r="AJ27" i="7" s="1"/>
  <c r="HI32" i="7"/>
  <c r="X30" i="7"/>
  <c r="CI29" i="7"/>
  <c r="DB29" i="7"/>
  <c r="DQ28" i="7"/>
  <c r="DW30" i="7"/>
  <c r="HN16" i="7"/>
  <c r="HP16" i="7" s="1"/>
  <c r="GC16" i="7"/>
  <c r="GD28" i="7"/>
  <c r="CR27" i="7"/>
  <c r="FO12" i="7"/>
  <c r="FR12" i="7"/>
  <c r="FS12" i="7" s="1"/>
  <c r="HF27" i="7"/>
  <c r="HO27" i="7"/>
  <c r="HD27" i="7"/>
  <c r="M30" i="7"/>
  <c r="L31" i="7"/>
  <c r="FW29" i="7"/>
  <c r="GS28" i="7"/>
  <c r="GQ28" i="7"/>
  <c r="GP28" i="7" s="1"/>
  <c r="HH28" i="7"/>
  <c r="HJ28" i="7" s="1"/>
  <c r="HL28" i="7" s="1"/>
  <c r="CU13" i="7"/>
  <c r="CS13" i="7"/>
  <c r="GN29" i="7"/>
  <c r="HC28" i="7"/>
  <c r="AL24" i="7"/>
  <c r="F24" i="7" s="1"/>
  <c r="AH25" i="7"/>
  <c r="AK25" i="7" s="1"/>
  <c r="E24" i="7"/>
  <c r="AD29" i="7"/>
  <c r="BY29" i="7"/>
  <c r="AF28" i="6"/>
  <c r="AI28" i="6"/>
  <c r="AN30" i="6"/>
  <c r="BE29" i="6"/>
  <c r="BR29" i="6"/>
  <c r="BT29" i="6" s="1"/>
  <c r="BV29" i="6" s="1"/>
  <c r="BG29" i="6"/>
  <c r="AC29" i="6"/>
  <c r="AE29" i="6" s="1"/>
  <c r="X30" i="6"/>
  <c r="CI29" i="6"/>
  <c r="HF28" i="6"/>
  <c r="HO28" i="6"/>
  <c r="FW30" i="6"/>
  <c r="GS29" i="6"/>
  <c r="GQ29" i="6"/>
  <c r="HH29" i="6"/>
  <c r="HJ29" i="6" s="1"/>
  <c r="HL29" i="6" s="1"/>
  <c r="CK30" i="6"/>
  <c r="DG29" i="6"/>
  <c r="DE29" i="6"/>
  <c r="DV29" i="6"/>
  <c r="DX29" i="6" s="1"/>
  <c r="DZ29" i="6" s="1"/>
  <c r="GN30" i="6"/>
  <c r="HC29" i="6"/>
  <c r="HD28" i="6"/>
  <c r="DR28" i="6"/>
  <c r="AL26" i="6"/>
  <c r="F26" i="6" s="1"/>
  <c r="AH27" i="6"/>
  <c r="AK27" i="6" s="1"/>
  <c r="E26" i="6"/>
  <c r="HF27" i="6"/>
  <c r="HO27" i="6"/>
  <c r="BY30" i="6"/>
  <c r="AD30" i="6"/>
  <c r="DB30" i="6"/>
  <c r="DQ29" i="6"/>
  <c r="M31" i="6"/>
  <c r="L32" i="6"/>
  <c r="Z31" i="6"/>
  <c r="CJ30" i="6"/>
  <c r="EB30" i="6"/>
  <c r="FF29" i="6"/>
  <c r="DW32" i="6"/>
  <c r="DT28" i="6"/>
  <c r="GD27" i="6"/>
  <c r="HI32" i="6"/>
  <c r="AF28" i="5"/>
  <c r="AI28" i="5"/>
  <c r="AJ28" i="5" s="1"/>
  <c r="AH26" i="5"/>
  <c r="AK26" i="5" s="1"/>
  <c r="E25" i="5"/>
  <c r="AL25" i="5"/>
  <c r="F25" i="5" s="1"/>
  <c r="BY30" i="5"/>
  <c r="AD30" i="5"/>
  <c r="M31" i="5"/>
  <c r="L32" i="5"/>
  <c r="DD28" i="5"/>
  <c r="FM28" i="5" s="1"/>
  <c r="EB31" i="5"/>
  <c r="FF30" i="5"/>
  <c r="CR29" i="5"/>
  <c r="HC29" i="5"/>
  <c r="GN30" i="5"/>
  <c r="CK30" i="5"/>
  <c r="DE29" i="5"/>
  <c r="DG29" i="5"/>
  <c r="DV29" i="5"/>
  <c r="DX29" i="5" s="1"/>
  <c r="DZ29" i="5" s="1"/>
  <c r="HI31" i="5"/>
  <c r="HD27" i="5"/>
  <c r="GP27" i="5"/>
  <c r="GD28" i="5"/>
  <c r="Z30" i="5"/>
  <c r="CJ29" i="5"/>
  <c r="FW29" i="5"/>
  <c r="GS28" i="5"/>
  <c r="GQ28" i="5"/>
  <c r="HH28" i="5"/>
  <c r="HJ28" i="5" s="1"/>
  <c r="HL28" i="5" s="1"/>
  <c r="CI29" i="5"/>
  <c r="AC29" i="5"/>
  <c r="AE29" i="5" s="1"/>
  <c r="X30" i="5"/>
  <c r="BR29" i="5"/>
  <c r="BT29" i="5" s="1"/>
  <c r="BV29" i="5" s="1"/>
  <c r="AN30" i="5"/>
  <c r="BG29" i="5"/>
  <c r="BE29" i="5"/>
  <c r="HF26" i="5"/>
  <c r="HO26" i="5"/>
  <c r="GQ28" i="3"/>
  <c r="GS28" i="3"/>
  <c r="DV28" i="3"/>
  <c r="DX28" i="3" s="1"/>
  <c r="DZ28" i="3" s="1"/>
  <c r="DE28" i="3"/>
  <c r="DG28" i="3"/>
  <c r="DT26" i="3"/>
  <c r="GP27" i="3"/>
  <c r="HF27" i="3" s="1"/>
  <c r="HD27" i="3"/>
  <c r="X29" i="3"/>
  <c r="GN36" i="3"/>
  <c r="AC28" i="3"/>
  <c r="AE28" i="3" s="1"/>
  <c r="DD27" i="3"/>
  <c r="HC33" i="3"/>
  <c r="HH28" i="3"/>
  <c r="HJ28" i="3" s="1"/>
  <c r="HL28" i="3" s="1"/>
  <c r="BG28" i="3"/>
  <c r="BR28" i="3"/>
  <c r="BT28" i="3" s="1"/>
  <c r="BV28" i="3" s="1"/>
  <c r="BE28" i="3"/>
  <c r="EB30" i="3"/>
  <c r="EU29" i="3"/>
  <c r="ES29" i="3"/>
  <c r="FF29" i="3"/>
  <c r="FH29" i="3" s="1"/>
  <c r="DR27" i="3"/>
  <c r="AN29" i="3"/>
  <c r="FW29" i="3"/>
  <c r="AD29" i="3"/>
  <c r="BY29" i="3"/>
  <c r="L31" i="3"/>
  <c r="M30" i="3"/>
  <c r="DW31" i="3"/>
  <c r="DQ32" i="3"/>
  <c r="CK29" i="3"/>
  <c r="BP28" i="3"/>
  <c r="FU12" i="12" l="1"/>
  <c r="G12" i="12"/>
  <c r="HF27" i="9"/>
  <c r="HO27" i="9"/>
  <c r="CJ29" i="7"/>
  <c r="Z30" i="7"/>
  <c r="AC29" i="7"/>
  <c r="AE29" i="7" s="1"/>
  <c r="GN29" i="9"/>
  <c r="HC28" i="9"/>
  <c r="HD28" i="9" s="1"/>
  <c r="GP29" i="9"/>
  <c r="DB29" i="5"/>
  <c r="DQ28" i="5"/>
  <c r="DR28" i="5" s="1"/>
  <c r="Z30" i="3"/>
  <c r="AC30" i="3" s="1"/>
  <c r="CJ29" i="3"/>
  <c r="HC28" i="10"/>
  <c r="HD28" i="10" s="1"/>
  <c r="GN29" i="10"/>
  <c r="FT12" i="5"/>
  <c r="G12" i="5" s="1"/>
  <c r="FT12" i="7"/>
  <c r="G12" i="7" s="1"/>
  <c r="GB14" i="11"/>
  <c r="HN14" i="11" s="1"/>
  <c r="HP14" i="11" s="1"/>
  <c r="GF14" i="11"/>
  <c r="GB13" i="9"/>
  <c r="GC13" i="9" s="1"/>
  <c r="GE14" i="9" s="1"/>
  <c r="HE14" i="9" s="1"/>
  <c r="HN13" i="6"/>
  <c r="HP13" i="6" s="1"/>
  <c r="HT13" i="6" s="1"/>
  <c r="HU13" i="6" s="1"/>
  <c r="G12" i="9"/>
  <c r="HV13" i="11"/>
  <c r="I13" i="11" s="1"/>
  <c r="GC14" i="8"/>
  <c r="GE15" i="8" s="1"/>
  <c r="FU12" i="9"/>
  <c r="GE14" i="6"/>
  <c r="HE14" i="6" s="1"/>
  <c r="HV12" i="12"/>
  <c r="HS13" i="12" s="1"/>
  <c r="HQ12" i="12"/>
  <c r="HW11" i="5"/>
  <c r="J11" i="5" s="1"/>
  <c r="GC14" i="11"/>
  <c r="HQ12" i="9"/>
  <c r="DR27" i="7"/>
  <c r="G10" i="8"/>
  <c r="I11" i="5"/>
  <c r="GB13" i="12"/>
  <c r="GC13" i="12" s="1"/>
  <c r="DR28" i="12"/>
  <c r="HV12" i="9"/>
  <c r="HS13" i="9" s="1"/>
  <c r="CT14" i="9"/>
  <c r="CP14" i="9"/>
  <c r="AJ28" i="6"/>
  <c r="GF13" i="12"/>
  <c r="I12" i="6"/>
  <c r="DT28" i="12"/>
  <c r="HT14" i="8"/>
  <c r="HU14" i="8" s="1"/>
  <c r="CT12" i="10"/>
  <c r="HD28" i="8"/>
  <c r="CQ13" i="5"/>
  <c r="CU14" i="5" s="1"/>
  <c r="GC12" i="5"/>
  <c r="HN12" i="5"/>
  <c r="HP12" i="5" s="1"/>
  <c r="FF28" i="8"/>
  <c r="EB29" i="8"/>
  <c r="X30" i="3"/>
  <c r="CI30" i="3" s="1"/>
  <c r="CI29" i="3"/>
  <c r="DE28" i="7"/>
  <c r="DD28" i="7" s="1"/>
  <c r="FM28" i="7" s="1"/>
  <c r="DV28" i="7"/>
  <c r="DX28" i="7" s="1"/>
  <c r="DZ28" i="7" s="1"/>
  <c r="DG28" i="7"/>
  <c r="CK29" i="7"/>
  <c r="EB29" i="7"/>
  <c r="FF28" i="7"/>
  <c r="CK30" i="12"/>
  <c r="DE29" i="12"/>
  <c r="DD29" i="12" s="1"/>
  <c r="FM29" i="12" s="1"/>
  <c r="DV29" i="12"/>
  <c r="DX29" i="12" s="1"/>
  <c r="DZ29" i="12" s="1"/>
  <c r="DG29" i="12"/>
  <c r="FR13" i="9"/>
  <c r="FS13" i="9" s="1"/>
  <c r="FO13" i="9"/>
  <c r="FR11" i="10"/>
  <c r="FS11" i="10" s="1"/>
  <c r="FR12" i="11"/>
  <c r="FS12" i="11" s="1"/>
  <c r="FO12" i="11"/>
  <c r="DT28" i="10"/>
  <c r="CS13" i="11"/>
  <c r="CU13" i="11"/>
  <c r="CP12" i="10"/>
  <c r="FL12" i="10" s="1"/>
  <c r="FN12" i="10" s="1"/>
  <c r="FR12" i="10" s="1"/>
  <c r="FL13" i="12"/>
  <c r="FN13" i="12" s="1"/>
  <c r="CQ13" i="12"/>
  <c r="CP13" i="6"/>
  <c r="CQ13" i="6" s="1"/>
  <c r="CU14" i="6" s="1"/>
  <c r="FL11" i="8"/>
  <c r="FN11" i="8" s="1"/>
  <c r="FR11" i="8" s="1"/>
  <c r="FR13" i="5"/>
  <c r="FO13" i="5"/>
  <c r="CT13" i="6"/>
  <c r="HW12" i="6"/>
  <c r="J12" i="6" s="1"/>
  <c r="HV13" i="8"/>
  <c r="HS14" i="8" s="1"/>
  <c r="GE13" i="10"/>
  <c r="GG13" i="10"/>
  <c r="HT12" i="10"/>
  <c r="HU12" i="10" s="1"/>
  <c r="HQ12" i="10"/>
  <c r="CU12" i="8"/>
  <c r="CS12" i="8"/>
  <c r="FQ11" i="8"/>
  <c r="FU10" i="8"/>
  <c r="FO12" i="6"/>
  <c r="FR12" i="6"/>
  <c r="FS12" i="6" s="1"/>
  <c r="AI28" i="7"/>
  <c r="AJ28" i="7" s="1"/>
  <c r="HQ14" i="8"/>
  <c r="AF28" i="7"/>
  <c r="AF29" i="12"/>
  <c r="AI29" i="12"/>
  <c r="AJ29" i="12" s="1"/>
  <c r="EB31" i="12"/>
  <c r="FF30" i="12"/>
  <c r="X31" i="12"/>
  <c r="CI30" i="12"/>
  <c r="AC30" i="12"/>
  <c r="AE30" i="12" s="1"/>
  <c r="DB31" i="12"/>
  <c r="DQ30" i="12"/>
  <c r="AN30" i="12"/>
  <c r="BG29" i="12"/>
  <c r="BE29" i="12"/>
  <c r="BR29" i="12"/>
  <c r="BT29" i="12" s="1"/>
  <c r="BV29" i="12" s="1"/>
  <c r="BY31" i="12"/>
  <c r="AD31" i="12"/>
  <c r="L33" i="12"/>
  <c r="M32" i="12"/>
  <c r="DW32" i="12"/>
  <c r="AH27" i="12"/>
  <c r="AK27" i="12" s="1"/>
  <c r="AL26" i="12"/>
  <c r="F26" i="12" s="1"/>
  <c r="E26" i="12"/>
  <c r="Z30" i="12"/>
  <c r="CJ29" i="12"/>
  <c r="HI32" i="12"/>
  <c r="HD28" i="12"/>
  <c r="GP28" i="12"/>
  <c r="HF27" i="12"/>
  <c r="HO27" i="12"/>
  <c r="FW30" i="12"/>
  <c r="GQ29" i="12"/>
  <c r="GS29" i="12"/>
  <c r="HH29" i="12"/>
  <c r="HJ29" i="12" s="1"/>
  <c r="HL29" i="12" s="1"/>
  <c r="GN31" i="12"/>
  <c r="HC30" i="12"/>
  <c r="AI29" i="11"/>
  <c r="AJ29" i="11" s="1"/>
  <c r="AF29" i="11"/>
  <c r="E26" i="11"/>
  <c r="AH27" i="11"/>
  <c r="AK27" i="11" s="1"/>
  <c r="AL26" i="11"/>
  <c r="F26" i="11" s="1"/>
  <c r="AD31" i="11"/>
  <c r="BY31" i="11"/>
  <c r="CK30" i="11"/>
  <c r="DG29" i="11"/>
  <c r="DE29" i="11"/>
  <c r="DV29" i="11"/>
  <c r="DX29" i="11" s="1"/>
  <c r="DZ29" i="11" s="1"/>
  <c r="M32" i="11"/>
  <c r="L33" i="11"/>
  <c r="HD29" i="11"/>
  <c r="AN31" i="11"/>
  <c r="BG30" i="11"/>
  <c r="BR30" i="11"/>
  <c r="BT30" i="11" s="1"/>
  <c r="BV30" i="11" s="1"/>
  <c r="BE30" i="11"/>
  <c r="GQ30" i="11"/>
  <c r="FW31" i="11"/>
  <c r="GS30" i="11"/>
  <c r="HH30" i="11"/>
  <c r="HJ30" i="11" s="1"/>
  <c r="HL30" i="11" s="1"/>
  <c r="CJ30" i="11"/>
  <c r="Z31" i="11"/>
  <c r="DT27" i="11"/>
  <c r="X31" i="11"/>
  <c r="AC30" i="11"/>
  <c r="AE30" i="11" s="1"/>
  <c r="CI30" i="11"/>
  <c r="DW32" i="11"/>
  <c r="HI33" i="11"/>
  <c r="FF30" i="11"/>
  <c r="EB31" i="11"/>
  <c r="HC30" i="11"/>
  <c r="GN31" i="11"/>
  <c r="DQ30" i="11"/>
  <c r="DB31" i="11"/>
  <c r="HF28" i="11"/>
  <c r="HO28" i="11"/>
  <c r="HF29" i="11"/>
  <c r="HO29" i="11"/>
  <c r="DR28" i="11"/>
  <c r="DD28" i="11"/>
  <c r="FM28" i="11" s="1"/>
  <c r="AL26" i="10"/>
  <c r="F26" i="10" s="1"/>
  <c r="E26" i="10"/>
  <c r="AH27" i="10"/>
  <c r="AK27" i="10" s="1"/>
  <c r="CJ29" i="10"/>
  <c r="Z30" i="10"/>
  <c r="GP28" i="10"/>
  <c r="DX30" i="10"/>
  <c r="DZ30" i="10" s="1"/>
  <c r="CK31" i="10"/>
  <c r="DE30" i="10"/>
  <c r="DG30" i="10"/>
  <c r="FW30" i="10"/>
  <c r="GQ29" i="10"/>
  <c r="GS29" i="10"/>
  <c r="HH29" i="10"/>
  <c r="HJ29" i="10" s="1"/>
  <c r="HL29" i="10" s="1"/>
  <c r="HI35" i="10"/>
  <c r="HF27" i="10"/>
  <c r="HO27" i="10"/>
  <c r="DW32" i="10"/>
  <c r="AD31" i="10"/>
  <c r="BY31" i="10"/>
  <c r="AN30" i="10"/>
  <c r="BR29" i="10"/>
  <c r="BT29" i="10" s="1"/>
  <c r="BV29" i="10" s="1"/>
  <c r="BE29" i="10"/>
  <c r="BG29" i="10"/>
  <c r="CR29" i="10"/>
  <c r="CI30" i="10"/>
  <c r="X31" i="10"/>
  <c r="AC30" i="10"/>
  <c r="AE30" i="10" s="1"/>
  <c r="L33" i="10"/>
  <c r="M32" i="10"/>
  <c r="DB31" i="10"/>
  <c r="DQ30" i="10"/>
  <c r="EB31" i="10"/>
  <c r="FF30" i="10"/>
  <c r="AC29" i="10"/>
  <c r="AE29" i="10" s="1"/>
  <c r="AI28" i="10"/>
  <c r="AJ28" i="10" s="1"/>
  <c r="AF28" i="10"/>
  <c r="DR29" i="10"/>
  <c r="DD29" i="10"/>
  <c r="FM29" i="10" s="1"/>
  <c r="DT29" i="9"/>
  <c r="AL26" i="9"/>
  <c r="F26" i="9" s="1"/>
  <c r="E26" i="9"/>
  <c r="AH27" i="9"/>
  <c r="AK27" i="9" s="1"/>
  <c r="EB31" i="9"/>
  <c r="FF30" i="9"/>
  <c r="CK31" i="9"/>
  <c r="DE30" i="9"/>
  <c r="DD30" i="9" s="1"/>
  <c r="FM30" i="9" s="1"/>
  <c r="DG30" i="9"/>
  <c r="DV30" i="9"/>
  <c r="DX30" i="9" s="1"/>
  <c r="DZ30" i="9" s="1"/>
  <c r="X31" i="9"/>
  <c r="CI30" i="9"/>
  <c r="Z30" i="9"/>
  <c r="AC30" i="9" s="1"/>
  <c r="AE30" i="9" s="1"/>
  <c r="CJ29" i="9"/>
  <c r="DB31" i="9"/>
  <c r="DQ30" i="9"/>
  <c r="AC29" i="9"/>
  <c r="AE29" i="9" s="1"/>
  <c r="FW31" i="9"/>
  <c r="GS30" i="9"/>
  <c r="GQ30" i="9"/>
  <c r="CR28" i="9"/>
  <c r="GG14" i="9"/>
  <c r="L33" i="9"/>
  <c r="M32" i="9"/>
  <c r="BY31" i="9"/>
  <c r="AD31" i="9"/>
  <c r="HH30" i="9"/>
  <c r="HJ30" i="9" s="1"/>
  <c r="HL30" i="9" s="1"/>
  <c r="HI31" i="9"/>
  <c r="HF29" i="9"/>
  <c r="HO29" i="9"/>
  <c r="AN30" i="9"/>
  <c r="BG29" i="9"/>
  <c r="BR29" i="9"/>
  <c r="BT29" i="9" s="1"/>
  <c r="BV29" i="9" s="1"/>
  <c r="BE29" i="9"/>
  <c r="DR29" i="9"/>
  <c r="DW33" i="9"/>
  <c r="AI28" i="8"/>
  <c r="AJ28" i="8" s="1"/>
  <c r="AF28" i="8"/>
  <c r="AH26" i="8"/>
  <c r="AK26" i="8" s="1"/>
  <c r="E25" i="8"/>
  <c r="AL25" i="8"/>
  <c r="F25" i="8" s="1"/>
  <c r="DD29" i="8"/>
  <c r="FM29" i="8" s="1"/>
  <c r="DQ29" i="8"/>
  <c r="DR29" i="8" s="1"/>
  <c r="DB30" i="8"/>
  <c r="DW32" i="8"/>
  <c r="GN30" i="8"/>
  <c r="HC29" i="8"/>
  <c r="GP28" i="8"/>
  <c r="BY30" i="8"/>
  <c r="AD30" i="8"/>
  <c r="DX30" i="8"/>
  <c r="DZ30" i="8" s="1"/>
  <c r="CK31" i="8"/>
  <c r="DV31" i="8" s="1"/>
  <c r="DE30" i="8"/>
  <c r="DG30" i="8"/>
  <c r="CJ30" i="8"/>
  <c r="Z31" i="8"/>
  <c r="AN31" i="8"/>
  <c r="BR30" i="8"/>
  <c r="BT30" i="8" s="1"/>
  <c r="BV30" i="8" s="1"/>
  <c r="BE30" i="8"/>
  <c r="BG30" i="8"/>
  <c r="AC29" i="8"/>
  <c r="AE29" i="8" s="1"/>
  <c r="X30" i="8"/>
  <c r="CI29" i="8"/>
  <c r="L32" i="8"/>
  <c r="M31" i="8"/>
  <c r="GD30" i="8"/>
  <c r="GD31" i="8" s="1"/>
  <c r="GD32" i="8" s="1"/>
  <c r="GD33" i="8" s="1"/>
  <c r="GD34" i="8" s="1"/>
  <c r="GD35" i="8" s="1"/>
  <c r="GD36" i="8" s="1"/>
  <c r="FW30" i="8"/>
  <c r="GQ29" i="8"/>
  <c r="GP29" i="8" s="1"/>
  <c r="GS29" i="8"/>
  <c r="HH29" i="8"/>
  <c r="HJ29" i="8" s="1"/>
  <c r="HL29" i="8" s="1"/>
  <c r="DT28" i="8"/>
  <c r="HI34" i="8"/>
  <c r="X31" i="7"/>
  <c r="CI30" i="7"/>
  <c r="AC30" i="7"/>
  <c r="HQ16" i="7"/>
  <c r="HT16" i="7"/>
  <c r="HU16" i="7" s="1"/>
  <c r="DW31" i="7"/>
  <c r="FW30" i="7"/>
  <c r="GS29" i="7"/>
  <c r="GQ29" i="7"/>
  <c r="HH29" i="7"/>
  <c r="HJ29" i="7" s="1"/>
  <c r="HL29" i="7" s="1"/>
  <c r="L32" i="7"/>
  <c r="M31" i="7"/>
  <c r="CR28" i="7"/>
  <c r="HF28" i="7"/>
  <c r="HO28" i="7"/>
  <c r="DS13" i="7"/>
  <c r="CT13" i="7"/>
  <c r="GD29" i="7"/>
  <c r="CP13" i="7"/>
  <c r="HI33" i="7"/>
  <c r="BY30" i="7"/>
  <c r="AD30" i="7"/>
  <c r="GG17" i="7"/>
  <c r="GE17" i="7"/>
  <c r="HC29" i="7"/>
  <c r="GN30" i="7"/>
  <c r="DB30" i="7"/>
  <c r="DQ29" i="7"/>
  <c r="AL25" i="7"/>
  <c r="F25" i="7" s="1"/>
  <c r="AH26" i="7"/>
  <c r="AK26" i="7" s="1"/>
  <c r="E25" i="7"/>
  <c r="AN30" i="7"/>
  <c r="BE29" i="7"/>
  <c r="BG29" i="7"/>
  <c r="BR29" i="7"/>
  <c r="BT29" i="7" s="1"/>
  <c r="BV29" i="7" s="1"/>
  <c r="HD28" i="7"/>
  <c r="AN31" i="6"/>
  <c r="BG30" i="6"/>
  <c r="BE30" i="6"/>
  <c r="BR30" i="6"/>
  <c r="BT30" i="6" s="1"/>
  <c r="BV30" i="6" s="1"/>
  <c r="EB31" i="6"/>
  <c r="FF30" i="6"/>
  <c r="CI30" i="6"/>
  <c r="X31" i="6"/>
  <c r="AC30" i="6"/>
  <c r="AE30" i="6" s="1"/>
  <c r="AI29" i="6"/>
  <c r="AF29" i="6"/>
  <c r="Z32" i="6"/>
  <c r="CJ31" i="6"/>
  <c r="DR29" i="6"/>
  <c r="HI33" i="6"/>
  <c r="M32" i="6"/>
  <c r="L33" i="6"/>
  <c r="GD28" i="6"/>
  <c r="BY31" i="6"/>
  <c r="AD31" i="6"/>
  <c r="CK31" i="6"/>
  <c r="DE30" i="6"/>
  <c r="DG30" i="6"/>
  <c r="DV30" i="6"/>
  <c r="DX30" i="6" s="1"/>
  <c r="DZ30" i="6" s="1"/>
  <c r="E27" i="6"/>
  <c r="AH28" i="6"/>
  <c r="AK28" i="6" s="1"/>
  <c r="AL27" i="6"/>
  <c r="F27" i="6" s="1"/>
  <c r="DB31" i="6"/>
  <c r="DQ30" i="6"/>
  <c r="HD29" i="6"/>
  <c r="HC30" i="6"/>
  <c r="GN31" i="6"/>
  <c r="DD29" i="6"/>
  <c r="FM29" i="6" s="1"/>
  <c r="DW33" i="6"/>
  <c r="GP29" i="6"/>
  <c r="FW31" i="6"/>
  <c r="GS30" i="6"/>
  <c r="GQ30" i="6"/>
  <c r="GP30" i="6" s="1"/>
  <c r="HH30" i="6"/>
  <c r="HJ30" i="6" s="1"/>
  <c r="HL30" i="6" s="1"/>
  <c r="AI29" i="5"/>
  <c r="AJ29" i="5" s="1"/>
  <c r="AF29" i="5"/>
  <c r="HF27" i="5"/>
  <c r="HO27" i="5"/>
  <c r="CR30" i="5"/>
  <c r="HD28" i="5"/>
  <c r="GP28" i="5"/>
  <c r="CK31" i="5"/>
  <c r="DE30" i="5"/>
  <c r="DG30" i="5"/>
  <c r="DV30" i="5"/>
  <c r="DX30" i="5" s="1"/>
  <c r="DZ30" i="5" s="1"/>
  <c r="FW30" i="5"/>
  <c r="GQ29" i="5"/>
  <c r="GS29" i="5"/>
  <c r="HH29" i="5"/>
  <c r="HJ29" i="5" s="1"/>
  <c r="HL29" i="5" s="1"/>
  <c r="DD29" i="5"/>
  <c r="FM29" i="5" s="1"/>
  <c r="HI32" i="5"/>
  <c r="AL26" i="5"/>
  <c r="F26" i="5" s="1"/>
  <c r="E26" i="5"/>
  <c r="AH27" i="5"/>
  <c r="AK27" i="5" s="1"/>
  <c r="HC30" i="5"/>
  <c r="GN31" i="5"/>
  <c r="DT28" i="5"/>
  <c r="EB32" i="5"/>
  <c r="FF31" i="5"/>
  <c r="M32" i="5"/>
  <c r="L33" i="5"/>
  <c r="AN31" i="5"/>
  <c r="BG30" i="5"/>
  <c r="BE30" i="5"/>
  <c r="BR30" i="5"/>
  <c r="BT30" i="5" s="1"/>
  <c r="BV30" i="5" s="1"/>
  <c r="CJ30" i="5"/>
  <c r="Z31" i="5"/>
  <c r="CI30" i="5"/>
  <c r="X31" i="5"/>
  <c r="AC30" i="5"/>
  <c r="AE30" i="5" s="1"/>
  <c r="GD29" i="5"/>
  <c r="AD31" i="5"/>
  <c r="BY31" i="5"/>
  <c r="AC29" i="3"/>
  <c r="AE29" i="3" s="1"/>
  <c r="GS29" i="3"/>
  <c r="GQ29" i="3"/>
  <c r="DV29" i="3"/>
  <c r="DX29" i="3" s="1"/>
  <c r="DZ29" i="3" s="1"/>
  <c r="DE29" i="3"/>
  <c r="DG29" i="3"/>
  <c r="DT27" i="3"/>
  <c r="GN37" i="3"/>
  <c r="DD28" i="3"/>
  <c r="FM28" i="3" s="1"/>
  <c r="GP28" i="3"/>
  <c r="HF28" i="3" s="1"/>
  <c r="HD28" i="3"/>
  <c r="HC34" i="3"/>
  <c r="BE29" i="3"/>
  <c r="BR29" i="3"/>
  <c r="BT29" i="3" s="1"/>
  <c r="BV29" i="3" s="1"/>
  <c r="BG29" i="3"/>
  <c r="EB31" i="3"/>
  <c r="EU30" i="3"/>
  <c r="ES30" i="3"/>
  <c r="FF30" i="3"/>
  <c r="FH30" i="3" s="1"/>
  <c r="DR28" i="3"/>
  <c r="FW30" i="3"/>
  <c r="AN30" i="3"/>
  <c r="AD30" i="3"/>
  <c r="BY30" i="3"/>
  <c r="L32" i="3"/>
  <c r="M31" i="3"/>
  <c r="DW32" i="3"/>
  <c r="DQ33" i="3"/>
  <c r="BP29" i="3"/>
  <c r="X31" i="3"/>
  <c r="CI31" i="3" s="1"/>
  <c r="CK30" i="3"/>
  <c r="HH29" i="3"/>
  <c r="HJ29" i="3" s="1"/>
  <c r="HL29" i="3" s="1"/>
  <c r="FQ13" i="7" l="1"/>
  <c r="FU12" i="7"/>
  <c r="FU12" i="5"/>
  <c r="FQ13" i="5"/>
  <c r="HC29" i="10"/>
  <c r="GN30" i="10"/>
  <c r="Z31" i="3"/>
  <c r="CJ30" i="3"/>
  <c r="DQ29" i="5"/>
  <c r="DR29" i="5" s="1"/>
  <c r="DB30" i="5"/>
  <c r="HC29" i="9"/>
  <c r="HD29" i="9" s="1"/>
  <c r="GN30" i="9"/>
  <c r="CJ30" i="7"/>
  <c r="Z31" i="7"/>
  <c r="HV12" i="10"/>
  <c r="I12" i="10" s="1"/>
  <c r="FT12" i="11"/>
  <c r="G12" i="11" s="1"/>
  <c r="FT12" i="6"/>
  <c r="FQ13" i="6" s="1"/>
  <c r="HQ13" i="6"/>
  <c r="HN13" i="9"/>
  <c r="HP13" i="9" s="1"/>
  <c r="HT13" i="9" s="1"/>
  <c r="HU13" i="9" s="1"/>
  <c r="HS14" i="11"/>
  <c r="HW13" i="11"/>
  <c r="J13" i="11" s="1"/>
  <c r="AJ29" i="6"/>
  <c r="GG15" i="8"/>
  <c r="GB15" i="8" s="1"/>
  <c r="I12" i="12"/>
  <c r="HW12" i="12"/>
  <c r="J12" i="12" s="1"/>
  <c r="HN13" i="12"/>
  <c r="HP13" i="12" s="1"/>
  <c r="HQ13" i="12" s="1"/>
  <c r="GB14" i="6"/>
  <c r="GC14" i="6" s="1"/>
  <c r="GG15" i="6" s="1"/>
  <c r="GF14" i="6"/>
  <c r="I12" i="9"/>
  <c r="HW12" i="9"/>
  <c r="J12" i="9" s="1"/>
  <c r="GG15" i="11"/>
  <c r="GE15" i="11"/>
  <c r="HT14" i="11"/>
  <c r="HU14" i="11" s="1"/>
  <c r="HQ14" i="11"/>
  <c r="HV14" i="8"/>
  <c r="I14" i="8" s="1"/>
  <c r="FL14" i="9"/>
  <c r="FN14" i="9" s="1"/>
  <c r="FR14" i="9" s="1"/>
  <c r="FS14" i="9" s="1"/>
  <c r="CQ14" i="9"/>
  <c r="HW13" i="8"/>
  <c r="J13" i="8" s="1"/>
  <c r="DT28" i="7"/>
  <c r="CP13" i="11"/>
  <c r="CQ13" i="11" s="1"/>
  <c r="CS14" i="5"/>
  <c r="DS14" i="5" s="1"/>
  <c r="FT13" i="9"/>
  <c r="FQ14" i="9" s="1"/>
  <c r="GB13" i="10"/>
  <c r="GC13" i="10" s="1"/>
  <c r="GG14" i="10" s="1"/>
  <c r="I13" i="8"/>
  <c r="DT29" i="12"/>
  <c r="DR29" i="12"/>
  <c r="CK30" i="7"/>
  <c r="DG29" i="7"/>
  <c r="DE29" i="7"/>
  <c r="DD29" i="7" s="1"/>
  <c r="FM29" i="7" s="1"/>
  <c r="DV29" i="7"/>
  <c r="DX29" i="7" s="1"/>
  <c r="DZ29" i="7" s="1"/>
  <c r="AI29" i="7"/>
  <c r="AJ29" i="7" s="1"/>
  <c r="AE30" i="7"/>
  <c r="DR28" i="7"/>
  <c r="CK31" i="12"/>
  <c r="DG30" i="12"/>
  <c r="DE30" i="12"/>
  <c r="DD30" i="12" s="1"/>
  <c r="FM30" i="12" s="1"/>
  <c r="DV30" i="12"/>
  <c r="DX30" i="12" s="1"/>
  <c r="DZ30" i="12" s="1"/>
  <c r="FF29" i="8"/>
  <c r="EB30" i="8"/>
  <c r="FS12" i="10"/>
  <c r="HQ12" i="5"/>
  <c r="HT12" i="5"/>
  <c r="HU12" i="5" s="1"/>
  <c r="FT11" i="10"/>
  <c r="G11" i="10" s="1"/>
  <c r="EB30" i="7"/>
  <c r="FF29" i="7"/>
  <c r="GG13" i="5"/>
  <c r="GE13" i="5"/>
  <c r="FO11" i="8"/>
  <c r="CQ12" i="10"/>
  <c r="CU13" i="10" s="1"/>
  <c r="DS13" i="11"/>
  <c r="CT13" i="11"/>
  <c r="CS14" i="6"/>
  <c r="DS14" i="6" s="1"/>
  <c r="FL13" i="6"/>
  <c r="FN13" i="6" s="1"/>
  <c r="FR13" i="6" s="1"/>
  <c r="FS13" i="6" s="1"/>
  <c r="CS14" i="12"/>
  <c r="CU14" i="12"/>
  <c r="FO13" i="12"/>
  <c r="FR13" i="12"/>
  <c r="FS13" i="12" s="1"/>
  <c r="DR30" i="10"/>
  <c r="FS13" i="5"/>
  <c r="FT13" i="5"/>
  <c r="DR30" i="6"/>
  <c r="HV16" i="7"/>
  <c r="HW16" i="7" s="1"/>
  <c r="J16" i="7" s="1"/>
  <c r="HQ13" i="9"/>
  <c r="GG14" i="12"/>
  <c r="GE14" i="12"/>
  <c r="CT12" i="8"/>
  <c r="DS12" i="8"/>
  <c r="CP12" i="8"/>
  <c r="HV13" i="6"/>
  <c r="I13" i="6" s="1"/>
  <c r="HE13" i="10"/>
  <c r="GF13" i="10"/>
  <c r="FS11" i="8"/>
  <c r="FT11" i="8"/>
  <c r="HE15" i="8"/>
  <c r="GF15" i="8"/>
  <c r="HD30" i="11"/>
  <c r="GP30" i="11"/>
  <c r="HF30" i="11" s="1"/>
  <c r="FO12" i="10"/>
  <c r="HD29" i="8"/>
  <c r="HD29" i="7"/>
  <c r="AF29" i="7"/>
  <c r="AH28" i="12"/>
  <c r="AK28" i="12" s="1"/>
  <c r="E27" i="12"/>
  <c r="AL27" i="12"/>
  <c r="F27" i="12" s="1"/>
  <c r="DQ31" i="12"/>
  <c r="DB32" i="12"/>
  <c r="DW33" i="12"/>
  <c r="HI33" i="12"/>
  <c r="HD29" i="12"/>
  <c r="GP29" i="12"/>
  <c r="M33" i="12"/>
  <c r="L34" i="12"/>
  <c r="FW31" i="12"/>
  <c r="GS30" i="12"/>
  <c r="GQ30" i="12"/>
  <c r="HH30" i="12"/>
  <c r="HJ30" i="12" s="1"/>
  <c r="HL30" i="12" s="1"/>
  <c r="X32" i="12"/>
  <c r="CI31" i="12"/>
  <c r="AD32" i="12"/>
  <c r="BY32" i="12"/>
  <c r="HF28" i="12"/>
  <c r="HO28" i="12"/>
  <c r="CJ30" i="12"/>
  <c r="Z31" i="12"/>
  <c r="AC31" i="12" s="1"/>
  <c r="AE31" i="12" s="1"/>
  <c r="FF31" i="12"/>
  <c r="EB32" i="12"/>
  <c r="AI30" i="12"/>
  <c r="AJ30" i="12" s="1"/>
  <c r="AF30" i="12"/>
  <c r="GN32" i="12"/>
  <c r="HC31" i="12"/>
  <c r="BE30" i="12"/>
  <c r="AN31" i="12"/>
  <c r="BR30" i="12"/>
  <c r="BT30" i="12" s="1"/>
  <c r="BV30" i="12" s="1"/>
  <c r="BG30" i="12"/>
  <c r="AI30" i="11"/>
  <c r="AJ30" i="11" s="1"/>
  <c r="AF30" i="11"/>
  <c r="DB32" i="11"/>
  <c r="DQ31" i="11"/>
  <c r="GS31" i="11"/>
  <c r="FW32" i="11"/>
  <c r="GQ31" i="11"/>
  <c r="GP31" i="11" s="1"/>
  <c r="HH31" i="11"/>
  <c r="HJ31" i="11" s="1"/>
  <c r="HL31" i="11" s="1"/>
  <c r="DT28" i="11"/>
  <c r="GN32" i="11"/>
  <c r="HC31" i="11"/>
  <c r="BY32" i="11"/>
  <c r="AD32" i="11"/>
  <c r="AH28" i="11"/>
  <c r="AK28" i="11" s="1"/>
  <c r="AL27" i="11"/>
  <c r="F27" i="11" s="1"/>
  <c r="E27" i="11"/>
  <c r="EB32" i="11"/>
  <c r="FF31" i="11"/>
  <c r="AN32" i="11"/>
  <c r="BE31" i="11"/>
  <c r="BR31" i="11"/>
  <c r="BT31" i="11" s="1"/>
  <c r="BV31" i="11" s="1"/>
  <c r="BG31" i="11"/>
  <c r="DR29" i="11"/>
  <c r="DD29" i="11"/>
  <c r="FM29" i="11" s="1"/>
  <c r="CK31" i="11"/>
  <c r="DE30" i="11"/>
  <c r="DG30" i="11"/>
  <c r="DV30" i="11"/>
  <c r="DX30" i="11" s="1"/>
  <c r="DZ30" i="11" s="1"/>
  <c r="L34" i="11"/>
  <c r="M33" i="11"/>
  <c r="AC31" i="11"/>
  <c r="AE31" i="11" s="1"/>
  <c r="X32" i="11"/>
  <c r="CI31" i="11"/>
  <c r="HI34" i="11"/>
  <c r="DW33" i="11"/>
  <c r="CJ31" i="11"/>
  <c r="Z32" i="11"/>
  <c r="DT29" i="10"/>
  <c r="DB32" i="10"/>
  <c r="DQ31" i="10"/>
  <c r="HF28" i="10"/>
  <c r="HO28" i="10"/>
  <c r="AH28" i="10"/>
  <c r="AK28" i="10" s="1"/>
  <c r="E27" i="10"/>
  <c r="AL27" i="10"/>
  <c r="F27" i="10" s="1"/>
  <c r="HI36" i="10"/>
  <c r="DD30" i="10"/>
  <c r="FM30" i="10" s="1"/>
  <c r="L34" i="10"/>
  <c r="M33" i="10"/>
  <c r="Z31" i="10"/>
  <c r="CJ30" i="10"/>
  <c r="HD29" i="10"/>
  <c r="GP29" i="10"/>
  <c r="AD32" i="10"/>
  <c r="BY32" i="10"/>
  <c r="AI29" i="10"/>
  <c r="AJ29" i="10" s="1"/>
  <c r="AF29" i="10"/>
  <c r="AF30" i="10" s="1"/>
  <c r="FW31" i="10"/>
  <c r="GS30" i="10"/>
  <c r="GQ30" i="10"/>
  <c r="HH30" i="10"/>
  <c r="HJ30" i="10" s="1"/>
  <c r="HL30" i="10" s="1"/>
  <c r="AC31" i="10"/>
  <c r="AE31" i="10" s="1"/>
  <c r="X32" i="10"/>
  <c r="CI31" i="10"/>
  <c r="AN31" i="10"/>
  <c r="BG30" i="10"/>
  <c r="BR30" i="10"/>
  <c r="BT30" i="10" s="1"/>
  <c r="BV30" i="10" s="1"/>
  <c r="BE30" i="10"/>
  <c r="DW33" i="10"/>
  <c r="DE31" i="10"/>
  <c r="CK32" i="10"/>
  <c r="DV32" i="10" s="1"/>
  <c r="DG31" i="10"/>
  <c r="EB32" i="10"/>
  <c r="FF31" i="10"/>
  <c r="DV31" i="10"/>
  <c r="DX31" i="10" s="1"/>
  <c r="DZ31" i="10" s="1"/>
  <c r="CR30" i="10"/>
  <c r="DE31" i="9"/>
  <c r="DD31" i="9" s="1"/>
  <c r="FM31" i="9" s="1"/>
  <c r="CK32" i="9"/>
  <c r="DG31" i="9"/>
  <c r="DV31" i="9"/>
  <c r="DX31" i="9" s="1"/>
  <c r="DZ31" i="9" s="1"/>
  <c r="CR29" i="9"/>
  <c r="EB32" i="9"/>
  <c r="FF31" i="9"/>
  <c r="GP30" i="9"/>
  <c r="HH31" i="9"/>
  <c r="HJ31" i="9" s="1"/>
  <c r="HL31" i="9" s="1"/>
  <c r="HI32" i="9"/>
  <c r="X32" i="9"/>
  <c r="CI31" i="9"/>
  <c r="AC31" i="9"/>
  <c r="AE31" i="9" s="1"/>
  <c r="FW32" i="9"/>
  <c r="GQ31" i="9"/>
  <c r="GS31" i="9"/>
  <c r="AL27" i="9"/>
  <c r="F27" i="9" s="1"/>
  <c r="E27" i="9"/>
  <c r="AH28" i="9"/>
  <c r="AK28" i="9" s="1"/>
  <c r="AF29" i="9"/>
  <c r="AF30" i="9" s="1"/>
  <c r="AI29" i="9"/>
  <c r="AJ29" i="9" s="1"/>
  <c r="DW34" i="9"/>
  <c r="AN31" i="9"/>
  <c r="BG30" i="9"/>
  <c r="BE30" i="9"/>
  <c r="BR30" i="9"/>
  <c r="BT30" i="9" s="1"/>
  <c r="BV30" i="9" s="1"/>
  <c r="M33" i="9"/>
  <c r="L34" i="9"/>
  <c r="DT30" i="9"/>
  <c r="BY32" i="9"/>
  <c r="AD32" i="9"/>
  <c r="DQ31" i="9"/>
  <c r="DB32" i="9"/>
  <c r="DR30" i="9"/>
  <c r="Z31" i="9"/>
  <c r="CJ30" i="9"/>
  <c r="GF14" i="9"/>
  <c r="GB14" i="9"/>
  <c r="AL26" i="8"/>
  <c r="F26" i="8" s="1"/>
  <c r="AH27" i="8"/>
  <c r="AK27" i="8" s="1"/>
  <c r="E26" i="8"/>
  <c r="DW33" i="8"/>
  <c r="HI35" i="8"/>
  <c r="DB31" i="8"/>
  <c r="DQ30" i="8"/>
  <c r="DR30" i="8" s="1"/>
  <c r="DD30" i="8"/>
  <c r="FM30" i="8" s="1"/>
  <c r="AN32" i="8"/>
  <c r="BE31" i="8"/>
  <c r="BG31" i="8"/>
  <c r="BR31" i="8"/>
  <c r="BT31" i="8" s="1"/>
  <c r="BV31" i="8" s="1"/>
  <c r="CI30" i="8"/>
  <c r="X31" i="8"/>
  <c r="AC30" i="8"/>
  <c r="AE30" i="8" s="1"/>
  <c r="DT29" i="8"/>
  <c r="CK32" i="8"/>
  <c r="DX31" i="8"/>
  <c r="DZ31" i="8" s="1"/>
  <c r="DG31" i="8"/>
  <c r="DE31" i="8"/>
  <c r="HF28" i="8"/>
  <c r="HO28" i="8"/>
  <c r="FW31" i="8"/>
  <c r="GS30" i="8"/>
  <c r="GQ30" i="8"/>
  <c r="GP30" i="8" s="1"/>
  <c r="HH30" i="8"/>
  <c r="HJ30" i="8" s="1"/>
  <c r="HL30" i="8" s="1"/>
  <c r="GN31" i="8"/>
  <c r="HC30" i="8"/>
  <c r="HF29" i="8"/>
  <c r="HO29" i="8"/>
  <c r="BY31" i="8"/>
  <c r="AD31" i="8"/>
  <c r="AF29" i="8"/>
  <c r="AI29" i="8"/>
  <c r="AJ29" i="8" s="1"/>
  <c r="M32" i="8"/>
  <c r="L33" i="8"/>
  <c r="CJ31" i="8"/>
  <c r="Z32" i="8"/>
  <c r="HC30" i="7"/>
  <c r="GN31" i="7"/>
  <c r="FW31" i="7"/>
  <c r="GS30" i="7"/>
  <c r="GQ30" i="7"/>
  <c r="HH30" i="7"/>
  <c r="HJ30" i="7" s="1"/>
  <c r="HL30" i="7" s="1"/>
  <c r="CR29" i="7"/>
  <c r="GP29" i="7"/>
  <c r="HE17" i="7"/>
  <c r="GF17" i="7"/>
  <c r="GB17" i="7"/>
  <c r="FL13" i="7"/>
  <c r="FN13" i="7" s="1"/>
  <c r="CQ13" i="7"/>
  <c r="E26" i="7"/>
  <c r="AL26" i="7"/>
  <c r="F26" i="7" s="1"/>
  <c r="AH27" i="7"/>
  <c r="AK27" i="7" s="1"/>
  <c r="HI34" i="7"/>
  <c r="AD31" i="7"/>
  <c r="BY31" i="7"/>
  <c r="DW32" i="7"/>
  <c r="L33" i="7"/>
  <c r="M32" i="7"/>
  <c r="GD30" i="7"/>
  <c r="GD31" i="7" s="1"/>
  <c r="GD32" i="7" s="1"/>
  <c r="GD33" i="7" s="1"/>
  <c r="GD34" i="7" s="1"/>
  <c r="GD35" i="7" s="1"/>
  <c r="GD36" i="7" s="1"/>
  <c r="BG30" i="7"/>
  <c r="BR30" i="7"/>
  <c r="BT30" i="7" s="1"/>
  <c r="BV30" i="7" s="1"/>
  <c r="AN31" i="7"/>
  <c r="BE30" i="7"/>
  <c r="CI31" i="7"/>
  <c r="X32" i="7"/>
  <c r="DQ30" i="7"/>
  <c r="DB31" i="7"/>
  <c r="HF30" i="6"/>
  <c r="HO30" i="6"/>
  <c r="HC31" i="6"/>
  <c r="GN32" i="6"/>
  <c r="EB32" i="6"/>
  <c r="FF31" i="6"/>
  <c r="GD29" i="6"/>
  <c r="Z33" i="6"/>
  <c r="CJ32" i="6"/>
  <c r="HD30" i="6"/>
  <c r="AI30" i="6"/>
  <c r="AF30" i="6"/>
  <c r="GQ31" i="6"/>
  <c r="FW32" i="6"/>
  <c r="GS31" i="6"/>
  <c r="HH31" i="6"/>
  <c r="HJ31" i="6" s="1"/>
  <c r="HL31" i="6" s="1"/>
  <c r="DB32" i="6"/>
  <c r="DQ31" i="6"/>
  <c r="M33" i="6"/>
  <c r="L34" i="6"/>
  <c r="HF29" i="6"/>
  <c r="HO29" i="6"/>
  <c r="BY32" i="6"/>
  <c r="AD32" i="6"/>
  <c r="DD30" i="6"/>
  <c r="FM30" i="6" s="1"/>
  <c r="DW34" i="6"/>
  <c r="HI34" i="6"/>
  <c r="X32" i="6"/>
  <c r="CI31" i="6"/>
  <c r="AC31" i="6"/>
  <c r="AE31" i="6" s="1"/>
  <c r="AN32" i="6"/>
  <c r="BG31" i="6"/>
  <c r="BE31" i="6"/>
  <c r="BR31" i="6"/>
  <c r="BT31" i="6" s="1"/>
  <c r="BV31" i="6" s="1"/>
  <c r="E28" i="6"/>
  <c r="AL28" i="6"/>
  <c r="F28" i="6" s="1"/>
  <c r="AH29" i="6"/>
  <c r="AK29" i="6" s="1"/>
  <c r="DT29" i="6"/>
  <c r="CK32" i="6"/>
  <c r="DG31" i="6"/>
  <c r="DE31" i="6"/>
  <c r="DD31" i="6" s="1"/>
  <c r="FM31" i="6" s="1"/>
  <c r="DV31" i="6"/>
  <c r="DX31" i="6" s="1"/>
  <c r="DZ31" i="6" s="1"/>
  <c r="GN32" i="5"/>
  <c r="HC31" i="5"/>
  <c r="HD29" i="5"/>
  <c r="GP29" i="5"/>
  <c r="BY32" i="5"/>
  <c r="AD32" i="5"/>
  <c r="HF28" i="5"/>
  <c r="HO28" i="5"/>
  <c r="DD30" i="5"/>
  <c r="FM30" i="5" s="1"/>
  <c r="L34" i="5"/>
  <c r="M33" i="5"/>
  <c r="FW31" i="5"/>
  <c r="GQ30" i="5"/>
  <c r="GS30" i="5"/>
  <c r="HH30" i="5"/>
  <c r="HJ30" i="5" s="1"/>
  <c r="HL30" i="5" s="1"/>
  <c r="X32" i="5"/>
  <c r="CI31" i="5"/>
  <c r="AC31" i="5"/>
  <c r="AE31" i="5" s="1"/>
  <c r="AL27" i="5"/>
  <c r="F27" i="5" s="1"/>
  <c r="AH28" i="5"/>
  <c r="AK28" i="5" s="1"/>
  <c r="E27" i="5"/>
  <c r="AI30" i="5"/>
  <c r="AJ30" i="5" s="1"/>
  <c r="AF30" i="5"/>
  <c r="GD30" i="5"/>
  <c r="GD31" i="5" s="1"/>
  <c r="GD32" i="5" s="1"/>
  <c r="GD33" i="5" s="1"/>
  <c r="GD34" i="5" s="1"/>
  <c r="GD35" i="5" s="1"/>
  <c r="GD36" i="5" s="1"/>
  <c r="Z32" i="5"/>
  <c r="CJ31" i="5"/>
  <c r="FF32" i="5"/>
  <c r="EB33" i="5"/>
  <c r="HI33" i="5"/>
  <c r="DT29" i="5"/>
  <c r="AN32" i="5"/>
  <c r="BG31" i="5"/>
  <c r="BE31" i="5"/>
  <c r="BR31" i="5"/>
  <c r="BT31" i="5" s="1"/>
  <c r="BV31" i="5" s="1"/>
  <c r="CK32" i="5"/>
  <c r="DE31" i="5"/>
  <c r="DG31" i="5"/>
  <c r="DV31" i="5"/>
  <c r="DX31" i="5" s="1"/>
  <c r="DZ31" i="5" s="1"/>
  <c r="GS30" i="3"/>
  <c r="GQ30" i="3"/>
  <c r="DV30" i="3"/>
  <c r="DX30" i="3" s="1"/>
  <c r="DZ30" i="3" s="1"/>
  <c r="DE30" i="3"/>
  <c r="DG30" i="3"/>
  <c r="DT28" i="3"/>
  <c r="DD29" i="3"/>
  <c r="FM29" i="3" s="1"/>
  <c r="GP29" i="3"/>
  <c r="HF29" i="3" s="1"/>
  <c r="HD29" i="3"/>
  <c r="GN38" i="3"/>
  <c r="HC35" i="3"/>
  <c r="EB32" i="3"/>
  <c r="ES31" i="3"/>
  <c r="EU31" i="3"/>
  <c r="FF31" i="3"/>
  <c r="FH31" i="3" s="1"/>
  <c r="BG30" i="3"/>
  <c r="BR30" i="3"/>
  <c r="BT30" i="3" s="1"/>
  <c r="BV30" i="3" s="1"/>
  <c r="BE30" i="3"/>
  <c r="DR29" i="3"/>
  <c r="AN31" i="3"/>
  <c r="FW31" i="3"/>
  <c r="AD31" i="3"/>
  <c r="BY31" i="3"/>
  <c r="AC31" i="3"/>
  <c r="L33" i="3"/>
  <c r="M32" i="3"/>
  <c r="BP30" i="3"/>
  <c r="DW33" i="3"/>
  <c r="DQ34" i="3"/>
  <c r="CK31" i="3"/>
  <c r="X32" i="3"/>
  <c r="CI32" i="3" s="1"/>
  <c r="HH30" i="3"/>
  <c r="AE30" i="3"/>
  <c r="HW12" i="10" l="1"/>
  <c r="J12" i="10" s="1"/>
  <c r="HS13" i="10"/>
  <c r="FQ13" i="11"/>
  <c r="GP31" i="9"/>
  <c r="HO31" i="9" s="1"/>
  <c r="CJ31" i="7"/>
  <c r="Z32" i="7"/>
  <c r="FU12" i="11"/>
  <c r="G12" i="6"/>
  <c r="FU12" i="6"/>
  <c r="HC30" i="9"/>
  <c r="HD30" i="9" s="1"/>
  <c r="GN31" i="9"/>
  <c r="AC31" i="7"/>
  <c r="AE31" i="7" s="1"/>
  <c r="DB31" i="5"/>
  <c r="DQ30" i="5"/>
  <c r="DR30" i="5" s="1"/>
  <c r="Z32" i="3"/>
  <c r="CJ31" i="3"/>
  <c r="GN31" i="10"/>
  <c r="HC30" i="10"/>
  <c r="DR29" i="7"/>
  <c r="HV12" i="5"/>
  <c r="AJ30" i="6"/>
  <c r="HV13" i="9"/>
  <c r="I13" i="9" s="1"/>
  <c r="GE15" i="6"/>
  <c r="GF15" i="6" s="1"/>
  <c r="HN14" i="6"/>
  <c r="HP14" i="6" s="1"/>
  <c r="HT14" i="6" s="1"/>
  <c r="HU14" i="6" s="1"/>
  <c r="HW14" i="8"/>
  <c r="J14" i="8" s="1"/>
  <c r="HT13" i="12"/>
  <c r="HU13" i="12" s="1"/>
  <c r="HS15" i="8"/>
  <c r="FO14" i="9"/>
  <c r="G13" i="9"/>
  <c r="GB15" i="11"/>
  <c r="GC15" i="11" s="1"/>
  <c r="FL13" i="11"/>
  <c r="FN13" i="11" s="1"/>
  <c r="FO13" i="11" s="1"/>
  <c r="HV14" i="11"/>
  <c r="I14" i="11" s="1"/>
  <c r="HE15" i="11"/>
  <c r="GF15" i="11"/>
  <c r="CP14" i="5"/>
  <c r="CQ14" i="5" s="1"/>
  <c r="CS15" i="5" s="1"/>
  <c r="DS15" i="5" s="1"/>
  <c r="CT14" i="5"/>
  <c r="DT30" i="12"/>
  <c r="DT29" i="7"/>
  <c r="CS15" i="9"/>
  <c r="CU15" i="9"/>
  <c r="GE14" i="10"/>
  <c r="HE14" i="10" s="1"/>
  <c r="I12" i="5"/>
  <c r="HN13" i="10"/>
  <c r="HP13" i="10" s="1"/>
  <c r="HT13" i="10" s="1"/>
  <c r="HU13" i="10" s="1"/>
  <c r="FQ12" i="10"/>
  <c r="FT12" i="10" s="1"/>
  <c r="FU12" i="10" s="1"/>
  <c r="FU13" i="9"/>
  <c r="AI30" i="7"/>
  <c r="AJ30" i="7" s="1"/>
  <c r="CT14" i="6"/>
  <c r="FU11" i="10"/>
  <c r="HD31" i="6"/>
  <c r="HD31" i="11"/>
  <c r="CK32" i="12"/>
  <c r="DV31" i="12"/>
  <c r="DX31" i="12" s="1"/>
  <c r="DZ31" i="12" s="1"/>
  <c r="DG31" i="12"/>
  <c r="DE31" i="12"/>
  <c r="DD31" i="12" s="1"/>
  <c r="FM31" i="12" s="1"/>
  <c r="HE13" i="5"/>
  <c r="GF13" i="5"/>
  <c r="GB13" i="5"/>
  <c r="EB31" i="7"/>
  <c r="FF30" i="7"/>
  <c r="DR30" i="12"/>
  <c r="CS13" i="10"/>
  <c r="CP13" i="10" s="1"/>
  <c r="HS13" i="5"/>
  <c r="HW12" i="5"/>
  <c r="J12" i="5" s="1"/>
  <c r="EB31" i="8"/>
  <c r="FF30" i="8"/>
  <c r="DE30" i="7"/>
  <c r="DD30" i="7" s="1"/>
  <c r="FM30" i="7" s="1"/>
  <c r="DG30" i="7"/>
  <c r="CK31" i="7"/>
  <c r="DV30" i="7"/>
  <c r="DX30" i="7" s="1"/>
  <c r="DZ30" i="7" s="1"/>
  <c r="FT14" i="9"/>
  <c r="FT13" i="12"/>
  <c r="G13" i="12" s="1"/>
  <c r="CP14" i="12"/>
  <c r="CQ14" i="12" s="1"/>
  <c r="CU15" i="12" s="1"/>
  <c r="FT13" i="6"/>
  <c r="FU13" i="6" s="1"/>
  <c r="CS14" i="11"/>
  <c r="DS14" i="11" s="1"/>
  <c r="CU14" i="11"/>
  <c r="CP14" i="6"/>
  <c r="FL14" i="6" s="1"/>
  <c r="FN14" i="6" s="1"/>
  <c r="FO13" i="6"/>
  <c r="DS14" i="12"/>
  <c r="CT14" i="12"/>
  <c r="DR31" i="6"/>
  <c r="FU13" i="5"/>
  <c r="FQ14" i="5"/>
  <c r="G13" i="5"/>
  <c r="HS17" i="7"/>
  <c r="I16" i="7"/>
  <c r="HN15" i="8"/>
  <c r="HP15" i="8" s="1"/>
  <c r="HT15" i="8" s="1"/>
  <c r="HU15" i="8" s="1"/>
  <c r="GC15" i="8"/>
  <c r="GE16" i="8" s="1"/>
  <c r="HE16" i="8" s="1"/>
  <c r="HE14" i="12"/>
  <c r="GF14" i="12"/>
  <c r="GB14" i="12"/>
  <c r="G11" i="8"/>
  <c r="FU11" i="8"/>
  <c r="FQ12" i="8"/>
  <c r="HS14" i="6"/>
  <c r="HW13" i="6"/>
  <c r="J13" i="6" s="1"/>
  <c r="CQ12" i="8"/>
  <c r="FL12" i="8"/>
  <c r="FN12" i="8" s="1"/>
  <c r="AF30" i="7"/>
  <c r="HO30" i="11"/>
  <c r="AF31" i="12"/>
  <c r="AI31" i="12"/>
  <c r="AJ31" i="12" s="1"/>
  <c r="X33" i="12"/>
  <c r="CI32" i="12"/>
  <c r="BG31" i="12"/>
  <c r="AN32" i="12"/>
  <c r="BE31" i="12"/>
  <c r="BR31" i="12"/>
  <c r="BT31" i="12" s="1"/>
  <c r="BV31" i="12" s="1"/>
  <c r="EB33" i="12"/>
  <c r="FF32" i="12"/>
  <c r="HD30" i="12"/>
  <c r="GP30" i="12"/>
  <c r="DB33" i="12"/>
  <c r="DQ32" i="12"/>
  <c r="FW32" i="12"/>
  <c r="GS31" i="12"/>
  <c r="GQ31" i="12"/>
  <c r="HH31" i="12"/>
  <c r="HJ31" i="12" s="1"/>
  <c r="HL31" i="12" s="1"/>
  <c r="HC32" i="12"/>
  <c r="GN33" i="12"/>
  <c r="M34" i="12"/>
  <c r="L35" i="12"/>
  <c r="HI34" i="12"/>
  <c r="BY33" i="12"/>
  <c r="AD33" i="12"/>
  <c r="DW34" i="12"/>
  <c r="AH29" i="12"/>
  <c r="AK29" i="12" s="1"/>
  <c r="AL28" i="12"/>
  <c r="F28" i="12" s="1"/>
  <c r="E28" i="12"/>
  <c r="Z32" i="12"/>
  <c r="CJ31" i="12"/>
  <c r="HF29" i="12"/>
  <c r="HO29" i="12"/>
  <c r="AI31" i="11"/>
  <c r="AJ31" i="11" s="1"/>
  <c r="AF31" i="11"/>
  <c r="AN33" i="11"/>
  <c r="BG32" i="11"/>
  <c r="BE32" i="11"/>
  <c r="BR32" i="11"/>
  <c r="BT32" i="11" s="1"/>
  <c r="BV32" i="11" s="1"/>
  <c r="DW34" i="11"/>
  <c r="HC32" i="11"/>
  <c r="GN33" i="11"/>
  <c r="HF31" i="11"/>
  <c r="HO31" i="11"/>
  <c r="EB33" i="11"/>
  <c r="FF32" i="11"/>
  <c r="E28" i="11"/>
  <c r="AL28" i="11"/>
  <c r="F28" i="11" s="1"/>
  <c r="AH29" i="11"/>
  <c r="AK29" i="11" s="1"/>
  <c r="CJ32" i="11"/>
  <c r="Z33" i="11"/>
  <c r="CK32" i="11"/>
  <c r="DG31" i="11"/>
  <c r="DE31" i="11"/>
  <c r="DV31" i="11"/>
  <c r="DX31" i="11" s="1"/>
  <c r="DZ31" i="11" s="1"/>
  <c r="DQ32" i="11"/>
  <c r="DB33" i="11"/>
  <c r="HI35" i="11"/>
  <c r="DR30" i="11"/>
  <c r="DD30" i="11"/>
  <c r="FM30" i="11" s="1"/>
  <c r="DT29" i="11"/>
  <c r="CI32" i="11"/>
  <c r="AC32" i="11"/>
  <c r="AE32" i="11" s="1"/>
  <c r="X33" i="11"/>
  <c r="FW33" i="11"/>
  <c r="GS32" i="11"/>
  <c r="GQ32" i="11"/>
  <c r="HH32" i="11"/>
  <c r="HJ32" i="11" s="1"/>
  <c r="HL32" i="11" s="1"/>
  <c r="AD33" i="11"/>
  <c r="BY33" i="11"/>
  <c r="L35" i="11"/>
  <c r="M34" i="11"/>
  <c r="BY33" i="10"/>
  <c r="AD33" i="10"/>
  <c r="DR31" i="10"/>
  <c r="HD30" i="10"/>
  <c r="GP30" i="10"/>
  <c r="L35" i="10"/>
  <c r="M34" i="10"/>
  <c r="AI30" i="10"/>
  <c r="AJ30" i="10" s="1"/>
  <c r="E28" i="10"/>
  <c r="AH29" i="10"/>
  <c r="AK29" i="10" s="1"/>
  <c r="AL28" i="10"/>
  <c r="F28" i="10" s="1"/>
  <c r="DW34" i="10"/>
  <c r="GS31" i="10"/>
  <c r="FW32" i="10"/>
  <c r="GQ31" i="10"/>
  <c r="HH31" i="10"/>
  <c r="HJ31" i="10" s="1"/>
  <c r="HL31" i="10" s="1"/>
  <c r="DD31" i="10"/>
  <c r="FM31" i="10" s="1"/>
  <c r="DX32" i="10"/>
  <c r="DZ32" i="10" s="1"/>
  <c r="CK33" i="10"/>
  <c r="DG32" i="10"/>
  <c r="DE32" i="10"/>
  <c r="HF29" i="10"/>
  <c r="HO29" i="10"/>
  <c r="AN32" i="10"/>
  <c r="BE31" i="10"/>
  <c r="BR31" i="10"/>
  <c r="BT31" i="10" s="1"/>
  <c r="BV31" i="10" s="1"/>
  <c r="BG31" i="10"/>
  <c r="DT30" i="10"/>
  <c r="DB33" i="10"/>
  <c r="DQ32" i="10"/>
  <c r="HI37" i="10"/>
  <c r="X33" i="10"/>
  <c r="CI32" i="10"/>
  <c r="AI31" i="10"/>
  <c r="AF31" i="10"/>
  <c r="Z32" i="10"/>
  <c r="AC32" i="10" s="1"/>
  <c r="AE32" i="10" s="1"/>
  <c r="CJ31" i="10"/>
  <c r="EB33" i="10"/>
  <c r="FF32" i="10"/>
  <c r="AI31" i="9"/>
  <c r="AF31" i="9"/>
  <c r="L35" i="9"/>
  <c r="M34" i="9"/>
  <c r="X33" i="9"/>
  <c r="CI32" i="9"/>
  <c r="CR30" i="9"/>
  <c r="CR31" i="9" s="1"/>
  <c r="CR32" i="9" s="1"/>
  <c r="CR33" i="9" s="1"/>
  <c r="CR34" i="9" s="1"/>
  <c r="CR35" i="9" s="1"/>
  <c r="CR36" i="9" s="1"/>
  <c r="HI33" i="9"/>
  <c r="HH32" i="9"/>
  <c r="HJ32" i="9" s="1"/>
  <c r="HL32" i="9" s="1"/>
  <c r="HF31" i="9"/>
  <c r="AD33" i="9"/>
  <c r="BY33" i="9"/>
  <c r="FW33" i="9"/>
  <c r="GQ32" i="9"/>
  <c r="GS32" i="9"/>
  <c r="DG32" i="9"/>
  <c r="DE32" i="9"/>
  <c r="CK33" i="9"/>
  <c r="DV32" i="9"/>
  <c r="DX32" i="9" s="1"/>
  <c r="DZ32" i="9" s="1"/>
  <c r="HF30" i="9"/>
  <c r="HO30" i="9"/>
  <c r="DR31" i="9"/>
  <c r="Z32" i="9"/>
  <c r="AC32" i="9" s="1"/>
  <c r="AE32" i="9" s="1"/>
  <c r="CJ31" i="9"/>
  <c r="DB33" i="9"/>
  <c r="DQ32" i="9"/>
  <c r="AH29" i="9"/>
  <c r="AK29" i="9" s="1"/>
  <c r="E28" i="9"/>
  <c r="AL28" i="9"/>
  <c r="F28" i="9" s="1"/>
  <c r="DT31" i="9"/>
  <c r="AN32" i="9"/>
  <c r="BE31" i="9"/>
  <c r="BG31" i="9"/>
  <c r="BR31" i="9"/>
  <c r="BT31" i="9" s="1"/>
  <c r="BV31" i="9" s="1"/>
  <c r="AI30" i="9"/>
  <c r="AJ30" i="9" s="1"/>
  <c r="HN14" i="9"/>
  <c r="HP14" i="9" s="1"/>
  <c r="GC14" i="9"/>
  <c r="HW13" i="9"/>
  <c r="J13" i="9" s="1"/>
  <c r="HS14" i="9"/>
  <c r="DW35" i="9"/>
  <c r="FF32" i="9"/>
  <c r="EB33" i="9"/>
  <c r="AH28" i="8"/>
  <c r="AK28" i="8" s="1"/>
  <c r="AL27" i="8"/>
  <c r="F27" i="8" s="1"/>
  <c r="E27" i="8"/>
  <c r="BG32" i="8"/>
  <c r="AN33" i="8"/>
  <c r="BE32" i="8"/>
  <c r="BR32" i="8"/>
  <c r="BT32" i="8" s="1"/>
  <c r="BV32" i="8" s="1"/>
  <c r="DT30" i="8"/>
  <c r="HI36" i="8"/>
  <c r="HF30" i="8"/>
  <c r="HO30" i="8"/>
  <c r="X32" i="8"/>
  <c r="CI31" i="8"/>
  <c r="AC31" i="8"/>
  <c r="AE31" i="8" s="1"/>
  <c r="DW34" i="8"/>
  <c r="L34" i="8"/>
  <c r="M33" i="8"/>
  <c r="CK33" i="8"/>
  <c r="DG32" i="8"/>
  <c r="DE32" i="8"/>
  <c r="DB32" i="8"/>
  <c r="DD31" i="8"/>
  <c r="FM31" i="8" s="1"/>
  <c r="DQ31" i="8"/>
  <c r="DR31" i="8" s="1"/>
  <c r="Z33" i="8"/>
  <c r="CJ32" i="8"/>
  <c r="BY32" i="8"/>
  <c r="AD32" i="8"/>
  <c r="DV32" i="8"/>
  <c r="DX32" i="8" s="1"/>
  <c r="DZ32" i="8" s="1"/>
  <c r="HD30" i="8"/>
  <c r="AF30" i="8"/>
  <c r="AI30" i="8"/>
  <c r="AJ30" i="8" s="1"/>
  <c r="HC31" i="8"/>
  <c r="GN32" i="8"/>
  <c r="FW32" i="8"/>
  <c r="GS31" i="8"/>
  <c r="GQ31" i="8"/>
  <c r="HH31" i="8"/>
  <c r="HJ31" i="8" s="1"/>
  <c r="HL31" i="8" s="1"/>
  <c r="HD30" i="7"/>
  <c r="HI35" i="7"/>
  <c r="AC32" i="7"/>
  <c r="X33" i="7"/>
  <c r="CI32" i="7"/>
  <c r="CU14" i="7"/>
  <c r="CS14" i="7"/>
  <c r="FW32" i="7"/>
  <c r="GS31" i="7"/>
  <c r="GQ31" i="7"/>
  <c r="HH31" i="7"/>
  <c r="HJ31" i="7" s="1"/>
  <c r="HL31" i="7" s="1"/>
  <c r="DQ31" i="7"/>
  <c r="DB32" i="7"/>
  <c r="AH28" i="7"/>
  <c r="AK28" i="7" s="1"/>
  <c r="E27" i="7"/>
  <c r="AL27" i="7"/>
  <c r="F27" i="7" s="1"/>
  <c r="FR13" i="7"/>
  <c r="FS13" i="7" s="1"/>
  <c r="FO13" i="7"/>
  <c r="HN17" i="7"/>
  <c r="HP17" i="7" s="1"/>
  <c r="GC17" i="7"/>
  <c r="GP30" i="7"/>
  <c r="GN32" i="7"/>
  <c r="HC31" i="7"/>
  <c r="BY32" i="7"/>
  <c r="AD32" i="7"/>
  <c r="HF29" i="7"/>
  <c r="HO29" i="7"/>
  <c r="DW33" i="7"/>
  <c r="AN32" i="7"/>
  <c r="BR31" i="7"/>
  <c r="BT31" i="7" s="1"/>
  <c r="BV31" i="7" s="1"/>
  <c r="BE31" i="7"/>
  <c r="BG31" i="7"/>
  <c r="L34" i="7"/>
  <c r="M33" i="7"/>
  <c r="CR30" i="7"/>
  <c r="E29" i="6"/>
  <c r="AH30" i="6"/>
  <c r="AK30" i="6" s="1"/>
  <c r="AL29" i="6"/>
  <c r="F29" i="6" s="1"/>
  <c r="AN33" i="6"/>
  <c r="BG32" i="6"/>
  <c r="BR32" i="6"/>
  <c r="BT32" i="6" s="1"/>
  <c r="BV32" i="6" s="1"/>
  <c r="BE32" i="6"/>
  <c r="FF32" i="6"/>
  <c r="EB33" i="6"/>
  <c r="GQ32" i="6"/>
  <c r="FW33" i="6"/>
  <c r="GS32" i="6"/>
  <c r="HH32" i="6"/>
  <c r="HJ32" i="6" s="1"/>
  <c r="HL32" i="6" s="1"/>
  <c r="AI31" i="6"/>
  <c r="AJ31" i="6" s="1"/>
  <c r="AF31" i="6"/>
  <c r="HC32" i="6"/>
  <c r="GN33" i="6"/>
  <c r="BY33" i="6"/>
  <c r="AD33" i="6"/>
  <c r="GP31" i="6"/>
  <c r="M34" i="6"/>
  <c r="L35" i="6"/>
  <c r="DW35" i="6"/>
  <c r="DQ32" i="6"/>
  <c r="DB33" i="6"/>
  <c r="AC32" i="6"/>
  <c r="AE32" i="6" s="1"/>
  <c r="X33" i="6"/>
  <c r="CI32" i="6"/>
  <c r="HI35" i="6"/>
  <c r="DE32" i="6"/>
  <c r="DD32" i="6" s="1"/>
  <c r="FM32" i="6" s="1"/>
  <c r="CK33" i="6"/>
  <c r="DG32" i="6"/>
  <c r="DV32" i="6"/>
  <c r="DX32" i="6" s="1"/>
  <c r="DZ32" i="6" s="1"/>
  <c r="Z34" i="6"/>
  <c r="CJ33" i="6"/>
  <c r="GD30" i="6"/>
  <c r="GD31" i="6" s="1"/>
  <c r="GD32" i="6" s="1"/>
  <c r="GD33" i="6" s="1"/>
  <c r="GD34" i="6" s="1"/>
  <c r="GD35" i="6" s="1"/>
  <c r="GD36" i="6" s="1"/>
  <c r="DT31" i="6"/>
  <c r="DT30" i="6"/>
  <c r="AH29" i="5"/>
  <c r="AK29" i="5" s="1"/>
  <c r="E28" i="5"/>
  <c r="AL28" i="5"/>
  <c r="F28" i="5" s="1"/>
  <c r="FW32" i="5"/>
  <c r="GQ31" i="5"/>
  <c r="GS31" i="5"/>
  <c r="HH31" i="5"/>
  <c r="HJ31" i="5" s="1"/>
  <c r="HL31" i="5" s="1"/>
  <c r="BY33" i="5"/>
  <c r="AD33" i="5"/>
  <c r="AF31" i="5"/>
  <c r="AI31" i="5"/>
  <c r="AJ31" i="5" s="1"/>
  <c r="L35" i="5"/>
  <c r="M34" i="5"/>
  <c r="EB34" i="5"/>
  <c r="FF33" i="5"/>
  <c r="DT30" i="5"/>
  <c r="HC32" i="5"/>
  <c r="GN33" i="5"/>
  <c r="X33" i="5"/>
  <c r="CI32" i="5"/>
  <c r="AC32" i="5"/>
  <c r="AE32" i="5" s="1"/>
  <c r="AN33" i="5"/>
  <c r="BG32" i="5"/>
  <c r="BE32" i="5"/>
  <c r="BR32" i="5"/>
  <c r="BT32" i="5" s="1"/>
  <c r="BV32" i="5" s="1"/>
  <c r="Z33" i="5"/>
  <c r="CJ32" i="5"/>
  <c r="CK33" i="5"/>
  <c r="DG32" i="5"/>
  <c r="DE32" i="5"/>
  <c r="DV32" i="5"/>
  <c r="DX32" i="5" s="1"/>
  <c r="DZ32" i="5" s="1"/>
  <c r="HI34" i="5"/>
  <c r="HD30" i="5"/>
  <c r="GP30" i="5"/>
  <c r="HF29" i="5"/>
  <c r="HO29" i="5"/>
  <c r="DV31" i="3"/>
  <c r="DX31" i="3" s="1"/>
  <c r="DZ31" i="3" s="1"/>
  <c r="DG31" i="3"/>
  <c r="DE31" i="3"/>
  <c r="GQ31" i="3"/>
  <c r="GS31" i="3"/>
  <c r="DT29" i="3"/>
  <c r="GN39" i="3"/>
  <c r="DD30" i="3"/>
  <c r="FM30" i="3" s="1"/>
  <c r="GP30" i="3"/>
  <c r="HF30" i="3" s="1"/>
  <c r="HD30" i="3"/>
  <c r="HC36" i="3"/>
  <c r="HH31" i="3"/>
  <c r="HJ31" i="3" s="1"/>
  <c r="HL31" i="3" s="1"/>
  <c r="BE31" i="3"/>
  <c r="BR31" i="3"/>
  <c r="BT31" i="3" s="1"/>
  <c r="BV31" i="3" s="1"/>
  <c r="BG31" i="3"/>
  <c r="EB33" i="3"/>
  <c r="EU32" i="3"/>
  <c r="ES32" i="3"/>
  <c r="FF32" i="3"/>
  <c r="FH32" i="3" s="1"/>
  <c r="DR30" i="3"/>
  <c r="AN32" i="3"/>
  <c r="FW32" i="3"/>
  <c r="HJ30" i="3"/>
  <c r="HL30" i="3" s="1"/>
  <c r="AD32" i="3"/>
  <c r="BY32" i="3"/>
  <c r="L34" i="3"/>
  <c r="M33" i="3"/>
  <c r="DW34" i="3"/>
  <c r="DQ35" i="3"/>
  <c r="BP31" i="3"/>
  <c r="CK32" i="3"/>
  <c r="X33" i="3"/>
  <c r="CI33" i="3" s="1"/>
  <c r="AE31" i="3"/>
  <c r="GB15" i="6" l="1"/>
  <c r="HE15" i="6"/>
  <c r="DB32" i="5"/>
  <c r="DQ31" i="5"/>
  <c r="DR31" i="5" s="1"/>
  <c r="Z33" i="3"/>
  <c r="CJ32" i="3"/>
  <c r="HC31" i="9"/>
  <c r="HD31" i="9" s="1"/>
  <c r="GN32" i="9"/>
  <c r="HC31" i="10"/>
  <c r="GN32" i="10"/>
  <c r="AC32" i="3"/>
  <c r="DD32" i="5"/>
  <c r="FM32" i="5" s="1"/>
  <c r="CJ32" i="7"/>
  <c r="Z33" i="7"/>
  <c r="AC33" i="7" s="1"/>
  <c r="DD31" i="5"/>
  <c r="HQ14" i="6"/>
  <c r="HV14" i="6"/>
  <c r="GF14" i="10"/>
  <c r="HV13" i="12"/>
  <c r="HS14" i="12" s="1"/>
  <c r="FR13" i="11"/>
  <c r="FS13" i="11" s="1"/>
  <c r="HS15" i="11"/>
  <c r="AI31" i="7"/>
  <c r="AJ31" i="7" s="1"/>
  <c r="DT30" i="7"/>
  <c r="HW14" i="11"/>
  <c r="J14" i="11" s="1"/>
  <c r="G12" i="10"/>
  <c r="HN15" i="11"/>
  <c r="HP15" i="11" s="1"/>
  <c r="HT15" i="11" s="1"/>
  <c r="HU15" i="11" s="1"/>
  <c r="HQ13" i="10"/>
  <c r="DT31" i="12"/>
  <c r="FL14" i="5"/>
  <c r="FN14" i="5" s="1"/>
  <c r="FO14" i="5" s="1"/>
  <c r="CP15" i="9"/>
  <c r="CQ15" i="9" s="1"/>
  <c r="GG16" i="11"/>
  <c r="GE16" i="11"/>
  <c r="HE16" i="11" s="1"/>
  <c r="FQ13" i="10"/>
  <c r="CT13" i="10"/>
  <c r="CU15" i="5"/>
  <c r="CP15" i="5" s="1"/>
  <c r="FL15" i="5" s="1"/>
  <c r="FN15" i="5" s="1"/>
  <c r="CT15" i="9"/>
  <c r="DS15" i="9"/>
  <c r="GB14" i="10"/>
  <c r="HN14" i="10" s="1"/>
  <c r="HP14" i="10" s="1"/>
  <c r="AF31" i="7"/>
  <c r="DS13" i="10"/>
  <c r="FL13" i="10" s="1"/>
  <c r="FN13" i="10" s="1"/>
  <c r="AJ31" i="9"/>
  <c r="AJ31" i="10"/>
  <c r="EB32" i="7"/>
  <c r="FF31" i="7"/>
  <c r="HN13" i="5"/>
  <c r="HP13" i="5" s="1"/>
  <c r="GC13" i="5"/>
  <c r="CS15" i="12"/>
  <c r="DS15" i="12" s="1"/>
  <c r="DE31" i="7"/>
  <c r="DD31" i="7" s="1"/>
  <c r="FM31" i="7" s="1"/>
  <c r="CK32" i="7"/>
  <c r="DG31" i="7"/>
  <c r="DV31" i="7"/>
  <c r="DX31" i="7" s="1"/>
  <c r="DZ31" i="7" s="1"/>
  <c r="FQ14" i="12"/>
  <c r="FU13" i="12"/>
  <c r="DV32" i="12"/>
  <c r="DX32" i="12" s="1"/>
  <c r="DZ32" i="12" s="1"/>
  <c r="CK33" i="12"/>
  <c r="DE32" i="12"/>
  <c r="DD32" i="12" s="1"/>
  <c r="FM32" i="12" s="1"/>
  <c r="DG32" i="12"/>
  <c r="G13" i="6"/>
  <c r="EB32" i="8"/>
  <c r="FF31" i="8"/>
  <c r="HV13" i="10"/>
  <c r="HS14" i="10" s="1"/>
  <c r="DR31" i="12"/>
  <c r="CT15" i="5"/>
  <c r="DR30" i="7"/>
  <c r="CP14" i="11"/>
  <c r="FL14" i="11" s="1"/>
  <c r="FN14" i="11" s="1"/>
  <c r="FQ14" i="6"/>
  <c r="FL14" i="12"/>
  <c r="FN14" i="12" s="1"/>
  <c r="FO14" i="12" s="1"/>
  <c r="G14" i="9"/>
  <c r="FU14" i="9"/>
  <c r="FQ15" i="9"/>
  <c r="CT14" i="11"/>
  <c r="CQ14" i="6"/>
  <c r="CU15" i="6" s="1"/>
  <c r="DR32" i="9"/>
  <c r="DR32" i="10"/>
  <c r="DD32" i="9"/>
  <c r="HQ15" i="8"/>
  <c r="GG16" i="8"/>
  <c r="GB16" i="8" s="1"/>
  <c r="GC16" i="8" s="1"/>
  <c r="HN14" i="12"/>
  <c r="HP14" i="12" s="1"/>
  <c r="GC14" i="12"/>
  <c r="GF16" i="8"/>
  <c r="FO12" i="8"/>
  <c r="FR12" i="8"/>
  <c r="FS12" i="8" s="1"/>
  <c r="CU13" i="8"/>
  <c r="CS13" i="8"/>
  <c r="HV15" i="8"/>
  <c r="AE32" i="7"/>
  <c r="CQ13" i="10"/>
  <c r="HD31" i="8"/>
  <c r="HD31" i="7"/>
  <c r="GP31" i="7"/>
  <c r="HO31" i="7" s="1"/>
  <c r="CP14" i="7"/>
  <c r="CQ14" i="7" s="1"/>
  <c r="HN15" i="6"/>
  <c r="HP15" i="6" s="1"/>
  <c r="GC15" i="6"/>
  <c r="FR14" i="6"/>
  <c r="FS14" i="6" s="1"/>
  <c r="FO14" i="6"/>
  <c r="HI35" i="12"/>
  <c r="Z33" i="12"/>
  <c r="AC33" i="12" s="1"/>
  <c r="AE33" i="12" s="1"/>
  <c r="CJ32" i="12"/>
  <c r="HF30" i="12"/>
  <c r="HO30" i="12"/>
  <c r="BY34" i="12"/>
  <c r="AD34" i="12"/>
  <c r="AC32" i="12"/>
  <c r="AE32" i="12" s="1"/>
  <c r="E29" i="12"/>
  <c r="AH30" i="12"/>
  <c r="AK30" i="12" s="1"/>
  <c r="AL29" i="12"/>
  <c r="F29" i="12" s="1"/>
  <c r="DB34" i="12"/>
  <c r="DQ33" i="12"/>
  <c r="L36" i="12"/>
  <c r="M35" i="12"/>
  <c r="HC33" i="12"/>
  <c r="GN34" i="12"/>
  <c r="CI33" i="12"/>
  <c r="X34" i="12"/>
  <c r="DW35" i="12"/>
  <c r="EB34" i="12"/>
  <c r="FF33" i="12"/>
  <c r="HD31" i="12"/>
  <c r="GP31" i="12"/>
  <c r="AN33" i="12"/>
  <c r="BE32" i="12"/>
  <c r="BR32" i="12"/>
  <c r="BT32" i="12" s="1"/>
  <c r="BV32" i="12" s="1"/>
  <c r="BG32" i="12"/>
  <c r="FW33" i="12"/>
  <c r="GS32" i="12"/>
  <c r="GQ32" i="12"/>
  <c r="HH32" i="12"/>
  <c r="HJ32" i="12" s="1"/>
  <c r="HL32" i="12" s="1"/>
  <c r="AF32" i="11"/>
  <c r="AI32" i="11"/>
  <c r="AJ32" i="11" s="1"/>
  <c r="E29" i="11"/>
  <c r="AL29" i="11"/>
  <c r="F29" i="11" s="1"/>
  <c r="AH30" i="11"/>
  <c r="AK30" i="11" s="1"/>
  <c r="DQ33" i="11"/>
  <c r="DB34" i="11"/>
  <c r="DR31" i="11"/>
  <c r="DD31" i="11"/>
  <c r="FM31" i="11" s="1"/>
  <c r="BR33" i="11"/>
  <c r="BT33" i="11" s="1"/>
  <c r="BV33" i="11" s="1"/>
  <c r="BG33" i="11"/>
  <c r="AN34" i="11"/>
  <c r="BE33" i="11"/>
  <c r="CK33" i="11"/>
  <c r="DE32" i="11"/>
  <c r="DG32" i="11"/>
  <c r="DV32" i="11"/>
  <c r="DX32" i="11" s="1"/>
  <c r="DZ32" i="11" s="1"/>
  <c r="Z34" i="11"/>
  <c r="CJ33" i="11"/>
  <c r="HD32" i="11"/>
  <c r="GP32" i="11"/>
  <c r="HC33" i="11"/>
  <c r="GN34" i="11"/>
  <c r="DT30" i="11"/>
  <c r="EB34" i="11"/>
  <c r="FF33" i="11"/>
  <c r="GQ33" i="11"/>
  <c r="GP33" i="11" s="1"/>
  <c r="FW34" i="11"/>
  <c r="GS33" i="11"/>
  <c r="HH33" i="11"/>
  <c r="HJ33" i="11" s="1"/>
  <c r="HL33" i="11" s="1"/>
  <c r="HI36" i="11"/>
  <c r="AD34" i="11"/>
  <c r="BY34" i="11"/>
  <c r="X34" i="11"/>
  <c r="AC33" i="11"/>
  <c r="AE33" i="11" s="1"/>
  <c r="CI33" i="11"/>
  <c r="DW35" i="11"/>
  <c r="L36" i="11"/>
  <c r="M35" i="11"/>
  <c r="AF32" i="10"/>
  <c r="AI32" i="10"/>
  <c r="AH30" i="10"/>
  <c r="AK30" i="10" s="1"/>
  <c r="AL29" i="10"/>
  <c r="F29" i="10" s="1"/>
  <c r="E29" i="10"/>
  <c r="DT31" i="10"/>
  <c r="BY34" i="10"/>
  <c r="AD34" i="10"/>
  <c r="L36" i="10"/>
  <c r="M35" i="10"/>
  <c r="HF30" i="10"/>
  <c r="HO30" i="10"/>
  <c r="X34" i="10"/>
  <c r="CI33" i="10"/>
  <c r="Z33" i="10"/>
  <c r="CJ32" i="10"/>
  <c r="HD31" i="10"/>
  <c r="GP31" i="10"/>
  <c r="GQ32" i="10"/>
  <c r="FW33" i="10"/>
  <c r="GS32" i="10"/>
  <c r="HH32" i="10"/>
  <c r="HJ32" i="10" s="1"/>
  <c r="HL32" i="10" s="1"/>
  <c r="CK34" i="10"/>
  <c r="DE33" i="10"/>
  <c r="DD33" i="10" s="1"/>
  <c r="FM33" i="10" s="1"/>
  <c r="DG33" i="10"/>
  <c r="HI38" i="10"/>
  <c r="DV33" i="10"/>
  <c r="DX33" i="10" s="1"/>
  <c r="DZ33" i="10" s="1"/>
  <c r="DW35" i="10"/>
  <c r="DD32" i="10"/>
  <c r="FM32" i="10" s="1"/>
  <c r="AN33" i="10"/>
  <c r="BR32" i="10"/>
  <c r="BT32" i="10" s="1"/>
  <c r="BV32" i="10" s="1"/>
  <c r="BG32" i="10"/>
  <c r="BE32" i="10"/>
  <c r="EB34" i="10"/>
  <c r="FF33" i="10"/>
  <c r="DQ33" i="10"/>
  <c r="DB34" i="10"/>
  <c r="AI32" i="9"/>
  <c r="AF32" i="9"/>
  <c r="EB34" i="9"/>
  <c r="FF33" i="9"/>
  <c r="FW34" i="9"/>
  <c r="GS33" i="9"/>
  <c r="GQ33" i="9"/>
  <c r="DW36" i="9"/>
  <c r="CK34" i="9"/>
  <c r="DE33" i="9"/>
  <c r="DD33" i="9" s="1"/>
  <c r="FM33" i="9" s="1"/>
  <c r="DG33" i="9"/>
  <c r="DV33" i="9"/>
  <c r="DX33" i="9" s="1"/>
  <c r="DZ33" i="9" s="1"/>
  <c r="GP32" i="9"/>
  <c r="BE32" i="9"/>
  <c r="AN33" i="9"/>
  <c r="BG32" i="9"/>
  <c r="BR32" i="9"/>
  <c r="BT32" i="9" s="1"/>
  <c r="BV32" i="9" s="1"/>
  <c r="L36" i="9"/>
  <c r="M35" i="9"/>
  <c r="HT14" i="9"/>
  <c r="HU14" i="9" s="1"/>
  <c r="HQ14" i="9"/>
  <c r="DQ33" i="9"/>
  <c r="DB34" i="9"/>
  <c r="GG15" i="9"/>
  <c r="GE15" i="9"/>
  <c r="CI33" i="9"/>
  <c r="AC33" i="9"/>
  <c r="AE33" i="9" s="1"/>
  <c r="X34" i="9"/>
  <c r="AD34" i="9"/>
  <c r="BY34" i="9"/>
  <c r="Z33" i="9"/>
  <c r="CJ32" i="9"/>
  <c r="AH30" i="9"/>
  <c r="AK30" i="9" s="1"/>
  <c r="AL29" i="9"/>
  <c r="F29" i="9" s="1"/>
  <c r="E29" i="9"/>
  <c r="HI34" i="9"/>
  <c r="HH33" i="9"/>
  <c r="HJ33" i="9" s="1"/>
  <c r="HL33" i="9" s="1"/>
  <c r="AI31" i="8"/>
  <c r="AJ31" i="8" s="1"/>
  <c r="AF31" i="8"/>
  <c r="FW33" i="8"/>
  <c r="GQ32" i="8"/>
  <c r="GS32" i="8"/>
  <c r="HH32" i="8"/>
  <c r="HJ32" i="8" s="1"/>
  <c r="HL32" i="8" s="1"/>
  <c r="AH29" i="8"/>
  <c r="AK29" i="8" s="1"/>
  <c r="E28" i="8"/>
  <c r="AL28" i="8"/>
  <c r="F28" i="8" s="1"/>
  <c r="HI37" i="8"/>
  <c r="Z34" i="8"/>
  <c r="CJ33" i="8"/>
  <c r="L35" i="8"/>
  <c r="M34" i="8"/>
  <c r="GN33" i="8"/>
  <c r="HC32" i="8"/>
  <c r="CI32" i="8"/>
  <c r="AC32" i="8"/>
  <c r="AE32" i="8" s="1"/>
  <c r="X33" i="8"/>
  <c r="DE33" i="8"/>
  <c r="CK34" i="8"/>
  <c r="DV34" i="8" s="1"/>
  <c r="DG33" i="8"/>
  <c r="BY33" i="8"/>
  <c r="AD33" i="8"/>
  <c r="GP31" i="8"/>
  <c r="AN34" i="8"/>
  <c r="BR33" i="8"/>
  <c r="BT33" i="8" s="1"/>
  <c r="BV33" i="8" s="1"/>
  <c r="BG33" i="8"/>
  <c r="BE33" i="8"/>
  <c r="DT31" i="8"/>
  <c r="DV33" i="8"/>
  <c r="DX33" i="8" s="1"/>
  <c r="DZ33" i="8" s="1"/>
  <c r="DW35" i="8"/>
  <c r="DD32" i="8"/>
  <c r="FM32" i="8" s="1"/>
  <c r="DB33" i="8"/>
  <c r="DQ32" i="8"/>
  <c r="DR32" i="8" s="1"/>
  <c r="DS14" i="7"/>
  <c r="CT14" i="7"/>
  <c r="FT13" i="7"/>
  <c r="AH29" i="7"/>
  <c r="AK29" i="7" s="1"/>
  <c r="AL28" i="7"/>
  <c r="F28" i="7" s="1"/>
  <c r="E28" i="7"/>
  <c r="FW33" i="7"/>
  <c r="GQ32" i="7"/>
  <c r="GP32" i="7" s="1"/>
  <c r="GS32" i="7"/>
  <c r="HH32" i="7"/>
  <c r="HJ32" i="7" s="1"/>
  <c r="HL32" i="7" s="1"/>
  <c r="BY33" i="7"/>
  <c r="AD33" i="7"/>
  <c r="HC32" i="7"/>
  <c r="GN33" i="7"/>
  <c r="X34" i="7"/>
  <c r="CI33" i="7"/>
  <c r="HT17" i="7"/>
  <c r="HU17" i="7" s="1"/>
  <c r="HQ17" i="7"/>
  <c r="L35" i="7"/>
  <c r="M34" i="7"/>
  <c r="DB33" i="7"/>
  <c r="DQ32" i="7"/>
  <c r="AN33" i="7"/>
  <c r="BE32" i="7"/>
  <c r="BR32" i="7"/>
  <c r="BT32" i="7" s="1"/>
  <c r="BV32" i="7" s="1"/>
  <c r="BG32" i="7"/>
  <c r="DW34" i="7"/>
  <c r="HI36" i="7"/>
  <c r="HF30" i="7"/>
  <c r="HO30" i="7"/>
  <c r="GG18" i="7"/>
  <c r="GE18" i="7"/>
  <c r="AF32" i="6"/>
  <c r="AI32" i="6"/>
  <c r="AJ32" i="6" s="1"/>
  <c r="AL30" i="6"/>
  <c r="F30" i="6" s="1"/>
  <c r="AH31" i="6"/>
  <c r="AK31" i="6" s="1"/>
  <c r="E30" i="6"/>
  <c r="DT32" i="6"/>
  <c r="Z35" i="6"/>
  <c r="CJ34" i="6"/>
  <c r="X34" i="6"/>
  <c r="CI33" i="6"/>
  <c r="AC33" i="6"/>
  <c r="AE33" i="6" s="1"/>
  <c r="GS33" i="6"/>
  <c r="FW34" i="6"/>
  <c r="GQ33" i="6"/>
  <c r="GP33" i="6" s="1"/>
  <c r="HH33" i="6"/>
  <c r="HJ33" i="6" s="1"/>
  <c r="HL33" i="6" s="1"/>
  <c r="BE33" i="6"/>
  <c r="BR33" i="6"/>
  <c r="BT33" i="6" s="1"/>
  <c r="BV33" i="6" s="1"/>
  <c r="AN34" i="6"/>
  <c r="BG33" i="6"/>
  <c r="DB34" i="6"/>
  <c r="DQ33" i="6"/>
  <c r="DW36" i="6"/>
  <c r="HD32" i="6"/>
  <c r="DG33" i="6"/>
  <c r="CK34" i="6"/>
  <c r="DE33" i="6"/>
  <c r="DV33" i="6"/>
  <c r="DX33" i="6" s="1"/>
  <c r="DZ33" i="6" s="1"/>
  <c r="DR32" i="6"/>
  <c r="M35" i="6"/>
  <c r="L36" i="6"/>
  <c r="EB34" i="6"/>
  <c r="FF33" i="6"/>
  <c r="GN34" i="6"/>
  <c r="HC33" i="6"/>
  <c r="HI36" i="6"/>
  <c r="BY34" i="6"/>
  <c r="AD34" i="6"/>
  <c r="HF31" i="6"/>
  <c r="HO31" i="6"/>
  <c r="GP32" i="6"/>
  <c r="DT32" i="5"/>
  <c r="AC33" i="5"/>
  <c r="AE33" i="5" s="1"/>
  <c r="X34" i="5"/>
  <c r="CI33" i="5"/>
  <c r="HI35" i="5"/>
  <c r="AI32" i="5"/>
  <c r="AJ32" i="5" s="1"/>
  <c r="AF32" i="5"/>
  <c r="AD34" i="5"/>
  <c r="BY34" i="5"/>
  <c r="FW33" i="5"/>
  <c r="GS32" i="5"/>
  <c r="GQ32" i="5"/>
  <c r="HH32" i="5"/>
  <c r="HJ32" i="5" s="1"/>
  <c r="HL32" i="5" s="1"/>
  <c r="AH30" i="5"/>
  <c r="AK30" i="5" s="1"/>
  <c r="AL29" i="5"/>
  <c r="F29" i="5" s="1"/>
  <c r="E29" i="5"/>
  <c r="HC33" i="5"/>
  <c r="GN34" i="5"/>
  <c r="CJ33" i="5"/>
  <c r="Z34" i="5"/>
  <c r="HF30" i="5"/>
  <c r="HO30" i="5"/>
  <c r="M35" i="5"/>
  <c r="L36" i="5"/>
  <c r="CK34" i="5"/>
  <c r="DE33" i="5"/>
  <c r="DG33" i="5"/>
  <c r="DV33" i="5"/>
  <c r="DX33" i="5" s="1"/>
  <c r="DZ33" i="5" s="1"/>
  <c r="EB35" i="5"/>
  <c r="FF34" i="5"/>
  <c r="AN34" i="5"/>
  <c r="BR33" i="5"/>
  <c r="BT33" i="5" s="1"/>
  <c r="BV33" i="5" s="1"/>
  <c r="BE33" i="5"/>
  <c r="BG33" i="5"/>
  <c r="HD31" i="5"/>
  <c r="GP31" i="5"/>
  <c r="GQ32" i="3"/>
  <c r="GS32" i="3"/>
  <c r="DV32" i="3"/>
  <c r="DX32" i="3" s="1"/>
  <c r="DZ32" i="3" s="1"/>
  <c r="DG32" i="3"/>
  <c r="DE32" i="3"/>
  <c r="DT30" i="3"/>
  <c r="DD31" i="3"/>
  <c r="FM31" i="3" s="1"/>
  <c r="GN40" i="3"/>
  <c r="GP31" i="3"/>
  <c r="HF31" i="3" s="1"/>
  <c r="HD31" i="3"/>
  <c r="HC37" i="3"/>
  <c r="EB34" i="3"/>
  <c r="ES33" i="3"/>
  <c r="EU33" i="3"/>
  <c r="FF33" i="3"/>
  <c r="FH33" i="3" s="1"/>
  <c r="BR32" i="3"/>
  <c r="BT32" i="3" s="1"/>
  <c r="BV32" i="3" s="1"/>
  <c r="BG32" i="3"/>
  <c r="BE32" i="3"/>
  <c r="DR31" i="3"/>
  <c r="AN33" i="3"/>
  <c r="FW33" i="3"/>
  <c r="AD33" i="3"/>
  <c r="BY33" i="3"/>
  <c r="AC33" i="3"/>
  <c r="L35" i="3"/>
  <c r="M34" i="3"/>
  <c r="DW35" i="3"/>
  <c r="DQ36" i="3"/>
  <c r="CK33" i="3"/>
  <c r="X34" i="3"/>
  <c r="CI34" i="3" s="1"/>
  <c r="BP32" i="3"/>
  <c r="AE32" i="3"/>
  <c r="HH32" i="3"/>
  <c r="HJ32" i="3" s="1"/>
  <c r="HL32" i="3" s="1"/>
  <c r="I13" i="12" l="1"/>
  <c r="I14" i="6"/>
  <c r="HW14" i="6"/>
  <c r="J14" i="6" s="1"/>
  <c r="HS15" i="6"/>
  <c r="Z34" i="7"/>
  <c r="CJ33" i="7"/>
  <c r="FM31" i="5"/>
  <c r="DT31" i="5"/>
  <c r="DT31" i="7"/>
  <c r="HC32" i="10"/>
  <c r="GN33" i="10"/>
  <c r="HC32" i="9"/>
  <c r="HD32" i="9" s="1"/>
  <c r="GN33" i="9"/>
  <c r="Z34" i="3"/>
  <c r="AC34" i="3" s="1"/>
  <c r="CJ33" i="3"/>
  <c r="DB33" i="5"/>
  <c r="DQ32" i="5"/>
  <c r="DR32" i="5" s="1"/>
  <c r="HW13" i="12"/>
  <c r="J13" i="12" s="1"/>
  <c r="FT12" i="8"/>
  <c r="G12" i="8" s="1"/>
  <c r="FT13" i="11"/>
  <c r="FQ14" i="11" s="1"/>
  <c r="GF16" i="11"/>
  <c r="AI32" i="7"/>
  <c r="AJ32" i="7" s="1"/>
  <c r="AJ32" i="9"/>
  <c r="FR14" i="5"/>
  <c r="FS14" i="5" s="1"/>
  <c r="HV15" i="11"/>
  <c r="HS16" i="11" s="1"/>
  <c r="FL15" i="9"/>
  <c r="FN15" i="9" s="1"/>
  <c r="FO15" i="9" s="1"/>
  <c r="HQ15" i="11"/>
  <c r="GB16" i="11"/>
  <c r="GC14" i="10"/>
  <c r="GE15" i="10" s="1"/>
  <c r="CU16" i="9"/>
  <c r="CS16" i="9"/>
  <c r="DS16" i="9" s="1"/>
  <c r="HW13" i="10"/>
  <c r="J13" i="10" s="1"/>
  <c r="I13" i="10"/>
  <c r="CP15" i="12"/>
  <c r="FL15" i="12" s="1"/>
  <c r="FN15" i="12" s="1"/>
  <c r="DT32" i="12"/>
  <c r="CS15" i="6"/>
  <c r="DS15" i="6" s="1"/>
  <c r="CT15" i="12"/>
  <c r="AJ32" i="10"/>
  <c r="AF32" i="7"/>
  <c r="FR14" i="12"/>
  <c r="FS14" i="12" s="1"/>
  <c r="DR32" i="12"/>
  <c r="DV33" i="12"/>
  <c r="DX33" i="12" s="1"/>
  <c r="DZ33" i="12" s="1"/>
  <c r="DE33" i="12"/>
  <c r="DD33" i="12" s="1"/>
  <c r="FM33" i="12" s="1"/>
  <c r="DG33" i="12"/>
  <c r="CK34" i="12"/>
  <c r="CK33" i="7"/>
  <c r="DG32" i="7"/>
  <c r="DE32" i="7"/>
  <c r="DD32" i="7" s="1"/>
  <c r="FM32" i="7" s="1"/>
  <c r="DV32" i="7"/>
  <c r="DX32" i="7" s="1"/>
  <c r="DZ32" i="7" s="1"/>
  <c r="DR31" i="7"/>
  <c r="EB33" i="8"/>
  <c r="FF32" i="8"/>
  <c r="GG14" i="5"/>
  <c r="GE14" i="5"/>
  <c r="HQ13" i="5"/>
  <c r="HT13" i="5"/>
  <c r="CQ14" i="11"/>
  <c r="CU15" i="11" s="1"/>
  <c r="CQ15" i="5"/>
  <c r="CS16" i="5" s="1"/>
  <c r="EB33" i="7"/>
  <c r="FF32" i="7"/>
  <c r="DT32" i="9"/>
  <c r="FM32" i="9"/>
  <c r="FR14" i="11"/>
  <c r="FS14" i="11" s="1"/>
  <c r="FO14" i="11"/>
  <c r="DR33" i="6"/>
  <c r="FR15" i="5"/>
  <c r="FO15" i="5"/>
  <c r="DD33" i="6"/>
  <c r="GG15" i="12"/>
  <c r="GE15" i="12"/>
  <c r="HT14" i="12"/>
  <c r="HU14" i="12" s="1"/>
  <c r="HQ14" i="12"/>
  <c r="HQ14" i="10"/>
  <c r="HT14" i="10"/>
  <c r="HU14" i="10" s="1"/>
  <c r="GB15" i="9"/>
  <c r="GC15" i="9" s="1"/>
  <c r="HN16" i="8"/>
  <c r="HP16" i="8" s="1"/>
  <c r="GG17" i="8"/>
  <c r="GE17" i="8"/>
  <c r="DS13" i="8"/>
  <c r="CT13" i="8"/>
  <c r="CP13" i="8"/>
  <c r="I15" i="8"/>
  <c r="HW15" i="8"/>
  <c r="J15" i="8" s="1"/>
  <c r="HS16" i="8"/>
  <c r="FR13" i="10"/>
  <c r="FS13" i="10" s="1"/>
  <c r="FO13" i="10"/>
  <c r="CU14" i="10"/>
  <c r="CS14" i="10"/>
  <c r="HV14" i="9"/>
  <c r="HS15" i="9" s="1"/>
  <c r="HF31" i="7"/>
  <c r="HV17" i="7"/>
  <c r="HS18" i="7" s="1"/>
  <c r="FL14" i="7"/>
  <c r="FN14" i="7" s="1"/>
  <c r="FO14" i="7" s="1"/>
  <c r="GB18" i="7"/>
  <c r="GC18" i="7" s="1"/>
  <c r="GG16" i="6"/>
  <c r="GE16" i="6"/>
  <c r="HT15" i="6"/>
  <c r="HU15" i="6" s="1"/>
  <c r="HQ15" i="6"/>
  <c r="FT14" i="6"/>
  <c r="AL30" i="12"/>
  <c r="F30" i="12" s="1"/>
  <c r="AH31" i="12"/>
  <c r="AK31" i="12" s="1"/>
  <c r="E30" i="12"/>
  <c r="HC34" i="12"/>
  <c r="GN35" i="12"/>
  <c r="HD32" i="12"/>
  <c r="GP32" i="12"/>
  <c r="HF31" i="12"/>
  <c r="HO31" i="12"/>
  <c r="BY35" i="12"/>
  <c r="AD35" i="12"/>
  <c r="M36" i="12"/>
  <c r="L37" i="12"/>
  <c r="FW34" i="12"/>
  <c r="GQ33" i="12"/>
  <c r="GS33" i="12"/>
  <c r="HH33" i="12"/>
  <c r="HJ33" i="12" s="1"/>
  <c r="HL33" i="12" s="1"/>
  <c r="EB35" i="12"/>
  <c r="FF34" i="12"/>
  <c r="DB35" i="12"/>
  <c r="DQ34" i="12"/>
  <c r="DW36" i="12"/>
  <c r="CJ33" i="12"/>
  <c r="Z34" i="12"/>
  <c r="AC34" i="12" s="1"/>
  <c r="AE34" i="12" s="1"/>
  <c r="CI34" i="12"/>
  <c r="X35" i="12"/>
  <c r="HI36" i="12"/>
  <c r="BE33" i="12"/>
  <c r="AN34" i="12"/>
  <c r="BG33" i="12"/>
  <c r="BR33" i="12"/>
  <c r="BT33" i="12" s="1"/>
  <c r="BV33" i="12" s="1"/>
  <c r="AI32" i="12"/>
  <c r="AJ32" i="12" s="1"/>
  <c r="AF32" i="12"/>
  <c r="AF33" i="12" s="1"/>
  <c r="AL30" i="11"/>
  <c r="F30" i="11" s="1"/>
  <c r="E30" i="11"/>
  <c r="AH31" i="11"/>
  <c r="AK31" i="11" s="1"/>
  <c r="DT31" i="11"/>
  <c r="BY35" i="11"/>
  <c r="AD35" i="11"/>
  <c r="AI33" i="11"/>
  <c r="AJ33" i="11" s="1"/>
  <c r="AF33" i="11"/>
  <c r="L37" i="11"/>
  <c r="M36" i="11"/>
  <c r="DW36" i="11"/>
  <c r="AC34" i="11"/>
  <c r="AE34" i="11" s="1"/>
  <c r="X35" i="11"/>
  <c r="CI34" i="11"/>
  <c r="DG33" i="11"/>
  <c r="CK34" i="11"/>
  <c r="DE33" i="11"/>
  <c r="DV33" i="11"/>
  <c r="DX33" i="11" s="1"/>
  <c r="DZ33" i="11" s="1"/>
  <c r="FW35" i="11"/>
  <c r="GS34" i="11"/>
  <c r="GQ34" i="11"/>
  <c r="HH34" i="11"/>
  <c r="HJ34" i="11" s="1"/>
  <c r="HL34" i="11" s="1"/>
  <c r="AN35" i="11"/>
  <c r="BE34" i="11"/>
  <c r="BR34" i="11"/>
  <c r="BT34" i="11" s="1"/>
  <c r="BV34" i="11" s="1"/>
  <c r="BG34" i="11"/>
  <c r="HD33" i="11"/>
  <c r="Z35" i="11"/>
  <c r="CJ34" i="11"/>
  <c r="DR32" i="11"/>
  <c r="DD32" i="11"/>
  <c r="FM32" i="11" s="1"/>
  <c r="HI37" i="11"/>
  <c r="DB35" i="11"/>
  <c r="DQ34" i="11"/>
  <c r="EB35" i="11"/>
  <c r="FF34" i="11"/>
  <c r="HF33" i="11"/>
  <c r="HO33" i="11"/>
  <c r="GN35" i="11"/>
  <c r="HC34" i="11"/>
  <c r="HF32" i="11"/>
  <c r="HO32" i="11"/>
  <c r="AL30" i="10"/>
  <c r="F30" i="10" s="1"/>
  <c r="AH31" i="10"/>
  <c r="AK31" i="10" s="1"/>
  <c r="E30" i="10"/>
  <c r="GS33" i="10"/>
  <c r="GQ33" i="10"/>
  <c r="FW34" i="10"/>
  <c r="HH33" i="10"/>
  <c r="HJ33" i="10" s="1"/>
  <c r="HL33" i="10" s="1"/>
  <c r="EB35" i="10"/>
  <c r="FF34" i="10"/>
  <c r="HF31" i="10"/>
  <c r="HO31" i="10"/>
  <c r="HI39" i="10"/>
  <c r="BY35" i="10"/>
  <c r="AD35" i="10"/>
  <c r="Z34" i="10"/>
  <c r="CJ33" i="10"/>
  <c r="L37" i="10"/>
  <c r="M36" i="10"/>
  <c r="HD32" i="10"/>
  <c r="GP32" i="10"/>
  <c r="DR33" i="10"/>
  <c r="AN34" i="10"/>
  <c r="BE33" i="10"/>
  <c r="BG33" i="10"/>
  <c r="BR33" i="10"/>
  <c r="BT33" i="10" s="1"/>
  <c r="BV33" i="10" s="1"/>
  <c r="CK35" i="10"/>
  <c r="DV35" i="10" s="1"/>
  <c r="DG34" i="10"/>
  <c r="DE34" i="10"/>
  <c r="DB35" i="10"/>
  <c r="DQ34" i="10"/>
  <c r="DT32" i="10"/>
  <c r="DV34" i="10"/>
  <c r="DX34" i="10" s="1"/>
  <c r="DZ34" i="10" s="1"/>
  <c r="AC33" i="10"/>
  <c r="AE33" i="10" s="1"/>
  <c r="DT33" i="10"/>
  <c r="DW36" i="10"/>
  <c r="X35" i="10"/>
  <c r="CI34" i="10"/>
  <c r="AC34" i="10"/>
  <c r="AE34" i="10" s="1"/>
  <c r="DT33" i="9"/>
  <c r="AI33" i="9"/>
  <c r="AF33" i="9"/>
  <c r="CK35" i="9"/>
  <c r="DE34" i="9"/>
  <c r="DD34" i="9" s="1"/>
  <c r="FM34" i="9" s="1"/>
  <c r="DG34" i="9"/>
  <c r="DV34" i="9"/>
  <c r="DX34" i="9" s="1"/>
  <c r="DZ34" i="9" s="1"/>
  <c r="FW35" i="9"/>
  <c r="GS34" i="9"/>
  <c r="GQ34" i="9"/>
  <c r="HF32" i="9"/>
  <c r="HO32" i="9"/>
  <c r="X35" i="9"/>
  <c r="CI34" i="9"/>
  <c r="AD35" i="9"/>
  <c r="BY35" i="9"/>
  <c r="AN34" i="9"/>
  <c r="BR33" i="9"/>
  <c r="BT33" i="9" s="1"/>
  <c r="BV33" i="9" s="1"/>
  <c r="BE33" i="9"/>
  <c r="BG33" i="9"/>
  <c r="EB35" i="9"/>
  <c r="FF34" i="9"/>
  <c r="CJ33" i="9"/>
  <c r="Z34" i="9"/>
  <c r="AC34" i="9" s="1"/>
  <c r="AE34" i="9" s="1"/>
  <c r="M36" i="9"/>
  <c r="L37" i="9"/>
  <c r="DB35" i="9"/>
  <c r="DQ34" i="9"/>
  <c r="HI35" i="9"/>
  <c r="HH34" i="9"/>
  <c r="HJ34" i="9" s="1"/>
  <c r="HL34" i="9" s="1"/>
  <c r="DR33" i="9"/>
  <c r="AL30" i="9"/>
  <c r="F30" i="9" s="1"/>
  <c r="AH31" i="9"/>
  <c r="AK31" i="9" s="1"/>
  <c r="E30" i="9"/>
  <c r="HE15" i="9"/>
  <c r="GF15" i="9"/>
  <c r="AF32" i="8"/>
  <c r="AI32" i="8"/>
  <c r="AJ32" i="8" s="1"/>
  <c r="E29" i="8"/>
  <c r="AH30" i="8"/>
  <c r="AK30" i="8" s="1"/>
  <c r="AL29" i="8"/>
  <c r="F29" i="8" s="1"/>
  <c r="BE34" i="8"/>
  <c r="BR34" i="8"/>
  <c r="BT34" i="8" s="1"/>
  <c r="BV34" i="8" s="1"/>
  <c r="AN35" i="8"/>
  <c r="BG34" i="8"/>
  <c r="HF31" i="8"/>
  <c r="HO31" i="8"/>
  <c r="DQ33" i="8"/>
  <c r="DR33" i="8" s="1"/>
  <c r="DD33" i="8"/>
  <c r="FM33" i="8" s="1"/>
  <c r="DB34" i="8"/>
  <c r="HD32" i="8"/>
  <c r="HI38" i="8"/>
  <c r="FW34" i="8"/>
  <c r="GQ33" i="8"/>
  <c r="GS33" i="8"/>
  <c r="HH33" i="8"/>
  <c r="HJ33" i="8" s="1"/>
  <c r="HL33" i="8" s="1"/>
  <c r="DT32" i="8"/>
  <c r="DW36" i="8"/>
  <c r="GP32" i="8"/>
  <c r="BY34" i="8"/>
  <c r="AD34" i="8"/>
  <c r="AC33" i="8"/>
  <c r="AE33" i="8" s="1"/>
  <c r="X34" i="8"/>
  <c r="CI33" i="8"/>
  <c r="DX34" i="8"/>
  <c r="DZ34" i="8" s="1"/>
  <c r="DG34" i="8"/>
  <c r="CK35" i="8"/>
  <c r="DE34" i="8"/>
  <c r="L36" i="8"/>
  <c r="M35" i="8"/>
  <c r="GN34" i="8"/>
  <c r="HC33" i="8"/>
  <c r="Z35" i="8"/>
  <c r="CJ34" i="8"/>
  <c r="AH30" i="7"/>
  <c r="AK30" i="7" s="1"/>
  <c r="E29" i="7"/>
  <c r="AL29" i="7"/>
  <c r="F29" i="7" s="1"/>
  <c r="L36" i="7"/>
  <c r="M35" i="7"/>
  <c r="AN34" i="7"/>
  <c r="BG33" i="7"/>
  <c r="BE33" i="7"/>
  <c r="BR33" i="7"/>
  <c r="BT33" i="7" s="1"/>
  <c r="BV33" i="7" s="1"/>
  <c r="BY34" i="7"/>
  <c r="AD34" i="7"/>
  <c r="HD32" i="7"/>
  <c r="FW34" i="7"/>
  <c r="GS33" i="7"/>
  <c r="GQ33" i="7"/>
  <c r="HH33" i="7"/>
  <c r="HJ33" i="7" s="1"/>
  <c r="HL33" i="7" s="1"/>
  <c r="HI37" i="7"/>
  <c r="X35" i="7"/>
  <c r="CI34" i="7"/>
  <c r="AC34" i="7"/>
  <c r="DW35" i="7"/>
  <c r="HE18" i="7"/>
  <c r="GF18" i="7"/>
  <c r="FU13" i="7"/>
  <c r="FQ14" i="7"/>
  <c r="HF32" i="7"/>
  <c r="HO32" i="7"/>
  <c r="HC33" i="7"/>
  <c r="GN34" i="7"/>
  <c r="DB34" i="7"/>
  <c r="DQ33" i="7"/>
  <c r="CU15" i="7"/>
  <c r="CS15" i="7"/>
  <c r="DS15" i="7" s="1"/>
  <c r="AE33" i="7"/>
  <c r="G13" i="7"/>
  <c r="AI33" i="6"/>
  <c r="AF33" i="6"/>
  <c r="AH32" i="6"/>
  <c r="AK32" i="6" s="1"/>
  <c r="AL31" i="6"/>
  <c r="F31" i="6" s="1"/>
  <c r="E31" i="6"/>
  <c r="FW35" i="6"/>
  <c r="GS34" i="6"/>
  <c r="GQ34" i="6"/>
  <c r="GP34" i="6" s="1"/>
  <c r="HH34" i="6"/>
  <c r="HJ34" i="6" s="1"/>
  <c r="HL34" i="6" s="1"/>
  <c r="Z36" i="6"/>
  <c r="CJ35" i="6"/>
  <c r="L37" i="6"/>
  <c r="M36" i="6"/>
  <c r="BY35" i="6"/>
  <c r="AD35" i="6"/>
  <c r="DQ34" i="6"/>
  <c r="DB35" i="6"/>
  <c r="BG34" i="6"/>
  <c r="AN35" i="6"/>
  <c r="BE34" i="6"/>
  <c r="BR34" i="6"/>
  <c r="BT34" i="6" s="1"/>
  <c r="BV34" i="6" s="1"/>
  <c r="HI37" i="6"/>
  <c r="DG34" i="6"/>
  <c r="CK35" i="6"/>
  <c r="DE34" i="6"/>
  <c r="DD34" i="6" s="1"/>
  <c r="FM34" i="6" s="1"/>
  <c r="DV34" i="6"/>
  <c r="DX34" i="6" s="1"/>
  <c r="DZ34" i="6" s="1"/>
  <c r="HF32" i="6"/>
  <c r="HO32" i="6"/>
  <c r="HF33" i="6"/>
  <c r="HO33" i="6"/>
  <c r="GN35" i="6"/>
  <c r="HC34" i="6"/>
  <c r="HD33" i="6"/>
  <c r="EB35" i="6"/>
  <c r="FF34" i="6"/>
  <c r="AC34" i="6"/>
  <c r="AE34" i="6" s="1"/>
  <c r="X35" i="6"/>
  <c r="CI34" i="6"/>
  <c r="AI33" i="5"/>
  <c r="AJ33" i="5" s="1"/>
  <c r="AF33" i="5"/>
  <c r="L37" i="5"/>
  <c r="M36" i="5"/>
  <c r="BY35" i="5"/>
  <c r="AD35" i="5"/>
  <c r="HI36" i="5"/>
  <c r="BG34" i="5"/>
  <c r="BE34" i="5"/>
  <c r="AN35" i="5"/>
  <c r="BR34" i="5"/>
  <c r="BT34" i="5" s="1"/>
  <c r="BV34" i="5" s="1"/>
  <c r="DE34" i="5"/>
  <c r="CK35" i="5"/>
  <c r="DG34" i="5"/>
  <c r="DV34" i="5"/>
  <c r="DX34" i="5" s="1"/>
  <c r="DZ34" i="5" s="1"/>
  <c r="HD32" i="5"/>
  <c r="GP32" i="5"/>
  <c r="DD33" i="5"/>
  <c r="FM33" i="5" s="1"/>
  <c r="AC34" i="5"/>
  <c r="AE34" i="5" s="1"/>
  <c r="X35" i="5"/>
  <c r="CI34" i="5"/>
  <c r="AL30" i="5"/>
  <c r="F30" i="5" s="1"/>
  <c r="AH31" i="5"/>
  <c r="AK31" i="5" s="1"/>
  <c r="E30" i="5"/>
  <c r="HF31" i="5"/>
  <c r="HO31" i="5"/>
  <c r="EB36" i="5"/>
  <c r="FF35" i="5"/>
  <c r="GS33" i="5"/>
  <c r="FW34" i="5"/>
  <c r="GQ33" i="5"/>
  <c r="HH33" i="5"/>
  <c r="HJ33" i="5" s="1"/>
  <c r="HL33" i="5" s="1"/>
  <c r="GN35" i="5"/>
  <c r="HC34" i="5"/>
  <c r="CJ34" i="5"/>
  <c r="Z35" i="5"/>
  <c r="DV33" i="3"/>
  <c r="DX33" i="3" s="1"/>
  <c r="DZ33" i="3" s="1"/>
  <c r="DG33" i="3"/>
  <c r="DE33" i="3"/>
  <c r="GS33" i="3"/>
  <c r="GQ33" i="3"/>
  <c r="DT31" i="3"/>
  <c r="GN41" i="3"/>
  <c r="GP32" i="3"/>
  <c r="HF32" i="3" s="1"/>
  <c r="HD32" i="3"/>
  <c r="DD32" i="3"/>
  <c r="HC38" i="3"/>
  <c r="BR33" i="3"/>
  <c r="BT33" i="3" s="1"/>
  <c r="BV33" i="3" s="1"/>
  <c r="BE33" i="3"/>
  <c r="BG33" i="3"/>
  <c r="EB35" i="3"/>
  <c r="ES34" i="3"/>
  <c r="EU34" i="3"/>
  <c r="FF34" i="3"/>
  <c r="FH34" i="3" s="1"/>
  <c r="DR32" i="3"/>
  <c r="FW34" i="3"/>
  <c r="AN34" i="3"/>
  <c r="AD34" i="3"/>
  <c r="BY34" i="3"/>
  <c r="L36" i="3"/>
  <c r="M35" i="3"/>
  <c r="DW36" i="3"/>
  <c r="DQ37" i="3"/>
  <c r="BP33" i="3"/>
  <c r="X35" i="3"/>
  <c r="CI35" i="3" s="1"/>
  <c r="CK34" i="3"/>
  <c r="HH33" i="3"/>
  <c r="AE33" i="3"/>
  <c r="FU12" i="8" l="1"/>
  <c r="FQ13" i="8"/>
  <c r="DB34" i="5"/>
  <c r="DQ33" i="5"/>
  <c r="DR33" i="5" s="1"/>
  <c r="FU13" i="11"/>
  <c r="Z35" i="3"/>
  <c r="CJ34" i="3"/>
  <c r="DD34" i="5"/>
  <c r="FM34" i="5" s="1"/>
  <c r="GN34" i="9"/>
  <c r="HC33" i="9"/>
  <c r="HD33" i="9" s="1"/>
  <c r="HC33" i="10"/>
  <c r="GN34" i="10"/>
  <c r="GP33" i="9"/>
  <c r="G13" i="11"/>
  <c r="CJ34" i="7"/>
  <c r="Z35" i="7"/>
  <c r="FS15" i="5"/>
  <c r="AJ33" i="9"/>
  <c r="HW15" i="11"/>
  <c r="FT14" i="5"/>
  <c r="G14" i="5" s="1"/>
  <c r="I15" i="11"/>
  <c r="CP15" i="6"/>
  <c r="CQ15" i="6" s="1"/>
  <c r="CU16" i="6" s="1"/>
  <c r="FR15" i="9"/>
  <c r="FS15" i="9" s="1"/>
  <c r="CT15" i="6"/>
  <c r="J15" i="11"/>
  <c r="GG15" i="10"/>
  <c r="GB15" i="10" s="1"/>
  <c r="GC15" i="10" s="1"/>
  <c r="HN16" i="11"/>
  <c r="HP16" i="11" s="1"/>
  <c r="GC16" i="11"/>
  <c r="DT32" i="7"/>
  <c r="DT33" i="12"/>
  <c r="DR33" i="12"/>
  <c r="CS15" i="11"/>
  <c r="CP15" i="11" s="1"/>
  <c r="CP16" i="9"/>
  <c r="CT16" i="9"/>
  <c r="CQ15" i="12"/>
  <c r="CU16" i="12" s="1"/>
  <c r="FT14" i="12"/>
  <c r="G14" i="12" s="1"/>
  <c r="GB14" i="5"/>
  <c r="GC14" i="5" s="1"/>
  <c r="DR32" i="7"/>
  <c r="CU16" i="5"/>
  <c r="CP16" i="5" s="1"/>
  <c r="CQ16" i="5" s="1"/>
  <c r="FF33" i="8"/>
  <c r="EB34" i="8"/>
  <c r="EB34" i="7"/>
  <c r="FF33" i="7"/>
  <c r="CK34" i="7"/>
  <c r="DG33" i="7"/>
  <c r="DV33" i="7"/>
  <c r="DX33" i="7" s="1"/>
  <c r="DZ33" i="7" s="1"/>
  <c r="DE33" i="7"/>
  <c r="DD33" i="7" s="1"/>
  <c r="FM33" i="7" s="1"/>
  <c r="HV13" i="5"/>
  <c r="HU13" i="5"/>
  <c r="DE34" i="12"/>
  <c r="DD34" i="12" s="1"/>
  <c r="FM34" i="12" s="1"/>
  <c r="DV34" i="12"/>
  <c r="DX34" i="12" s="1"/>
  <c r="DZ34" i="12" s="1"/>
  <c r="DG34" i="12"/>
  <c r="CK35" i="12"/>
  <c r="HD34" i="11"/>
  <c r="HE14" i="5"/>
  <c r="GF14" i="5"/>
  <c r="DT33" i="6"/>
  <c r="FM33" i="6"/>
  <c r="DR34" i="10"/>
  <c r="FT14" i="11"/>
  <c r="FO15" i="12"/>
  <c r="FR15" i="12"/>
  <c r="FS15" i="12" s="1"/>
  <c r="DS16" i="5"/>
  <c r="CT16" i="5"/>
  <c r="HV14" i="12"/>
  <c r="I14" i="12" s="1"/>
  <c r="HV14" i="10"/>
  <c r="I14" i="10" s="1"/>
  <c r="GB17" i="8"/>
  <c r="GC17" i="8" s="1"/>
  <c r="GE18" i="8" s="1"/>
  <c r="HE18" i="8" s="1"/>
  <c r="HV15" i="6"/>
  <c r="HW15" i="6" s="1"/>
  <c r="J15" i="6" s="1"/>
  <c r="HE15" i="12"/>
  <c r="GF15" i="12"/>
  <c r="GB15" i="12"/>
  <c r="CQ13" i="8"/>
  <c r="FL13" i="8"/>
  <c r="FN13" i="8" s="1"/>
  <c r="HN15" i="9"/>
  <c r="HP15" i="9" s="1"/>
  <c r="HT15" i="9" s="1"/>
  <c r="HU15" i="9" s="1"/>
  <c r="HE15" i="10"/>
  <c r="GF15" i="10"/>
  <c r="GB16" i="6"/>
  <c r="HE17" i="8"/>
  <c r="GF17" i="8"/>
  <c r="CP14" i="10"/>
  <c r="CQ14" i="10" s="1"/>
  <c r="CS15" i="10" s="1"/>
  <c r="HQ16" i="8"/>
  <c r="HT16" i="8"/>
  <c r="HU16" i="8" s="1"/>
  <c r="GP34" i="11"/>
  <c r="HO34" i="11" s="1"/>
  <c r="FT13" i="10"/>
  <c r="DS14" i="10"/>
  <c r="CT14" i="10"/>
  <c r="I14" i="9"/>
  <c r="HW14" i="9"/>
  <c r="J14" i="9" s="1"/>
  <c r="HD33" i="8"/>
  <c r="HD33" i="7"/>
  <c r="I17" i="7"/>
  <c r="HW17" i="7"/>
  <c r="J17" i="7" s="1"/>
  <c r="HN18" i="7"/>
  <c r="HP18" i="7" s="1"/>
  <c r="HT18" i="7" s="1"/>
  <c r="HU18" i="7" s="1"/>
  <c r="FR14" i="7"/>
  <c r="FS14" i="7" s="1"/>
  <c r="CP15" i="7"/>
  <c r="FL15" i="7" s="1"/>
  <c r="FN15" i="7" s="1"/>
  <c r="FR15" i="7" s="1"/>
  <c r="HE16" i="6"/>
  <c r="GF16" i="6"/>
  <c r="FQ15" i="6"/>
  <c r="FU14" i="6"/>
  <c r="G14" i="6"/>
  <c r="AI34" i="12"/>
  <c r="AF34" i="12"/>
  <c r="E31" i="12"/>
  <c r="AL31" i="12"/>
  <c r="F31" i="12" s="1"/>
  <c r="AH32" i="12"/>
  <c r="AK32" i="12" s="1"/>
  <c r="L38" i="12"/>
  <c r="M37" i="12"/>
  <c r="HC35" i="12"/>
  <c r="GN36" i="12"/>
  <c r="BY36" i="12"/>
  <c r="AD36" i="12"/>
  <c r="HI37" i="12"/>
  <c r="DB36" i="12"/>
  <c r="DQ35" i="12"/>
  <c r="CI35" i="12"/>
  <c r="X36" i="12"/>
  <c r="FF35" i="12"/>
  <c r="EB36" i="12"/>
  <c r="FW35" i="12"/>
  <c r="GS34" i="12"/>
  <c r="GQ34" i="12"/>
  <c r="HH34" i="12"/>
  <c r="HJ34" i="12" s="1"/>
  <c r="HL34" i="12" s="1"/>
  <c r="AN35" i="12"/>
  <c r="BG34" i="12"/>
  <c r="BE34" i="12"/>
  <c r="BR34" i="12"/>
  <c r="BT34" i="12" s="1"/>
  <c r="BV34" i="12" s="1"/>
  <c r="Z35" i="12"/>
  <c r="AC35" i="12" s="1"/>
  <c r="AE35" i="12" s="1"/>
  <c r="CJ34" i="12"/>
  <c r="HD33" i="12"/>
  <c r="GP33" i="12"/>
  <c r="AI33" i="12"/>
  <c r="AJ33" i="12" s="1"/>
  <c r="HF32" i="12"/>
  <c r="HO32" i="12"/>
  <c r="HI38" i="11"/>
  <c r="CK35" i="11"/>
  <c r="DG34" i="11"/>
  <c r="DE34" i="11"/>
  <c r="DV34" i="11"/>
  <c r="DX34" i="11" s="1"/>
  <c r="DZ34" i="11" s="1"/>
  <c r="DQ35" i="11"/>
  <c r="DB36" i="11"/>
  <c r="DT32" i="11"/>
  <c r="E31" i="11"/>
  <c r="AL31" i="11"/>
  <c r="F31" i="11" s="1"/>
  <c r="AH32" i="11"/>
  <c r="AK32" i="11" s="1"/>
  <c r="AN36" i="11"/>
  <c r="BG35" i="11"/>
  <c r="BE35" i="11"/>
  <c r="BR35" i="11"/>
  <c r="BT35" i="11" s="1"/>
  <c r="BV35" i="11" s="1"/>
  <c r="AI34" i="11"/>
  <c r="AJ34" i="11" s="1"/>
  <c r="AF34" i="11"/>
  <c r="GN36" i="11"/>
  <c r="HC35" i="11"/>
  <c r="X36" i="11"/>
  <c r="CI35" i="11"/>
  <c r="AC35" i="11"/>
  <c r="AE35" i="11" s="1"/>
  <c r="FW36" i="11"/>
  <c r="GQ35" i="11"/>
  <c r="GS35" i="11"/>
  <c r="HH35" i="11"/>
  <c r="HJ35" i="11" s="1"/>
  <c r="HL35" i="11" s="1"/>
  <c r="EB36" i="11"/>
  <c r="FF35" i="11"/>
  <c r="Z36" i="11"/>
  <c r="CJ35" i="11"/>
  <c r="BY36" i="11"/>
  <c r="AD36" i="11"/>
  <c r="DR33" i="11"/>
  <c r="DD33" i="11"/>
  <c r="FM33" i="11" s="1"/>
  <c r="M37" i="11"/>
  <c r="L38" i="11"/>
  <c r="AH32" i="10"/>
  <c r="AK32" i="10" s="1"/>
  <c r="E31" i="10"/>
  <c r="AL31" i="10"/>
  <c r="F31" i="10" s="1"/>
  <c r="EB36" i="10"/>
  <c r="FF35" i="10"/>
  <c r="DD34" i="10"/>
  <c r="FM34" i="10" s="1"/>
  <c r="HI40" i="10"/>
  <c r="GS34" i="10"/>
  <c r="FW35" i="10"/>
  <c r="GQ34" i="10"/>
  <c r="HH34" i="10"/>
  <c r="HJ34" i="10" s="1"/>
  <c r="HL34" i="10" s="1"/>
  <c r="CI35" i="10"/>
  <c r="X36" i="10"/>
  <c r="HD33" i="10"/>
  <c r="GP33" i="10"/>
  <c r="HF32" i="10"/>
  <c r="HO32" i="10"/>
  <c r="DQ35" i="10"/>
  <c r="DB36" i="10"/>
  <c r="DG35" i="10"/>
  <c r="DX35" i="10"/>
  <c r="DZ35" i="10" s="1"/>
  <c r="DE35" i="10"/>
  <c r="DD35" i="10" s="1"/>
  <c r="FM35" i="10" s="1"/>
  <c r="CK36" i="10"/>
  <c r="DV36" i="10" s="1"/>
  <c r="AD36" i="10"/>
  <c r="BY36" i="10"/>
  <c r="M37" i="10"/>
  <c r="L38" i="10"/>
  <c r="AI33" i="10"/>
  <c r="AJ33" i="10" s="1"/>
  <c r="AF33" i="10"/>
  <c r="AI34" i="10" s="1"/>
  <c r="Z35" i="10"/>
  <c r="CJ34" i="10"/>
  <c r="AN35" i="10"/>
  <c r="BE34" i="10"/>
  <c r="BR34" i="10"/>
  <c r="BT34" i="10" s="1"/>
  <c r="BV34" i="10" s="1"/>
  <c r="BG34" i="10"/>
  <c r="AI34" i="9"/>
  <c r="AJ34" i="9" s="1"/>
  <c r="AF34" i="9"/>
  <c r="E31" i="9"/>
  <c r="AL31" i="9"/>
  <c r="F31" i="9" s="1"/>
  <c r="AH32" i="9"/>
  <c r="AK32" i="9" s="1"/>
  <c r="CI35" i="9"/>
  <c r="X36" i="9"/>
  <c r="DR34" i="9"/>
  <c r="HF33" i="9"/>
  <c r="HO33" i="9"/>
  <c r="AN35" i="9"/>
  <c r="BR34" i="9"/>
  <c r="BT34" i="9" s="1"/>
  <c r="BV34" i="9" s="1"/>
  <c r="BG34" i="9"/>
  <c r="BE34" i="9"/>
  <c r="GP34" i="9"/>
  <c r="HI36" i="9"/>
  <c r="HH35" i="9"/>
  <c r="HJ35" i="9" s="1"/>
  <c r="HL35" i="9" s="1"/>
  <c r="M37" i="9"/>
  <c r="L38" i="9"/>
  <c r="CK36" i="9"/>
  <c r="DE35" i="9"/>
  <c r="DG35" i="9"/>
  <c r="DV35" i="9"/>
  <c r="DX35" i="9" s="1"/>
  <c r="DZ35" i="9" s="1"/>
  <c r="BY36" i="9"/>
  <c r="AD36" i="9"/>
  <c r="Z35" i="9"/>
  <c r="AC35" i="9" s="1"/>
  <c r="AE35" i="9" s="1"/>
  <c r="CJ34" i="9"/>
  <c r="GG16" i="9"/>
  <c r="GE16" i="9"/>
  <c r="HE16" i="9" s="1"/>
  <c r="DT34" i="9"/>
  <c r="DQ35" i="9"/>
  <c r="DB36" i="9"/>
  <c r="EB36" i="9"/>
  <c r="FF35" i="9"/>
  <c r="FW36" i="9"/>
  <c r="GQ35" i="9"/>
  <c r="GS35" i="9"/>
  <c r="Z36" i="8"/>
  <c r="CJ35" i="8"/>
  <c r="FW35" i="8"/>
  <c r="GQ34" i="8"/>
  <c r="GP34" i="8" s="1"/>
  <c r="GS34" i="8"/>
  <c r="HH34" i="8"/>
  <c r="HJ34" i="8" s="1"/>
  <c r="HL34" i="8" s="1"/>
  <c r="M36" i="8"/>
  <c r="L37" i="8"/>
  <c r="BG35" i="8"/>
  <c r="AN36" i="8"/>
  <c r="BR35" i="8"/>
  <c r="BT35" i="8" s="1"/>
  <c r="BV35" i="8" s="1"/>
  <c r="BE35" i="8"/>
  <c r="HF32" i="8"/>
  <c r="HO32" i="8"/>
  <c r="HI39" i="8"/>
  <c r="AD35" i="8"/>
  <c r="BY35" i="8"/>
  <c r="DE35" i="8"/>
  <c r="CK36" i="8"/>
  <c r="DV36" i="8" s="1"/>
  <c r="DG35" i="8"/>
  <c r="DV35" i="8"/>
  <c r="DX35" i="8" s="1"/>
  <c r="DZ35" i="8" s="1"/>
  <c r="DD34" i="8"/>
  <c r="FM34" i="8" s="1"/>
  <c r="DB35" i="8"/>
  <c r="DQ34" i="8"/>
  <c r="DR34" i="8" s="1"/>
  <c r="GN35" i="8"/>
  <c r="HC34" i="8"/>
  <c r="AL30" i="8"/>
  <c r="F30" i="8" s="1"/>
  <c r="AH31" i="8"/>
  <c r="AK31" i="8" s="1"/>
  <c r="E30" i="8"/>
  <c r="X35" i="8"/>
  <c r="AC34" i="8"/>
  <c r="AE34" i="8" s="1"/>
  <c r="CI34" i="8"/>
  <c r="AF33" i="8"/>
  <c r="AI33" i="8"/>
  <c r="AJ33" i="8" s="1"/>
  <c r="DT33" i="8"/>
  <c r="GP33" i="8"/>
  <c r="HI38" i="7"/>
  <c r="GG19" i="7"/>
  <c r="GE19" i="7"/>
  <c r="HE19" i="7" s="1"/>
  <c r="FW35" i="7"/>
  <c r="GQ34" i="7"/>
  <c r="GS34" i="7"/>
  <c r="HH34" i="7"/>
  <c r="HJ34" i="7" s="1"/>
  <c r="HL34" i="7" s="1"/>
  <c r="BE34" i="7"/>
  <c r="BR34" i="7"/>
  <c r="BT34" i="7" s="1"/>
  <c r="BV34" i="7" s="1"/>
  <c r="AN35" i="7"/>
  <c r="BG34" i="7"/>
  <c r="AD35" i="7"/>
  <c r="BY35" i="7"/>
  <c r="L37" i="7"/>
  <c r="M36" i="7"/>
  <c r="DB35" i="7"/>
  <c r="DQ34" i="7"/>
  <c r="CT15" i="7"/>
  <c r="DW36" i="7"/>
  <c r="HC34" i="7"/>
  <c r="GN35" i="7"/>
  <c r="E30" i="7"/>
  <c r="AH31" i="7"/>
  <c r="AK31" i="7" s="1"/>
  <c r="AL30" i="7"/>
  <c r="F30" i="7" s="1"/>
  <c r="GP33" i="7"/>
  <c r="AF33" i="7"/>
  <c r="AI33" i="7"/>
  <c r="AJ33" i="7" s="1"/>
  <c r="AC35" i="7"/>
  <c r="X36" i="7"/>
  <c r="CI35" i="7"/>
  <c r="AE34" i="7"/>
  <c r="AI34" i="6"/>
  <c r="AF34" i="6"/>
  <c r="FW36" i="6"/>
  <c r="GQ35" i="6"/>
  <c r="GP35" i="6" s="1"/>
  <c r="GS35" i="6"/>
  <c r="HH35" i="6"/>
  <c r="HJ35" i="6" s="1"/>
  <c r="HL35" i="6" s="1"/>
  <c r="AJ33" i="6"/>
  <c r="CI35" i="6"/>
  <c r="X36" i="6"/>
  <c r="AC35" i="6"/>
  <c r="AE35" i="6" s="1"/>
  <c r="DB36" i="6"/>
  <c r="DQ35" i="6"/>
  <c r="AD36" i="6"/>
  <c r="BY36" i="6"/>
  <c r="L38" i="6"/>
  <c r="M37" i="6"/>
  <c r="BG35" i="6"/>
  <c r="AN36" i="6"/>
  <c r="BR35" i="6"/>
  <c r="BT35" i="6" s="1"/>
  <c r="BV35" i="6" s="1"/>
  <c r="BE35" i="6"/>
  <c r="EB36" i="6"/>
  <c r="FF35" i="6"/>
  <c r="DT34" i="6"/>
  <c r="AL32" i="6"/>
  <c r="F32" i="6" s="1"/>
  <c r="E32" i="6"/>
  <c r="AH33" i="6"/>
  <c r="AK33" i="6" s="1"/>
  <c r="DR34" i="6"/>
  <c r="Z37" i="6"/>
  <c r="CJ36" i="6"/>
  <c r="HF34" i="6"/>
  <c r="HO34" i="6"/>
  <c r="CK36" i="6"/>
  <c r="DG35" i="6"/>
  <c r="DE35" i="6"/>
  <c r="DD35" i="6" s="1"/>
  <c r="FM35" i="6" s="1"/>
  <c r="DV35" i="6"/>
  <c r="DX35" i="6" s="1"/>
  <c r="DZ35" i="6" s="1"/>
  <c r="GN36" i="6"/>
  <c r="HC35" i="6"/>
  <c r="HI38" i="6"/>
  <c r="HD34" i="6"/>
  <c r="AH32" i="5"/>
  <c r="AK32" i="5" s="1"/>
  <c r="AL31" i="5"/>
  <c r="F31" i="5" s="1"/>
  <c r="E31" i="5"/>
  <c r="AI34" i="5"/>
  <c r="AJ34" i="5" s="1"/>
  <c r="AF34" i="5"/>
  <c r="X36" i="5"/>
  <c r="CI35" i="5"/>
  <c r="AC35" i="5"/>
  <c r="AE35" i="5" s="1"/>
  <c r="L38" i="5"/>
  <c r="M37" i="5"/>
  <c r="FW35" i="5"/>
  <c r="GS34" i="5"/>
  <c r="GQ34" i="5"/>
  <c r="HH34" i="5"/>
  <c r="HJ34" i="5" s="1"/>
  <c r="HL34" i="5" s="1"/>
  <c r="BY36" i="5"/>
  <c r="AD36" i="5"/>
  <c r="Z36" i="5"/>
  <c r="CJ35" i="5"/>
  <c r="DT34" i="5"/>
  <c r="EB37" i="5"/>
  <c r="FF36" i="5"/>
  <c r="DT33" i="5"/>
  <c r="HF32" i="5"/>
  <c r="HO32" i="5"/>
  <c r="BR35" i="5"/>
  <c r="BT35" i="5" s="1"/>
  <c r="BV35" i="5" s="1"/>
  <c r="AN36" i="5"/>
  <c r="BG35" i="5"/>
  <c r="BE35" i="5"/>
  <c r="HI37" i="5"/>
  <c r="HD33" i="5"/>
  <c r="GP33" i="5"/>
  <c r="GN36" i="5"/>
  <c r="HC35" i="5"/>
  <c r="CK36" i="5"/>
  <c r="DE35" i="5"/>
  <c r="DG35" i="5"/>
  <c r="DV35" i="5"/>
  <c r="DX35" i="5" s="1"/>
  <c r="DZ35" i="5" s="1"/>
  <c r="GQ34" i="3"/>
  <c r="GS34" i="3"/>
  <c r="DV34" i="3"/>
  <c r="DX34" i="3" s="1"/>
  <c r="DZ34" i="3" s="1"/>
  <c r="DE34" i="3"/>
  <c r="DG34" i="3"/>
  <c r="DT32" i="3"/>
  <c r="DD33" i="3"/>
  <c r="FM33" i="3" s="1"/>
  <c r="GP33" i="3"/>
  <c r="HF33" i="3" s="1"/>
  <c r="HD33" i="3"/>
  <c r="GN42" i="3"/>
  <c r="HC39" i="3"/>
  <c r="HH34" i="3"/>
  <c r="HJ34" i="3" s="1"/>
  <c r="HL34" i="3" s="1"/>
  <c r="BG34" i="3"/>
  <c r="BE34" i="3"/>
  <c r="BR34" i="3"/>
  <c r="BT34" i="3" s="1"/>
  <c r="BV34" i="3" s="1"/>
  <c r="EB36" i="3"/>
  <c r="ES35" i="3"/>
  <c r="EU35" i="3"/>
  <c r="FF35" i="3"/>
  <c r="FH35" i="3" s="1"/>
  <c r="DR33" i="3"/>
  <c r="AN35" i="3"/>
  <c r="FW35" i="3"/>
  <c r="HJ33" i="3"/>
  <c r="HL33" i="3" s="1"/>
  <c r="AD35" i="3"/>
  <c r="BY35" i="3"/>
  <c r="AC35" i="3"/>
  <c r="L37" i="3"/>
  <c r="M36" i="3"/>
  <c r="FM36" i="3" s="1"/>
  <c r="BP34" i="3"/>
  <c r="DW37" i="3"/>
  <c r="DQ38" i="3"/>
  <c r="CK35" i="3"/>
  <c r="X36" i="3"/>
  <c r="CI36" i="3" s="1"/>
  <c r="AE34" i="3"/>
  <c r="CJ35" i="7" l="1"/>
  <c r="Z36" i="7"/>
  <c r="HC34" i="10"/>
  <c r="GN35" i="10"/>
  <c r="GN35" i="9"/>
  <c r="HC34" i="9"/>
  <c r="HD34" i="9" s="1"/>
  <c r="Z36" i="3"/>
  <c r="AC36" i="3" s="1"/>
  <c r="CJ35" i="3"/>
  <c r="DQ34" i="5"/>
  <c r="DR34" i="5" s="1"/>
  <c r="DB35" i="5"/>
  <c r="FU14" i="5"/>
  <c r="FL15" i="6"/>
  <c r="FN15" i="6" s="1"/>
  <c r="FR15" i="6" s="1"/>
  <c r="FS15" i="6" s="1"/>
  <c r="FT15" i="9"/>
  <c r="FU15" i="9" s="1"/>
  <c r="FQ15" i="5"/>
  <c r="FT15" i="5" s="1"/>
  <c r="FU15" i="5" s="1"/>
  <c r="FQ15" i="12"/>
  <c r="FT15" i="12" s="1"/>
  <c r="FU15" i="12" s="1"/>
  <c r="DS15" i="11"/>
  <c r="FL15" i="11" s="1"/>
  <c r="FN15" i="11" s="1"/>
  <c r="GG17" i="11"/>
  <c r="GE17" i="11"/>
  <c r="HQ16" i="11"/>
  <c r="HT16" i="11"/>
  <c r="CT15" i="11"/>
  <c r="DT33" i="7"/>
  <c r="CS16" i="12"/>
  <c r="DS16" i="12" s="1"/>
  <c r="FU14" i="12"/>
  <c r="FL16" i="9"/>
  <c r="FN16" i="9" s="1"/>
  <c r="CQ16" i="9"/>
  <c r="HW13" i="5"/>
  <c r="J13" i="5" s="1"/>
  <c r="HF34" i="11"/>
  <c r="HN14" i="5"/>
  <c r="HP14" i="5" s="1"/>
  <c r="HT14" i="5" s="1"/>
  <c r="HU14" i="5" s="1"/>
  <c r="DT34" i="12"/>
  <c r="HN16" i="6"/>
  <c r="HP16" i="6" s="1"/>
  <c r="HQ16" i="6" s="1"/>
  <c r="CK35" i="7"/>
  <c r="DV34" i="7"/>
  <c r="DX34" i="7" s="1"/>
  <c r="DZ34" i="7" s="1"/>
  <c r="DG34" i="7"/>
  <c r="DE34" i="7"/>
  <c r="DD34" i="7" s="1"/>
  <c r="FM34" i="7" s="1"/>
  <c r="ES37" i="5"/>
  <c r="EU37" i="5"/>
  <c r="EB35" i="7"/>
  <c r="FF34" i="7"/>
  <c r="CK36" i="12"/>
  <c r="DG35" i="12"/>
  <c r="DE35" i="12"/>
  <c r="DD35" i="12" s="1"/>
  <c r="FM35" i="12" s="1"/>
  <c r="DV35" i="12"/>
  <c r="DX35" i="12" s="1"/>
  <c r="DZ35" i="12" s="1"/>
  <c r="DR33" i="7"/>
  <c r="FF34" i="8"/>
  <c r="EB35" i="8"/>
  <c r="AJ34" i="12"/>
  <c r="HS15" i="10"/>
  <c r="DR34" i="12"/>
  <c r="HS14" i="5"/>
  <c r="I13" i="5"/>
  <c r="GG15" i="5"/>
  <c r="GE15" i="5"/>
  <c r="HE15" i="5" s="1"/>
  <c r="FU14" i="11"/>
  <c r="FQ15" i="11"/>
  <c r="CQ15" i="11"/>
  <c r="G14" i="11"/>
  <c r="FL16" i="5"/>
  <c r="FN16" i="5" s="1"/>
  <c r="CS16" i="6"/>
  <c r="DS16" i="6" s="1"/>
  <c r="CU17" i="5"/>
  <c r="CS17" i="5"/>
  <c r="I15" i="6"/>
  <c r="HS16" i="6"/>
  <c r="GG18" i="8"/>
  <c r="GB18" i="8" s="1"/>
  <c r="HW14" i="10"/>
  <c r="J14" i="10" s="1"/>
  <c r="HS15" i="12"/>
  <c r="HW14" i="12"/>
  <c r="J14" i="12" s="1"/>
  <c r="HN17" i="8"/>
  <c r="HP17" i="8" s="1"/>
  <c r="HT17" i="8" s="1"/>
  <c r="HU17" i="8" s="1"/>
  <c r="GC16" i="6"/>
  <c r="GG17" i="6" s="1"/>
  <c r="HV16" i="8"/>
  <c r="HS17" i="8" s="1"/>
  <c r="HN15" i="12"/>
  <c r="HP15" i="12" s="1"/>
  <c r="GC15" i="12"/>
  <c r="GB16" i="9"/>
  <c r="HN16" i="9" s="1"/>
  <c r="HP16" i="9" s="1"/>
  <c r="HQ18" i="7"/>
  <c r="GF16" i="9"/>
  <c r="GG16" i="10"/>
  <c r="GE16" i="10"/>
  <c r="HE16" i="10" s="1"/>
  <c r="GF18" i="8"/>
  <c r="HQ15" i="9"/>
  <c r="HN15" i="10"/>
  <c r="HP15" i="10" s="1"/>
  <c r="CU15" i="10"/>
  <c r="CP15" i="10" s="1"/>
  <c r="CQ15" i="10" s="1"/>
  <c r="CU16" i="10" s="1"/>
  <c r="FO13" i="8"/>
  <c r="FR13" i="8"/>
  <c r="CS14" i="8"/>
  <c r="CU14" i="8"/>
  <c r="FL14" i="10"/>
  <c r="FN14" i="10" s="1"/>
  <c r="FR14" i="10" s="1"/>
  <c r="FS14" i="10" s="1"/>
  <c r="FU13" i="10"/>
  <c r="G13" i="10"/>
  <c r="FQ14" i="10"/>
  <c r="FT14" i="7"/>
  <c r="FU14" i="7" s="1"/>
  <c r="FO15" i="7"/>
  <c r="CQ15" i="7"/>
  <c r="CU16" i="7" s="1"/>
  <c r="FS15" i="7"/>
  <c r="HV18" i="7"/>
  <c r="GB19" i="7"/>
  <c r="AJ34" i="6"/>
  <c r="AF35" i="12"/>
  <c r="AI35" i="12"/>
  <c r="E32" i="12"/>
  <c r="AH33" i="12"/>
  <c r="AK33" i="12" s="1"/>
  <c r="AL32" i="12"/>
  <c r="F32" i="12" s="1"/>
  <c r="FW36" i="12"/>
  <c r="GS35" i="12"/>
  <c r="GQ35" i="12"/>
  <c r="HH35" i="12"/>
  <c r="HJ35" i="12" s="1"/>
  <c r="HL35" i="12" s="1"/>
  <c r="DQ36" i="12"/>
  <c r="AD37" i="12"/>
  <c r="BY37" i="12"/>
  <c r="M38" i="12"/>
  <c r="L39" i="12"/>
  <c r="GN37" i="12"/>
  <c r="HC36" i="12"/>
  <c r="HI38" i="12"/>
  <c r="HD34" i="12"/>
  <c r="GP34" i="12"/>
  <c r="EB37" i="12"/>
  <c r="FF36" i="12"/>
  <c r="CJ35" i="12"/>
  <c r="Z36" i="12"/>
  <c r="AC36" i="12" s="1"/>
  <c r="AE36" i="12" s="1"/>
  <c r="CI36" i="12"/>
  <c r="X37" i="12"/>
  <c r="HF33" i="12"/>
  <c r="HO33" i="12"/>
  <c r="AN36" i="12"/>
  <c r="BR35" i="12"/>
  <c r="BT35" i="12" s="1"/>
  <c r="BV35" i="12" s="1"/>
  <c r="BG35" i="12"/>
  <c r="BE35" i="12"/>
  <c r="HI39" i="11"/>
  <c r="DT33" i="11"/>
  <c r="HD35" i="11"/>
  <c r="DQ36" i="11"/>
  <c r="AC36" i="11"/>
  <c r="AE36" i="11" s="1"/>
  <c r="X37" i="11"/>
  <c r="CI36" i="11"/>
  <c r="DR34" i="11"/>
  <c r="DD34" i="11"/>
  <c r="FM34" i="11" s="1"/>
  <c r="BE36" i="11"/>
  <c r="BR36" i="11"/>
  <c r="BT36" i="11" s="1"/>
  <c r="BV36" i="11" s="1"/>
  <c r="AN37" i="11"/>
  <c r="BG36" i="11"/>
  <c r="AH33" i="11"/>
  <c r="AK33" i="11" s="1"/>
  <c r="E32" i="11"/>
  <c r="AL32" i="11"/>
  <c r="F32" i="11" s="1"/>
  <c r="GP35" i="11"/>
  <c r="DG35" i="11"/>
  <c r="CK36" i="11"/>
  <c r="DE35" i="11"/>
  <c r="DV35" i="11"/>
  <c r="DX35" i="11" s="1"/>
  <c r="DZ35" i="11" s="1"/>
  <c r="GN37" i="11"/>
  <c r="HC36" i="11"/>
  <c r="CJ36" i="11"/>
  <c r="Z37" i="11"/>
  <c r="EB37" i="11"/>
  <c r="FF36" i="11"/>
  <c r="AF35" i="11"/>
  <c r="AI35" i="11"/>
  <c r="AJ35" i="11" s="1"/>
  <c r="GS36" i="11"/>
  <c r="FW37" i="11"/>
  <c r="GQ36" i="11"/>
  <c r="GP36" i="11" s="1"/>
  <c r="HH36" i="11"/>
  <c r="HJ36" i="11" s="1"/>
  <c r="HL36" i="11" s="1"/>
  <c r="L39" i="11"/>
  <c r="M38" i="11"/>
  <c r="AD37" i="11"/>
  <c r="BY37" i="11"/>
  <c r="AH33" i="10"/>
  <c r="AK33" i="10" s="1"/>
  <c r="AL32" i="10"/>
  <c r="F32" i="10" s="1"/>
  <c r="E32" i="10"/>
  <c r="DQ36" i="10"/>
  <c r="Z36" i="10"/>
  <c r="CJ35" i="10"/>
  <c r="AC35" i="10"/>
  <c r="AE35" i="10" s="1"/>
  <c r="DS15" i="10"/>
  <c r="CT15" i="10"/>
  <c r="X37" i="10"/>
  <c r="CI36" i="10"/>
  <c r="AJ34" i="10"/>
  <c r="AD37" i="10"/>
  <c r="BY37" i="10"/>
  <c r="HD34" i="10"/>
  <c r="GP34" i="10"/>
  <c r="DT35" i="10"/>
  <c r="L39" i="10"/>
  <c r="M38" i="10"/>
  <c r="EB37" i="10"/>
  <c r="FF36" i="10"/>
  <c r="GS35" i="10"/>
  <c r="FW36" i="10"/>
  <c r="GQ35" i="10"/>
  <c r="HH35" i="10"/>
  <c r="HJ35" i="10" s="1"/>
  <c r="HL35" i="10" s="1"/>
  <c r="CK37" i="10"/>
  <c r="DX36" i="10"/>
  <c r="DZ36" i="10" s="1"/>
  <c r="DG36" i="10"/>
  <c r="DE36" i="10"/>
  <c r="AF34" i="10"/>
  <c r="DR35" i="10"/>
  <c r="HI41" i="10"/>
  <c r="AN36" i="10"/>
  <c r="BG35" i="10"/>
  <c r="BE35" i="10"/>
  <c r="BR35" i="10"/>
  <c r="BT35" i="10" s="1"/>
  <c r="BV35" i="10" s="1"/>
  <c r="DT34" i="10"/>
  <c r="HF33" i="10"/>
  <c r="HO33" i="10"/>
  <c r="AI35" i="9"/>
  <c r="AJ35" i="9" s="1"/>
  <c r="AF35" i="9"/>
  <c r="DR35" i="9"/>
  <c r="FW37" i="9"/>
  <c r="GQ36" i="9"/>
  <c r="GS36" i="9"/>
  <c r="AN36" i="9"/>
  <c r="BG35" i="9"/>
  <c r="BE35" i="9"/>
  <c r="BR35" i="9"/>
  <c r="BT35" i="9" s="1"/>
  <c r="BV35" i="9" s="1"/>
  <c r="L39" i="9"/>
  <c r="M38" i="9"/>
  <c r="CI36" i="9"/>
  <c r="X37" i="9"/>
  <c r="AD37" i="9"/>
  <c r="BY37" i="9"/>
  <c r="GP35" i="9"/>
  <c r="HH36" i="9"/>
  <c r="HJ36" i="9" s="1"/>
  <c r="HL36" i="9" s="1"/>
  <c r="HI37" i="9"/>
  <c r="DD35" i="9"/>
  <c r="FM35" i="9" s="1"/>
  <c r="HF34" i="9"/>
  <c r="HO34" i="9"/>
  <c r="AL32" i="9"/>
  <c r="F32" i="9" s="1"/>
  <c r="AH33" i="9"/>
  <c r="AK33" i="9" s="1"/>
  <c r="E32" i="9"/>
  <c r="EB37" i="9"/>
  <c r="FF36" i="9"/>
  <c r="CJ35" i="9"/>
  <c r="Z36" i="9"/>
  <c r="AC36" i="9" s="1"/>
  <c r="AE36" i="9" s="1"/>
  <c r="DQ36" i="9"/>
  <c r="CK37" i="9"/>
  <c r="DE36" i="9"/>
  <c r="DG36" i="9"/>
  <c r="DV36" i="9"/>
  <c r="DX36" i="9" s="1"/>
  <c r="DZ36" i="9" s="1"/>
  <c r="HV15" i="9"/>
  <c r="AF34" i="8"/>
  <c r="AI34" i="8"/>
  <c r="AJ34" i="8" s="1"/>
  <c r="E31" i="8"/>
  <c r="AH32" i="8"/>
  <c r="AK32" i="8" s="1"/>
  <c r="AL31" i="8"/>
  <c r="F31" i="8" s="1"/>
  <c r="L38" i="8"/>
  <c r="M37" i="8"/>
  <c r="BY36" i="8"/>
  <c r="AD36" i="8"/>
  <c r="DB36" i="8"/>
  <c r="DQ35" i="8"/>
  <c r="DR35" i="8" s="1"/>
  <c r="DD35" i="8"/>
  <c r="FM35" i="8" s="1"/>
  <c r="DT34" i="8"/>
  <c r="AC35" i="8"/>
  <c r="AE35" i="8" s="1"/>
  <c r="CI35" i="8"/>
  <c r="X36" i="8"/>
  <c r="HI40" i="8"/>
  <c r="HD34" i="8"/>
  <c r="HF33" i="8"/>
  <c r="HO33" i="8"/>
  <c r="HC35" i="8"/>
  <c r="GN36" i="8"/>
  <c r="FW36" i="8"/>
  <c r="GS35" i="8"/>
  <c r="GQ35" i="8"/>
  <c r="HH35" i="8"/>
  <c r="HJ35" i="8" s="1"/>
  <c r="HL35" i="8" s="1"/>
  <c r="CJ36" i="8"/>
  <c r="Z37" i="8"/>
  <c r="HF34" i="8"/>
  <c r="HO34" i="8"/>
  <c r="CK37" i="8"/>
  <c r="DX36" i="8"/>
  <c r="DZ36" i="8" s="1"/>
  <c r="DG36" i="8"/>
  <c r="DE36" i="8"/>
  <c r="AN37" i="8"/>
  <c r="BE36" i="8"/>
  <c r="BR36" i="8"/>
  <c r="BT36" i="8" s="1"/>
  <c r="BV36" i="8" s="1"/>
  <c r="BG36" i="8"/>
  <c r="AL31" i="7"/>
  <c r="F31" i="7" s="1"/>
  <c r="E31" i="7"/>
  <c r="AH32" i="7"/>
  <c r="AK32" i="7" s="1"/>
  <c r="AI34" i="7"/>
  <c r="AJ34" i="7" s="1"/>
  <c r="AF34" i="7"/>
  <c r="DQ35" i="7"/>
  <c r="DB36" i="7"/>
  <c r="HD34" i="7"/>
  <c r="AE35" i="7"/>
  <c r="CJ37" i="7"/>
  <c r="HF33" i="7"/>
  <c r="HO33" i="7"/>
  <c r="AN36" i="7"/>
  <c r="BG35" i="7"/>
  <c r="BE35" i="7"/>
  <c r="BR35" i="7"/>
  <c r="BT35" i="7" s="1"/>
  <c r="BV35" i="7" s="1"/>
  <c r="HI39" i="7"/>
  <c r="X37" i="7"/>
  <c r="AC36" i="7"/>
  <c r="CI36" i="7"/>
  <c r="GP34" i="7"/>
  <c r="FW36" i="7"/>
  <c r="GS35" i="7"/>
  <c r="GQ35" i="7"/>
  <c r="GP35" i="7" s="1"/>
  <c r="HH35" i="7"/>
  <c r="HJ35" i="7" s="1"/>
  <c r="HL35" i="7" s="1"/>
  <c r="HC35" i="7"/>
  <c r="GN36" i="7"/>
  <c r="AD36" i="7"/>
  <c r="BY36" i="7"/>
  <c r="M37" i="7"/>
  <c r="L38" i="7"/>
  <c r="GF19" i="7"/>
  <c r="E33" i="6"/>
  <c r="AL33" i="6"/>
  <c r="F33" i="6" s="1"/>
  <c r="AH34" i="6"/>
  <c r="AK34" i="6" s="1"/>
  <c r="AI35" i="6"/>
  <c r="AF35" i="6"/>
  <c r="CK37" i="6"/>
  <c r="DE36" i="6"/>
  <c r="DD36" i="6" s="1"/>
  <c r="FM36" i="6" s="1"/>
  <c r="DG36" i="6"/>
  <c r="DV36" i="6"/>
  <c r="DX36" i="6" s="1"/>
  <c r="DZ36" i="6" s="1"/>
  <c r="X37" i="6"/>
  <c r="AC36" i="6"/>
  <c r="AE36" i="6" s="1"/>
  <c r="CI36" i="6"/>
  <c r="BY37" i="6"/>
  <c r="AD37" i="6"/>
  <c r="AN37" i="6"/>
  <c r="BR36" i="6"/>
  <c r="BT36" i="6" s="1"/>
  <c r="BV36" i="6" s="1"/>
  <c r="BE36" i="6"/>
  <c r="BG36" i="6"/>
  <c r="HI39" i="6"/>
  <c r="M38" i="6"/>
  <c r="L39" i="6"/>
  <c r="HD35" i="6"/>
  <c r="HF35" i="6"/>
  <c r="HO35" i="6"/>
  <c r="FW37" i="6"/>
  <c r="GS36" i="6"/>
  <c r="GQ36" i="6"/>
  <c r="HH36" i="6"/>
  <c r="HJ36" i="6" s="1"/>
  <c r="HL36" i="6" s="1"/>
  <c r="CJ37" i="6"/>
  <c r="Z38" i="6"/>
  <c r="Z39" i="6" s="1"/>
  <c r="Z40" i="6" s="1"/>
  <c r="Z41" i="6" s="1"/>
  <c r="Z42" i="6" s="1"/>
  <c r="Z43" i="6" s="1"/>
  <c r="Z44" i="6" s="1"/>
  <c r="Z45" i="6" s="1"/>
  <c r="Z46" i="6" s="1"/>
  <c r="Z47" i="6" s="1"/>
  <c r="Z48" i="6" s="1"/>
  <c r="Z49" i="6" s="1"/>
  <c r="Z50" i="6" s="1"/>
  <c r="Z51" i="6" s="1"/>
  <c r="Z52" i="6" s="1"/>
  <c r="HC36" i="6"/>
  <c r="GN37" i="6"/>
  <c r="FF36" i="6"/>
  <c r="EB37" i="6"/>
  <c r="DT35" i="6"/>
  <c r="DR35" i="6"/>
  <c r="DQ36" i="6"/>
  <c r="E32" i="5"/>
  <c r="AL32" i="5"/>
  <c r="F32" i="5" s="1"/>
  <c r="AH33" i="5"/>
  <c r="AK33" i="5" s="1"/>
  <c r="AI35" i="5"/>
  <c r="AJ35" i="5" s="1"/>
  <c r="AF35" i="5"/>
  <c r="HI38" i="5"/>
  <c r="CI36" i="5"/>
  <c r="X37" i="5"/>
  <c r="AC36" i="5"/>
  <c r="AE36" i="5" s="1"/>
  <c r="HD34" i="5"/>
  <c r="GP34" i="5"/>
  <c r="CK37" i="5"/>
  <c r="DG36" i="5"/>
  <c r="DE36" i="5"/>
  <c r="DV36" i="5"/>
  <c r="DX36" i="5" s="1"/>
  <c r="DZ36" i="5" s="1"/>
  <c r="AN37" i="5"/>
  <c r="BR36" i="5"/>
  <c r="BT36" i="5" s="1"/>
  <c r="BV36" i="5" s="1"/>
  <c r="BE36" i="5"/>
  <c r="BG36" i="5"/>
  <c r="EB38" i="5"/>
  <c r="FI37" i="5" s="1"/>
  <c r="FF37" i="5"/>
  <c r="FH37" i="5" s="1"/>
  <c r="FW36" i="5"/>
  <c r="GS35" i="5"/>
  <c r="GQ35" i="5"/>
  <c r="HH35" i="5"/>
  <c r="HJ35" i="5" s="1"/>
  <c r="HL35" i="5" s="1"/>
  <c r="GN37" i="5"/>
  <c r="HC36" i="5"/>
  <c r="BY37" i="5"/>
  <c r="AD37" i="5"/>
  <c r="M38" i="5"/>
  <c r="L39" i="5"/>
  <c r="HF33" i="5"/>
  <c r="HO33" i="5"/>
  <c r="CJ36" i="5"/>
  <c r="Z37" i="5"/>
  <c r="GS35" i="3"/>
  <c r="GQ35" i="3"/>
  <c r="DV35" i="3"/>
  <c r="DX35" i="3" s="1"/>
  <c r="DZ35" i="3" s="1"/>
  <c r="DG35" i="3"/>
  <c r="DE35" i="3"/>
  <c r="DT33" i="3"/>
  <c r="GN43" i="3"/>
  <c r="DD34" i="3"/>
  <c r="FM34" i="3" s="1"/>
  <c r="GP34" i="3"/>
  <c r="HF34" i="3" s="1"/>
  <c r="HD34" i="3"/>
  <c r="HC40" i="3"/>
  <c r="HH35" i="3"/>
  <c r="HJ35" i="3" s="1"/>
  <c r="HL35" i="3" s="1"/>
  <c r="BE35" i="3"/>
  <c r="BG35" i="3"/>
  <c r="BR35" i="3"/>
  <c r="BT35" i="3" s="1"/>
  <c r="BV35" i="3" s="1"/>
  <c r="EB37" i="3"/>
  <c r="ES36" i="3"/>
  <c r="EU36" i="3"/>
  <c r="FF36" i="3"/>
  <c r="FH36" i="3" s="1"/>
  <c r="DR34" i="3"/>
  <c r="AN36" i="3"/>
  <c r="FW36" i="3"/>
  <c r="AD36" i="3"/>
  <c r="BY36" i="3"/>
  <c r="L38" i="3"/>
  <c r="M37" i="3"/>
  <c r="DW38" i="3"/>
  <c r="BP35" i="3"/>
  <c r="DQ39" i="3"/>
  <c r="CK36" i="3"/>
  <c r="X37" i="3"/>
  <c r="AE35" i="3"/>
  <c r="FO15" i="6" l="1"/>
  <c r="FT15" i="6"/>
  <c r="FQ16" i="6" s="1"/>
  <c r="DB36" i="5"/>
  <c r="DQ36" i="5" s="1"/>
  <c r="DQ35" i="5"/>
  <c r="DR35" i="5" s="1"/>
  <c r="Z37" i="3"/>
  <c r="Z38" i="3" s="1"/>
  <c r="Z39" i="3" s="1"/>
  <c r="Z40" i="3" s="1"/>
  <c r="Z41" i="3" s="1"/>
  <c r="Z42" i="3" s="1"/>
  <c r="Z43" i="3" s="1"/>
  <c r="Z44" i="3" s="1"/>
  <c r="Z45" i="3" s="1"/>
  <c r="Z46" i="3" s="1"/>
  <c r="Z47" i="3" s="1"/>
  <c r="Z48" i="3" s="1"/>
  <c r="Z49" i="3" s="1"/>
  <c r="Z50" i="3" s="1"/>
  <c r="Z51" i="3" s="1"/>
  <c r="Z52" i="3" s="1"/>
  <c r="CJ36" i="3"/>
  <c r="GN36" i="9"/>
  <c r="HC35" i="9"/>
  <c r="HD35" i="9" s="1"/>
  <c r="DD35" i="5"/>
  <c r="HC35" i="10"/>
  <c r="GN36" i="10"/>
  <c r="DD36" i="5"/>
  <c r="FM36" i="5" s="1"/>
  <c r="FQ16" i="9"/>
  <c r="Z37" i="7"/>
  <c r="Z38" i="7" s="1"/>
  <c r="Z39" i="7" s="1"/>
  <c r="Z40" i="7" s="1"/>
  <c r="Z41" i="7" s="1"/>
  <c r="Z42" i="7" s="1"/>
  <c r="Z43" i="7" s="1"/>
  <c r="Z44" i="7" s="1"/>
  <c r="Z45" i="7" s="1"/>
  <c r="Z46" i="7" s="1"/>
  <c r="Z47" i="7" s="1"/>
  <c r="Z48" i="7" s="1"/>
  <c r="Z49" i="7" s="1"/>
  <c r="Z50" i="7" s="1"/>
  <c r="Z51" i="7" s="1"/>
  <c r="Z52" i="7" s="1"/>
  <c r="CJ36" i="7"/>
  <c r="G15" i="9"/>
  <c r="FQ16" i="5"/>
  <c r="G15" i="5"/>
  <c r="DR34" i="7"/>
  <c r="HU16" i="11"/>
  <c r="HV16" i="11"/>
  <c r="I16" i="11" s="1"/>
  <c r="HE17" i="11"/>
  <c r="GF17" i="11"/>
  <c r="GB17" i="11"/>
  <c r="CP16" i="12"/>
  <c r="FL16" i="12" s="1"/>
  <c r="FN16" i="12" s="1"/>
  <c r="CT16" i="12"/>
  <c r="FQ16" i="12"/>
  <c r="HQ14" i="5"/>
  <c r="DT35" i="12"/>
  <c r="G15" i="12"/>
  <c r="CU17" i="9"/>
  <c r="CS17" i="9"/>
  <c r="FO16" i="9"/>
  <c r="FR16" i="9"/>
  <c r="FS16" i="9" s="1"/>
  <c r="DT34" i="7"/>
  <c r="HT16" i="6"/>
  <c r="HU16" i="6" s="1"/>
  <c r="DR35" i="12"/>
  <c r="HW16" i="8"/>
  <c r="J16" i="8" s="1"/>
  <c r="GB15" i="5"/>
  <c r="AJ35" i="12"/>
  <c r="I16" i="8"/>
  <c r="HV14" i="5"/>
  <c r="HW14" i="5" s="1"/>
  <c r="CK37" i="12"/>
  <c r="DV36" i="12"/>
  <c r="DX36" i="12" s="1"/>
  <c r="DZ36" i="12" s="1"/>
  <c r="DE36" i="12"/>
  <c r="DD36" i="12" s="1"/>
  <c r="FM36" i="12" s="1"/>
  <c r="DG36" i="12"/>
  <c r="EB36" i="7"/>
  <c r="FF35" i="7"/>
  <c r="HD36" i="6"/>
  <c r="ES37" i="9"/>
  <c r="EU37" i="9"/>
  <c r="CP14" i="8"/>
  <c r="CQ14" i="8" s="1"/>
  <c r="CS15" i="8" s="1"/>
  <c r="DS15" i="8" s="1"/>
  <c r="ES37" i="11"/>
  <c r="EU37" i="11"/>
  <c r="ES37" i="12"/>
  <c r="EU37" i="12"/>
  <c r="DE35" i="7"/>
  <c r="DD35" i="7" s="1"/>
  <c r="FM35" i="7" s="1"/>
  <c r="DV35" i="7"/>
  <c r="DX35" i="7" s="1"/>
  <c r="DZ35" i="7" s="1"/>
  <c r="CK36" i="7"/>
  <c r="DG35" i="7"/>
  <c r="ES37" i="6"/>
  <c r="EU37" i="6"/>
  <c r="GF15" i="5"/>
  <c r="EB36" i="8"/>
  <c r="FF35" i="8"/>
  <c r="AJ35" i="6"/>
  <c r="ES37" i="10"/>
  <c r="EU37" i="10"/>
  <c r="CT16" i="6"/>
  <c r="CU16" i="11"/>
  <c r="CS16" i="11"/>
  <c r="FR15" i="11"/>
  <c r="FS15" i="11" s="1"/>
  <c r="FO15" i="11"/>
  <c r="FJ37" i="5"/>
  <c r="CP16" i="6"/>
  <c r="CQ16" i="6" s="1"/>
  <c r="CS17" i="6" s="1"/>
  <c r="FO16" i="5"/>
  <c r="FR16" i="5"/>
  <c r="FS16" i="5" s="1"/>
  <c r="DR36" i="10"/>
  <c r="DS17" i="5"/>
  <c r="CT17" i="5"/>
  <c r="CP17" i="5"/>
  <c r="FT14" i="10"/>
  <c r="FQ15" i="10" s="1"/>
  <c r="FO14" i="10"/>
  <c r="I18" i="7"/>
  <c r="HT16" i="9"/>
  <c r="HU16" i="9" s="1"/>
  <c r="GE17" i="6"/>
  <c r="HE17" i="6" s="1"/>
  <c r="HQ16" i="9"/>
  <c r="HV17" i="8"/>
  <c r="HS18" i="8" s="1"/>
  <c r="HQ17" i="8"/>
  <c r="GB16" i="10"/>
  <c r="GC16" i="10" s="1"/>
  <c r="GE17" i="10" s="1"/>
  <c r="HE17" i="10" s="1"/>
  <c r="GG16" i="12"/>
  <c r="GE16" i="12"/>
  <c r="HQ15" i="12"/>
  <c r="HT15" i="12"/>
  <c r="HU15" i="12" s="1"/>
  <c r="GC16" i="9"/>
  <c r="GG17" i="9" s="1"/>
  <c r="GF16" i="10"/>
  <c r="HT15" i="10"/>
  <c r="HU15" i="10" s="1"/>
  <c r="HQ15" i="10"/>
  <c r="G14" i="7"/>
  <c r="GC18" i="8"/>
  <c r="HN18" i="8"/>
  <c r="HP18" i="8" s="1"/>
  <c r="CT14" i="8"/>
  <c r="DS14" i="8"/>
  <c r="FS13" i="8"/>
  <c r="FT13" i="8"/>
  <c r="CS16" i="10"/>
  <c r="DS16" i="10" s="1"/>
  <c r="FL15" i="10"/>
  <c r="FN15" i="10" s="1"/>
  <c r="HD35" i="8"/>
  <c r="HS19" i="7"/>
  <c r="HW18" i="7"/>
  <c r="J18" i="7" s="1"/>
  <c r="HD35" i="7"/>
  <c r="FQ15" i="7"/>
  <c r="FT15" i="7" s="1"/>
  <c r="CS16" i="7"/>
  <c r="DS16" i="7" s="1"/>
  <c r="HN19" i="7"/>
  <c r="HP19" i="7" s="1"/>
  <c r="GC19" i="7"/>
  <c r="AE36" i="7"/>
  <c r="AI36" i="12"/>
  <c r="AF36" i="12"/>
  <c r="AH34" i="12"/>
  <c r="AK34" i="12" s="1"/>
  <c r="E33" i="12"/>
  <c r="AL33" i="12"/>
  <c r="F33" i="12" s="1"/>
  <c r="AN37" i="12"/>
  <c r="BG36" i="12"/>
  <c r="BE36" i="12"/>
  <c r="BR36" i="12"/>
  <c r="BT36" i="12" s="1"/>
  <c r="BV36" i="12" s="1"/>
  <c r="HD35" i="12"/>
  <c r="GP35" i="12"/>
  <c r="HC37" i="12"/>
  <c r="GN38" i="12"/>
  <c r="L40" i="12"/>
  <c r="M39" i="12"/>
  <c r="X38" i="12"/>
  <c r="AC37" i="12"/>
  <c r="AE37" i="12" s="1"/>
  <c r="CI37" i="12"/>
  <c r="EB38" i="12"/>
  <c r="FI37" i="12"/>
  <c r="FF37" i="12"/>
  <c r="FH37" i="12" s="1"/>
  <c r="BY38" i="12"/>
  <c r="AD38" i="12"/>
  <c r="FW37" i="12"/>
  <c r="GQ36" i="12"/>
  <c r="GS36" i="12"/>
  <c r="HH36" i="12"/>
  <c r="HJ36" i="12" s="1"/>
  <c r="HL36" i="12" s="1"/>
  <c r="HF34" i="12"/>
  <c r="HO34" i="12"/>
  <c r="CJ36" i="12"/>
  <c r="Z37" i="12"/>
  <c r="HI39" i="12"/>
  <c r="AI36" i="11"/>
  <c r="AJ36" i="11" s="1"/>
  <c r="AF36" i="11"/>
  <c r="EB38" i="11"/>
  <c r="FI37" i="11" s="1"/>
  <c r="FF37" i="11"/>
  <c r="FH37" i="11" s="1"/>
  <c r="AL33" i="11"/>
  <c r="F33" i="11" s="1"/>
  <c r="AH34" i="11"/>
  <c r="AK34" i="11" s="1"/>
  <c r="E33" i="11"/>
  <c r="M39" i="11"/>
  <c r="L40" i="11"/>
  <c r="HD36" i="11"/>
  <c r="FW38" i="11"/>
  <c r="GS37" i="11"/>
  <c r="GQ37" i="11"/>
  <c r="HH37" i="11"/>
  <c r="HJ37" i="11" s="1"/>
  <c r="HL37" i="11" s="1"/>
  <c r="CI37" i="11"/>
  <c r="AC37" i="11"/>
  <c r="AE37" i="11" s="1"/>
  <c r="X38" i="11"/>
  <c r="HF35" i="11"/>
  <c r="HO35" i="11"/>
  <c r="AN38" i="11"/>
  <c r="BR37" i="11"/>
  <c r="BT37" i="11" s="1"/>
  <c r="BV37" i="11" s="1"/>
  <c r="BG37" i="11"/>
  <c r="BE37" i="11"/>
  <c r="AD38" i="11"/>
  <c r="BY38" i="11"/>
  <c r="HF36" i="11"/>
  <c r="HO36" i="11"/>
  <c r="GN38" i="11"/>
  <c r="HC37" i="11"/>
  <c r="DR35" i="11"/>
  <c r="DD35" i="11"/>
  <c r="FM35" i="11" s="1"/>
  <c r="HI40" i="11"/>
  <c r="DT34" i="11"/>
  <c r="Z38" i="11"/>
  <c r="Z39" i="11" s="1"/>
  <c r="Z40" i="11" s="1"/>
  <c r="Z41" i="11" s="1"/>
  <c r="Z42" i="11" s="1"/>
  <c r="Z43" i="11" s="1"/>
  <c r="Z44" i="11" s="1"/>
  <c r="Z45" i="11" s="1"/>
  <c r="Z46" i="11" s="1"/>
  <c r="Z47" i="11" s="1"/>
  <c r="Z48" i="11" s="1"/>
  <c r="Z49" i="11" s="1"/>
  <c r="Z50" i="11" s="1"/>
  <c r="Z51" i="11" s="1"/>
  <c r="Z52" i="11" s="1"/>
  <c r="CJ37" i="11"/>
  <c r="CK37" i="11"/>
  <c r="DE36" i="11"/>
  <c r="DG36" i="11"/>
  <c r="DV36" i="11"/>
  <c r="DX36" i="11" s="1"/>
  <c r="DZ36" i="11" s="1"/>
  <c r="FW37" i="10"/>
  <c r="GS36" i="10"/>
  <c r="GQ36" i="10"/>
  <c r="HH36" i="10"/>
  <c r="HJ36" i="10" s="1"/>
  <c r="HL36" i="10" s="1"/>
  <c r="CJ36" i="10"/>
  <c r="Z37" i="10"/>
  <c r="HI42" i="10"/>
  <c r="E33" i="10"/>
  <c r="AL33" i="10"/>
  <c r="F33" i="10" s="1"/>
  <c r="AH34" i="10"/>
  <c r="AK34" i="10" s="1"/>
  <c r="DD36" i="10"/>
  <c r="FM36" i="10" s="1"/>
  <c r="FI37" i="10"/>
  <c r="EB38" i="10"/>
  <c r="FF37" i="10"/>
  <c r="FH37" i="10" s="1"/>
  <c r="BY38" i="10"/>
  <c r="AD38" i="10"/>
  <c r="AN37" i="10"/>
  <c r="BE36" i="10"/>
  <c r="BR36" i="10"/>
  <c r="BT36" i="10" s="1"/>
  <c r="BV36" i="10" s="1"/>
  <c r="BG36" i="10"/>
  <c r="L40" i="10"/>
  <c r="M39" i="10"/>
  <c r="CI37" i="10"/>
  <c r="X38" i="10"/>
  <c r="AC36" i="10"/>
  <c r="AE36" i="10" s="1"/>
  <c r="CK38" i="10"/>
  <c r="DG37" i="10"/>
  <c r="DE37" i="10"/>
  <c r="DV37" i="10"/>
  <c r="HF34" i="10"/>
  <c r="HO34" i="10"/>
  <c r="HD35" i="10"/>
  <c r="GP35" i="10"/>
  <c r="AI35" i="10"/>
  <c r="AJ35" i="10" s="1"/>
  <c r="AF35" i="10"/>
  <c r="AF36" i="9"/>
  <c r="AI36" i="9"/>
  <c r="AJ36" i="9" s="1"/>
  <c r="E33" i="9"/>
  <c r="AL33" i="9"/>
  <c r="F33" i="9" s="1"/>
  <c r="AH34" i="9"/>
  <c r="AK34" i="9" s="1"/>
  <c r="HF35" i="9"/>
  <c r="HO35" i="9"/>
  <c r="DR36" i="9"/>
  <c r="BR36" i="9"/>
  <c r="BT36" i="9" s="1"/>
  <c r="BV36" i="9" s="1"/>
  <c r="AN37" i="9"/>
  <c r="BG36" i="9"/>
  <c r="BE36" i="9"/>
  <c r="HW15" i="9"/>
  <c r="J15" i="9" s="1"/>
  <c r="HS16" i="9"/>
  <c r="FF37" i="9"/>
  <c r="FH37" i="9" s="1"/>
  <c r="EB38" i="9"/>
  <c r="AC37" i="9"/>
  <c r="AE37" i="9" s="1"/>
  <c r="CI37" i="9"/>
  <c r="X38" i="9"/>
  <c r="DT35" i="9"/>
  <c r="CK38" i="9"/>
  <c r="DG37" i="9"/>
  <c r="DE37" i="9"/>
  <c r="DV37" i="9"/>
  <c r="FW38" i="9"/>
  <c r="GS37" i="9"/>
  <c r="GQ37" i="9"/>
  <c r="CJ36" i="9"/>
  <c r="Z37" i="9"/>
  <c r="BY38" i="9"/>
  <c r="AD38" i="9"/>
  <c r="M39" i="9"/>
  <c r="L40" i="9"/>
  <c r="DD36" i="9"/>
  <c r="FM36" i="9" s="1"/>
  <c r="I15" i="9"/>
  <c r="HH37" i="9"/>
  <c r="HJ37" i="9" s="1"/>
  <c r="HL37" i="9" s="1"/>
  <c r="HI38" i="9"/>
  <c r="CI36" i="8"/>
  <c r="X37" i="8"/>
  <c r="AC36" i="8"/>
  <c r="AE36" i="8" s="1"/>
  <c r="FW37" i="8"/>
  <c r="GS36" i="8"/>
  <c r="GQ36" i="8"/>
  <c r="GP36" i="8" s="1"/>
  <c r="HH36" i="8"/>
  <c r="HJ36" i="8" s="1"/>
  <c r="HL36" i="8" s="1"/>
  <c r="GP35" i="8"/>
  <c r="BY37" i="8"/>
  <c r="AD37" i="8"/>
  <c r="HC36" i="8"/>
  <c r="GN37" i="8"/>
  <c r="L39" i="8"/>
  <c r="M38" i="8"/>
  <c r="BR37" i="8"/>
  <c r="BT37" i="8" s="1"/>
  <c r="BV37" i="8" s="1"/>
  <c r="AN38" i="8"/>
  <c r="BE37" i="8"/>
  <c r="BG37" i="8"/>
  <c r="HI41" i="8"/>
  <c r="CK38" i="8"/>
  <c r="DE37" i="8"/>
  <c r="DG37" i="8"/>
  <c r="DV37" i="8"/>
  <c r="DQ36" i="8"/>
  <c r="DR36" i="8" s="1"/>
  <c r="DD36" i="8"/>
  <c r="FM36" i="8" s="1"/>
  <c r="AI35" i="8"/>
  <c r="AJ35" i="8" s="1"/>
  <c r="AF35" i="8"/>
  <c r="E32" i="8"/>
  <c r="AH33" i="8"/>
  <c r="AK33" i="8" s="1"/>
  <c r="AL32" i="8"/>
  <c r="F32" i="8" s="1"/>
  <c r="DT35" i="8"/>
  <c r="Z38" i="8"/>
  <c r="Z39" i="8" s="1"/>
  <c r="Z40" i="8" s="1"/>
  <c r="Z41" i="8" s="1"/>
  <c r="Z42" i="8" s="1"/>
  <c r="Z43" i="8" s="1"/>
  <c r="Z44" i="8" s="1"/>
  <c r="Z45" i="8" s="1"/>
  <c r="Z46" i="8" s="1"/>
  <c r="Z47" i="8" s="1"/>
  <c r="Z48" i="8" s="1"/>
  <c r="Z49" i="8" s="1"/>
  <c r="Z50" i="8" s="1"/>
  <c r="Z51" i="8" s="1"/>
  <c r="Z52" i="8" s="1"/>
  <c r="CJ37" i="8"/>
  <c r="HF35" i="7"/>
  <c r="HO35" i="7"/>
  <c r="HC36" i="7"/>
  <c r="GN37" i="7"/>
  <c r="DQ36" i="7"/>
  <c r="BR36" i="7"/>
  <c r="BT36" i="7" s="1"/>
  <c r="BV36" i="7" s="1"/>
  <c r="AN37" i="7"/>
  <c r="BG36" i="7"/>
  <c r="BE36" i="7"/>
  <c r="AI35" i="7"/>
  <c r="AJ35" i="7" s="1"/>
  <c r="AF35" i="7"/>
  <c r="HI40" i="7"/>
  <c r="L39" i="7"/>
  <c r="M38" i="7"/>
  <c r="GS36" i="7"/>
  <c r="FW37" i="7"/>
  <c r="GQ36" i="7"/>
  <c r="GP36" i="7" s="1"/>
  <c r="HH36" i="7"/>
  <c r="HJ36" i="7" s="1"/>
  <c r="HL36" i="7" s="1"/>
  <c r="BY37" i="7"/>
  <c r="AD37" i="7"/>
  <c r="HF34" i="7"/>
  <c r="HO34" i="7"/>
  <c r="AL32" i="7"/>
  <c r="F32" i="7" s="1"/>
  <c r="E32" i="7"/>
  <c r="AH33" i="7"/>
  <c r="AK33" i="7" s="1"/>
  <c r="X38" i="7"/>
  <c r="AC37" i="7"/>
  <c r="CI37" i="7"/>
  <c r="E34" i="6"/>
  <c r="AL34" i="6"/>
  <c r="F34" i="6" s="1"/>
  <c r="AH35" i="6"/>
  <c r="AK35" i="6" s="1"/>
  <c r="AI36" i="6"/>
  <c r="AF36" i="6"/>
  <c r="FW38" i="6"/>
  <c r="GQ37" i="6"/>
  <c r="GS37" i="6"/>
  <c r="HH37" i="6"/>
  <c r="HJ37" i="6" s="1"/>
  <c r="HL37" i="6" s="1"/>
  <c r="FF37" i="6"/>
  <c r="FH37" i="6" s="1"/>
  <c r="EB38" i="6"/>
  <c r="GN38" i="6"/>
  <c r="HC37" i="6"/>
  <c r="CI37" i="6"/>
  <c r="X38" i="6"/>
  <c r="AC37" i="6"/>
  <c r="AE37" i="6" s="1"/>
  <c r="GP36" i="6"/>
  <c r="BE37" i="6"/>
  <c r="BR37" i="6"/>
  <c r="BT37" i="6" s="1"/>
  <c r="BV37" i="6" s="1"/>
  <c r="AN38" i="6"/>
  <c r="BG37" i="6"/>
  <c r="DR36" i="6"/>
  <c r="CK38" i="6"/>
  <c r="DV37" i="6"/>
  <c r="DE37" i="6"/>
  <c r="DG37" i="6"/>
  <c r="M39" i="6"/>
  <c r="L40" i="6"/>
  <c r="AD38" i="6"/>
  <c r="BY38" i="6"/>
  <c r="DT36" i="6"/>
  <c r="HI40" i="6"/>
  <c r="AI36" i="5"/>
  <c r="AJ36" i="5" s="1"/>
  <c r="AF36" i="5"/>
  <c r="AC37" i="5"/>
  <c r="AE37" i="5" s="1"/>
  <c r="X38" i="5"/>
  <c r="CI37" i="5"/>
  <c r="AN38" i="5"/>
  <c r="BG37" i="5"/>
  <c r="BE37" i="5"/>
  <c r="BR37" i="5"/>
  <c r="BT37" i="5" s="1"/>
  <c r="BV37" i="5" s="1"/>
  <c r="DT36" i="5"/>
  <c r="FW37" i="5"/>
  <c r="GS36" i="5"/>
  <c r="GQ36" i="5"/>
  <c r="HH36" i="5"/>
  <c r="HJ36" i="5" s="1"/>
  <c r="HL36" i="5" s="1"/>
  <c r="AH34" i="5"/>
  <c r="AK34" i="5" s="1"/>
  <c r="AL33" i="5"/>
  <c r="F33" i="5" s="1"/>
  <c r="E33" i="5"/>
  <c r="HI39" i="5"/>
  <c r="DR36" i="5"/>
  <c r="HC37" i="5"/>
  <c r="GN38" i="5"/>
  <c r="M39" i="5"/>
  <c r="L40" i="5"/>
  <c r="Z38" i="5"/>
  <c r="Z39" i="5" s="1"/>
  <c r="Z40" i="5" s="1"/>
  <c r="Z41" i="5" s="1"/>
  <c r="Z42" i="5" s="1"/>
  <c r="Z43" i="5" s="1"/>
  <c r="Z44" i="5" s="1"/>
  <c r="Z45" i="5" s="1"/>
  <c r="Z46" i="5" s="1"/>
  <c r="Z47" i="5" s="1"/>
  <c r="Z48" i="5" s="1"/>
  <c r="Z49" i="5" s="1"/>
  <c r="Z50" i="5" s="1"/>
  <c r="Z51" i="5" s="1"/>
  <c r="Z52" i="5" s="1"/>
  <c r="CJ37" i="5"/>
  <c r="EB39" i="5"/>
  <c r="FI38" i="5"/>
  <c r="FF38" i="5"/>
  <c r="FH38" i="5" s="1"/>
  <c r="ES38" i="5"/>
  <c r="FI2" i="5"/>
  <c r="FJ2" i="5" s="1"/>
  <c r="H2" i="5" s="1"/>
  <c r="EU38" i="5"/>
  <c r="FI3" i="5"/>
  <c r="FJ3" i="5" s="1"/>
  <c r="H3" i="5" s="1"/>
  <c r="FI4" i="5"/>
  <c r="FJ4" i="5" s="1"/>
  <c r="H4" i="5" s="1"/>
  <c r="FI5" i="5"/>
  <c r="FJ5" i="5" s="1"/>
  <c r="H5" i="5" s="1"/>
  <c r="FI6" i="5"/>
  <c r="FJ6" i="5" s="1"/>
  <c r="H6" i="5" s="1"/>
  <c r="FI7" i="5"/>
  <c r="FJ7" i="5" s="1"/>
  <c r="H7" i="5" s="1"/>
  <c r="FI8" i="5"/>
  <c r="FJ8" i="5" s="1"/>
  <c r="H8" i="5" s="1"/>
  <c r="FI9" i="5"/>
  <c r="FJ9" i="5" s="1"/>
  <c r="H9" i="5" s="1"/>
  <c r="FI10" i="5"/>
  <c r="FJ10" i="5" s="1"/>
  <c r="H10" i="5" s="1"/>
  <c r="FI11" i="5"/>
  <c r="FJ11" i="5" s="1"/>
  <c r="H11" i="5" s="1"/>
  <c r="FI12" i="5"/>
  <c r="FJ12" i="5" s="1"/>
  <c r="H12" i="5" s="1"/>
  <c r="FI13" i="5"/>
  <c r="FJ13" i="5" s="1"/>
  <c r="H13" i="5" s="1"/>
  <c r="FI14" i="5"/>
  <c r="FJ14" i="5" s="1"/>
  <c r="H14" i="5" s="1"/>
  <c r="FI15" i="5"/>
  <c r="FJ15" i="5" s="1"/>
  <c r="H15" i="5" s="1"/>
  <c r="FI16" i="5"/>
  <c r="FJ16" i="5" s="1"/>
  <c r="FI17" i="5"/>
  <c r="FJ17" i="5" s="1"/>
  <c r="FI18" i="5"/>
  <c r="FJ18" i="5" s="1"/>
  <c r="FI19" i="5"/>
  <c r="FJ19" i="5" s="1"/>
  <c r="FI20" i="5"/>
  <c r="FJ20" i="5" s="1"/>
  <c r="FI21" i="5"/>
  <c r="FJ21" i="5" s="1"/>
  <c r="FI22" i="5"/>
  <c r="FJ22" i="5" s="1"/>
  <c r="FI23" i="5"/>
  <c r="FJ23" i="5" s="1"/>
  <c r="FI24" i="5"/>
  <c r="FJ24" i="5" s="1"/>
  <c r="FI25" i="5"/>
  <c r="FJ25" i="5" s="1"/>
  <c r="FI26" i="5"/>
  <c r="FJ26" i="5" s="1"/>
  <c r="FI27" i="5"/>
  <c r="FJ27" i="5" s="1"/>
  <c r="FI28" i="5"/>
  <c r="FJ28" i="5" s="1"/>
  <c r="FI29" i="5"/>
  <c r="FJ29" i="5" s="1"/>
  <c r="FI30" i="5"/>
  <c r="FJ30" i="5" s="1"/>
  <c r="FI31" i="5"/>
  <c r="FJ31" i="5" s="1"/>
  <c r="FI32" i="5"/>
  <c r="FJ32" i="5" s="1"/>
  <c r="FI33" i="5"/>
  <c r="FJ33" i="5" s="1"/>
  <c r="FI34" i="5"/>
  <c r="FJ34" i="5" s="1"/>
  <c r="FI35" i="5"/>
  <c r="FJ35" i="5" s="1"/>
  <c r="FI36" i="5"/>
  <c r="FJ36" i="5" s="1"/>
  <c r="HD35" i="5"/>
  <c r="GP35" i="5"/>
  <c r="CK38" i="5"/>
  <c r="DE37" i="5"/>
  <c r="DV37" i="5"/>
  <c r="DG37" i="5"/>
  <c r="BY38" i="5"/>
  <c r="AD38" i="5"/>
  <c r="HF34" i="5"/>
  <c r="HO34" i="5"/>
  <c r="DV36" i="3"/>
  <c r="DX36" i="3" s="1"/>
  <c r="DZ36" i="3" s="1"/>
  <c r="DG36" i="3"/>
  <c r="DE36" i="3"/>
  <c r="GQ36" i="3"/>
  <c r="GS36" i="3"/>
  <c r="DT34" i="3"/>
  <c r="GP35" i="3"/>
  <c r="HF35" i="3" s="1"/>
  <c r="HD35" i="3"/>
  <c r="DD35" i="3"/>
  <c r="GN44" i="3"/>
  <c r="HC41" i="3"/>
  <c r="BG36" i="3"/>
  <c r="BR36" i="3"/>
  <c r="BT36" i="3" s="1"/>
  <c r="BV36" i="3" s="1"/>
  <c r="BE36" i="3"/>
  <c r="EB38" i="3"/>
  <c r="EU37" i="3"/>
  <c r="ES37" i="3"/>
  <c r="FF37" i="3"/>
  <c r="FH37" i="3" s="1"/>
  <c r="DR35" i="3"/>
  <c r="AN37" i="3"/>
  <c r="FW37" i="3"/>
  <c r="AC37" i="3"/>
  <c r="AD37" i="3"/>
  <c r="BY37" i="3"/>
  <c r="L39" i="3"/>
  <c r="M38" i="3"/>
  <c r="DW39" i="3"/>
  <c r="DQ40" i="3"/>
  <c r="CK37" i="3"/>
  <c r="X38" i="3"/>
  <c r="BP36" i="3"/>
  <c r="HH36" i="3"/>
  <c r="HJ36" i="3" s="1"/>
  <c r="HL36" i="3" s="1"/>
  <c r="AE36" i="3"/>
  <c r="FU15" i="6" l="1"/>
  <c r="G15" i="6"/>
  <c r="GN37" i="10"/>
  <c r="HC36" i="10"/>
  <c r="FM35" i="5"/>
  <c r="DT35" i="5"/>
  <c r="HC36" i="9"/>
  <c r="HD36" i="9" s="1"/>
  <c r="GN37" i="9"/>
  <c r="GP36" i="9"/>
  <c r="HV16" i="6"/>
  <c r="HW16" i="6" s="1"/>
  <c r="J16" i="6" s="1"/>
  <c r="HV16" i="9"/>
  <c r="I16" i="9" s="1"/>
  <c r="CQ16" i="12"/>
  <c r="CU17" i="12" s="1"/>
  <c r="GC17" i="11"/>
  <c r="HN17" i="11"/>
  <c r="HP17" i="11" s="1"/>
  <c r="HS17" i="11"/>
  <c r="HW16" i="11"/>
  <c r="J16" i="11" s="1"/>
  <c r="CP17" i="9"/>
  <c r="CQ17" i="9" s="1"/>
  <c r="CU18" i="9" s="1"/>
  <c r="DR36" i="12"/>
  <c r="J14" i="5"/>
  <c r="GG17" i="10"/>
  <c r="GB17" i="10" s="1"/>
  <c r="FT16" i="9"/>
  <c r="G16" i="9" s="1"/>
  <c r="DT35" i="7"/>
  <c r="DS17" i="9"/>
  <c r="CT17" i="9"/>
  <c r="DT36" i="12"/>
  <c r="CU15" i="8"/>
  <c r="CP15" i="8" s="1"/>
  <c r="FL15" i="8" s="1"/>
  <c r="FN15" i="8" s="1"/>
  <c r="FL14" i="8"/>
  <c r="FN14" i="8" s="1"/>
  <c r="FR14" i="8" s="1"/>
  <c r="FS14" i="8" s="1"/>
  <c r="CT15" i="8"/>
  <c r="FT15" i="11"/>
  <c r="G15" i="11" s="1"/>
  <c r="AJ36" i="6"/>
  <c r="I16" i="6"/>
  <c r="HN15" i="5"/>
  <c r="HP15" i="5" s="1"/>
  <c r="GC15" i="5"/>
  <c r="HN16" i="10"/>
  <c r="HP16" i="10" s="1"/>
  <c r="HT16" i="10" s="1"/>
  <c r="HU16" i="10" s="1"/>
  <c r="I14" i="5"/>
  <c r="HS15" i="5"/>
  <c r="AJ36" i="12"/>
  <c r="EB37" i="7"/>
  <c r="FI8" i="7" s="1"/>
  <c r="FJ8" i="7" s="1"/>
  <c r="H8" i="7" s="1"/>
  <c r="FF36" i="7"/>
  <c r="DV36" i="7"/>
  <c r="DX36" i="7" s="1"/>
  <c r="DZ36" i="7" s="1"/>
  <c r="CK37" i="7"/>
  <c r="DE36" i="7"/>
  <c r="DD36" i="7" s="1"/>
  <c r="FM36" i="7" s="1"/>
  <c r="DG36" i="7"/>
  <c r="HD37" i="6"/>
  <c r="DR35" i="7"/>
  <c r="CK38" i="12"/>
  <c r="DG37" i="12"/>
  <c r="DE37" i="12"/>
  <c r="DV37" i="12"/>
  <c r="GB17" i="6"/>
  <c r="GC17" i="6" s="1"/>
  <c r="FF36" i="8"/>
  <c r="EB37" i="8"/>
  <c r="FI13" i="8" s="1"/>
  <c r="FJ13" i="8" s="1"/>
  <c r="AI36" i="7"/>
  <c r="AJ36" i="7" s="1"/>
  <c r="DS16" i="11"/>
  <c r="CT16" i="11"/>
  <c r="FL16" i="6"/>
  <c r="FN16" i="6" s="1"/>
  <c r="FO16" i="6" s="1"/>
  <c r="CU17" i="6"/>
  <c r="CP17" i="6" s="1"/>
  <c r="CQ17" i="6" s="1"/>
  <c r="CU18" i="6" s="1"/>
  <c r="FL17" i="5"/>
  <c r="FN17" i="5" s="1"/>
  <c r="CP16" i="11"/>
  <c r="G14" i="10"/>
  <c r="FT16" i="5"/>
  <c r="FQ17" i="5" s="1"/>
  <c r="FR16" i="12"/>
  <c r="FO16" i="12"/>
  <c r="FU14" i="10"/>
  <c r="DT35" i="3"/>
  <c r="FM35" i="3"/>
  <c r="CQ17" i="5"/>
  <c r="FO15" i="10"/>
  <c r="FJ37" i="11"/>
  <c r="CT16" i="10"/>
  <c r="CP16" i="10"/>
  <c r="CQ16" i="10" s="1"/>
  <c r="FJ37" i="10"/>
  <c r="FJ37" i="12"/>
  <c r="FJ38" i="5"/>
  <c r="GF17" i="10"/>
  <c r="I17" i="8"/>
  <c r="GF17" i="6"/>
  <c r="HW17" i="8"/>
  <c r="J17" i="8" s="1"/>
  <c r="HV15" i="12"/>
  <c r="HS17" i="6"/>
  <c r="GB16" i="12"/>
  <c r="HE16" i="12"/>
  <c r="GF16" i="12"/>
  <c r="GE17" i="9"/>
  <c r="HE17" i="9" s="1"/>
  <c r="FQ14" i="8"/>
  <c r="FU13" i="8"/>
  <c r="HV15" i="10"/>
  <c r="I15" i="10" s="1"/>
  <c r="HQ18" i="8"/>
  <c r="HT18" i="8"/>
  <c r="HU18" i="8" s="1"/>
  <c r="GG19" i="8"/>
  <c r="GE19" i="8"/>
  <c r="G13" i="8"/>
  <c r="FR15" i="10"/>
  <c r="FS15" i="10" s="1"/>
  <c r="FQ16" i="7"/>
  <c r="FU15" i="7"/>
  <c r="G15" i="7"/>
  <c r="CP16" i="7"/>
  <c r="CQ16" i="7" s="1"/>
  <c r="CT16" i="7"/>
  <c r="GG20" i="7"/>
  <c r="GE20" i="7"/>
  <c r="HQ19" i="7"/>
  <c r="HT19" i="7"/>
  <c r="AF36" i="7"/>
  <c r="DS17" i="6"/>
  <c r="CT17" i="6"/>
  <c r="BY39" i="12"/>
  <c r="AD39" i="12"/>
  <c r="AI37" i="12"/>
  <c r="Z38" i="12"/>
  <c r="Z39" i="12" s="1"/>
  <c r="Z40" i="12" s="1"/>
  <c r="Z41" i="12" s="1"/>
  <c r="Z42" i="12" s="1"/>
  <c r="Z43" i="12" s="1"/>
  <c r="Z44" i="12" s="1"/>
  <c r="Z45" i="12" s="1"/>
  <c r="Z46" i="12" s="1"/>
  <c r="Z47" i="12" s="1"/>
  <c r="Z48" i="12" s="1"/>
  <c r="Z49" i="12" s="1"/>
  <c r="Z50" i="12" s="1"/>
  <c r="Z51" i="12" s="1"/>
  <c r="Z52" i="12" s="1"/>
  <c r="CJ37" i="12"/>
  <c r="M40" i="12"/>
  <c r="L41" i="12"/>
  <c r="AN38" i="12"/>
  <c r="BE37" i="12"/>
  <c r="BG37" i="12"/>
  <c r="BR37" i="12"/>
  <c r="BT37" i="12" s="1"/>
  <c r="BV37" i="12" s="1"/>
  <c r="AL34" i="12"/>
  <c r="F34" i="12" s="1"/>
  <c r="AH35" i="12"/>
  <c r="AK35" i="12" s="1"/>
  <c r="E34" i="12"/>
  <c r="EB39" i="12"/>
  <c r="ES38" i="12"/>
  <c r="FI38" i="12"/>
  <c r="FF38" i="12"/>
  <c r="FH38" i="12" s="1"/>
  <c r="EU38" i="12"/>
  <c r="FI2" i="12"/>
  <c r="FJ2" i="12" s="1"/>
  <c r="H2" i="12" s="1"/>
  <c r="FI3" i="12"/>
  <c r="FJ3" i="12" s="1"/>
  <c r="H3" i="12" s="1"/>
  <c r="FI4" i="12"/>
  <c r="FJ4" i="12" s="1"/>
  <c r="H4" i="12" s="1"/>
  <c r="FI5" i="12"/>
  <c r="FJ5" i="12" s="1"/>
  <c r="H5" i="12" s="1"/>
  <c r="FI6" i="12"/>
  <c r="FJ6" i="12" s="1"/>
  <c r="H6" i="12" s="1"/>
  <c r="FI7" i="12"/>
  <c r="FJ7" i="12" s="1"/>
  <c r="H7" i="12" s="1"/>
  <c r="FI8" i="12"/>
  <c r="FJ8" i="12" s="1"/>
  <c r="H8" i="12" s="1"/>
  <c r="FI9" i="12"/>
  <c r="FJ9" i="12" s="1"/>
  <c r="H9" i="12" s="1"/>
  <c r="FI10" i="12"/>
  <c r="FJ10" i="12" s="1"/>
  <c r="H10" i="12" s="1"/>
  <c r="FI11" i="12"/>
  <c r="FJ11" i="12" s="1"/>
  <c r="H11" i="12" s="1"/>
  <c r="FI12" i="12"/>
  <c r="FJ12" i="12" s="1"/>
  <c r="H12" i="12" s="1"/>
  <c r="FI13" i="12"/>
  <c r="FJ13" i="12" s="1"/>
  <c r="H13" i="12" s="1"/>
  <c r="FI14" i="12"/>
  <c r="FJ14" i="12" s="1"/>
  <c r="H14" i="12" s="1"/>
  <c r="FI15" i="12"/>
  <c r="FJ15" i="12" s="1"/>
  <c r="H15" i="12" s="1"/>
  <c r="FI16" i="12"/>
  <c r="FJ16" i="12" s="1"/>
  <c r="FI17" i="12"/>
  <c r="FJ17" i="12" s="1"/>
  <c r="FI18" i="12"/>
  <c r="FJ18" i="12" s="1"/>
  <c r="FI19" i="12"/>
  <c r="FJ19" i="12" s="1"/>
  <c r="FI20" i="12"/>
  <c r="FJ20" i="12" s="1"/>
  <c r="FI21" i="12"/>
  <c r="FJ21" i="12" s="1"/>
  <c r="FI22" i="12"/>
  <c r="FJ22" i="12" s="1"/>
  <c r="FI23" i="12"/>
  <c r="FJ23" i="12" s="1"/>
  <c r="FI24" i="12"/>
  <c r="FJ24" i="12" s="1"/>
  <c r="FI25" i="12"/>
  <c r="FJ25" i="12" s="1"/>
  <c r="FI26" i="12"/>
  <c r="FJ26" i="12" s="1"/>
  <c r="FI27" i="12"/>
  <c r="FJ27" i="12" s="1"/>
  <c r="FI28" i="12"/>
  <c r="FJ28" i="12" s="1"/>
  <c r="FI29" i="12"/>
  <c r="FJ29" i="12" s="1"/>
  <c r="FI30" i="12"/>
  <c r="FJ30" i="12" s="1"/>
  <c r="FI31" i="12"/>
  <c r="FJ31" i="12" s="1"/>
  <c r="FI32" i="12"/>
  <c r="FJ32" i="12" s="1"/>
  <c r="FI33" i="12"/>
  <c r="FJ33" i="12" s="1"/>
  <c r="FI34" i="12"/>
  <c r="FJ34" i="12" s="1"/>
  <c r="FI35" i="12"/>
  <c r="FJ35" i="12" s="1"/>
  <c r="FI36" i="12"/>
  <c r="FJ36" i="12" s="1"/>
  <c r="GN39" i="12"/>
  <c r="HC38" i="12"/>
  <c r="HI40" i="12"/>
  <c r="HD36" i="12"/>
  <c r="GP36" i="12"/>
  <c r="FW38" i="12"/>
  <c r="GQ37" i="12"/>
  <c r="GS37" i="12"/>
  <c r="HH37" i="12"/>
  <c r="HJ37" i="12" s="1"/>
  <c r="HL37" i="12" s="1"/>
  <c r="X39" i="12"/>
  <c r="AC38" i="12"/>
  <c r="AE38" i="12" s="1"/>
  <c r="HF35" i="12"/>
  <c r="HO35" i="12"/>
  <c r="AL34" i="11"/>
  <c r="F34" i="11" s="1"/>
  <c r="E34" i="11"/>
  <c r="AH35" i="11"/>
  <c r="AK35" i="11" s="1"/>
  <c r="HI41" i="11"/>
  <c r="AC38" i="11"/>
  <c r="AE38" i="11" s="1"/>
  <c r="X39" i="11"/>
  <c r="L41" i="11"/>
  <c r="M40" i="11"/>
  <c r="DT35" i="11"/>
  <c r="AD39" i="11"/>
  <c r="BY39" i="11"/>
  <c r="HD37" i="11"/>
  <c r="AN39" i="11"/>
  <c r="BG38" i="11"/>
  <c r="BE38" i="11"/>
  <c r="BR38" i="11"/>
  <c r="BT38" i="11" s="1"/>
  <c r="BV38" i="11" s="1"/>
  <c r="GQ38" i="11"/>
  <c r="GP38" i="11" s="1"/>
  <c r="FW39" i="11"/>
  <c r="GS38" i="11"/>
  <c r="HH38" i="11"/>
  <c r="HJ38" i="11" s="1"/>
  <c r="HL38" i="11" s="1"/>
  <c r="HC38" i="11"/>
  <c r="GN39" i="11"/>
  <c r="GP37" i="11"/>
  <c r="ES38" i="11"/>
  <c r="FI38" i="11"/>
  <c r="FF38" i="11"/>
  <c r="FH38" i="11" s="1"/>
  <c r="EB39" i="11"/>
  <c r="EU38" i="11"/>
  <c r="FI2" i="11"/>
  <c r="FJ2" i="11" s="1"/>
  <c r="H2" i="11" s="1"/>
  <c r="FI3" i="11"/>
  <c r="FJ3" i="11" s="1"/>
  <c r="H3" i="11" s="1"/>
  <c r="FI4" i="11"/>
  <c r="FJ4" i="11" s="1"/>
  <c r="H4" i="11" s="1"/>
  <c r="FI5" i="11"/>
  <c r="FJ5" i="11" s="1"/>
  <c r="H5" i="11" s="1"/>
  <c r="FI6" i="11"/>
  <c r="FJ6" i="11" s="1"/>
  <c r="H6" i="11" s="1"/>
  <c r="FI7" i="11"/>
  <c r="FJ7" i="11" s="1"/>
  <c r="H7" i="11" s="1"/>
  <c r="FI8" i="11"/>
  <c r="FJ8" i="11" s="1"/>
  <c r="H8" i="11" s="1"/>
  <c r="FI9" i="11"/>
  <c r="FJ9" i="11" s="1"/>
  <c r="H9" i="11" s="1"/>
  <c r="FI10" i="11"/>
  <c r="FJ10" i="11" s="1"/>
  <c r="H10" i="11" s="1"/>
  <c r="FI11" i="11"/>
  <c r="FJ11" i="11" s="1"/>
  <c r="H11" i="11" s="1"/>
  <c r="FI12" i="11"/>
  <c r="FJ12" i="11" s="1"/>
  <c r="H12" i="11" s="1"/>
  <c r="FI13" i="11"/>
  <c r="FJ13" i="11" s="1"/>
  <c r="H13" i="11" s="1"/>
  <c r="FI14" i="11"/>
  <c r="FJ14" i="11" s="1"/>
  <c r="H14" i="11" s="1"/>
  <c r="FI15" i="11"/>
  <c r="FJ15" i="11" s="1"/>
  <c r="FI16" i="11"/>
  <c r="FJ16" i="11" s="1"/>
  <c r="FI17" i="11"/>
  <c r="FJ17" i="11" s="1"/>
  <c r="FI18" i="11"/>
  <c r="FJ18" i="11" s="1"/>
  <c r="FI19" i="11"/>
  <c r="FJ19" i="11" s="1"/>
  <c r="FI20" i="11"/>
  <c r="FJ20" i="11" s="1"/>
  <c r="FI21" i="11"/>
  <c r="FJ21" i="11" s="1"/>
  <c r="FI22" i="11"/>
  <c r="FJ22" i="11" s="1"/>
  <c r="FI23" i="11"/>
  <c r="FJ23" i="11" s="1"/>
  <c r="FI24" i="11"/>
  <c r="FJ24" i="11" s="1"/>
  <c r="FI25" i="11"/>
  <c r="FJ25" i="11" s="1"/>
  <c r="FI26" i="11"/>
  <c r="FJ26" i="11" s="1"/>
  <c r="FI27" i="11"/>
  <c r="FJ27" i="11" s="1"/>
  <c r="FI28" i="11"/>
  <c r="FJ28" i="11" s="1"/>
  <c r="FI29" i="11"/>
  <c r="FJ29" i="11" s="1"/>
  <c r="FI30" i="11"/>
  <c r="FJ30" i="11" s="1"/>
  <c r="FI31" i="11"/>
  <c r="FJ31" i="11" s="1"/>
  <c r="FI32" i="11"/>
  <c r="FJ32" i="11" s="1"/>
  <c r="FI33" i="11"/>
  <c r="FJ33" i="11" s="1"/>
  <c r="FI34" i="11"/>
  <c r="FJ34" i="11" s="1"/>
  <c r="FI35" i="11"/>
  <c r="FJ35" i="11" s="1"/>
  <c r="FI36" i="11"/>
  <c r="FJ36" i="11" s="1"/>
  <c r="DR36" i="11"/>
  <c r="DD36" i="11"/>
  <c r="FM36" i="11" s="1"/>
  <c r="CK38" i="11"/>
  <c r="DG37" i="11"/>
  <c r="DV37" i="11"/>
  <c r="DE37" i="11"/>
  <c r="AI37" i="11"/>
  <c r="AJ37" i="11" s="1"/>
  <c r="E34" i="10"/>
  <c r="AL34" i="10"/>
  <c r="F34" i="10" s="1"/>
  <c r="AH35" i="10"/>
  <c r="AK35" i="10" s="1"/>
  <c r="M40" i="10"/>
  <c r="L41" i="10"/>
  <c r="HI43" i="10"/>
  <c r="CK39" i="10"/>
  <c r="DG38" i="10"/>
  <c r="DE38" i="10"/>
  <c r="DV38" i="10"/>
  <c r="DT36" i="10"/>
  <c r="AI36" i="10"/>
  <c r="AJ36" i="10" s="1"/>
  <c r="AF36" i="10"/>
  <c r="HD36" i="10"/>
  <c r="GP36" i="10"/>
  <c r="AD39" i="10"/>
  <c r="BY39" i="10"/>
  <c r="HF35" i="10"/>
  <c r="HO35" i="10"/>
  <c r="X39" i="10"/>
  <c r="DR37" i="10"/>
  <c r="DS37" i="10" s="1"/>
  <c r="DD37" i="10"/>
  <c r="CJ37" i="10"/>
  <c r="Z38" i="10"/>
  <c r="Z39" i="10" s="1"/>
  <c r="Z40" i="10" s="1"/>
  <c r="Z41" i="10" s="1"/>
  <c r="Z42" i="10" s="1"/>
  <c r="Z43" i="10" s="1"/>
  <c r="Z44" i="10" s="1"/>
  <c r="Z45" i="10" s="1"/>
  <c r="Z46" i="10" s="1"/>
  <c r="Z47" i="10" s="1"/>
  <c r="Z48" i="10" s="1"/>
  <c r="Z49" i="10" s="1"/>
  <c r="Z50" i="10" s="1"/>
  <c r="Z51" i="10" s="1"/>
  <c r="Z52" i="10" s="1"/>
  <c r="BG37" i="10"/>
  <c r="AN38" i="10"/>
  <c r="BE37" i="10"/>
  <c r="BR37" i="10"/>
  <c r="BT37" i="10" s="1"/>
  <c r="BV37" i="10" s="1"/>
  <c r="AC37" i="10"/>
  <c r="AE37" i="10" s="1"/>
  <c r="FW38" i="10"/>
  <c r="GQ37" i="10"/>
  <c r="GS37" i="10"/>
  <c r="HH37" i="10"/>
  <c r="HJ37" i="10" s="1"/>
  <c r="HL37" i="10" s="1"/>
  <c r="EB39" i="10"/>
  <c r="FI38" i="10"/>
  <c r="EU38" i="10"/>
  <c r="FI2" i="10"/>
  <c r="FJ2" i="10" s="1"/>
  <c r="H2" i="10" s="1"/>
  <c r="ES38" i="10"/>
  <c r="FF38" i="10"/>
  <c r="FH38" i="10" s="1"/>
  <c r="FI3" i="10"/>
  <c r="FJ3" i="10" s="1"/>
  <c r="H3" i="10" s="1"/>
  <c r="FI4" i="10"/>
  <c r="FJ4" i="10" s="1"/>
  <c r="H4" i="10" s="1"/>
  <c r="FI5" i="10"/>
  <c r="FJ5" i="10" s="1"/>
  <c r="H5" i="10" s="1"/>
  <c r="FI6" i="10"/>
  <c r="FJ6" i="10" s="1"/>
  <c r="H6" i="10" s="1"/>
  <c r="FI7" i="10"/>
  <c r="FJ7" i="10" s="1"/>
  <c r="H7" i="10" s="1"/>
  <c r="FI8" i="10"/>
  <c r="FJ8" i="10" s="1"/>
  <c r="H8" i="10" s="1"/>
  <c r="FI9" i="10"/>
  <c r="FJ9" i="10" s="1"/>
  <c r="H9" i="10" s="1"/>
  <c r="FI10" i="10"/>
  <c r="FJ10" i="10" s="1"/>
  <c r="H10" i="10" s="1"/>
  <c r="FI11" i="10"/>
  <c r="FJ11" i="10" s="1"/>
  <c r="H11" i="10" s="1"/>
  <c r="FI12" i="10"/>
  <c r="FJ12" i="10" s="1"/>
  <c r="H12" i="10" s="1"/>
  <c r="FI13" i="10"/>
  <c r="FJ13" i="10" s="1"/>
  <c r="H13" i="10" s="1"/>
  <c r="FI14" i="10"/>
  <c r="FJ14" i="10" s="1"/>
  <c r="FI15" i="10"/>
  <c r="FJ15" i="10" s="1"/>
  <c r="FI16" i="10"/>
  <c r="FJ16" i="10" s="1"/>
  <c r="FI17" i="10"/>
  <c r="FJ17" i="10" s="1"/>
  <c r="FI18" i="10"/>
  <c r="FJ18" i="10" s="1"/>
  <c r="FI19" i="10"/>
  <c r="FJ19" i="10" s="1"/>
  <c r="FI20" i="10"/>
  <c r="FJ20" i="10" s="1"/>
  <c r="FI21" i="10"/>
  <c r="FJ21" i="10" s="1"/>
  <c r="FI22" i="10"/>
  <c r="FJ22" i="10" s="1"/>
  <c r="FI23" i="10"/>
  <c r="FJ23" i="10" s="1"/>
  <c r="FI24" i="10"/>
  <c r="FJ24" i="10" s="1"/>
  <c r="FI25" i="10"/>
  <c r="FJ25" i="10" s="1"/>
  <c r="FI26" i="10"/>
  <c r="FJ26" i="10" s="1"/>
  <c r="FI27" i="10"/>
  <c r="FJ27" i="10" s="1"/>
  <c r="FI28" i="10"/>
  <c r="FJ28" i="10" s="1"/>
  <c r="FI29" i="10"/>
  <c r="FJ29" i="10" s="1"/>
  <c r="FI30" i="10"/>
  <c r="FJ30" i="10" s="1"/>
  <c r="FI31" i="10"/>
  <c r="FJ31" i="10" s="1"/>
  <c r="FI32" i="10"/>
  <c r="FJ32" i="10" s="1"/>
  <c r="FI33" i="10"/>
  <c r="FJ33" i="10" s="1"/>
  <c r="FI34" i="10"/>
  <c r="FJ34" i="10" s="1"/>
  <c r="FI35" i="10"/>
  <c r="FJ35" i="10" s="1"/>
  <c r="FI36" i="10"/>
  <c r="FJ36" i="10" s="1"/>
  <c r="AI37" i="9"/>
  <c r="AJ37" i="9" s="1"/>
  <c r="E34" i="9"/>
  <c r="AH35" i="9"/>
  <c r="AK35" i="9" s="1"/>
  <c r="AL34" i="9"/>
  <c r="F34" i="9" s="1"/>
  <c r="X39" i="9"/>
  <c r="DE38" i="9"/>
  <c r="CK39" i="9"/>
  <c r="DV38" i="9"/>
  <c r="DG38" i="9"/>
  <c r="FI38" i="9"/>
  <c r="FF38" i="9"/>
  <c r="FH38" i="9" s="1"/>
  <c r="EB39" i="9"/>
  <c r="EU38" i="9"/>
  <c r="FI2" i="9"/>
  <c r="FJ2" i="9" s="1"/>
  <c r="H2" i="9" s="1"/>
  <c r="ES38" i="9"/>
  <c r="FI3" i="9"/>
  <c r="FJ3" i="9" s="1"/>
  <c r="H3" i="9" s="1"/>
  <c r="FI4" i="9"/>
  <c r="FJ4" i="9" s="1"/>
  <c r="H4" i="9" s="1"/>
  <c r="FI5" i="9"/>
  <c r="FJ5" i="9" s="1"/>
  <c r="H5" i="9" s="1"/>
  <c r="FI6" i="9"/>
  <c r="FJ6" i="9" s="1"/>
  <c r="H6" i="9" s="1"/>
  <c r="FI7" i="9"/>
  <c r="FJ7" i="9" s="1"/>
  <c r="H7" i="9" s="1"/>
  <c r="FI8" i="9"/>
  <c r="FJ8" i="9" s="1"/>
  <c r="H8" i="9" s="1"/>
  <c r="FI9" i="9"/>
  <c r="FJ9" i="9" s="1"/>
  <c r="H9" i="9" s="1"/>
  <c r="FI10" i="9"/>
  <c r="FJ10" i="9" s="1"/>
  <c r="H10" i="9" s="1"/>
  <c r="FI11" i="9"/>
  <c r="FJ11" i="9" s="1"/>
  <c r="H11" i="9" s="1"/>
  <c r="FI12" i="9"/>
  <c r="FJ12" i="9" s="1"/>
  <c r="H12" i="9" s="1"/>
  <c r="FI13" i="9"/>
  <c r="FJ13" i="9" s="1"/>
  <c r="H13" i="9" s="1"/>
  <c r="FI14" i="9"/>
  <c r="FJ14" i="9" s="1"/>
  <c r="H14" i="9" s="1"/>
  <c r="FI15" i="9"/>
  <c r="FJ15" i="9" s="1"/>
  <c r="H15" i="9" s="1"/>
  <c r="FI16" i="9"/>
  <c r="FJ16" i="9" s="1"/>
  <c r="FI17" i="9"/>
  <c r="FJ17" i="9" s="1"/>
  <c r="FI18" i="9"/>
  <c r="FJ18" i="9" s="1"/>
  <c r="FI19" i="9"/>
  <c r="FJ19" i="9" s="1"/>
  <c r="FI20" i="9"/>
  <c r="FJ20" i="9" s="1"/>
  <c r="FI21" i="9"/>
  <c r="FJ21" i="9" s="1"/>
  <c r="FI22" i="9"/>
  <c r="FJ22" i="9" s="1"/>
  <c r="FI23" i="9"/>
  <c r="FJ23" i="9" s="1"/>
  <c r="FI24" i="9"/>
  <c r="FJ24" i="9" s="1"/>
  <c r="FI25" i="9"/>
  <c r="FJ25" i="9" s="1"/>
  <c r="FI26" i="9"/>
  <c r="FJ26" i="9" s="1"/>
  <c r="FI27" i="9"/>
  <c r="FJ27" i="9" s="1"/>
  <c r="FI28" i="9"/>
  <c r="FJ28" i="9" s="1"/>
  <c r="FI29" i="9"/>
  <c r="FJ29" i="9" s="1"/>
  <c r="FI30" i="9"/>
  <c r="FJ30" i="9" s="1"/>
  <c r="FI31" i="9"/>
  <c r="FJ31" i="9" s="1"/>
  <c r="FI32" i="9"/>
  <c r="FJ32" i="9" s="1"/>
  <c r="FI33" i="9"/>
  <c r="FJ33" i="9" s="1"/>
  <c r="FI34" i="9"/>
  <c r="FJ34" i="9" s="1"/>
  <c r="FI35" i="9"/>
  <c r="FJ35" i="9" s="1"/>
  <c r="FI36" i="9"/>
  <c r="FJ36" i="9" s="1"/>
  <c r="DT36" i="9"/>
  <c r="FW39" i="9"/>
  <c r="GS38" i="9"/>
  <c r="GQ38" i="9"/>
  <c r="FI37" i="9"/>
  <c r="FJ37" i="9" s="1"/>
  <c r="DR37" i="9"/>
  <c r="DS37" i="9" s="1"/>
  <c r="DD37" i="9"/>
  <c r="L41" i="9"/>
  <c r="M40" i="9"/>
  <c r="BY39" i="9"/>
  <c r="AD39" i="9"/>
  <c r="GP37" i="9"/>
  <c r="HH38" i="9"/>
  <c r="HJ38" i="9" s="1"/>
  <c r="HL38" i="9" s="1"/>
  <c r="HI39" i="9"/>
  <c r="CJ37" i="9"/>
  <c r="Z38" i="9"/>
  <c r="Z39" i="9" s="1"/>
  <c r="Z40" i="9" s="1"/>
  <c r="Z41" i="9" s="1"/>
  <c r="Z42" i="9" s="1"/>
  <c r="Z43" i="9" s="1"/>
  <c r="Z44" i="9" s="1"/>
  <c r="Z45" i="9" s="1"/>
  <c r="Z46" i="9" s="1"/>
  <c r="Z47" i="9" s="1"/>
  <c r="Z48" i="9" s="1"/>
  <c r="Z49" i="9" s="1"/>
  <c r="Z50" i="9" s="1"/>
  <c r="Z51" i="9" s="1"/>
  <c r="Z52" i="9" s="1"/>
  <c r="BG37" i="9"/>
  <c r="AN38" i="9"/>
  <c r="BR37" i="9"/>
  <c r="BT37" i="9" s="1"/>
  <c r="BV37" i="9" s="1"/>
  <c r="BE37" i="9"/>
  <c r="AI36" i="8"/>
  <c r="AJ36" i="8" s="1"/>
  <c r="AF36" i="8"/>
  <c r="GN38" i="8"/>
  <c r="HC37" i="8"/>
  <c r="CK39" i="8"/>
  <c r="DE38" i="8"/>
  <c r="DV38" i="8"/>
  <c r="DG38" i="8"/>
  <c r="HF36" i="8"/>
  <c r="HO36" i="8"/>
  <c r="AL33" i="8"/>
  <c r="F33" i="8" s="1"/>
  <c r="E33" i="8"/>
  <c r="AH34" i="8"/>
  <c r="AK34" i="8" s="1"/>
  <c r="DR37" i="8"/>
  <c r="DS37" i="8" s="1"/>
  <c r="DD37" i="8"/>
  <c r="HI42" i="8"/>
  <c r="HF35" i="8"/>
  <c r="HO35" i="8"/>
  <c r="AN39" i="8"/>
  <c r="BG38" i="8"/>
  <c r="BE38" i="8"/>
  <c r="BR38" i="8"/>
  <c r="BT38" i="8" s="1"/>
  <c r="BV38" i="8" s="1"/>
  <c r="AC37" i="8"/>
  <c r="AE37" i="8" s="1"/>
  <c r="CI37" i="8"/>
  <c r="X38" i="8"/>
  <c r="DT36" i="8"/>
  <c r="FW38" i="8"/>
  <c r="GQ37" i="8"/>
  <c r="GP37" i="8" s="1"/>
  <c r="GS37" i="8"/>
  <c r="HH37" i="8"/>
  <c r="HJ37" i="8" s="1"/>
  <c r="HL37" i="8" s="1"/>
  <c r="AD38" i="8"/>
  <c r="BY38" i="8"/>
  <c r="FI4" i="8"/>
  <c r="FJ4" i="8" s="1"/>
  <c r="H4" i="8" s="1"/>
  <c r="FI11" i="8"/>
  <c r="FJ11" i="8" s="1"/>
  <c r="H11" i="8" s="1"/>
  <c r="FI28" i="8"/>
  <c r="FJ28" i="8" s="1"/>
  <c r="FI32" i="8"/>
  <c r="FJ32" i="8" s="1"/>
  <c r="FI34" i="8"/>
  <c r="FJ34" i="8" s="1"/>
  <c r="HD36" i="8"/>
  <c r="M39" i="8"/>
  <c r="L40" i="8"/>
  <c r="HF36" i="7"/>
  <c r="HO36" i="7"/>
  <c r="HD36" i="7"/>
  <c r="FW38" i="7"/>
  <c r="GS37" i="7"/>
  <c r="GQ37" i="7"/>
  <c r="GP37" i="7" s="1"/>
  <c r="HH37" i="7"/>
  <c r="HJ37" i="7" s="1"/>
  <c r="HL37" i="7" s="1"/>
  <c r="BG37" i="7"/>
  <c r="AN38" i="7"/>
  <c r="BE37" i="7"/>
  <c r="BR37" i="7"/>
  <c r="BT37" i="7" s="1"/>
  <c r="BV37" i="7" s="1"/>
  <c r="AL33" i="7"/>
  <c r="F33" i="7" s="1"/>
  <c r="AH34" i="7"/>
  <c r="AK34" i="7" s="1"/>
  <c r="E33" i="7"/>
  <c r="BY38" i="7"/>
  <c r="AD38" i="7"/>
  <c r="L40" i="7"/>
  <c r="M39" i="7"/>
  <c r="GN38" i="7"/>
  <c r="HC37" i="7"/>
  <c r="AC38" i="7"/>
  <c r="X39" i="7"/>
  <c r="AE37" i="7"/>
  <c r="HI41" i="7"/>
  <c r="AI37" i="6"/>
  <c r="DR37" i="6"/>
  <c r="DS37" i="6" s="1"/>
  <c r="DD37" i="6"/>
  <c r="HF36" i="6"/>
  <c r="HO36" i="6"/>
  <c r="EB39" i="6"/>
  <c r="FI38" i="6"/>
  <c r="FF38" i="6"/>
  <c r="FH38" i="6" s="1"/>
  <c r="EU38" i="6"/>
  <c r="FI2" i="6"/>
  <c r="FJ2" i="6" s="1"/>
  <c r="H2" i="6" s="1"/>
  <c r="ES38" i="6"/>
  <c r="FI3" i="6"/>
  <c r="FJ3" i="6" s="1"/>
  <c r="H3" i="6" s="1"/>
  <c r="FI4" i="6"/>
  <c r="FJ4" i="6" s="1"/>
  <c r="H4" i="6" s="1"/>
  <c r="FI5" i="6"/>
  <c r="FJ5" i="6" s="1"/>
  <c r="H5" i="6" s="1"/>
  <c r="FI6" i="6"/>
  <c r="FJ6" i="6" s="1"/>
  <c r="H6" i="6" s="1"/>
  <c r="FI7" i="6"/>
  <c r="FJ7" i="6" s="1"/>
  <c r="H7" i="6" s="1"/>
  <c r="FI8" i="6"/>
  <c r="FJ8" i="6" s="1"/>
  <c r="H8" i="6" s="1"/>
  <c r="FI9" i="6"/>
  <c r="FJ9" i="6" s="1"/>
  <c r="H9" i="6" s="1"/>
  <c r="FI10" i="6"/>
  <c r="FJ10" i="6" s="1"/>
  <c r="H10" i="6" s="1"/>
  <c r="FI11" i="6"/>
  <c r="FJ11" i="6" s="1"/>
  <c r="H11" i="6" s="1"/>
  <c r="FI12" i="6"/>
  <c r="FJ12" i="6" s="1"/>
  <c r="H12" i="6" s="1"/>
  <c r="FI13" i="6"/>
  <c r="FJ13" i="6" s="1"/>
  <c r="H13" i="6" s="1"/>
  <c r="FI14" i="6"/>
  <c r="FJ14" i="6" s="1"/>
  <c r="H14" i="6" s="1"/>
  <c r="FI15" i="6"/>
  <c r="FJ15" i="6" s="1"/>
  <c r="H15" i="6" s="1"/>
  <c r="FI16" i="6"/>
  <c r="FJ16" i="6" s="1"/>
  <c r="FI17" i="6"/>
  <c r="FJ17" i="6" s="1"/>
  <c r="FI18" i="6"/>
  <c r="FJ18" i="6" s="1"/>
  <c r="FI19" i="6"/>
  <c r="FJ19" i="6" s="1"/>
  <c r="FI20" i="6"/>
  <c r="FJ20" i="6" s="1"/>
  <c r="FI21" i="6"/>
  <c r="FJ21" i="6" s="1"/>
  <c r="FI22" i="6"/>
  <c r="FJ22" i="6" s="1"/>
  <c r="FI23" i="6"/>
  <c r="FJ23" i="6" s="1"/>
  <c r="FI24" i="6"/>
  <c r="FJ24" i="6" s="1"/>
  <c r="FI25" i="6"/>
  <c r="FJ25" i="6" s="1"/>
  <c r="FI26" i="6"/>
  <c r="FJ26" i="6" s="1"/>
  <c r="FI27" i="6"/>
  <c r="FJ27" i="6" s="1"/>
  <c r="FI28" i="6"/>
  <c r="FJ28" i="6" s="1"/>
  <c r="FI29" i="6"/>
  <c r="FJ29" i="6" s="1"/>
  <c r="FI30" i="6"/>
  <c r="FJ30" i="6" s="1"/>
  <c r="FI31" i="6"/>
  <c r="FJ31" i="6" s="1"/>
  <c r="FI32" i="6"/>
  <c r="FJ32" i="6" s="1"/>
  <c r="FI33" i="6"/>
  <c r="FJ33" i="6" s="1"/>
  <c r="FI34" i="6"/>
  <c r="FJ34" i="6" s="1"/>
  <c r="FI35" i="6"/>
  <c r="FJ35" i="6" s="1"/>
  <c r="FI36" i="6"/>
  <c r="FJ36" i="6" s="1"/>
  <c r="CK39" i="6"/>
  <c r="DE38" i="6"/>
  <c r="DV38" i="6"/>
  <c r="DG38" i="6"/>
  <c r="FW39" i="6"/>
  <c r="GS38" i="6"/>
  <c r="GQ38" i="6"/>
  <c r="GP38" i="6" s="1"/>
  <c r="HH38" i="6"/>
  <c r="HJ38" i="6" s="1"/>
  <c r="HL38" i="6" s="1"/>
  <c r="HI41" i="6"/>
  <c r="AC38" i="6"/>
  <c r="AE38" i="6" s="1"/>
  <c r="X39" i="6"/>
  <c r="L41" i="6"/>
  <c r="M40" i="6"/>
  <c r="BY39" i="6"/>
  <c r="AD39" i="6"/>
  <c r="GP37" i="6"/>
  <c r="AH36" i="6"/>
  <c r="AK36" i="6" s="1"/>
  <c r="E35" i="6"/>
  <c r="AL35" i="6"/>
  <c r="F35" i="6" s="1"/>
  <c r="HC38" i="6"/>
  <c r="GN39" i="6"/>
  <c r="AN39" i="6"/>
  <c r="BG38" i="6"/>
  <c r="BE38" i="6"/>
  <c r="BR38" i="6"/>
  <c r="BT38" i="6" s="1"/>
  <c r="BV38" i="6" s="1"/>
  <c r="FI37" i="6"/>
  <c r="FJ37" i="6" s="1"/>
  <c r="AL34" i="5"/>
  <c r="F34" i="5" s="1"/>
  <c r="AH35" i="5"/>
  <c r="AK35" i="5" s="1"/>
  <c r="E34" i="5"/>
  <c r="AI37" i="5"/>
  <c r="AJ37" i="5" s="1"/>
  <c r="GQ37" i="5"/>
  <c r="FW38" i="5"/>
  <c r="GS37" i="5"/>
  <c r="HH37" i="5"/>
  <c r="HJ37" i="5" s="1"/>
  <c r="HL37" i="5" s="1"/>
  <c r="X39" i="5"/>
  <c r="AC38" i="5"/>
  <c r="AE38" i="5" s="1"/>
  <c r="CK39" i="5"/>
  <c r="DG38" i="5"/>
  <c r="DE38" i="5"/>
  <c r="DV38" i="5"/>
  <c r="ES39" i="5"/>
  <c r="EU39" i="5"/>
  <c r="EB40" i="5"/>
  <c r="FI39" i="5"/>
  <c r="FF39" i="5"/>
  <c r="FH39" i="5" s="1"/>
  <c r="HI40" i="5"/>
  <c r="HD36" i="5"/>
  <c r="GP36" i="5"/>
  <c r="GN39" i="5"/>
  <c r="HC38" i="5"/>
  <c r="DR37" i="5"/>
  <c r="DS37" i="5" s="1"/>
  <c r="DD37" i="5"/>
  <c r="M40" i="5"/>
  <c r="L41" i="5"/>
  <c r="AD39" i="5"/>
  <c r="BY39" i="5"/>
  <c r="HF35" i="5"/>
  <c r="HO35" i="5"/>
  <c r="AN39" i="5"/>
  <c r="BE38" i="5"/>
  <c r="BG38" i="5"/>
  <c r="BR38" i="5"/>
  <c r="BT38" i="5" s="1"/>
  <c r="BV38" i="5" s="1"/>
  <c r="FI38" i="3"/>
  <c r="FI6" i="3"/>
  <c r="FJ6" i="3" s="1"/>
  <c r="FI9" i="3"/>
  <c r="FJ9" i="3" s="1"/>
  <c r="FI3" i="3"/>
  <c r="FJ3" i="3" s="1"/>
  <c r="H3" i="3" s="1"/>
  <c r="FI7" i="3"/>
  <c r="FJ7" i="3" s="1"/>
  <c r="FI21" i="3"/>
  <c r="FJ21" i="3" s="1"/>
  <c r="FI16" i="3"/>
  <c r="FJ16" i="3" s="1"/>
  <c r="FI19" i="3"/>
  <c r="FJ19" i="3" s="1"/>
  <c r="FI20" i="3"/>
  <c r="FJ20" i="3" s="1"/>
  <c r="FI8" i="3"/>
  <c r="FJ8" i="3" s="1"/>
  <c r="FI10" i="3"/>
  <c r="FJ10" i="3" s="1"/>
  <c r="FI4" i="3"/>
  <c r="FJ4" i="3" s="1"/>
  <c r="H4" i="3" s="1"/>
  <c r="FI11" i="3"/>
  <c r="FJ11" i="3" s="1"/>
  <c r="FI2" i="3"/>
  <c r="FJ2" i="3" s="1"/>
  <c r="H2" i="3" s="1"/>
  <c r="FI17" i="3"/>
  <c r="FJ17" i="3" s="1"/>
  <c r="FI12" i="3"/>
  <c r="FJ12" i="3" s="1"/>
  <c r="FI14" i="3"/>
  <c r="FJ14" i="3" s="1"/>
  <c r="FI15" i="3"/>
  <c r="FJ15" i="3" s="1"/>
  <c r="FI5" i="3"/>
  <c r="FJ5" i="3" s="1"/>
  <c r="FI22" i="3"/>
  <c r="FJ22" i="3" s="1"/>
  <c r="FI13" i="3"/>
  <c r="FJ13" i="3" s="1"/>
  <c r="FI18" i="3"/>
  <c r="FJ18" i="3" s="1"/>
  <c r="FI23" i="3"/>
  <c r="FJ23" i="3" s="1"/>
  <c r="FI24" i="3"/>
  <c r="FJ24" i="3" s="1"/>
  <c r="FI25" i="3"/>
  <c r="FJ25" i="3" s="1"/>
  <c r="FI26" i="3"/>
  <c r="FJ26" i="3" s="1"/>
  <c r="FI27" i="3"/>
  <c r="FJ27" i="3" s="1"/>
  <c r="FI28" i="3"/>
  <c r="FJ28" i="3" s="1"/>
  <c r="FI29" i="3"/>
  <c r="FJ29" i="3" s="1"/>
  <c r="FI30" i="3"/>
  <c r="FJ30" i="3" s="1"/>
  <c r="FI31" i="3"/>
  <c r="FJ31" i="3" s="1"/>
  <c r="FI32" i="3"/>
  <c r="FJ32" i="3" s="1"/>
  <c r="FI33" i="3"/>
  <c r="FJ33" i="3" s="1"/>
  <c r="FI34" i="3"/>
  <c r="FJ34" i="3" s="1"/>
  <c r="FI35" i="3"/>
  <c r="FJ35" i="3" s="1"/>
  <c r="FI36" i="3"/>
  <c r="FJ36" i="3" s="1"/>
  <c r="DV37" i="3"/>
  <c r="DG37" i="3"/>
  <c r="DE37" i="3"/>
  <c r="GQ37" i="3"/>
  <c r="GS37" i="3"/>
  <c r="FI37" i="3"/>
  <c r="FJ37" i="3" s="1"/>
  <c r="GP36" i="3"/>
  <c r="HF36" i="3" s="1"/>
  <c r="HD36" i="3"/>
  <c r="GN45" i="3"/>
  <c r="DD36" i="3"/>
  <c r="HC42" i="3"/>
  <c r="EB39" i="3"/>
  <c r="FI39" i="3" s="1"/>
  <c r="ES38" i="3"/>
  <c r="EU38" i="3"/>
  <c r="FF38" i="3"/>
  <c r="FH38" i="3" s="1"/>
  <c r="BE37" i="3"/>
  <c r="BG37" i="3"/>
  <c r="BR37" i="3"/>
  <c r="BT37" i="3" s="1"/>
  <c r="BV37" i="3" s="1"/>
  <c r="DR36" i="3"/>
  <c r="FW38" i="3"/>
  <c r="AN38" i="3"/>
  <c r="AD38" i="3"/>
  <c r="BY38" i="3"/>
  <c r="AC38" i="3"/>
  <c r="L40" i="3"/>
  <c r="M39" i="3"/>
  <c r="DX37" i="3"/>
  <c r="DZ37" i="3" s="1"/>
  <c r="DW40" i="3"/>
  <c r="DQ41" i="3"/>
  <c r="BP37" i="3"/>
  <c r="X39" i="3"/>
  <c r="CK38" i="3"/>
  <c r="HH37" i="3"/>
  <c r="AE37" i="3"/>
  <c r="HF36" i="9" l="1"/>
  <c r="HO36" i="9"/>
  <c r="HC37" i="9"/>
  <c r="HD37" i="9" s="1"/>
  <c r="GN38" i="9"/>
  <c r="GN38" i="10"/>
  <c r="HC37" i="10"/>
  <c r="FI18" i="8"/>
  <c r="FJ18" i="8" s="1"/>
  <c r="HS17" i="9"/>
  <c r="HW16" i="9"/>
  <c r="J16" i="9" s="1"/>
  <c r="AJ37" i="6"/>
  <c r="CS17" i="12"/>
  <c r="DS17" i="12" s="1"/>
  <c r="FO14" i="8"/>
  <c r="FO15" i="8" s="1"/>
  <c r="FQ17" i="9"/>
  <c r="CS18" i="9"/>
  <c r="DS18" i="9" s="1"/>
  <c r="AJ37" i="12"/>
  <c r="FU16" i="9"/>
  <c r="H16" i="9" s="1"/>
  <c r="FI37" i="8"/>
  <c r="FI20" i="8"/>
  <c r="FJ20" i="8" s="1"/>
  <c r="FI7" i="7"/>
  <c r="FJ7" i="7" s="1"/>
  <c r="H7" i="7" s="1"/>
  <c r="FI16" i="8"/>
  <c r="FJ16" i="8" s="1"/>
  <c r="FI14" i="8"/>
  <c r="FJ14" i="8" s="1"/>
  <c r="FI12" i="8"/>
  <c r="FJ12" i="8" s="1"/>
  <c r="H12" i="8" s="1"/>
  <c r="FI9" i="8"/>
  <c r="FJ9" i="8" s="1"/>
  <c r="H9" i="8" s="1"/>
  <c r="FI36" i="8"/>
  <c r="FJ36" i="8" s="1"/>
  <c r="FI30" i="8"/>
  <c r="FJ30" i="8" s="1"/>
  <c r="HT17" i="11"/>
  <c r="HQ17" i="11"/>
  <c r="GG18" i="11"/>
  <c r="GE18" i="11"/>
  <c r="FI27" i="8"/>
  <c r="FJ27" i="8" s="1"/>
  <c r="FI25" i="8"/>
  <c r="FJ25" i="8" s="1"/>
  <c r="FL17" i="9"/>
  <c r="FN17" i="9" s="1"/>
  <c r="FO17" i="9" s="1"/>
  <c r="CQ15" i="8"/>
  <c r="CU16" i="8" s="1"/>
  <c r="FI15" i="7"/>
  <c r="FJ15" i="7" s="1"/>
  <c r="H15" i="7" s="1"/>
  <c r="FI22" i="7"/>
  <c r="FJ22" i="7" s="1"/>
  <c r="FI6" i="7"/>
  <c r="FJ6" i="7" s="1"/>
  <c r="H6" i="7" s="1"/>
  <c r="FI23" i="7"/>
  <c r="FJ23" i="7" s="1"/>
  <c r="FI21" i="7"/>
  <c r="FJ21" i="7" s="1"/>
  <c r="FI5" i="7"/>
  <c r="FJ5" i="7" s="1"/>
  <c r="H5" i="7" s="1"/>
  <c r="FI36" i="7"/>
  <c r="FJ36" i="7" s="1"/>
  <c r="FI20" i="7"/>
  <c r="FJ20" i="7" s="1"/>
  <c r="FI4" i="7"/>
  <c r="FJ4" i="7" s="1"/>
  <c r="H4" i="7" s="1"/>
  <c r="FI35" i="7"/>
  <c r="FJ35" i="7" s="1"/>
  <c r="FI19" i="7"/>
  <c r="FJ19" i="7" s="1"/>
  <c r="FI3" i="7"/>
  <c r="FJ3" i="7" s="1"/>
  <c r="H3" i="7" s="1"/>
  <c r="FI34" i="7"/>
  <c r="FJ34" i="7" s="1"/>
  <c r="FI18" i="7"/>
  <c r="FJ18" i="7" s="1"/>
  <c r="FI2" i="7"/>
  <c r="FJ2" i="7" s="1"/>
  <c r="H2" i="7" s="1"/>
  <c r="FI33" i="7"/>
  <c r="FJ33" i="7" s="1"/>
  <c r="FI17" i="7"/>
  <c r="FJ17" i="7" s="1"/>
  <c r="FI32" i="7"/>
  <c r="FJ32" i="7" s="1"/>
  <c r="FI16" i="7"/>
  <c r="FJ16" i="7" s="1"/>
  <c r="FI30" i="7"/>
  <c r="FJ30" i="7" s="1"/>
  <c r="FI29" i="7"/>
  <c r="FJ29" i="7" s="1"/>
  <c r="FI13" i="7"/>
  <c r="FJ13" i="7" s="1"/>
  <c r="H13" i="7" s="1"/>
  <c r="FI14" i="7"/>
  <c r="FJ14" i="7" s="1"/>
  <c r="H14" i="7" s="1"/>
  <c r="FI27" i="7"/>
  <c r="FJ27" i="7" s="1"/>
  <c r="FI11" i="7"/>
  <c r="FJ11" i="7" s="1"/>
  <c r="H11" i="7" s="1"/>
  <c r="FI31" i="7"/>
  <c r="FJ31" i="7" s="1"/>
  <c r="FI28" i="7"/>
  <c r="FJ28" i="7" s="1"/>
  <c r="FI26" i="7"/>
  <c r="FJ26" i="7" s="1"/>
  <c r="FI10" i="7"/>
  <c r="FJ10" i="7" s="1"/>
  <c r="H10" i="7" s="1"/>
  <c r="FI12" i="7"/>
  <c r="FJ12" i="7" s="1"/>
  <c r="H12" i="7" s="1"/>
  <c r="FI25" i="7"/>
  <c r="FJ25" i="7" s="1"/>
  <c r="FI9" i="7"/>
  <c r="FJ9" i="7" s="1"/>
  <c r="H9" i="7" s="1"/>
  <c r="FI24" i="7"/>
  <c r="FJ24" i="7" s="1"/>
  <c r="DT36" i="7"/>
  <c r="FT14" i="8"/>
  <c r="FQ15" i="8" s="1"/>
  <c r="HN17" i="6"/>
  <c r="HP17" i="6" s="1"/>
  <c r="HQ17" i="6" s="1"/>
  <c r="FQ16" i="11"/>
  <c r="FU15" i="11"/>
  <c r="H15" i="11" s="1"/>
  <c r="HQ16" i="10"/>
  <c r="H14" i="10"/>
  <c r="GG16" i="5"/>
  <c r="GE16" i="5"/>
  <c r="HT15" i="5"/>
  <c r="HU15" i="5" s="1"/>
  <c r="HQ15" i="5"/>
  <c r="DR36" i="7"/>
  <c r="FI35" i="8"/>
  <c r="FJ35" i="8" s="1"/>
  <c r="FI19" i="8"/>
  <c r="FJ19" i="8" s="1"/>
  <c r="FI3" i="8"/>
  <c r="FJ3" i="8" s="1"/>
  <c r="H3" i="8" s="1"/>
  <c r="FI33" i="8"/>
  <c r="FJ33" i="8" s="1"/>
  <c r="FI17" i="8"/>
  <c r="FJ17" i="8" s="1"/>
  <c r="FI2" i="8"/>
  <c r="FJ2" i="8" s="1"/>
  <c r="H2" i="8" s="1"/>
  <c r="FI31" i="8"/>
  <c r="FJ31" i="8" s="1"/>
  <c r="FI15" i="8"/>
  <c r="FJ15" i="8" s="1"/>
  <c r="FI29" i="8"/>
  <c r="FJ29" i="8" s="1"/>
  <c r="ES37" i="8"/>
  <c r="EU37" i="8"/>
  <c r="EB38" i="8"/>
  <c r="FF37" i="8"/>
  <c r="FH37" i="8" s="1"/>
  <c r="FI26" i="8"/>
  <c r="FJ26" i="8" s="1"/>
  <c r="FI10" i="8"/>
  <c r="FJ10" i="8" s="1"/>
  <c r="H10" i="8" s="1"/>
  <c r="CK38" i="7"/>
  <c r="DG37" i="7"/>
  <c r="DE37" i="7"/>
  <c r="DV37" i="7"/>
  <c r="FI24" i="8"/>
  <c r="FJ24" i="8" s="1"/>
  <c r="FI8" i="8"/>
  <c r="FJ8" i="8" s="1"/>
  <c r="H8" i="8" s="1"/>
  <c r="FI23" i="8"/>
  <c r="FJ23" i="8" s="1"/>
  <c r="FI7" i="8"/>
  <c r="FJ7" i="8" s="1"/>
  <c r="H7" i="8" s="1"/>
  <c r="FR16" i="6"/>
  <c r="FS16" i="6" s="1"/>
  <c r="DR37" i="12"/>
  <c r="DS37" i="12" s="1"/>
  <c r="DD37" i="12"/>
  <c r="DT37" i="12" s="1"/>
  <c r="FI22" i="8"/>
  <c r="FJ22" i="8" s="1"/>
  <c r="FI6" i="8"/>
  <c r="FJ6" i="8" s="1"/>
  <c r="H6" i="8" s="1"/>
  <c r="FI21" i="8"/>
  <c r="FJ21" i="8" s="1"/>
  <c r="FI5" i="8"/>
  <c r="FJ5" i="8" s="1"/>
  <c r="H5" i="8" s="1"/>
  <c r="DV38" i="12"/>
  <c r="DG38" i="12"/>
  <c r="DE38" i="12"/>
  <c r="CK39" i="12"/>
  <c r="EU37" i="7"/>
  <c r="ES37" i="7"/>
  <c r="EB38" i="7"/>
  <c r="FF37" i="7"/>
  <c r="FH37" i="7" s="1"/>
  <c r="CQ16" i="11"/>
  <c r="FL16" i="11"/>
  <c r="FN16" i="11" s="1"/>
  <c r="G16" i="5"/>
  <c r="FU16" i="5"/>
  <c r="H16" i="5" s="1"/>
  <c r="FJ38" i="12"/>
  <c r="FT15" i="10"/>
  <c r="G15" i="10" s="1"/>
  <c r="FS16" i="12"/>
  <c r="FT16" i="12"/>
  <c r="FL16" i="10"/>
  <c r="FN16" i="10" s="1"/>
  <c r="FR16" i="10" s="1"/>
  <c r="FS16" i="10" s="1"/>
  <c r="CS18" i="5"/>
  <c r="CU18" i="5"/>
  <c r="FO17" i="5"/>
  <c r="FR17" i="5"/>
  <c r="FS17" i="5" s="1"/>
  <c r="FJ38" i="6"/>
  <c r="FJ38" i="11"/>
  <c r="FJ39" i="5"/>
  <c r="FJ38" i="10"/>
  <c r="FJ38" i="9"/>
  <c r="GB17" i="9"/>
  <c r="HN17" i="9" s="1"/>
  <c r="HP17" i="9" s="1"/>
  <c r="HQ17" i="9" s="1"/>
  <c r="GF17" i="9"/>
  <c r="HS16" i="12"/>
  <c r="I15" i="12"/>
  <c r="HW15" i="12"/>
  <c r="J15" i="12" s="1"/>
  <c r="HV18" i="8"/>
  <c r="I18" i="8" s="1"/>
  <c r="HN16" i="12"/>
  <c r="HP16" i="12" s="1"/>
  <c r="GC16" i="12"/>
  <c r="HS16" i="10"/>
  <c r="HV16" i="10" s="1"/>
  <c r="HW15" i="10"/>
  <c r="J15" i="10" s="1"/>
  <c r="H13" i="8"/>
  <c r="HE19" i="8"/>
  <c r="GF19" i="8"/>
  <c r="HN17" i="10"/>
  <c r="HP17" i="10" s="1"/>
  <c r="GC17" i="10"/>
  <c r="GB19" i="8"/>
  <c r="FJ38" i="3"/>
  <c r="GB20" i="7"/>
  <c r="GC20" i="7" s="1"/>
  <c r="GE21" i="7" s="1"/>
  <c r="HE21" i="7" s="1"/>
  <c r="FL16" i="7"/>
  <c r="FN16" i="7" s="1"/>
  <c r="FO16" i="7" s="1"/>
  <c r="HV19" i="7"/>
  <c r="HU19" i="7"/>
  <c r="AE38" i="7"/>
  <c r="HE20" i="7"/>
  <c r="GF20" i="7"/>
  <c r="GG18" i="6"/>
  <c r="GE18" i="6"/>
  <c r="FL17" i="6"/>
  <c r="FN17" i="6" s="1"/>
  <c r="FR17" i="6" s="1"/>
  <c r="CS18" i="6"/>
  <c r="CT18" i="6" s="1"/>
  <c r="AI38" i="12"/>
  <c r="AL35" i="12"/>
  <c r="F35" i="12" s="1"/>
  <c r="AH36" i="12"/>
  <c r="AK36" i="12" s="1"/>
  <c r="E35" i="12"/>
  <c r="HD37" i="12"/>
  <c r="GP37" i="12"/>
  <c r="FW39" i="12"/>
  <c r="GS38" i="12"/>
  <c r="GQ38" i="12"/>
  <c r="HH38" i="12"/>
  <c r="HJ38" i="12" s="1"/>
  <c r="HL38" i="12" s="1"/>
  <c r="HC39" i="12"/>
  <c r="GN40" i="12"/>
  <c r="AN39" i="12"/>
  <c r="BR38" i="12"/>
  <c r="BT38" i="12" s="1"/>
  <c r="BV38" i="12" s="1"/>
  <c r="BG38" i="12"/>
  <c r="BE38" i="12"/>
  <c r="HF36" i="12"/>
  <c r="HO36" i="12"/>
  <c r="HI41" i="12"/>
  <c r="L42" i="12"/>
  <c r="M41" i="12"/>
  <c r="ES39" i="12"/>
  <c r="FI39" i="12"/>
  <c r="FF39" i="12"/>
  <c r="FH39" i="12" s="1"/>
  <c r="EB40" i="12"/>
  <c r="EU39" i="12"/>
  <c r="BY40" i="12"/>
  <c r="AD40" i="12"/>
  <c r="AC39" i="12"/>
  <c r="AE39" i="12" s="1"/>
  <c r="X40" i="12"/>
  <c r="AL35" i="11"/>
  <c r="F35" i="11" s="1"/>
  <c r="E35" i="11"/>
  <c r="AH36" i="11"/>
  <c r="AK36" i="11" s="1"/>
  <c r="AD40" i="11"/>
  <c r="BY40" i="11"/>
  <c r="AI38" i="11"/>
  <c r="AJ38" i="11" s="1"/>
  <c r="M41" i="11"/>
  <c r="L42" i="11"/>
  <c r="DR37" i="11"/>
  <c r="DS37" i="11" s="1"/>
  <c r="DD37" i="11"/>
  <c r="HF38" i="11"/>
  <c r="HO38" i="11"/>
  <c r="AC39" i="11"/>
  <c r="AE39" i="11" s="1"/>
  <c r="X40" i="11"/>
  <c r="GN40" i="11"/>
  <c r="HC39" i="11"/>
  <c r="AN40" i="11"/>
  <c r="BE39" i="11"/>
  <c r="BR39" i="11"/>
  <c r="BT39" i="11" s="1"/>
  <c r="BV39" i="11" s="1"/>
  <c r="BG39" i="11"/>
  <c r="CK39" i="11"/>
  <c r="DE38" i="11"/>
  <c r="DG38" i="11"/>
  <c r="DV38" i="11"/>
  <c r="DT36" i="11"/>
  <c r="FI39" i="11"/>
  <c r="EB40" i="11"/>
  <c r="FF39" i="11"/>
  <c r="FH39" i="11" s="1"/>
  <c r="ES39" i="11"/>
  <c r="EU39" i="11"/>
  <c r="HI42" i="11"/>
  <c r="FW40" i="11"/>
  <c r="GS39" i="11"/>
  <c r="GQ39" i="11"/>
  <c r="GP39" i="11" s="1"/>
  <c r="HH39" i="11"/>
  <c r="HJ39" i="11" s="1"/>
  <c r="HL39" i="11" s="1"/>
  <c r="HF37" i="11"/>
  <c r="HO37" i="11"/>
  <c r="HD38" i="11"/>
  <c r="AL35" i="10"/>
  <c r="F35" i="10" s="1"/>
  <c r="E35" i="10"/>
  <c r="AH36" i="10"/>
  <c r="AK36" i="10" s="1"/>
  <c r="FW39" i="10"/>
  <c r="GQ38" i="10"/>
  <c r="GS38" i="10"/>
  <c r="HH38" i="10"/>
  <c r="HJ38" i="10" s="1"/>
  <c r="HL38" i="10" s="1"/>
  <c r="AC38" i="10"/>
  <c r="AE38" i="10" s="1"/>
  <c r="AC39" i="10"/>
  <c r="AE39" i="10" s="1"/>
  <c r="X40" i="10"/>
  <c r="DR38" i="10"/>
  <c r="DS38" i="10" s="1"/>
  <c r="DD38" i="10"/>
  <c r="FM38" i="10" s="1"/>
  <c r="HI44" i="10"/>
  <c r="AI37" i="10"/>
  <c r="AJ37" i="10" s="1"/>
  <c r="L42" i="10"/>
  <c r="M41" i="10"/>
  <c r="CK40" i="10"/>
  <c r="DE39" i="10"/>
  <c r="DV39" i="10"/>
  <c r="DG39" i="10"/>
  <c r="BY40" i="10"/>
  <c r="AD40" i="10"/>
  <c r="AN39" i="10"/>
  <c r="BE38" i="10"/>
  <c r="BG38" i="10"/>
  <c r="BR38" i="10"/>
  <c r="BT38" i="10" s="1"/>
  <c r="BV38" i="10" s="1"/>
  <c r="EB40" i="10"/>
  <c r="FI39" i="10"/>
  <c r="EU39" i="10"/>
  <c r="ES39" i="10"/>
  <c r="FF39" i="10"/>
  <c r="FH39" i="10" s="1"/>
  <c r="HF36" i="10"/>
  <c r="HO36" i="10"/>
  <c r="CU17" i="10"/>
  <c r="CS17" i="10"/>
  <c r="DT37" i="10"/>
  <c r="HD37" i="10"/>
  <c r="GP37" i="10"/>
  <c r="AH36" i="9"/>
  <c r="AK36" i="9" s="1"/>
  <c r="AL35" i="9"/>
  <c r="F35" i="9" s="1"/>
  <c r="E35" i="9"/>
  <c r="GP38" i="9"/>
  <c r="DT37" i="9"/>
  <c r="BY40" i="9"/>
  <c r="AD40" i="9"/>
  <c r="L42" i="9"/>
  <c r="M41" i="9"/>
  <c r="AC38" i="9"/>
  <c r="AE38" i="9" s="1"/>
  <c r="AN39" i="9"/>
  <c r="BE38" i="9"/>
  <c r="BR38" i="9"/>
  <c r="BT38" i="9" s="1"/>
  <c r="BV38" i="9" s="1"/>
  <c r="BG38" i="9"/>
  <c r="EB40" i="9"/>
  <c r="FI39" i="9"/>
  <c r="FF39" i="9"/>
  <c r="FH39" i="9" s="1"/>
  <c r="ES39" i="9"/>
  <c r="EU39" i="9"/>
  <c r="X40" i="9"/>
  <c r="AC39" i="9"/>
  <c r="AE39" i="9" s="1"/>
  <c r="HH39" i="9"/>
  <c r="HJ39" i="9" s="1"/>
  <c r="HL39" i="9" s="1"/>
  <c r="HI40" i="9"/>
  <c r="HF37" i="9"/>
  <c r="HO37" i="9"/>
  <c r="FW40" i="9"/>
  <c r="GQ39" i="9"/>
  <c r="GS39" i="9"/>
  <c r="CK40" i="9"/>
  <c r="DG39" i="9"/>
  <c r="DE39" i="9"/>
  <c r="DV39" i="9"/>
  <c r="DR38" i="9"/>
  <c r="DS38" i="9" s="1"/>
  <c r="DD38" i="9"/>
  <c r="FM38" i="9" s="1"/>
  <c r="AL34" i="8"/>
  <c r="F34" i="8" s="1"/>
  <c r="AH35" i="8"/>
  <c r="AK35" i="8" s="1"/>
  <c r="E34" i="8"/>
  <c r="AI37" i="8"/>
  <c r="AJ37" i="8" s="1"/>
  <c r="BY39" i="8"/>
  <c r="AD39" i="8"/>
  <c r="DT37" i="8"/>
  <c r="BE39" i="8"/>
  <c r="AN40" i="8"/>
  <c r="BG39" i="8"/>
  <c r="BR39" i="8"/>
  <c r="BT39" i="8" s="1"/>
  <c r="BV39" i="8" s="1"/>
  <c r="DR38" i="8"/>
  <c r="DS38" i="8" s="1"/>
  <c r="DD38" i="8"/>
  <c r="FM38" i="8" s="1"/>
  <c r="DG39" i="8"/>
  <c r="DV39" i="8"/>
  <c r="DE39" i="8"/>
  <c r="CK40" i="8"/>
  <c r="HD37" i="8"/>
  <c r="FW39" i="8"/>
  <c r="GS38" i="8"/>
  <c r="GQ38" i="8"/>
  <c r="GP38" i="8" s="1"/>
  <c r="HH38" i="8"/>
  <c r="HJ38" i="8" s="1"/>
  <c r="HL38" i="8" s="1"/>
  <c r="GN39" i="8"/>
  <c r="HC38" i="8"/>
  <c r="X39" i="8"/>
  <c r="AC38" i="8"/>
  <c r="AE38" i="8" s="1"/>
  <c r="HI43" i="8"/>
  <c r="HF37" i="8"/>
  <c r="HO37" i="8"/>
  <c r="L41" i="8"/>
  <c r="M40" i="8"/>
  <c r="E34" i="7"/>
  <c r="AL34" i="7"/>
  <c r="F34" i="7" s="1"/>
  <c r="AH35" i="7"/>
  <c r="AK35" i="7" s="1"/>
  <c r="M40" i="7"/>
  <c r="L41" i="7"/>
  <c r="CU17" i="7"/>
  <c r="CS17" i="7"/>
  <c r="HI42" i="7"/>
  <c r="AI37" i="7"/>
  <c r="AJ37" i="7" s="1"/>
  <c r="AN39" i="7"/>
  <c r="BG38" i="7"/>
  <c r="BE38" i="7"/>
  <c r="BR38" i="7"/>
  <c r="BT38" i="7" s="1"/>
  <c r="BV38" i="7" s="1"/>
  <c r="AC39" i="7"/>
  <c r="X40" i="7"/>
  <c r="GQ38" i="7"/>
  <c r="GP38" i="7" s="1"/>
  <c r="FW39" i="7"/>
  <c r="GS38" i="7"/>
  <c r="HH38" i="7"/>
  <c r="HJ38" i="7" s="1"/>
  <c r="HL38" i="7" s="1"/>
  <c r="HF37" i="7"/>
  <c r="HO37" i="7"/>
  <c r="AD39" i="7"/>
  <c r="BY39" i="7"/>
  <c r="HD37" i="7"/>
  <c r="GN39" i="7"/>
  <c r="HC38" i="7"/>
  <c r="AH37" i="6"/>
  <c r="AK37" i="6" s="1"/>
  <c r="E36" i="6"/>
  <c r="AL36" i="6"/>
  <c r="F36" i="6" s="1"/>
  <c r="AF37" i="6"/>
  <c r="AI38" i="6"/>
  <c r="DT37" i="6"/>
  <c r="X40" i="6"/>
  <c r="AC39" i="6"/>
  <c r="AE39" i="6" s="1"/>
  <c r="HI42" i="6"/>
  <c r="AN40" i="6"/>
  <c r="BE39" i="6"/>
  <c r="BG39" i="6"/>
  <c r="BR39" i="6"/>
  <c r="BT39" i="6" s="1"/>
  <c r="BV39" i="6" s="1"/>
  <c r="CK40" i="6"/>
  <c r="DG39" i="6"/>
  <c r="DV39" i="6"/>
  <c r="DE39" i="6"/>
  <c r="HD38" i="6"/>
  <c r="EB40" i="6"/>
  <c r="FI39" i="6"/>
  <c r="ES39" i="6"/>
  <c r="FF39" i="6"/>
  <c r="FH39" i="6" s="1"/>
  <c r="EU39" i="6"/>
  <c r="HC39" i="6"/>
  <c r="GN40" i="6"/>
  <c r="M41" i="6"/>
  <c r="L42" i="6"/>
  <c r="HF38" i="6"/>
  <c r="HO38" i="6"/>
  <c r="FW40" i="6"/>
  <c r="GQ39" i="6"/>
  <c r="GS39" i="6"/>
  <c r="HH39" i="6"/>
  <c r="HJ39" i="6" s="1"/>
  <c r="HL39" i="6" s="1"/>
  <c r="BY40" i="6"/>
  <c r="AD40" i="6"/>
  <c r="HF37" i="6"/>
  <c r="HO37" i="6"/>
  <c r="DR38" i="6"/>
  <c r="DS38" i="6" s="1"/>
  <c r="DD38" i="6"/>
  <c r="FM38" i="6" s="1"/>
  <c r="AH36" i="5"/>
  <c r="AK36" i="5" s="1"/>
  <c r="E35" i="5"/>
  <c r="AL35" i="5"/>
  <c r="F35" i="5" s="1"/>
  <c r="DR38" i="5"/>
  <c r="DS38" i="5" s="1"/>
  <c r="DD38" i="5"/>
  <c r="FM38" i="5" s="1"/>
  <c r="AC39" i="5"/>
  <c r="AE39" i="5" s="1"/>
  <c r="X40" i="5"/>
  <c r="AI38" i="5"/>
  <c r="AJ38" i="5" s="1"/>
  <c r="HI41" i="5"/>
  <c r="BG39" i="5"/>
  <c r="BE39" i="5"/>
  <c r="AN40" i="5"/>
  <c r="BR39" i="5"/>
  <c r="BT39" i="5" s="1"/>
  <c r="BV39" i="5" s="1"/>
  <c r="EU40" i="5"/>
  <c r="EB41" i="5"/>
  <c r="FI40" i="5"/>
  <c r="FF40" i="5"/>
  <c r="FH40" i="5" s="1"/>
  <c r="ES40" i="5"/>
  <c r="GS38" i="5"/>
  <c r="FW39" i="5"/>
  <c r="GQ38" i="5"/>
  <c r="HH38" i="5"/>
  <c r="HJ38" i="5" s="1"/>
  <c r="HL38" i="5" s="1"/>
  <c r="DV39" i="5"/>
  <c r="CK40" i="5"/>
  <c r="DG39" i="5"/>
  <c r="DE39" i="5"/>
  <c r="HD37" i="5"/>
  <c r="GP37" i="5"/>
  <c r="DT37" i="5"/>
  <c r="HC39" i="5"/>
  <c r="GN40" i="5"/>
  <c r="M41" i="5"/>
  <c r="L42" i="5"/>
  <c r="HF36" i="5"/>
  <c r="HO36" i="5"/>
  <c r="BY40" i="5"/>
  <c r="AD40" i="5"/>
  <c r="GQ38" i="3"/>
  <c r="GS38" i="3"/>
  <c r="DV38" i="3"/>
  <c r="DG38" i="3"/>
  <c r="DE38" i="3"/>
  <c r="DT36" i="3"/>
  <c r="DD37" i="3"/>
  <c r="GN46" i="3"/>
  <c r="GP37" i="3"/>
  <c r="HF37" i="3" s="1"/>
  <c r="HD37" i="3"/>
  <c r="HC43" i="3"/>
  <c r="HH38" i="3"/>
  <c r="HJ38" i="3" s="1"/>
  <c r="HL38" i="3" s="1"/>
  <c r="EB40" i="3"/>
  <c r="FI40" i="3" s="1"/>
  <c r="ES39" i="3"/>
  <c r="EU39" i="3"/>
  <c r="FF39" i="3"/>
  <c r="FH39" i="3" s="1"/>
  <c r="FJ39" i="3" s="1"/>
  <c r="BG38" i="3"/>
  <c r="BR38" i="3"/>
  <c r="BT38" i="3" s="1"/>
  <c r="BV38" i="3" s="1"/>
  <c r="BE38" i="3"/>
  <c r="DR37" i="3"/>
  <c r="AN39" i="3"/>
  <c r="FW39" i="3"/>
  <c r="HJ37" i="3"/>
  <c r="HL37" i="3" s="1"/>
  <c r="AC39" i="3"/>
  <c r="AD39" i="3"/>
  <c r="BY39" i="3"/>
  <c r="L41" i="3"/>
  <c r="M40" i="3"/>
  <c r="DX38" i="3"/>
  <c r="DZ38" i="3" s="1"/>
  <c r="DW41" i="3"/>
  <c r="BP38" i="3"/>
  <c r="DQ42" i="3"/>
  <c r="X40" i="3"/>
  <c r="CK39" i="3"/>
  <c r="AE38" i="3"/>
  <c r="HC38" i="10" l="1"/>
  <c r="GN39" i="10"/>
  <c r="GN39" i="9"/>
  <c r="HC38" i="9"/>
  <c r="HD38" i="9" s="1"/>
  <c r="AJ38" i="6"/>
  <c r="FJ37" i="8"/>
  <c r="FR15" i="8"/>
  <c r="FS15" i="8" s="1"/>
  <c r="CS16" i="8"/>
  <c r="CP16" i="8" s="1"/>
  <c r="CQ16" i="8" s="1"/>
  <c r="CU17" i="8" s="1"/>
  <c r="CP17" i="12"/>
  <c r="FL17" i="12" s="1"/>
  <c r="FN17" i="12" s="1"/>
  <c r="CT17" i="12"/>
  <c r="AJ38" i="12"/>
  <c r="CT18" i="9"/>
  <c r="CP18" i="9"/>
  <c r="CQ18" i="9" s="1"/>
  <c r="CU19" i="9" s="1"/>
  <c r="GB18" i="11"/>
  <c r="GC18" i="11" s="1"/>
  <c r="HE18" i="11"/>
  <c r="GF18" i="11"/>
  <c r="HU17" i="11"/>
  <c r="HV17" i="11"/>
  <c r="HT17" i="6"/>
  <c r="HU17" i="6" s="1"/>
  <c r="FR17" i="9"/>
  <c r="GC17" i="9"/>
  <c r="GG18" i="9" s="1"/>
  <c r="FU14" i="8"/>
  <c r="H14" i="8" s="1"/>
  <c r="G14" i="8"/>
  <c r="HV15" i="5"/>
  <c r="I15" i="5" s="1"/>
  <c r="CP18" i="5"/>
  <c r="CQ18" i="5" s="1"/>
  <c r="HQ17" i="10"/>
  <c r="HE16" i="5"/>
  <c r="GF16" i="5"/>
  <c r="GB16" i="5"/>
  <c r="FT16" i="6"/>
  <c r="FU16" i="6" s="1"/>
  <c r="H16" i="6" s="1"/>
  <c r="FS17" i="6"/>
  <c r="FI37" i="7"/>
  <c r="FJ37" i="7" s="1"/>
  <c r="EB39" i="7"/>
  <c r="FI38" i="7"/>
  <c r="EU38" i="7"/>
  <c r="FF38" i="7"/>
  <c r="FH38" i="7" s="1"/>
  <c r="ES38" i="7"/>
  <c r="DG39" i="12"/>
  <c r="DV39" i="12"/>
  <c r="CK40" i="12"/>
  <c r="DE39" i="12"/>
  <c r="DD37" i="7"/>
  <c r="DT37" i="7" s="1"/>
  <c r="DR37" i="7"/>
  <c r="DS37" i="7" s="1"/>
  <c r="DR38" i="12"/>
  <c r="DS38" i="12" s="1"/>
  <c r="DD38" i="12"/>
  <c r="CK39" i="7"/>
  <c r="DG38" i="7"/>
  <c r="DE38" i="7"/>
  <c r="DV38" i="7"/>
  <c r="EB39" i="8"/>
  <c r="EU38" i="8"/>
  <c r="FI38" i="8"/>
  <c r="FF38" i="8"/>
  <c r="FH38" i="8" s="1"/>
  <c r="ES38" i="8"/>
  <c r="FU15" i="10"/>
  <c r="H15" i="10" s="1"/>
  <c r="FQ16" i="10"/>
  <c r="FT16" i="10" s="1"/>
  <c r="FJ39" i="10"/>
  <c r="FJ39" i="6"/>
  <c r="FR16" i="11"/>
  <c r="FS16" i="11" s="1"/>
  <c r="FO16" i="11"/>
  <c r="CS17" i="11"/>
  <c r="CU17" i="11"/>
  <c r="FJ39" i="9"/>
  <c r="FJ40" i="5"/>
  <c r="FJ39" i="12"/>
  <c r="FO16" i="10"/>
  <c r="FQ17" i="12"/>
  <c r="FU16" i="12"/>
  <c r="H16" i="12" s="1"/>
  <c r="G16" i="12"/>
  <c r="FT17" i="5"/>
  <c r="FR16" i="7"/>
  <c r="FS16" i="7" s="1"/>
  <c r="DT37" i="3"/>
  <c r="DS18" i="5"/>
  <c r="CT18" i="5"/>
  <c r="HT17" i="9"/>
  <c r="HU17" i="9" s="1"/>
  <c r="HT17" i="10"/>
  <c r="HU17" i="10" s="1"/>
  <c r="HW18" i="8"/>
  <c r="J18" i="8" s="1"/>
  <c r="HS19" i="8"/>
  <c r="GG17" i="12"/>
  <c r="GE17" i="12"/>
  <c r="HT16" i="12"/>
  <c r="HU16" i="12" s="1"/>
  <c r="HQ16" i="12"/>
  <c r="HW16" i="10"/>
  <c r="J16" i="10" s="1"/>
  <c r="HS17" i="10"/>
  <c r="I16" i="10"/>
  <c r="HN19" i="8"/>
  <c r="HP19" i="8" s="1"/>
  <c r="GC19" i="8"/>
  <c r="GE18" i="10"/>
  <c r="GG18" i="10"/>
  <c r="GG21" i="7"/>
  <c r="GB21" i="7" s="1"/>
  <c r="FJ39" i="11"/>
  <c r="HN20" i="7"/>
  <c r="HP20" i="7" s="1"/>
  <c r="HT20" i="7" s="1"/>
  <c r="HU20" i="7" s="1"/>
  <c r="CP17" i="7"/>
  <c r="CQ17" i="7" s="1"/>
  <c r="CS18" i="7" s="1"/>
  <c r="DS18" i="7" s="1"/>
  <c r="HS20" i="7"/>
  <c r="I19" i="7"/>
  <c r="AE39" i="7"/>
  <c r="HW19" i="7"/>
  <c r="J19" i="7" s="1"/>
  <c r="GF21" i="7"/>
  <c r="GB18" i="6"/>
  <c r="GC18" i="6" s="1"/>
  <c r="HE18" i="6"/>
  <c r="GF18" i="6"/>
  <c r="FO17" i="6"/>
  <c r="DS18" i="6"/>
  <c r="CP18" i="6"/>
  <c r="EB41" i="12"/>
  <c r="FI40" i="12"/>
  <c r="ES40" i="12"/>
  <c r="EU40" i="12"/>
  <c r="FF40" i="12"/>
  <c r="FH40" i="12" s="1"/>
  <c r="X41" i="12"/>
  <c r="AC40" i="12"/>
  <c r="AE40" i="12" s="1"/>
  <c r="M42" i="12"/>
  <c r="L43" i="12"/>
  <c r="BG39" i="12"/>
  <c r="AN40" i="12"/>
  <c r="BR39" i="12"/>
  <c r="BT39" i="12" s="1"/>
  <c r="BV39" i="12" s="1"/>
  <c r="BE39" i="12"/>
  <c r="HF37" i="12"/>
  <c r="HO37" i="12"/>
  <c r="AI39" i="12"/>
  <c r="AH37" i="12"/>
  <c r="AK37" i="12" s="1"/>
  <c r="AL36" i="12"/>
  <c r="F36" i="12" s="1"/>
  <c r="E36" i="12"/>
  <c r="AF37" i="12"/>
  <c r="GN41" i="12"/>
  <c r="HC40" i="12"/>
  <c r="BY41" i="12"/>
  <c r="AD41" i="12"/>
  <c r="HD38" i="12"/>
  <c r="GP38" i="12"/>
  <c r="FW40" i="12"/>
  <c r="GS39" i="12"/>
  <c r="GQ39" i="12"/>
  <c r="HH39" i="12"/>
  <c r="HJ39" i="12" s="1"/>
  <c r="HL39" i="12" s="1"/>
  <c r="HI42" i="12"/>
  <c r="HF39" i="11"/>
  <c r="HO39" i="11"/>
  <c r="HC40" i="11"/>
  <c r="GN41" i="11"/>
  <c r="AC40" i="11"/>
  <c r="AE40" i="11" s="1"/>
  <c r="X41" i="11"/>
  <c r="FW41" i="11"/>
  <c r="GS40" i="11"/>
  <c r="GQ40" i="11"/>
  <c r="HH40" i="11"/>
  <c r="HJ40" i="11" s="1"/>
  <c r="HL40" i="11" s="1"/>
  <c r="DR38" i="11"/>
  <c r="DS38" i="11" s="1"/>
  <c r="DD38" i="11"/>
  <c r="FM38" i="11" s="1"/>
  <c r="BE40" i="11"/>
  <c r="AN41" i="11"/>
  <c r="BR40" i="11"/>
  <c r="BT40" i="11" s="1"/>
  <c r="BV40" i="11" s="1"/>
  <c r="BG40" i="11"/>
  <c r="DT37" i="11"/>
  <c r="M42" i="11"/>
  <c r="L43" i="11"/>
  <c r="CK40" i="11"/>
  <c r="DG39" i="11"/>
  <c r="DV39" i="11"/>
  <c r="DE39" i="11"/>
  <c r="EB41" i="11"/>
  <c r="ES40" i="11"/>
  <c r="FI40" i="11"/>
  <c r="EU40" i="11"/>
  <c r="FF40" i="11"/>
  <c r="FH40" i="11" s="1"/>
  <c r="BY41" i="11"/>
  <c r="AD41" i="11"/>
  <c r="AH37" i="11"/>
  <c r="AK37" i="11" s="1"/>
  <c r="E36" i="11"/>
  <c r="AL36" i="11"/>
  <c r="F36" i="11" s="1"/>
  <c r="AF37" i="11"/>
  <c r="AI39" i="11"/>
  <c r="AJ39" i="11" s="1"/>
  <c r="HD39" i="11"/>
  <c r="HI43" i="11"/>
  <c r="AI39" i="10"/>
  <c r="AL36" i="10"/>
  <c r="F36" i="10" s="1"/>
  <c r="E36" i="10"/>
  <c r="AH37" i="10"/>
  <c r="AK37" i="10" s="1"/>
  <c r="AF37" i="10"/>
  <c r="X41" i="10"/>
  <c r="AC40" i="10"/>
  <c r="AE40" i="10" s="1"/>
  <c r="DR39" i="10"/>
  <c r="DS39" i="10" s="1"/>
  <c r="DD39" i="10"/>
  <c r="FM39" i="10" s="1"/>
  <c r="CK41" i="10"/>
  <c r="DG40" i="10"/>
  <c r="DE40" i="10"/>
  <c r="DV40" i="10"/>
  <c r="AI38" i="10"/>
  <c r="AJ38" i="10" s="1"/>
  <c r="HD38" i="10"/>
  <c r="GP38" i="10"/>
  <c r="BG39" i="10"/>
  <c r="AN40" i="10"/>
  <c r="BE39" i="10"/>
  <c r="BR39" i="10"/>
  <c r="BT39" i="10" s="1"/>
  <c r="BV39" i="10" s="1"/>
  <c r="DS17" i="10"/>
  <c r="CT17" i="10"/>
  <c r="FW40" i="10"/>
  <c r="GQ39" i="10"/>
  <c r="GS39" i="10"/>
  <c r="HH39" i="10"/>
  <c r="HJ39" i="10" s="1"/>
  <c r="HL39" i="10" s="1"/>
  <c r="EB41" i="10"/>
  <c r="FI40" i="10"/>
  <c r="ES40" i="10"/>
  <c r="EU40" i="10"/>
  <c r="FF40" i="10"/>
  <c r="FH40" i="10" s="1"/>
  <c r="HF37" i="10"/>
  <c r="HO37" i="10"/>
  <c r="L43" i="10"/>
  <c r="M42" i="10"/>
  <c r="HI45" i="10"/>
  <c r="CP17" i="10"/>
  <c r="BY41" i="10"/>
  <c r="AD41" i="10"/>
  <c r="DT38" i="10"/>
  <c r="E36" i="9"/>
  <c r="AH37" i="9"/>
  <c r="AK37" i="9" s="1"/>
  <c r="AL36" i="9"/>
  <c r="F36" i="9" s="1"/>
  <c r="AF37" i="9"/>
  <c r="HI41" i="9"/>
  <c r="HH40" i="9"/>
  <c r="HJ40" i="9" s="1"/>
  <c r="HL40" i="9" s="1"/>
  <c r="BG39" i="9"/>
  <c r="BE39" i="9"/>
  <c r="AN40" i="9"/>
  <c r="BR39" i="9"/>
  <c r="BT39" i="9" s="1"/>
  <c r="BV39" i="9" s="1"/>
  <c r="AI39" i="9"/>
  <c r="HF38" i="9"/>
  <c r="HO38" i="9"/>
  <c r="DT38" i="9"/>
  <c r="FW41" i="9"/>
  <c r="GQ40" i="9"/>
  <c r="GS40" i="9"/>
  <c r="X41" i="9"/>
  <c r="AC40" i="9"/>
  <c r="AE40" i="9" s="1"/>
  <c r="AI38" i="9"/>
  <c r="AJ38" i="9" s="1"/>
  <c r="AD41" i="9"/>
  <c r="BY41" i="9"/>
  <c r="M42" i="9"/>
  <c r="L43" i="9"/>
  <c r="DR39" i="9"/>
  <c r="DS39" i="9" s="1"/>
  <c r="DD39" i="9"/>
  <c r="FM39" i="9" s="1"/>
  <c r="CK41" i="9"/>
  <c r="DV40" i="9"/>
  <c r="DG40" i="9"/>
  <c r="DE40" i="9"/>
  <c r="EB41" i="9"/>
  <c r="FI40" i="9"/>
  <c r="EU40" i="9"/>
  <c r="ES40" i="9"/>
  <c r="FF40" i="9"/>
  <c r="FH40" i="9" s="1"/>
  <c r="GP39" i="9"/>
  <c r="BY40" i="8"/>
  <c r="AD40" i="8"/>
  <c r="DR39" i="8"/>
  <c r="DS39" i="8" s="1"/>
  <c r="DD39" i="8"/>
  <c r="FM39" i="8" s="1"/>
  <c r="AI38" i="8"/>
  <c r="AJ38" i="8" s="1"/>
  <c r="BG40" i="8"/>
  <c r="BE40" i="8"/>
  <c r="AN41" i="8"/>
  <c r="BR40" i="8"/>
  <c r="BT40" i="8" s="1"/>
  <c r="BV40" i="8" s="1"/>
  <c r="DT38" i="8"/>
  <c r="DG40" i="8"/>
  <c r="DV40" i="8"/>
  <c r="DE40" i="8"/>
  <c r="CK41" i="8"/>
  <c r="X40" i="8"/>
  <c r="AC39" i="8"/>
  <c r="AE39" i="8" s="1"/>
  <c r="HD38" i="8"/>
  <c r="M41" i="8"/>
  <c r="L42" i="8"/>
  <c r="FW40" i="8"/>
  <c r="GQ39" i="8"/>
  <c r="GS39" i="8"/>
  <c r="HH39" i="8"/>
  <c r="HJ39" i="8" s="1"/>
  <c r="HL39" i="8" s="1"/>
  <c r="HC39" i="8"/>
  <c r="GN40" i="8"/>
  <c r="HI44" i="8"/>
  <c r="HF38" i="8"/>
  <c r="HO38" i="8"/>
  <c r="E35" i="8"/>
  <c r="AH36" i="8"/>
  <c r="AK36" i="8" s="1"/>
  <c r="AL35" i="8"/>
  <c r="F35" i="8" s="1"/>
  <c r="AH36" i="7"/>
  <c r="AK36" i="7" s="1"/>
  <c r="E35" i="7"/>
  <c r="AL35" i="7"/>
  <c r="F35" i="7" s="1"/>
  <c r="GN40" i="7"/>
  <c r="HC39" i="7"/>
  <c r="AN40" i="7"/>
  <c r="BR39" i="7"/>
  <c r="BT39" i="7" s="1"/>
  <c r="BV39" i="7" s="1"/>
  <c r="BG39" i="7"/>
  <c r="BE39" i="7"/>
  <c r="HD38" i="7"/>
  <c r="FW40" i="7"/>
  <c r="GQ39" i="7"/>
  <c r="GP39" i="7" s="1"/>
  <c r="GS39" i="7"/>
  <c r="HH39" i="7"/>
  <c r="HJ39" i="7" s="1"/>
  <c r="HL39" i="7" s="1"/>
  <c r="HI43" i="7"/>
  <c r="DS17" i="7"/>
  <c r="CT17" i="7"/>
  <c r="AC40" i="7"/>
  <c r="X41" i="7"/>
  <c r="HF38" i="7"/>
  <c r="HO38" i="7"/>
  <c r="M41" i="7"/>
  <c r="L42" i="7"/>
  <c r="BY40" i="7"/>
  <c r="AD40" i="7"/>
  <c r="AI39" i="6"/>
  <c r="AJ39" i="6" s="1"/>
  <c r="DR39" i="6"/>
  <c r="DS39" i="6" s="1"/>
  <c r="DD39" i="6"/>
  <c r="FM39" i="6" s="1"/>
  <c r="AC40" i="6"/>
  <c r="AE40" i="6" s="1"/>
  <c r="X41" i="6"/>
  <c r="DT38" i="6"/>
  <c r="L43" i="6"/>
  <c r="M42" i="6"/>
  <c r="DV40" i="6"/>
  <c r="DE40" i="6"/>
  <c r="CK41" i="6"/>
  <c r="DG40" i="6"/>
  <c r="AD41" i="6"/>
  <c r="BY41" i="6"/>
  <c r="FF40" i="6"/>
  <c r="FH40" i="6" s="1"/>
  <c r="EU40" i="6"/>
  <c r="FI40" i="6"/>
  <c r="EB41" i="6"/>
  <c r="ES40" i="6"/>
  <c r="HI43" i="6"/>
  <c r="HD39" i="6"/>
  <c r="AF38" i="6"/>
  <c r="HC40" i="6"/>
  <c r="GN41" i="6"/>
  <c r="AH38" i="6"/>
  <c r="AK38" i="6" s="1"/>
  <c r="AL38" i="6" s="1"/>
  <c r="E37" i="6"/>
  <c r="AL37" i="6"/>
  <c r="F37" i="6" s="1"/>
  <c r="FW41" i="6"/>
  <c r="GS40" i="6"/>
  <c r="GQ40" i="6"/>
  <c r="GP40" i="6" s="1"/>
  <c r="HH40" i="6"/>
  <c r="HJ40" i="6" s="1"/>
  <c r="HL40" i="6" s="1"/>
  <c r="GP39" i="6"/>
  <c r="AN41" i="6"/>
  <c r="BG40" i="6"/>
  <c r="BR40" i="6"/>
  <c r="BT40" i="6" s="1"/>
  <c r="BV40" i="6" s="1"/>
  <c r="BE40" i="6"/>
  <c r="HF37" i="5"/>
  <c r="HO37" i="5"/>
  <c r="AI39" i="5"/>
  <c r="AJ39" i="5" s="1"/>
  <c r="DR39" i="5"/>
  <c r="DS39" i="5" s="1"/>
  <c r="DD39" i="5"/>
  <c r="FM39" i="5" s="1"/>
  <c r="X41" i="5"/>
  <c r="AC40" i="5"/>
  <c r="AE40" i="5" s="1"/>
  <c r="CK41" i="5"/>
  <c r="DE40" i="5"/>
  <c r="DV40" i="5"/>
  <c r="DG40" i="5"/>
  <c r="HI42" i="5"/>
  <c r="DT38" i="5"/>
  <c r="AD41" i="5"/>
  <c r="BY41" i="5"/>
  <c r="HD38" i="5"/>
  <c r="GP38" i="5"/>
  <c r="L43" i="5"/>
  <c r="M42" i="5"/>
  <c r="EB42" i="5"/>
  <c r="EU41" i="5"/>
  <c r="ES41" i="5"/>
  <c r="FI41" i="5"/>
  <c r="FF41" i="5"/>
  <c r="FH41" i="5" s="1"/>
  <c r="FW40" i="5"/>
  <c r="GS39" i="5"/>
  <c r="GQ39" i="5"/>
  <c r="HH39" i="5"/>
  <c r="HJ39" i="5" s="1"/>
  <c r="HL39" i="5" s="1"/>
  <c r="E36" i="5"/>
  <c r="AH37" i="5"/>
  <c r="AK37" i="5" s="1"/>
  <c r="AL36" i="5"/>
  <c r="F36" i="5" s="1"/>
  <c r="AF37" i="5"/>
  <c r="GN41" i="5"/>
  <c r="HC40" i="5"/>
  <c r="BE40" i="5"/>
  <c r="AN41" i="5"/>
  <c r="BG40" i="5"/>
  <c r="BR40" i="5"/>
  <c r="BT40" i="5" s="1"/>
  <c r="BV40" i="5" s="1"/>
  <c r="DV39" i="3"/>
  <c r="DG39" i="3"/>
  <c r="DE39" i="3"/>
  <c r="GS39" i="3"/>
  <c r="GQ39" i="3"/>
  <c r="HO37" i="3"/>
  <c r="GP38" i="3"/>
  <c r="HF38" i="3" s="1"/>
  <c r="HD38" i="3"/>
  <c r="DD38" i="3"/>
  <c r="FM38" i="3" s="1"/>
  <c r="GN47" i="3"/>
  <c r="HC44" i="3"/>
  <c r="BR39" i="3"/>
  <c r="BT39" i="3" s="1"/>
  <c r="BV39" i="3" s="1"/>
  <c r="BG39" i="3"/>
  <c r="BE39" i="3"/>
  <c r="EB41" i="3"/>
  <c r="FI41" i="3" s="1"/>
  <c r="ES40" i="3"/>
  <c r="EU40" i="3"/>
  <c r="FF40" i="3"/>
  <c r="FH40" i="3" s="1"/>
  <c r="FJ40" i="3" s="1"/>
  <c r="DR38" i="3"/>
  <c r="AN40" i="3"/>
  <c r="FW40" i="3"/>
  <c r="AD40" i="3"/>
  <c r="BY40" i="3"/>
  <c r="AC40" i="3"/>
  <c r="L42" i="3"/>
  <c r="M41" i="3"/>
  <c r="DX39" i="3"/>
  <c r="DZ39" i="3" s="1"/>
  <c r="DW42" i="3"/>
  <c r="DQ43" i="3"/>
  <c r="BP39" i="3"/>
  <c r="CK40" i="3"/>
  <c r="X41" i="3"/>
  <c r="AE39" i="3"/>
  <c r="HH39" i="3"/>
  <c r="HC39" i="9" l="1"/>
  <c r="HD39" i="9" s="1"/>
  <c r="GN40" i="9"/>
  <c r="GN40" i="10"/>
  <c r="HC39" i="10"/>
  <c r="GP40" i="9"/>
  <c r="AJ39" i="12"/>
  <c r="CT16" i="8"/>
  <c r="DS16" i="8"/>
  <c r="FL16" i="8" s="1"/>
  <c r="FN16" i="8" s="1"/>
  <c r="FR16" i="8" s="1"/>
  <c r="FS16" i="8" s="1"/>
  <c r="CS17" i="8"/>
  <c r="DS17" i="8" s="1"/>
  <c r="FT15" i="8"/>
  <c r="FQ16" i="8" s="1"/>
  <c r="CQ17" i="12"/>
  <c r="CU18" i="12" s="1"/>
  <c r="FL18" i="9"/>
  <c r="FN18" i="9" s="1"/>
  <c r="FO18" i="9" s="1"/>
  <c r="CS19" i="9"/>
  <c r="DS19" i="9" s="1"/>
  <c r="HN18" i="11"/>
  <c r="HP18" i="11" s="1"/>
  <c r="HT18" i="11" s="1"/>
  <c r="HU18" i="11" s="1"/>
  <c r="HV17" i="6"/>
  <c r="I17" i="6" s="1"/>
  <c r="GG19" i="11"/>
  <c r="GE19" i="11"/>
  <c r="HE19" i="11" s="1"/>
  <c r="GE18" i="9"/>
  <c r="GF18" i="9" s="1"/>
  <c r="FJ38" i="7"/>
  <c r="HS18" i="11"/>
  <c r="HW17" i="11"/>
  <c r="J17" i="11" s="1"/>
  <c r="I17" i="11"/>
  <c r="FS17" i="9"/>
  <c r="FT17" i="9"/>
  <c r="HS16" i="5"/>
  <c r="HW15" i="5"/>
  <c r="J15" i="5" s="1"/>
  <c r="HV17" i="9"/>
  <c r="I17" i="9" s="1"/>
  <c r="FJ38" i="8"/>
  <c r="G16" i="6"/>
  <c r="FQ17" i="6"/>
  <c r="FT17" i="6" s="1"/>
  <c r="G17" i="6" s="1"/>
  <c r="HN16" i="5"/>
  <c r="HP16" i="5" s="1"/>
  <c r="GC16" i="5"/>
  <c r="FT16" i="11"/>
  <c r="G16" i="11" s="1"/>
  <c r="CK41" i="12"/>
  <c r="DG40" i="12"/>
  <c r="DV40" i="12"/>
  <c r="DE40" i="12"/>
  <c r="GB18" i="10"/>
  <c r="GC18" i="10" s="1"/>
  <c r="GG19" i="10" s="1"/>
  <c r="EB40" i="8"/>
  <c r="FI39" i="8"/>
  <c r="FF39" i="8"/>
  <c r="FH39" i="8" s="1"/>
  <c r="ES39" i="8"/>
  <c r="EU39" i="8"/>
  <c r="FJ40" i="10"/>
  <c r="DD38" i="7"/>
  <c r="DR38" i="7"/>
  <c r="DS38" i="7" s="1"/>
  <c r="DV39" i="7"/>
  <c r="DG39" i="7"/>
  <c r="CK40" i="7"/>
  <c r="DE39" i="7"/>
  <c r="EB40" i="7"/>
  <c r="FI39" i="7"/>
  <c r="FF39" i="7"/>
  <c r="FH39" i="7" s="1"/>
  <c r="ES39" i="7"/>
  <c r="EU39" i="7"/>
  <c r="FM38" i="12"/>
  <c r="DT38" i="12"/>
  <c r="DR39" i="12"/>
  <c r="DS39" i="12" s="1"/>
  <c r="DD39" i="12"/>
  <c r="HD40" i="11"/>
  <c r="CP17" i="11"/>
  <c r="CQ17" i="11" s="1"/>
  <c r="CU18" i="11" s="1"/>
  <c r="DS17" i="11"/>
  <c r="CT17" i="11"/>
  <c r="FJ40" i="9"/>
  <c r="FJ40" i="12"/>
  <c r="FJ41" i="5"/>
  <c r="FT16" i="7"/>
  <c r="FQ17" i="7" s="1"/>
  <c r="FR17" i="12"/>
  <c r="FO17" i="12"/>
  <c r="FL18" i="5"/>
  <c r="FN18" i="5" s="1"/>
  <c r="CU19" i="5"/>
  <c r="CS19" i="5"/>
  <c r="DS19" i="5" s="1"/>
  <c r="FQ18" i="5"/>
  <c r="FU17" i="5"/>
  <c r="H17" i="5" s="1"/>
  <c r="G17" i="5"/>
  <c r="FJ40" i="6"/>
  <c r="HN18" i="6"/>
  <c r="HP18" i="6" s="1"/>
  <c r="HQ18" i="6" s="1"/>
  <c r="HV17" i="10"/>
  <c r="I17" i="10" s="1"/>
  <c r="HV16" i="12"/>
  <c r="HW16" i="12" s="1"/>
  <c r="J16" i="12" s="1"/>
  <c r="GB17" i="12"/>
  <c r="GC17" i="12" s="1"/>
  <c r="HE17" i="12"/>
  <c r="GF17" i="12"/>
  <c r="AJ39" i="9"/>
  <c r="AJ39" i="10"/>
  <c r="AF38" i="10"/>
  <c r="HE18" i="10"/>
  <c r="GF18" i="10"/>
  <c r="GG20" i="8"/>
  <c r="GE20" i="8"/>
  <c r="HQ19" i="8"/>
  <c r="HT19" i="8"/>
  <c r="HU19" i="8" s="1"/>
  <c r="HD39" i="8"/>
  <c r="HQ20" i="7"/>
  <c r="CU18" i="7"/>
  <c r="CP18" i="7" s="1"/>
  <c r="CT18" i="7"/>
  <c r="FL17" i="7"/>
  <c r="FN17" i="7" s="1"/>
  <c r="FR17" i="7" s="1"/>
  <c r="FS17" i="7" s="1"/>
  <c r="HN21" i="7"/>
  <c r="HP21" i="7" s="1"/>
  <c r="GC21" i="7"/>
  <c r="HV20" i="7"/>
  <c r="CQ18" i="6"/>
  <c r="FL18" i="6"/>
  <c r="FN18" i="6" s="1"/>
  <c r="GG19" i="6"/>
  <c r="GE19" i="6"/>
  <c r="HE19" i="6" s="1"/>
  <c r="E38" i="6"/>
  <c r="AH39" i="6"/>
  <c r="AK39" i="6" s="1"/>
  <c r="AF39" i="6"/>
  <c r="HI43" i="12"/>
  <c r="AF38" i="12"/>
  <c r="AH38" i="12"/>
  <c r="AK38" i="12" s="1"/>
  <c r="E37" i="12"/>
  <c r="AL37" i="12"/>
  <c r="F37" i="12" s="1"/>
  <c r="AN41" i="12"/>
  <c r="BG40" i="12"/>
  <c r="BE40" i="12"/>
  <c r="BR40" i="12"/>
  <c r="BT40" i="12" s="1"/>
  <c r="BV40" i="12" s="1"/>
  <c r="HF38" i="12"/>
  <c r="HO38" i="12"/>
  <c r="AI40" i="12"/>
  <c r="AJ40" i="12" s="1"/>
  <c r="BY42" i="12"/>
  <c r="AD42" i="12"/>
  <c r="HD39" i="12"/>
  <c r="GP39" i="12"/>
  <c r="EB42" i="12"/>
  <c r="FI41" i="12"/>
  <c r="FF41" i="12"/>
  <c r="FH41" i="12" s="1"/>
  <c r="EU41" i="12"/>
  <c r="ES41" i="12"/>
  <c r="GN42" i="12"/>
  <c r="HC41" i="12"/>
  <c r="M43" i="12"/>
  <c r="L44" i="12"/>
  <c r="FW41" i="12"/>
  <c r="GS40" i="12"/>
  <c r="GQ40" i="12"/>
  <c r="HH40" i="12"/>
  <c r="HJ40" i="12" s="1"/>
  <c r="HL40" i="12" s="1"/>
  <c r="X42" i="12"/>
  <c r="AC41" i="12"/>
  <c r="AE41" i="12" s="1"/>
  <c r="AI40" i="11"/>
  <c r="AJ40" i="11" s="1"/>
  <c r="CK41" i="11"/>
  <c r="DG40" i="11"/>
  <c r="DE40" i="11"/>
  <c r="DV40" i="11"/>
  <c r="EB42" i="11"/>
  <c r="EU41" i="11"/>
  <c r="FI41" i="11"/>
  <c r="ES41" i="11"/>
  <c r="FF41" i="11"/>
  <c r="FH41" i="11" s="1"/>
  <c r="AN42" i="11"/>
  <c r="BG41" i="11"/>
  <c r="BE41" i="11"/>
  <c r="BR41" i="11"/>
  <c r="BT41" i="11" s="1"/>
  <c r="BV41" i="11" s="1"/>
  <c r="E37" i="11"/>
  <c r="AH38" i="11"/>
  <c r="AK38" i="11" s="1"/>
  <c r="AL37" i="11"/>
  <c r="F37" i="11" s="1"/>
  <c r="FJ40" i="11"/>
  <c r="DR39" i="11"/>
  <c r="DS39" i="11" s="1"/>
  <c r="DD39" i="11"/>
  <c r="FM39" i="11" s="1"/>
  <c r="AF38" i="11"/>
  <c r="FW42" i="11"/>
  <c r="GS41" i="11"/>
  <c r="GQ41" i="11"/>
  <c r="GP41" i="11" s="1"/>
  <c r="HH41" i="11"/>
  <c r="HJ41" i="11" s="1"/>
  <c r="HL41" i="11" s="1"/>
  <c r="X42" i="11"/>
  <c r="AC41" i="11"/>
  <c r="AE41" i="11" s="1"/>
  <c r="GP40" i="11"/>
  <c r="M43" i="11"/>
  <c r="L44" i="11"/>
  <c r="GN42" i="11"/>
  <c r="HC41" i="11"/>
  <c r="DT38" i="11"/>
  <c r="HI44" i="11"/>
  <c r="BY42" i="11"/>
  <c r="AD42" i="11"/>
  <c r="AI40" i="10"/>
  <c r="DT39" i="10"/>
  <c r="BY42" i="10"/>
  <c r="AD42" i="10"/>
  <c r="M43" i="10"/>
  <c r="L44" i="10"/>
  <c r="FU16" i="10"/>
  <c r="H16" i="10" s="1"/>
  <c r="FQ17" i="10"/>
  <c r="HD39" i="10"/>
  <c r="GP39" i="10"/>
  <c r="AN41" i="10"/>
  <c r="BE40" i="10"/>
  <c r="BG40" i="10"/>
  <c r="BR40" i="10"/>
  <c r="BT40" i="10" s="1"/>
  <c r="BV40" i="10" s="1"/>
  <c r="AL37" i="10"/>
  <c r="F37" i="10" s="1"/>
  <c r="E37" i="10"/>
  <c r="AH38" i="10"/>
  <c r="AK38" i="10" s="1"/>
  <c r="AC41" i="10"/>
  <c r="AE41" i="10" s="1"/>
  <c r="X42" i="10"/>
  <c r="FL17" i="10"/>
  <c r="FN17" i="10" s="1"/>
  <c r="CQ17" i="10"/>
  <c r="HI46" i="10"/>
  <c r="EB42" i="10"/>
  <c r="ES41" i="10"/>
  <c r="FI41" i="10"/>
  <c r="FF41" i="10"/>
  <c r="FH41" i="10" s="1"/>
  <c r="EU41" i="10"/>
  <c r="DR40" i="10"/>
  <c r="DS40" i="10" s="1"/>
  <c r="DD40" i="10"/>
  <c r="FM40" i="10" s="1"/>
  <c r="HF38" i="10"/>
  <c r="HO38" i="10"/>
  <c r="CK42" i="10"/>
  <c r="DV41" i="10"/>
  <c r="DE41" i="10"/>
  <c r="DG41" i="10"/>
  <c r="G16" i="10"/>
  <c r="GS40" i="10"/>
  <c r="FW41" i="10"/>
  <c r="GQ40" i="10"/>
  <c r="HH40" i="10"/>
  <c r="HJ40" i="10" s="1"/>
  <c r="HL40" i="10" s="1"/>
  <c r="DT39" i="9"/>
  <c r="HF40" i="9"/>
  <c r="HO40" i="9"/>
  <c r="M43" i="9"/>
  <c r="L44" i="9"/>
  <c r="BE40" i="9"/>
  <c r="AN41" i="9"/>
  <c r="BG40" i="9"/>
  <c r="BR40" i="9"/>
  <c r="BT40" i="9" s="1"/>
  <c r="BV40" i="9" s="1"/>
  <c r="X42" i="9"/>
  <c r="AC41" i="9"/>
  <c r="AE41" i="9" s="1"/>
  <c r="AD42" i="9"/>
  <c r="BY42" i="9"/>
  <c r="DG41" i="9"/>
  <c r="DE41" i="9"/>
  <c r="CK42" i="9"/>
  <c r="DV41" i="9"/>
  <c r="EB42" i="9"/>
  <c r="FI41" i="9"/>
  <c r="FF41" i="9"/>
  <c r="FH41" i="9" s="1"/>
  <c r="ES41" i="9"/>
  <c r="EU41" i="9"/>
  <c r="E37" i="9"/>
  <c r="AH38" i="9"/>
  <c r="AK38" i="9" s="1"/>
  <c r="AL37" i="9"/>
  <c r="F37" i="9" s="1"/>
  <c r="FW42" i="9"/>
  <c r="GS41" i="9"/>
  <c r="GQ41" i="9"/>
  <c r="HI42" i="9"/>
  <c r="HH41" i="9"/>
  <c r="HJ41" i="9" s="1"/>
  <c r="HL41" i="9" s="1"/>
  <c r="DR40" i="9"/>
  <c r="DS40" i="9" s="1"/>
  <c r="DD40" i="9"/>
  <c r="FM40" i="9" s="1"/>
  <c r="AI40" i="9"/>
  <c r="AF38" i="9"/>
  <c r="HF39" i="9"/>
  <c r="HO39" i="9"/>
  <c r="AL36" i="8"/>
  <c r="F36" i="8" s="1"/>
  <c r="AH37" i="8"/>
  <c r="AK37" i="8" s="1"/>
  <c r="E36" i="8"/>
  <c r="AF37" i="8"/>
  <c r="DT39" i="8"/>
  <c r="HC40" i="8"/>
  <c r="GN41" i="8"/>
  <c r="GP39" i="8"/>
  <c r="FW41" i="8"/>
  <c r="GQ40" i="8"/>
  <c r="GP40" i="8" s="1"/>
  <c r="GS40" i="8"/>
  <c r="HH40" i="8"/>
  <c r="HJ40" i="8" s="1"/>
  <c r="HL40" i="8" s="1"/>
  <c r="L43" i="8"/>
  <c r="M42" i="8"/>
  <c r="AI39" i="8"/>
  <c r="AJ39" i="8" s="1"/>
  <c r="AC40" i="8"/>
  <c r="AE40" i="8" s="1"/>
  <c r="X41" i="8"/>
  <c r="BY41" i="8"/>
  <c r="AD41" i="8"/>
  <c r="CK42" i="8"/>
  <c r="DG41" i="8"/>
  <c r="DV41" i="8"/>
  <c r="DE41" i="8"/>
  <c r="FI41" i="8"/>
  <c r="DR40" i="8"/>
  <c r="DS40" i="8" s="1"/>
  <c r="DD40" i="8"/>
  <c r="FM40" i="8" s="1"/>
  <c r="BG41" i="8"/>
  <c r="BE41" i="8"/>
  <c r="AN42" i="8"/>
  <c r="BR41" i="8"/>
  <c r="BT41" i="8" s="1"/>
  <c r="BV41" i="8" s="1"/>
  <c r="HI45" i="8"/>
  <c r="HF39" i="7"/>
  <c r="HO39" i="7"/>
  <c r="AE40" i="7"/>
  <c r="GN41" i="7"/>
  <c r="HC40" i="7"/>
  <c r="FI41" i="7"/>
  <c r="AD41" i="7"/>
  <c r="BY41" i="7"/>
  <c r="L43" i="7"/>
  <c r="M42" i="7"/>
  <c r="HI44" i="7"/>
  <c r="FW41" i="7"/>
  <c r="GQ40" i="7"/>
  <c r="GP40" i="7" s="1"/>
  <c r="GS40" i="7"/>
  <c r="HH40" i="7"/>
  <c r="HJ40" i="7" s="1"/>
  <c r="HL40" i="7" s="1"/>
  <c r="AN41" i="7"/>
  <c r="BR40" i="7"/>
  <c r="BT40" i="7" s="1"/>
  <c r="BV40" i="7" s="1"/>
  <c r="BE40" i="7"/>
  <c r="BG40" i="7"/>
  <c r="X42" i="7"/>
  <c r="AC41" i="7"/>
  <c r="AL36" i="7"/>
  <c r="F36" i="7" s="1"/>
  <c r="E36" i="7"/>
  <c r="AH37" i="7"/>
  <c r="AK37" i="7" s="1"/>
  <c r="AF37" i="7"/>
  <c r="AI38" i="7" s="1"/>
  <c r="AJ38" i="7" s="1"/>
  <c r="HD39" i="7"/>
  <c r="AI40" i="6"/>
  <c r="AJ40" i="6" s="1"/>
  <c r="HF40" i="6"/>
  <c r="HO40" i="6"/>
  <c r="X42" i="6"/>
  <c r="AC41" i="6"/>
  <c r="AE41" i="6" s="1"/>
  <c r="AN42" i="6"/>
  <c r="BE41" i="6"/>
  <c r="BR41" i="6"/>
  <c r="BT41" i="6" s="1"/>
  <c r="BV41" i="6" s="1"/>
  <c r="BG41" i="6"/>
  <c r="HI44" i="6"/>
  <c r="CK42" i="6"/>
  <c r="DG41" i="6"/>
  <c r="DE41" i="6"/>
  <c r="DV41" i="6"/>
  <c r="GN42" i="6"/>
  <c r="HC41" i="6"/>
  <c r="DR40" i="6"/>
  <c r="DS40" i="6" s="1"/>
  <c r="DD40" i="6"/>
  <c r="FM40" i="6" s="1"/>
  <c r="BY42" i="6"/>
  <c r="AD42" i="6"/>
  <c r="DT39" i="6"/>
  <c r="FI41" i="6"/>
  <c r="EB42" i="6"/>
  <c r="ES41" i="6"/>
  <c r="FF41" i="6"/>
  <c r="FH41" i="6" s="1"/>
  <c r="EU41" i="6"/>
  <c r="L44" i="6"/>
  <c r="M43" i="6"/>
  <c r="HF39" i="6"/>
  <c r="HO39" i="6"/>
  <c r="HD40" i="6"/>
  <c r="FW42" i="6"/>
  <c r="GS41" i="6"/>
  <c r="GQ41" i="6"/>
  <c r="GP41" i="6" s="1"/>
  <c r="HH41" i="6"/>
  <c r="HJ41" i="6" s="1"/>
  <c r="HL41" i="6" s="1"/>
  <c r="F38" i="6"/>
  <c r="BR41" i="5"/>
  <c r="BT41" i="5" s="1"/>
  <c r="BV41" i="5" s="1"/>
  <c r="AN42" i="5"/>
  <c r="BE41" i="5"/>
  <c r="BG41" i="5"/>
  <c r="GN42" i="5"/>
  <c r="HC41" i="5"/>
  <c r="HI43" i="5"/>
  <c r="AL37" i="5"/>
  <c r="F37" i="5" s="1"/>
  <c r="E37" i="5"/>
  <c r="AH38" i="5"/>
  <c r="AK38" i="5" s="1"/>
  <c r="AI40" i="5"/>
  <c r="AJ40" i="5" s="1"/>
  <c r="AC41" i="5"/>
  <c r="AE41" i="5" s="1"/>
  <c r="X42" i="5"/>
  <c r="AF38" i="5"/>
  <c r="L44" i="5"/>
  <c r="M43" i="5"/>
  <c r="EB43" i="5"/>
  <c r="FF42" i="5"/>
  <c r="FH42" i="5" s="1"/>
  <c r="FJ42" i="5" s="1"/>
  <c r="EU42" i="5"/>
  <c r="ES42" i="5"/>
  <c r="BY42" i="5"/>
  <c r="AD42" i="5"/>
  <c r="DT39" i="5"/>
  <c r="DR40" i="5"/>
  <c r="DS40" i="5" s="1"/>
  <c r="DD40" i="5"/>
  <c r="FM40" i="5" s="1"/>
  <c r="HF38" i="5"/>
  <c r="HO38" i="5"/>
  <c r="CK42" i="5"/>
  <c r="DE41" i="5"/>
  <c r="DV41" i="5"/>
  <c r="DG41" i="5"/>
  <c r="HD39" i="5"/>
  <c r="GP39" i="5"/>
  <c r="FW41" i="5"/>
  <c r="GS40" i="5"/>
  <c r="GQ40" i="5"/>
  <c r="HH40" i="5"/>
  <c r="HJ40" i="5" s="1"/>
  <c r="HL40" i="5" s="1"/>
  <c r="GQ40" i="3"/>
  <c r="GS40" i="3"/>
  <c r="DV40" i="3"/>
  <c r="DG40" i="3"/>
  <c r="DE40" i="3"/>
  <c r="DT38" i="3"/>
  <c r="HO38" i="3"/>
  <c r="DD39" i="3"/>
  <c r="FM39" i="3" s="1"/>
  <c r="GN48" i="3"/>
  <c r="GP39" i="3"/>
  <c r="HF39" i="3" s="1"/>
  <c r="HD39" i="3"/>
  <c r="HC45" i="3"/>
  <c r="EB42" i="3"/>
  <c r="EU41" i="3"/>
  <c r="ES41" i="3"/>
  <c r="FF41" i="3"/>
  <c r="FH41" i="3" s="1"/>
  <c r="FJ41" i="3" s="1"/>
  <c r="BR40" i="3"/>
  <c r="BT40" i="3" s="1"/>
  <c r="BV40" i="3" s="1"/>
  <c r="BG40" i="3"/>
  <c r="BE40" i="3"/>
  <c r="DR39" i="3"/>
  <c r="FW41" i="3"/>
  <c r="HJ39" i="3"/>
  <c r="HL39" i="3" s="1"/>
  <c r="AN41" i="3"/>
  <c r="BY41" i="3"/>
  <c r="AD41" i="3"/>
  <c r="AC41" i="3"/>
  <c r="L43" i="3"/>
  <c r="M42" i="3"/>
  <c r="DX40" i="3"/>
  <c r="DZ40" i="3" s="1"/>
  <c r="BP40" i="3"/>
  <c r="DW43" i="3"/>
  <c r="DQ44" i="3"/>
  <c r="X42" i="3"/>
  <c r="CK41" i="3"/>
  <c r="HH40" i="3"/>
  <c r="HJ40" i="3" s="1"/>
  <c r="HL40" i="3" s="1"/>
  <c r="AE40" i="3"/>
  <c r="FT16" i="8" l="1"/>
  <c r="FQ17" i="8" s="1"/>
  <c r="FO16" i="8"/>
  <c r="G16" i="8" s="1"/>
  <c r="CP17" i="8"/>
  <c r="CQ17" i="8" s="1"/>
  <c r="HC40" i="10"/>
  <c r="GN41" i="10"/>
  <c r="HC40" i="9"/>
  <c r="HD40" i="9" s="1"/>
  <c r="GN41" i="9"/>
  <c r="CT17" i="8"/>
  <c r="CS18" i="12"/>
  <c r="DS18" i="12" s="1"/>
  <c r="FR18" i="9"/>
  <c r="FS18" i="9" s="1"/>
  <c r="G15" i="8"/>
  <c r="FU15" i="8"/>
  <c r="H15" i="8" s="1"/>
  <c r="CT19" i="9"/>
  <c r="CP19" i="9"/>
  <c r="HS18" i="6"/>
  <c r="HV18" i="11"/>
  <c r="HS19" i="11" s="1"/>
  <c r="HW17" i="6"/>
  <c r="J17" i="6" s="1"/>
  <c r="HQ18" i="11"/>
  <c r="GB18" i="9"/>
  <c r="GC18" i="9" s="1"/>
  <c r="GG19" i="9" s="1"/>
  <c r="HE18" i="9"/>
  <c r="FU17" i="6"/>
  <c r="H17" i="6" s="1"/>
  <c r="GE19" i="10"/>
  <c r="HE19" i="10" s="1"/>
  <c r="FQ18" i="6"/>
  <c r="GB19" i="11"/>
  <c r="GF19" i="11"/>
  <c r="FJ39" i="8"/>
  <c r="HS18" i="9"/>
  <c r="HW17" i="9"/>
  <c r="J17" i="9" s="1"/>
  <c r="G17" i="9"/>
  <c r="FQ18" i="9"/>
  <c r="FU17" i="9"/>
  <c r="H17" i="9" s="1"/>
  <c r="AH39" i="10"/>
  <c r="AL38" i="10"/>
  <c r="F38" i="10" s="1"/>
  <c r="HN18" i="10"/>
  <c r="HP18" i="10" s="1"/>
  <c r="HQ18" i="10" s="1"/>
  <c r="CS18" i="11"/>
  <c r="DS18" i="11" s="1"/>
  <c r="FU16" i="11"/>
  <c r="H16" i="11" s="1"/>
  <c r="FQ17" i="11"/>
  <c r="FL17" i="11"/>
  <c r="FN17" i="11" s="1"/>
  <c r="FO17" i="11" s="1"/>
  <c r="GG17" i="5"/>
  <c r="GE17" i="5"/>
  <c r="HQ16" i="5"/>
  <c r="HT16" i="5"/>
  <c r="HU16" i="5" s="1"/>
  <c r="E38" i="10"/>
  <c r="AJ40" i="10"/>
  <c r="FJ39" i="7"/>
  <c r="FF40" i="8"/>
  <c r="FH40" i="8" s="1"/>
  <c r="ES40" i="8"/>
  <c r="EB41" i="8"/>
  <c r="FI40" i="8"/>
  <c r="EU40" i="8"/>
  <c r="FF40" i="7"/>
  <c r="FH40" i="7" s="1"/>
  <c r="ES40" i="7"/>
  <c r="EU40" i="7"/>
  <c r="FI40" i="7"/>
  <c r="EB41" i="7"/>
  <c r="DR39" i="7"/>
  <c r="DS39" i="7" s="1"/>
  <c r="DD39" i="7"/>
  <c r="CK41" i="7"/>
  <c r="DV40" i="7"/>
  <c r="DE40" i="7"/>
  <c r="DG40" i="7"/>
  <c r="DR40" i="12"/>
  <c r="DS40" i="12" s="1"/>
  <c r="DD40" i="12"/>
  <c r="FM39" i="12"/>
  <c r="DT39" i="12"/>
  <c r="FM38" i="7"/>
  <c r="DT38" i="7"/>
  <c r="CK42" i="12"/>
  <c r="DE41" i="12"/>
  <c r="DV41" i="12"/>
  <c r="DG41" i="12"/>
  <c r="FU16" i="7"/>
  <c r="H16" i="7" s="1"/>
  <c r="G16" i="7"/>
  <c r="FJ41" i="12"/>
  <c r="FJ41" i="9"/>
  <c r="FJ41" i="6"/>
  <c r="FS17" i="12"/>
  <c r="FT17" i="12"/>
  <c r="CP19" i="5"/>
  <c r="FR18" i="5"/>
  <c r="FS18" i="5" s="1"/>
  <c r="FO18" i="5"/>
  <c r="CT19" i="5"/>
  <c r="FJ41" i="10"/>
  <c r="I16" i="12"/>
  <c r="HT18" i="6"/>
  <c r="HU18" i="6" s="1"/>
  <c r="HW17" i="10"/>
  <c r="J17" i="10" s="1"/>
  <c r="HS18" i="10"/>
  <c r="HS17" i="12"/>
  <c r="HN17" i="12"/>
  <c r="HP17" i="12" s="1"/>
  <c r="GE18" i="12"/>
  <c r="HE18" i="12" s="1"/>
  <c r="GG18" i="12"/>
  <c r="GB19" i="6"/>
  <c r="AJ40" i="9"/>
  <c r="I20" i="7"/>
  <c r="HE20" i="8"/>
  <c r="GF20" i="8"/>
  <c r="GB20" i="8"/>
  <c r="GF19" i="6"/>
  <c r="AK39" i="10"/>
  <c r="AF39" i="10"/>
  <c r="HV19" i="8"/>
  <c r="FO17" i="7"/>
  <c r="FT17" i="7"/>
  <c r="FQ18" i="7" s="1"/>
  <c r="FL18" i="7"/>
  <c r="FN18" i="7" s="1"/>
  <c r="CQ18" i="7"/>
  <c r="GG22" i="7"/>
  <c r="GE22" i="7"/>
  <c r="HQ21" i="7"/>
  <c r="HT21" i="7"/>
  <c r="HS21" i="7"/>
  <c r="HW20" i="7"/>
  <c r="J20" i="7" s="1"/>
  <c r="CS19" i="6"/>
  <c r="CU19" i="6"/>
  <c r="AF40" i="6"/>
  <c r="FR18" i="6"/>
  <c r="FO18" i="6"/>
  <c r="AL39" i="6"/>
  <c r="F39" i="6" s="1"/>
  <c r="AH40" i="6"/>
  <c r="AK40" i="6" s="1"/>
  <c r="AL40" i="6" s="1"/>
  <c r="E39" i="6"/>
  <c r="AI41" i="12"/>
  <c r="AJ41" i="12" s="1"/>
  <c r="M44" i="12"/>
  <c r="L45" i="12"/>
  <c r="AD43" i="12"/>
  <c r="BY43" i="12"/>
  <c r="AN42" i="12"/>
  <c r="BG41" i="12"/>
  <c r="BE41" i="12"/>
  <c r="BR41" i="12"/>
  <c r="BT41" i="12" s="1"/>
  <c r="BV41" i="12" s="1"/>
  <c r="HF39" i="12"/>
  <c r="HO39" i="12"/>
  <c r="X43" i="12"/>
  <c r="AC42" i="12"/>
  <c r="AE42" i="12" s="1"/>
  <c r="HC42" i="12"/>
  <c r="GN43" i="12"/>
  <c r="AF39" i="12"/>
  <c r="HD40" i="12"/>
  <c r="GP40" i="12"/>
  <c r="EB43" i="12"/>
  <c r="EU42" i="12"/>
  <c r="FF42" i="12"/>
  <c r="FH42" i="12" s="1"/>
  <c r="FJ42" i="12" s="1"/>
  <c r="ES42" i="12"/>
  <c r="E38" i="12"/>
  <c r="AL38" i="12"/>
  <c r="F38" i="12" s="1"/>
  <c r="AH39" i="12"/>
  <c r="AK39" i="12" s="1"/>
  <c r="FW42" i="12"/>
  <c r="GQ41" i="12"/>
  <c r="GS41" i="12"/>
  <c r="HH41" i="12"/>
  <c r="HJ41" i="12" s="1"/>
  <c r="HL41" i="12" s="1"/>
  <c r="HI44" i="12"/>
  <c r="AI41" i="11"/>
  <c r="AJ41" i="11" s="1"/>
  <c r="DT39" i="11"/>
  <c r="CK42" i="11"/>
  <c r="DG41" i="11"/>
  <c r="DV41" i="11"/>
  <c r="DE41" i="11"/>
  <c r="HD41" i="11"/>
  <c r="HC42" i="11"/>
  <c r="GN43" i="11"/>
  <c r="FW43" i="11"/>
  <c r="GS42" i="11"/>
  <c r="GQ42" i="11"/>
  <c r="GP42" i="11" s="1"/>
  <c r="HH42" i="11"/>
  <c r="HJ42" i="11" s="1"/>
  <c r="HL42" i="11" s="1"/>
  <c r="BY43" i="11"/>
  <c r="AD43" i="11"/>
  <c r="AN43" i="11"/>
  <c r="BE42" i="11"/>
  <c r="BR42" i="11"/>
  <c r="BT42" i="11" s="1"/>
  <c r="BV42" i="11" s="1"/>
  <c r="BG42" i="11"/>
  <c r="L45" i="11"/>
  <c r="M44" i="11"/>
  <c r="HF40" i="11"/>
  <c r="HO40" i="11"/>
  <c r="AF39" i="11"/>
  <c r="FJ41" i="11"/>
  <c r="EB43" i="11"/>
  <c r="EU42" i="11"/>
  <c r="ES42" i="11"/>
  <c r="FF42" i="11"/>
  <c r="FH42" i="11" s="1"/>
  <c r="FJ42" i="11" s="1"/>
  <c r="HF41" i="11"/>
  <c r="HO41" i="11"/>
  <c r="AL38" i="11"/>
  <c r="F38" i="11" s="1"/>
  <c r="E38" i="11"/>
  <c r="AH39" i="11"/>
  <c r="AK39" i="11" s="1"/>
  <c r="HI45" i="11"/>
  <c r="X43" i="11"/>
  <c r="AC42" i="11"/>
  <c r="AE42" i="11" s="1"/>
  <c r="DR40" i="11"/>
  <c r="DS40" i="11" s="1"/>
  <c r="DD40" i="11"/>
  <c r="FM40" i="11" s="1"/>
  <c r="DR41" i="10"/>
  <c r="DS41" i="10" s="1"/>
  <c r="DD41" i="10"/>
  <c r="FM41" i="10" s="1"/>
  <c r="HI47" i="10"/>
  <c r="L45" i="10"/>
  <c r="M44" i="10"/>
  <c r="CK43" i="10"/>
  <c r="DG42" i="10"/>
  <c r="DE42" i="10"/>
  <c r="DV42" i="10"/>
  <c r="BY43" i="10"/>
  <c r="AD43" i="10"/>
  <c r="CU18" i="10"/>
  <c r="CS18" i="10"/>
  <c r="HF39" i="10"/>
  <c r="HO39" i="10"/>
  <c r="FO17" i="10"/>
  <c r="FR17" i="10"/>
  <c r="FS17" i="10" s="1"/>
  <c r="DT40" i="10"/>
  <c r="HD40" i="10"/>
  <c r="GP40" i="10"/>
  <c r="X43" i="10"/>
  <c r="AC42" i="10"/>
  <c r="AE42" i="10" s="1"/>
  <c r="BR41" i="10"/>
  <c r="BT41" i="10" s="1"/>
  <c r="BV41" i="10" s="1"/>
  <c r="BG41" i="10"/>
  <c r="AN42" i="10"/>
  <c r="BE41" i="10"/>
  <c r="GS41" i="10"/>
  <c r="GQ41" i="10"/>
  <c r="FW42" i="10"/>
  <c r="HH41" i="10"/>
  <c r="HJ41" i="10" s="1"/>
  <c r="HL41" i="10" s="1"/>
  <c r="AI41" i="10"/>
  <c r="EB43" i="10"/>
  <c r="ES42" i="10"/>
  <c r="FF42" i="10"/>
  <c r="FH42" i="10" s="1"/>
  <c r="FJ42" i="10" s="1"/>
  <c r="EU42" i="10"/>
  <c r="BR41" i="9"/>
  <c r="BT41" i="9" s="1"/>
  <c r="BV41" i="9" s="1"/>
  <c r="AN42" i="9"/>
  <c r="BG41" i="9"/>
  <c r="BE41" i="9"/>
  <c r="DT40" i="9"/>
  <c r="L45" i="9"/>
  <c r="M44" i="9"/>
  <c r="EB43" i="9"/>
  <c r="EU42" i="9"/>
  <c r="FF42" i="9"/>
  <c r="FH42" i="9" s="1"/>
  <c r="FJ42" i="9" s="1"/>
  <c r="ES42" i="9"/>
  <c r="AI41" i="9"/>
  <c r="FW43" i="9"/>
  <c r="GS42" i="9"/>
  <c r="GQ42" i="9"/>
  <c r="AL38" i="9"/>
  <c r="F38" i="9" s="1"/>
  <c r="AH39" i="9"/>
  <c r="AK39" i="9" s="1"/>
  <c r="E38" i="9"/>
  <c r="HH42" i="9"/>
  <c r="HJ42" i="9" s="1"/>
  <c r="HL42" i="9" s="1"/>
  <c r="HI43" i="9"/>
  <c r="AF39" i="9"/>
  <c r="AC42" i="9"/>
  <c r="AE42" i="9" s="1"/>
  <c r="X43" i="9"/>
  <c r="BY43" i="9"/>
  <c r="AD43" i="9"/>
  <c r="GP41" i="9"/>
  <c r="DG42" i="9"/>
  <c r="CK43" i="9"/>
  <c r="DE42" i="9"/>
  <c r="DV42" i="9"/>
  <c r="DR41" i="9"/>
  <c r="DS41" i="9" s="1"/>
  <c r="DD41" i="9"/>
  <c r="FM41" i="9" s="1"/>
  <c r="AI40" i="8"/>
  <c r="AJ40" i="8" s="1"/>
  <c r="BY42" i="8"/>
  <c r="AD42" i="8"/>
  <c r="L44" i="8"/>
  <c r="M43" i="8"/>
  <c r="HF39" i="8"/>
  <c r="HO39" i="8"/>
  <c r="AH38" i="8"/>
  <c r="AL37" i="8"/>
  <c r="F37" i="8" s="1"/>
  <c r="E37" i="8"/>
  <c r="AN43" i="8"/>
  <c r="BG42" i="8"/>
  <c r="BE42" i="8"/>
  <c r="BR42" i="8"/>
  <c r="BT42" i="8" s="1"/>
  <c r="BV42" i="8" s="1"/>
  <c r="DR41" i="8"/>
  <c r="DS41" i="8" s="1"/>
  <c r="DD41" i="8"/>
  <c r="FM41" i="8" s="1"/>
  <c r="CK43" i="8"/>
  <c r="DG42" i="8"/>
  <c r="DE42" i="8"/>
  <c r="DV42" i="8"/>
  <c r="GN42" i="8"/>
  <c r="HC41" i="8"/>
  <c r="DT40" i="8"/>
  <c r="HD40" i="8"/>
  <c r="X42" i="8"/>
  <c r="AC41" i="8"/>
  <c r="AE41" i="8" s="1"/>
  <c r="HI46" i="8"/>
  <c r="FW42" i="8"/>
  <c r="GS41" i="8"/>
  <c r="GQ41" i="8"/>
  <c r="GP41" i="8" s="1"/>
  <c r="HH41" i="8"/>
  <c r="HJ41" i="8" s="1"/>
  <c r="HL41" i="8" s="1"/>
  <c r="AK38" i="8"/>
  <c r="AF38" i="8"/>
  <c r="HF40" i="8"/>
  <c r="HO40" i="8"/>
  <c r="AF38" i="7"/>
  <c r="AI39" i="7" s="1"/>
  <c r="AJ39" i="7" s="1"/>
  <c r="HD40" i="7"/>
  <c r="BY42" i="7"/>
  <c r="AD42" i="7"/>
  <c r="L44" i="7"/>
  <c r="M43" i="7"/>
  <c r="X43" i="7"/>
  <c r="AC42" i="7"/>
  <c r="GS41" i="7"/>
  <c r="FW42" i="7"/>
  <c r="GQ41" i="7"/>
  <c r="HH41" i="7"/>
  <c r="HJ41" i="7" s="1"/>
  <c r="HL41" i="7" s="1"/>
  <c r="E37" i="7"/>
  <c r="AL37" i="7"/>
  <c r="F37" i="7" s="1"/>
  <c r="AH38" i="7"/>
  <c r="AK38" i="7" s="1"/>
  <c r="HC41" i="7"/>
  <c r="GN42" i="7"/>
  <c r="BR41" i="7"/>
  <c r="BT41" i="7" s="1"/>
  <c r="BV41" i="7" s="1"/>
  <c r="AN42" i="7"/>
  <c r="BG41" i="7"/>
  <c r="BE41" i="7"/>
  <c r="HI45" i="7"/>
  <c r="AE41" i="7"/>
  <c r="HF40" i="7"/>
  <c r="HO40" i="7"/>
  <c r="AI41" i="6"/>
  <c r="AJ41" i="6" s="1"/>
  <c r="FF42" i="6"/>
  <c r="FH42" i="6" s="1"/>
  <c r="FJ42" i="6" s="1"/>
  <c r="EU42" i="6"/>
  <c r="EB43" i="6"/>
  <c r="ES42" i="6"/>
  <c r="X43" i="6"/>
  <c r="AC42" i="6"/>
  <c r="AE42" i="6" s="1"/>
  <c r="DR41" i="6"/>
  <c r="DS41" i="6" s="1"/>
  <c r="DD41" i="6"/>
  <c r="FM41" i="6" s="1"/>
  <c r="CK43" i="6"/>
  <c r="DE42" i="6"/>
  <c r="DV42" i="6"/>
  <c r="DG42" i="6"/>
  <c r="HI45" i="6"/>
  <c r="DT40" i="6"/>
  <c r="HD41" i="6"/>
  <c r="AD43" i="6"/>
  <c r="BY43" i="6"/>
  <c r="AN43" i="6"/>
  <c r="BR42" i="6"/>
  <c r="BT42" i="6" s="1"/>
  <c r="BV42" i="6" s="1"/>
  <c r="BE42" i="6"/>
  <c r="BG42" i="6"/>
  <c r="L45" i="6"/>
  <c r="M44" i="6"/>
  <c r="HF41" i="6"/>
  <c r="HO41" i="6"/>
  <c r="FW43" i="6"/>
  <c r="GS42" i="6"/>
  <c r="GQ42" i="6"/>
  <c r="HH42" i="6"/>
  <c r="HJ42" i="6" s="1"/>
  <c r="HL42" i="6" s="1"/>
  <c r="HC42" i="6"/>
  <c r="GN43" i="6"/>
  <c r="AI41" i="5"/>
  <c r="AJ41" i="5" s="1"/>
  <c r="EB44" i="5"/>
  <c r="EU43" i="5"/>
  <c r="FF43" i="5"/>
  <c r="FH43" i="5" s="1"/>
  <c r="FJ43" i="5" s="1"/>
  <c r="ES43" i="5"/>
  <c r="BY43" i="5"/>
  <c r="AD43" i="5"/>
  <c r="L45" i="5"/>
  <c r="M44" i="5"/>
  <c r="GN43" i="5"/>
  <c r="HC42" i="5"/>
  <c r="DG42" i="5"/>
  <c r="DV42" i="5"/>
  <c r="DE42" i="5"/>
  <c r="CK43" i="5"/>
  <c r="FW42" i="5"/>
  <c r="GQ41" i="5"/>
  <c r="GS41" i="5"/>
  <c r="HH41" i="5"/>
  <c r="HJ41" i="5" s="1"/>
  <c r="HL41" i="5" s="1"/>
  <c r="DT40" i="5"/>
  <c r="AF39" i="5"/>
  <c r="HD40" i="5"/>
  <c r="GP40" i="5"/>
  <c r="DR41" i="5"/>
  <c r="DS41" i="5" s="1"/>
  <c r="DD41" i="5"/>
  <c r="FM41" i="5" s="1"/>
  <c r="AH39" i="5"/>
  <c r="AK39" i="5" s="1"/>
  <c r="E38" i="5"/>
  <c r="AL38" i="5"/>
  <c r="F38" i="5" s="1"/>
  <c r="AN43" i="5"/>
  <c r="BE42" i="5"/>
  <c r="BG42" i="5"/>
  <c r="BR42" i="5"/>
  <c r="BT42" i="5" s="1"/>
  <c r="BV42" i="5" s="1"/>
  <c r="HF39" i="5"/>
  <c r="HO39" i="5"/>
  <c r="HI44" i="5"/>
  <c r="X43" i="5"/>
  <c r="AC42" i="5"/>
  <c r="AE42" i="5" s="1"/>
  <c r="GS41" i="3"/>
  <c r="GQ41" i="3"/>
  <c r="DV41" i="3"/>
  <c r="DG41" i="3"/>
  <c r="DE41" i="3"/>
  <c r="DT39" i="3"/>
  <c r="DD40" i="3"/>
  <c r="FM40" i="3" s="1"/>
  <c r="HO39" i="3"/>
  <c r="GP40" i="3"/>
  <c r="HF40" i="3" s="1"/>
  <c r="HD40" i="3"/>
  <c r="GN49" i="3"/>
  <c r="HC46" i="3"/>
  <c r="BR41" i="3"/>
  <c r="BT41" i="3" s="1"/>
  <c r="BV41" i="3" s="1"/>
  <c r="BE41" i="3"/>
  <c r="BG41" i="3"/>
  <c r="EB43" i="3"/>
  <c r="ES42" i="3"/>
  <c r="EU42" i="3"/>
  <c r="FF42" i="3"/>
  <c r="FH42" i="3" s="1"/>
  <c r="FJ42" i="3" s="1"/>
  <c r="DR40" i="3"/>
  <c r="AN42" i="3"/>
  <c r="FW42" i="3"/>
  <c r="BY42" i="3"/>
  <c r="AD42" i="3"/>
  <c r="AC42" i="3"/>
  <c r="L44" i="3"/>
  <c r="M43" i="3"/>
  <c r="DX41" i="3"/>
  <c r="DZ41" i="3" s="1"/>
  <c r="DW44" i="3"/>
  <c r="DQ45" i="3"/>
  <c r="BP41" i="3"/>
  <c r="CK42" i="3"/>
  <c r="X43" i="3"/>
  <c r="HH41" i="3"/>
  <c r="HJ41" i="3" s="1"/>
  <c r="HL41" i="3" s="1"/>
  <c r="AE41" i="3"/>
  <c r="CT18" i="12" l="1"/>
  <c r="FL17" i="8"/>
  <c r="FN17" i="8" s="1"/>
  <c r="FU16" i="8"/>
  <c r="H16" i="8" s="1"/>
  <c r="CP18" i="12"/>
  <c r="GN42" i="9"/>
  <c r="HC41" i="9"/>
  <c r="HD41" i="9" s="1"/>
  <c r="GN42" i="10"/>
  <c r="HC41" i="10"/>
  <c r="FT18" i="9"/>
  <c r="FQ19" i="9" s="1"/>
  <c r="HW18" i="11"/>
  <c r="J18" i="11" s="1"/>
  <c r="I18" i="11"/>
  <c r="FL19" i="9"/>
  <c r="FN19" i="9" s="1"/>
  <c r="CQ19" i="9"/>
  <c r="HN18" i="9"/>
  <c r="HP18" i="9" s="1"/>
  <c r="HT18" i="9" s="1"/>
  <c r="HU18" i="9" s="1"/>
  <c r="GE19" i="9"/>
  <c r="HE19" i="9" s="1"/>
  <c r="GF19" i="10"/>
  <c r="AJ41" i="9"/>
  <c r="GB19" i="10"/>
  <c r="HN19" i="10" s="1"/>
  <c r="HP19" i="10" s="1"/>
  <c r="HT19" i="10" s="1"/>
  <c r="HT18" i="10"/>
  <c r="HU18" i="10" s="1"/>
  <c r="HN19" i="11"/>
  <c r="HP19" i="11" s="1"/>
  <c r="GC19" i="11"/>
  <c r="FR17" i="11"/>
  <c r="FS17" i="11" s="1"/>
  <c r="FJ40" i="7"/>
  <c r="CP18" i="11"/>
  <c r="CQ18" i="11" s="1"/>
  <c r="CT18" i="11"/>
  <c r="AJ41" i="10"/>
  <c r="HD42" i="6"/>
  <c r="HV16" i="5"/>
  <c r="HW16" i="5" s="1"/>
  <c r="J16" i="5" s="1"/>
  <c r="AH41" i="6"/>
  <c r="AK41" i="6" s="1"/>
  <c r="HE17" i="5"/>
  <c r="GF17" i="5"/>
  <c r="GB17" i="5"/>
  <c r="GC17" i="5" s="1"/>
  <c r="FM40" i="12"/>
  <c r="DT40" i="12"/>
  <c r="EB42" i="8"/>
  <c r="ES41" i="8"/>
  <c r="FF41" i="8"/>
  <c r="FH41" i="8" s="1"/>
  <c r="FJ41" i="8" s="1"/>
  <c r="EU41" i="8"/>
  <c r="FJ40" i="8"/>
  <c r="DD40" i="7"/>
  <c r="DR40" i="7"/>
  <c r="DS40" i="7" s="1"/>
  <c r="DE41" i="7"/>
  <c r="CK42" i="7"/>
  <c r="DV41" i="7"/>
  <c r="DG41" i="7"/>
  <c r="FM39" i="7"/>
  <c r="DT39" i="7"/>
  <c r="DD41" i="12"/>
  <c r="DR41" i="12"/>
  <c r="DS41" i="12" s="1"/>
  <c r="HD41" i="7"/>
  <c r="DV42" i="12"/>
  <c r="CK43" i="12"/>
  <c r="DG42" i="12"/>
  <c r="DE42" i="12"/>
  <c r="EB42" i="7"/>
  <c r="ES41" i="7"/>
  <c r="FF41" i="7"/>
  <c r="FH41" i="7" s="1"/>
  <c r="FJ41" i="7" s="1"/>
  <c r="EU41" i="7"/>
  <c r="FT18" i="5"/>
  <c r="G18" i="5" s="1"/>
  <c r="CP19" i="6"/>
  <c r="CQ19" i="6" s="1"/>
  <c r="CQ18" i="12"/>
  <c r="FL18" i="12"/>
  <c r="FN18" i="12" s="1"/>
  <c r="FQ18" i="12"/>
  <c r="G17" i="12"/>
  <c r="FU17" i="12"/>
  <c r="H17" i="12" s="1"/>
  <c r="FL19" i="5"/>
  <c r="FN19" i="5" s="1"/>
  <c r="FO19" i="5" s="1"/>
  <c r="CQ19" i="5"/>
  <c r="HV18" i="6"/>
  <c r="I18" i="6" s="1"/>
  <c r="GB18" i="12"/>
  <c r="HQ17" i="12"/>
  <c r="HT17" i="12"/>
  <c r="HU17" i="12" s="1"/>
  <c r="GF18" i="12"/>
  <c r="I19" i="8"/>
  <c r="HS20" i="8"/>
  <c r="HW19" i="8"/>
  <c r="J19" i="8" s="1"/>
  <c r="GC20" i="8"/>
  <c r="HN20" i="8"/>
  <c r="HP20" i="8" s="1"/>
  <c r="AF40" i="10"/>
  <c r="AH40" i="10"/>
  <c r="AK40" i="10" s="1"/>
  <c r="AL39" i="10"/>
  <c r="F39" i="10" s="1"/>
  <c r="E39" i="10"/>
  <c r="HN19" i="6"/>
  <c r="HP19" i="6" s="1"/>
  <c r="GC19" i="6"/>
  <c r="GP41" i="7"/>
  <c r="HF41" i="7" s="1"/>
  <c r="G17" i="7"/>
  <c r="FO18" i="7"/>
  <c r="FR18" i="7"/>
  <c r="FS18" i="7" s="1"/>
  <c r="CU19" i="7"/>
  <c r="CS19" i="7"/>
  <c r="HV21" i="7"/>
  <c r="I21" i="7" s="1"/>
  <c r="HU21" i="7"/>
  <c r="FU17" i="7"/>
  <c r="H17" i="7" s="1"/>
  <c r="HE22" i="7"/>
  <c r="GF22" i="7"/>
  <c r="GB22" i="7"/>
  <c r="DS19" i="6"/>
  <c r="CT19" i="6"/>
  <c r="FS18" i="6"/>
  <c r="FT18" i="6"/>
  <c r="G18" i="6" s="1"/>
  <c r="E40" i="6"/>
  <c r="F40" i="6"/>
  <c r="AF41" i="6"/>
  <c r="AI42" i="12"/>
  <c r="AJ42" i="12" s="1"/>
  <c r="M45" i="12"/>
  <c r="L46" i="12"/>
  <c r="AD44" i="12"/>
  <c r="BY44" i="12"/>
  <c r="GN44" i="12"/>
  <c r="HC43" i="12"/>
  <c r="HF40" i="12"/>
  <c r="HO40" i="12"/>
  <c r="HD41" i="12"/>
  <c r="GP41" i="12"/>
  <c r="AC43" i="12"/>
  <c r="AE43" i="12" s="1"/>
  <c r="X44" i="12"/>
  <c r="EB44" i="12"/>
  <c r="FF43" i="12"/>
  <c r="FH43" i="12" s="1"/>
  <c r="FJ43" i="12" s="1"/>
  <c r="ES43" i="12"/>
  <c r="EU43" i="12"/>
  <c r="FW43" i="12"/>
  <c r="GQ42" i="12"/>
  <c r="GS42" i="12"/>
  <c r="HH42" i="12"/>
  <c r="HJ42" i="12" s="1"/>
  <c r="HL42" i="12" s="1"/>
  <c r="AF40" i="12"/>
  <c r="AK40" i="12"/>
  <c r="AN43" i="12"/>
  <c r="BG42" i="12"/>
  <c r="BE42" i="12"/>
  <c r="BR42" i="12"/>
  <c r="BT42" i="12" s="1"/>
  <c r="BV42" i="12" s="1"/>
  <c r="AL39" i="12"/>
  <c r="F39" i="12" s="1"/>
  <c r="E39" i="12"/>
  <c r="AH40" i="12"/>
  <c r="HI45" i="12"/>
  <c r="AI42" i="11"/>
  <c r="AJ42" i="11" s="1"/>
  <c r="AF40" i="11"/>
  <c r="AC43" i="11"/>
  <c r="AE43" i="11" s="1"/>
  <c r="X44" i="11"/>
  <c r="AH40" i="11"/>
  <c r="AK40" i="11" s="1"/>
  <c r="E39" i="11"/>
  <c r="AL39" i="11"/>
  <c r="F39" i="11" s="1"/>
  <c r="AN44" i="11"/>
  <c r="BR43" i="11"/>
  <c r="BT43" i="11" s="1"/>
  <c r="BV43" i="11" s="1"/>
  <c r="BG43" i="11"/>
  <c r="BE43" i="11"/>
  <c r="DR41" i="11"/>
  <c r="DS41" i="11" s="1"/>
  <c r="DD41" i="11"/>
  <c r="FM41" i="11" s="1"/>
  <c r="HI46" i="11"/>
  <c r="L46" i="11"/>
  <c r="M45" i="11"/>
  <c r="CK43" i="11"/>
  <c r="DG42" i="11"/>
  <c r="DE42" i="11"/>
  <c r="DV42" i="11"/>
  <c r="HD42" i="11"/>
  <c r="HF42" i="11"/>
  <c r="HO42" i="11"/>
  <c r="FW44" i="11"/>
  <c r="GQ43" i="11"/>
  <c r="GP43" i="11" s="1"/>
  <c r="GS43" i="11"/>
  <c r="HH43" i="11"/>
  <c r="HJ43" i="11" s="1"/>
  <c r="HL43" i="11" s="1"/>
  <c r="AD44" i="11"/>
  <c r="BY44" i="11"/>
  <c r="ES43" i="11"/>
  <c r="EB44" i="11"/>
  <c r="FF43" i="11"/>
  <c r="FH43" i="11" s="1"/>
  <c r="FJ43" i="11" s="1"/>
  <c r="EU43" i="11"/>
  <c r="HC43" i="11"/>
  <c r="GN44" i="11"/>
  <c r="DT40" i="11"/>
  <c r="AI42" i="10"/>
  <c r="FW43" i="10"/>
  <c r="GS42" i="10"/>
  <c r="GQ42" i="10"/>
  <c r="HH42" i="10"/>
  <c r="HJ42" i="10" s="1"/>
  <c r="HL42" i="10" s="1"/>
  <c r="EB44" i="10"/>
  <c r="FF43" i="10"/>
  <c r="FH43" i="10" s="1"/>
  <c r="FJ43" i="10" s="1"/>
  <c r="EU43" i="10"/>
  <c r="ES43" i="10"/>
  <c r="BR42" i="10"/>
  <c r="BT42" i="10" s="1"/>
  <c r="BV42" i="10" s="1"/>
  <c r="BE42" i="10"/>
  <c r="AN43" i="10"/>
  <c r="BG42" i="10"/>
  <c r="DR42" i="10"/>
  <c r="DS42" i="10" s="1"/>
  <c r="DD42" i="10"/>
  <c r="FM42" i="10" s="1"/>
  <c r="HI48" i="10"/>
  <c r="HD41" i="10"/>
  <c r="GP41" i="10"/>
  <c r="FT17" i="10"/>
  <c r="CK44" i="10"/>
  <c r="DG43" i="10"/>
  <c r="DE43" i="10"/>
  <c r="DV43" i="10"/>
  <c r="BY44" i="10"/>
  <c r="AD44" i="10"/>
  <c r="DT41" i="10"/>
  <c r="L46" i="10"/>
  <c r="M45" i="10"/>
  <c r="DS18" i="10"/>
  <c r="CT18" i="10"/>
  <c r="X44" i="10"/>
  <c r="AC43" i="10"/>
  <c r="AE43" i="10" s="1"/>
  <c r="HF40" i="10"/>
  <c r="HO40" i="10"/>
  <c r="CP18" i="10"/>
  <c r="AI42" i="9"/>
  <c r="DR42" i="9"/>
  <c r="DS42" i="9" s="1"/>
  <c r="DD42" i="9"/>
  <c r="FM42" i="9" s="1"/>
  <c r="X44" i="9"/>
  <c r="AC43" i="9"/>
  <c r="AE43" i="9" s="1"/>
  <c r="HF41" i="9"/>
  <c r="HO41" i="9"/>
  <c r="HH43" i="9"/>
  <c r="HJ43" i="9" s="1"/>
  <c r="HL43" i="9" s="1"/>
  <c r="HI44" i="9"/>
  <c r="AK40" i="9"/>
  <c r="AF40" i="9"/>
  <c r="AL39" i="9"/>
  <c r="F39" i="9" s="1"/>
  <c r="AH40" i="9"/>
  <c r="E39" i="9"/>
  <c r="EB44" i="9"/>
  <c r="EU43" i="9"/>
  <c r="ES43" i="9"/>
  <c r="FF43" i="9"/>
  <c r="FH43" i="9" s="1"/>
  <c r="FJ43" i="9" s="1"/>
  <c r="BY44" i="9"/>
  <c r="AD44" i="9"/>
  <c r="DT41" i="9"/>
  <c r="BE42" i="9"/>
  <c r="AN43" i="9"/>
  <c r="BG42" i="9"/>
  <c r="BR42" i="9"/>
  <c r="BT42" i="9" s="1"/>
  <c r="BV42" i="9" s="1"/>
  <c r="CK44" i="9"/>
  <c r="DG43" i="9"/>
  <c r="DE43" i="9"/>
  <c r="DV43" i="9"/>
  <c r="L46" i="9"/>
  <c r="M45" i="9"/>
  <c r="GS43" i="9"/>
  <c r="GQ43" i="9"/>
  <c r="FW44" i="9"/>
  <c r="AI41" i="8"/>
  <c r="AJ41" i="8" s="1"/>
  <c r="HF41" i="8"/>
  <c r="HO41" i="8"/>
  <c r="X43" i="8"/>
  <c r="AC42" i="8"/>
  <c r="AE42" i="8" s="1"/>
  <c r="DR42" i="8"/>
  <c r="DS42" i="8" s="1"/>
  <c r="DD42" i="8"/>
  <c r="FM42" i="8" s="1"/>
  <c r="AL38" i="8"/>
  <c r="F38" i="8" s="1"/>
  <c r="AH39" i="8"/>
  <c r="AK39" i="8" s="1"/>
  <c r="E38" i="8"/>
  <c r="GN43" i="8"/>
  <c r="HC42" i="8"/>
  <c r="CK44" i="8"/>
  <c r="DV43" i="8"/>
  <c r="DG43" i="8"/>
  <c r="DE43" i="8"/>
  <c r="HI47" i="8"/>
  <c r="DT41" i="8"/>
  <c r="FW43" i="8"/>
  <c r="GQ42" i="8"/>
  <c r="GS42" i="8"/>
  <c r="HH42" i="8"/>
  <c r="HJ42" i="8" s="1"/>
  <c r="HL42" i="8" s="1"/>
  <c r="AF39" i="8"/>
  <c r="BY43" i="8"/>
  <c r="AD43" i="8"/>
  <c r="L45" i="8"/>
  <c r="M44" i="8"/>
  <c r="HD41" i="8"/>
  <c r="CU18" i="8"/>
  <c r="CS18" i="8"/>
  <c r="FO17" i="8"/>
  <c r="FR17" i="8"/>
  <c r="FS17" i="8" s="1"/>
  <c r="BR43" i="8"/>
  <c r="BT43" i="8" s="1"/>
  <c r="BV43" i="8" s="1"/>
  <c r="AN44" i="8"/>
  <c r="BG43" i="8"/>
  <c r="BE43" i="8"/>
  <c r="AE42" i="7"/>
  <c r="BE42" i="7"/>
  <c r="AN43" i="7"/>
  <c r="BR42" i="7"/>
  <c r="BT42" i="7" s="1"/>
  <c r="BV42" i="7" s="1"/>
  <c r="BG42" i="7"/>
  <c r="X44" i="7"/>
  <c r="AC43" i="7"/>
  <c r="HC42" i="7"/>
  <c r="GN43" i="7"/>
  <c r="AF39" i="7"/>
  <c r="AI40" i="7" s="1"/>
  <c r="AJ40" i="7" s="1"/>
  <c r="AL38" i="7"/>
  <c r="F38" i="7" s="1"/>
  <c r="E38" i="7"/>
  <c r="AH39" i="7"/>
  <c r="AK39" i="7" s="1"/>
  <c r="HI46" i="7"/>
  <c r="FW43" i="7"/>
  <c r="GQ42" i="7"/>
  <c r="GP42" i="7" s="1"/>
  <c r="GS42" i="7"/>
  <c r="HH42" i="7"/>
  <c r="HJ42" i="7" s="1"/>
  <c r="HL42" i="7" s="1"/>
  <c r="L45" i="7"/>
  <c r="M44" i="7"/>
  <c r="AD43" i="7"/>
  <c r="BY43" i="7"/>
  <c r="AI42" i="6"/>
  <c r="AJ42" i="6" s="1"/>
  <c r="GP42" i="6"/>
  <c r="GN44" i="6"/>
  <c r="HC43" i="6"/>
  <c r="EB44" i="6"/>
  <c r="EU43" i="6"/>
  <c r="ES43" i="6"/>
  <c r="FF43" i="6"/>
  <c r="FH43" i="6" s="1"/>
  <c r="FJ43" i="6" s="1"/>
  <c r="HI46" i="6"/>
  <c r="DG43" i="6"/>
  <c r="DE43" i="6"/>
  <c r="CK44" i="6"/>
  <c r="DV43" i="6"/>
  <c r="FW44" i="6"/>
  <c r="GQ43" i="6"/>
  <c r="GP43" i="6" s="1"/>
  <c r="GS43" i="6"/>
  <c r="HH43" i="6"/>
  <c r="HJ43" i="6" s="1"/>
  <c r="HL43" i="6" s="1"/>
  <c r="DT41" i="6"/>
  <c r="X44" i="6"/>
  <c r="AC43" i="6"/>
  <c r="AE43" i="6" s="1"/>
  <c r="L46" i="6"/>
  <c r="M45" i="6"/>
  <c r="AD44" i="6"/>
  <c r="BY44" i="6"/>
  <c r="DR42" i="6"/>
  <c r="DS42" i="6" s="1"/>
  <c r="DD42" i="6"/>
  <c r="FM42" i="6" s="1"/>
  <c r="BR43" i="6"/>
  <c r="BT43" i="6" s="1"/>
  <c r="BV43" i="6" s="1"/>
  <c r="AN44" i="6"/>
  <c r="BE43" i="6"/>
  <c r="BG43" i="6"/>
  <c r="HF40" i="5"/>
  <c r="HO40" i="5"/>
  <c r="DG43" i="5"/>
  <c r="DE43" i="5"/>
  <c r="DV43" i="5"/>
  <c r="CK44" i="5"/>
  <c r="X44" i="5"/>
  <c r="AC43" i="5"/>
  <c r="AE43" i="5" s="1"/>
  <c r="AI42" i="5"/>
  <c r="AJ42" i="5" s="1"/>
  <c r="GN44" i="5"/>
  <c r="HC43" i="5"/>
  <c r="E39" i="5"/>
  <c r="AL39" i="5"/>
  <c r="F39" i="5" s="1"/>
  <c r="AH40" i="5"/>
  <c r="AK40" i="5" s="1"/>
  <c r="AF40" i="5"/>
  <c r="BY44" i="5"/>
  <c r="AD44" i="5"/>
  <c r="EB45" i="5"/>
  <c r="EU44" i="5"/>
  <c r="ES44" i="5"/>
  <c r="FF44" i="5"/>
  <c r="FH44" i="5" s="1"/>
  <c r="FJ44" i="5" s="1"/>
  <c r="HI45" i="5"/>
  <c r="M45" i="5"/>
  <c r="L46" i="5"/>
  <c r="BG43" i="5"/>
  <c r="BE43" i="5"/>
  <c r="AN44" i="5"/>
  <c r="BR43" i="5"/>
  <c r="BT43" i="5" s="1"/>
  <c r="BV43" i="5" s="1"/>
  <c r="DR42" i="5"/>
  <c r="DS42" i="5" s="1"/>
  <c r="DD42" i="5"/>
  <c r="FM42" i="5" s="1"/>
  <c r="DT41" i="5"/>
  <c r="HD41" i="5"/>
  <c r="GP41" i="5"/>
  <c r="FW43" i="5"/>
  <c r="GQ42" i="5"/>
  <c r="GS42" i="5"/>
  <c r="HH42" i="5"/>
  <c r="HJ42" i="5" s="1"/>
  <c r="HL42" i="5" s="1"/>
  <c r="GQ42" i="3"/>
  <c r="GS42" i="3"/>
  <c r="DV42" i="3"/>
  <c r="DE42" i="3"/>
  <c r="DG42" i="3"/>
  <c r="DT40" i="3"/>
  <c r="GN50" i="3"/>
  <c r="DD41" i="3"/>
  <c r="GP41" i="3"/>
  <c r="HF41" i="3" s="1"/>
  <c r="HD41" i="3"/>
  <c r="HO40" i="3"/>
  <c r="HC47" i="3"/>
  <c r="HH42" i="3"/>
  <c r="HJ42" i="3" s="1"/>
  <c r="HL42" i="3" s="1"/>
  <c r="EB44" i="3"/>
  <c r="EU43" i="3"/>
  <c r="ES43" i="3"/>
  <c r="FF43" i="3"/>
  <c r="FH43" i="3" s="1"/>
  <c r="FJ43" i="3" s="1"/>
  <c r="BR42" i="3"/>
  <c r="BT42" i="3" s="1"/>
  <c r="BV42" i="3" s="1"/>
  <c r="BG42" i="3"/>
  <c r="BE42" i="3"/>
  <c r="DR41" i="3"/>
  <c r="FW43" i="3"/>
  <c r="AN43" i="3"/>
  <c r="BY43" i="3"/>
  <c r="AD43" i="3"/>
  <c r="AC43" i="3"/>
  <c r="L45" i="3"/>
  <c r="M44" i="3"/>
  <c r="DX42" i="3"/>
  <c r="DZ42" i="3" s="1"/>
  <c r="DW45" i="3"/>
  <c r="DQ46" i="3"/>
  <c r="BP42" i="3"/>
  <c r="CK43" i="3"/>
  <c r="X44" i="3"/>
  <c r="AE42" i="3"/>
  <c r="G18" i="9" l="1"/>
  <c r="FU18" i="9"/>
  <c r="H18" i="9" s="1"/>
  <c r="HC42" i="10"/>
  <c r="GN43" i="10"/>
  <c r="GN43" i="9"/>
  <c r="HC42" i="9"/>
  <c r="HD42" i="9" s="1"/>
  <c r="GP42" i="9"/>
  <c r="HV18" i="9"/>
  <c r="HW18" i="9" s="1"/>
  <c r="GF19" i="9"/>
  <c r="GB19" i="9"/>
  <c r="GC19" i="9" s="1"/>
  <c r="GE20" i="9" s="1"/>
  <c r="HE20" i="9" s="1"/>
  <c r="HQ18" i="9"/>
  <c r="I18" i="9" s="1"/>
  <c r="CU20" i="9"/>
  <c r="CS20" i="9"/>
  <c r="FR19" i="9"/>
  <c r="FS19" i="9" s="1"/>
  <c r="FO19" i="9"/>
  <c r="AJ42" i="9"/>
  <c r="GC19" i="10"/>
  <c r="GG20" i="10" s="1"/>
  <c r="HV18" i="10"/>
  <c r="I18" i="10" s="1"/>
  <c r="AJ42" i="10"/>
  <c r="HQ19" i="10"/>
  <c r="GG20" i="11"/>
  <c r="GE20" i="11"/>
  <c r="HT19" i="11"/>
  <c r="HU19" i="11" s="1"/>
  <c r="HQ19" i="11"/>
  <c r="AH42" i="6"/>
  <c r="AL41" i="6"/>
  <c r="F41" i="6" s="1"/>
  <c r="AF42" i="6"/>
  <c r="HS17" i="5"/>
  <c r="E41" i="6"/>
  <c r="FT17" i="11"/>
  <c r="FU17" i="11" s="1"/>
  <c r="H17" i="11" s="1"/>
  <c r="I16" i="5"/>
  <c r="FL18" i="11"/>
  <c r="FN18" i="11" s="1"/>
  <c r="FR18" i="11" s="1"/>
  <c r="FS18" i="11" s="1"/>
  <c r="GG18" i="5"/>
  <c r="GE18" i="5"/>
  <c r="HN17" i="5"/>
  <c r="HP17" i="5" s="1"/>
  <c r="AE43" i="7"/>
  <c r="AI43" i="7" s="1"/>
  <c r="DG42" i="7"/>
  <c r="CK43" i="7"/>
  <c r="DV42" i="7"/>
  <c r="DE42" i="7"/>
  <c r="DD41" i="7"/>
  <c r="DR41" i="7"/>
  <c r="DS41" i="7" s="1"/>
  <c r="CS19" i="11"/>
  <c r="CU19" i="11"/>
  <c r="FF42" i="7"/>
  <c r="FH42" i="7" s="1"/>
  <c r="FJ42" i="7" s="1"/>
  <c r="EB43" i="7"/>
  <c r="EU42" i="7"/>
  <c r="ES42" i="7"/>
  <c r="FL19" i="6"/>
  <c r="FN19" i="6" s="1"/>
  <c r="FR19" i="6" s="1"/>
  <c r="FS19" i="6" s="1"/>
  <c r="DR42" i="12"/>
  <c r="DS42" i="12" s="1"/>
  <c r="DD42" i="12"/>
  <c r="FM40" i="7"/>
  <c r="DT40" i="7"/>
  <c r="CK44" i="12"/>
  <c r="DG43" i="12"/>
  <c r="DE43" i="12"/>
  <c r="DV43" i="12"/>
  <c r="FM41" i="12"/>
  <c r="DT41" i="12"/>
  <c r="FF42" i="8"/>
  <c r="FH42" i="8" s="1"/>
  <c r="FJ42" i="8" s="1"/>
  <c r="EB43" i="8"/>
  <c r="EU42" i="8"/>
  <c r="ES42" i="8"/>
  <c r="FQ19" i="5"/>
  <c r="FU18" i="5"/>
  <c r="H18" i="5" s="1"/>
  <c r="FR18" i="12"/>
  <c r="FO18" i="12"/>
  <c r="CU19" i="12"/>
  <c r="CS19" i="12"/>
  <c r="CU20" i="5"/>
  <c r="CS20" i="5"/>
  <c r="FR19" i="5"/>
  <c r="DT41" i="3"/>
  <c r="FM41" i="3"/>
  <c r="HS19" i="9"/>
  <c r="HS19" i="6"/>
  <c r="HW18" i="6"/>
  <c r="J18" i="6" s="1"/>
  <c r="HV17" i="12"/>
  <c r="HW17" i="12" s="1"/>
  <c r="J17" i="12" s="1"/>
  <c r="HN18" i="12"/>
  <c r="HP18" i="12" s="1"/>
  <c r="HQ18" i="12" s="1"/>
  <c r="GC18" i="12"/>
  <c r="GG20" i="6"/>
  <c r="GE20" i="6"/>
  <c r="HQ19" i="6"/>
  <c r="HT19" i="6"/>
  <c r="HU19" i="6" s="1"/>
  <c r="HQ20" i="8"/>
  <c r="HT20" i="8"/>
  <c r="HU20" i="8" s="1"/>
  <c r="GG21" i="8"/>
  <c r="GE21" i="8"/>
  <c r="HU19" i="10"/>
  <c r="AF41" i="10"/>
  <c r="E40" i="10"/>
  <c r="AL40" i="10"/>
  <c r="F40" i="10" s="1"/>
  <c r="AH41" i="10"/>
  <c r="AK41" i="10" s="1"/>
  <c r="HD42" i="8"/>
  <c r="FT17" i="8"/>
  <c r="FQ18" i="8" s="1"/>
  <c r="HO41" i="7"/>
  <c r="FT18" i="7"/>
  <c r="DS19" i="7"/>
  <c r="CT19" i="7"/>
  <c r="HS22" i="7"/>
  <c r="HW21" i="7"/>
  <c r="J21" i="7" s="1"/>
  <c r="CP19" i="7"/>
  <c r="HN22" i="7"/>
  <c r="HP22" i="7" s="1"/>
  <c r="GC22" i="7"/>
  <c r="CU20" i="6"/>
  <c r="CS20" i="6"/>
  <c r="DS20" i="6" s="1"/>
  <c r="AK42" i="6"/>
  <c r="FU18" i="6"/>
  <c r="H18" i="6" s="1"/>
  <c r="FQ19" i="6"/>
  <c r="AI43" i="12"/>
  <c r="AJ43" i="12" s="1"/>
  <c r="HD42" i="12"/>
  <c r="GP42" i="12"/>
  <c r="FW44" i="12"/>
  <c r="GQ43" i="12"/>
  <c r="GS43" i="12"/>
  <c r="HH43" i="12"/>
  <c r="HJ43" i="12" s="1"/>
  <c r="HL43" i="12" s="1"/>
  <c r="HI46" i="12"/>
  <c r="AF41" i="12"/>
  <c r="HF41" i="12"/>
  <c r="HO41" i="12"/>
  <c r="FF44" i="12"/>
  <c r="FH44" i="12" s="1"/>
  <c r="FJ44" i="12" s="1"/>
  <c r="ES44" i="12"/>
  <c r="EB45" i="12"/>
  <c r="EU44" i="12"/>
  <c r="HC44" i="12"/>
  <c r="GN45" i="12"/>
  <c r="AD45" i="12"/>
  <c r="BY45" i="12"/>
  <c r="AH41" i="12"/>
  <c r="AK41" i="12" s="1"/>
  <c r="E40" i="12"/>
  <c r="AL40" i="12"/>
  <c r="F40" i="12" s="1"/>
  <c r="M46" i="12"/>
  <c r="L47" i="12"/>
  <c r="BG43" i="12"/>
  <c r="AN44" i="12"/>
  <c r="BE43" i="12"/>
  <c r="BR43" i="12"/>
  <c r="BT43" i="12" s="1"/>
  <c r="BV43" i="12" s="1"/>
  <c r="AC44" i="12"/>
  <c r="AE44" i="12" s="1"/>
  <c r="X45" i="12"/>
  <c r="BG44" i="11"/>
  <c r="AN45" i="11"/>
  <c r="BE44" i="11"/>
  <c r="BR44" i="11"/>
  <c r="BT44" i="11" s="1"/>
  <c r="BV44" i="11" s="1"/>
  <c r="HI47" i="11"/>
  <c r="AC44" i="11"/>
  <c r="AE44" i="11" s="1"/>
  <c r="X45" i="11"/>
  <c r="AI43" i="11"/>
  <c r="AJ43" i="11" s="1"/>
  <c r="HC44" i="11"/>
  <c r="GN45" i="11"/>
  <c r="DT41" i="11"/>
  <c r="HD43" i="11"/>
  <c r="M46" i="11"/>
  <c r="L47" i="11"/>
  <c r="AH41" i="11"/>
  <c r="AK41" i="11" s="1"/>
  <c r="AL40" i="11"/>
  <c r="F40" i="11" s="1"/>
  <c r="E40" i="11"/>
  <c r="AF41" i="11"/>
  <c r="FW45" i="11"/>
  <c r="GS44" i="11"/>
  <c r="GQ44" i="11"/>
  <c r="HH44" i="11"/>
  <c r="HJ44" i="11" s="1"/>
  <c r="HL44" i="11" s="1"/>
  <c r="DR42" i="11"/>
  <c r="DS42" i="11" s="1"/>
  <c r="DD42" i="11"/>
  <c r="FM42" i="11" s="1"/>
  <c r="HF43" i="11"/>
  <c r="HO43" i="11"/>
  <c r="CK44" i="11"/>
  <c r="DG43" i="11"/>
  <c r="DE43" i="11"/>
  <c r="DV43" i="11"/>
  <c r="EU44" i="11"/>
  <c r="EB45" i="11"/>
  <c r="FF44" i="11"/>
  <c r="FH44" i="11" s="1"/>
  <c r="FJ44" i="11" s="1"/>
  <c r="ES44" i="11"/>
  <c r="AD45" i="11"/>
  <c r="BY45" i="11"/>
  <c r="DR43" i="10"/>
  <c r="DS43" i="10" s="1"/>
  <c r="DD43" i="10"/>
  <c r="FM43" i="10" s="1"/>
  <c r="HF41" i="10"/>
  <c r="HO41" i="10"/>
  <c r="HD42" i="10"/>
  <c r="GP42" i="10"/>
  <c r="AD45" i="10"/>
  <c r="BY45" i="10"/>
  <c r="FW44" i="10"/>
  <c r="GQ43" i="10"/>
  <c r="GS43" i="10"/>
  <c r="HH43" i="10"/>
  <c r="HJ43" i="10" s="1"/>
  <c r="HL43" i="10" s="1"/>
  <c r="FL18" i="10"/>
  <c r="FN18" i="10" s="1"/>
  <c r="CQ18" i="10"/>
  <c r="HI49" i="10"/>
  <c r="M46" i="10"/>
  <c r="L47" i="10"/>
  <c r="AI43" i="10"/>
  <c r="FF44" i="10"/>
  <c r="FH44" i="10" s="1"/>
  <c r="FJ44" i="10" s="1"/>
  <c r="EB45" i="10"/>
  <c r="ES44" i="10"/>
  <c r="EU44" i="10"/>
  <c r="FU17" i="10"/>
  <c r="H17" i="10" s="1"/>
  <c r="FQ18" i="10"/>
  <c r="G17" i="10"/>
  <c r="X45" i="10"/>
  <c r="AC44" i="10"/>
  <c r="AE44" i="10" s="1"/>
  <c r="BE43" i="10"/>
  <c r="AN44" i="10"/>
  <c r="BG43" i="10"/>
  <c r="BR43" i="10"/>
  <c r="BT43" i="10" s="1"/>
  <c r="BV43" i="10" s="1"/>
  <c r="DG44" i="10"/>
  <c r="DE44" i="10"/>
  <c r="DV44" i="10"/>
  <c r="CK45" i="10"/>
  <c r="DT42" i="10"/>
  <c r="AI43" i="9"/>
  <c r="DR43" i="9"/>
  <c r="DS43" i="9" s="1"/>
  <c r="DD43" i="9"/>
  <c r="FM43" i="9" s="1"/>
  <c r="AF41" i="9"/>
  <c r="CK45" i="9"/>
  <c r="DE44" i="9"/>
  <c r="DG44" i="9"/>
  <c r="DV44" i="9"/>
  <c r="AH41" i="9"/>
  <c r="AK41" i="9" s="1"/>
  <c r="AL40" i="9"/>
  <c r="F40" i="9" s="1"/>
  <c r="E40" i="9"/>
  <c r="X45" i="9"/>
  <c r="AC44" i="9"/>
  <c r="AE44" i="9" s="1"/>
  <c r="M46" i="9"/>
  <c r="L47" i="9"/>
  <c r="HI45" i="9"/>
  <c r="HH44" i="9"/>
  <c r="HJ44" i="9" s="1"/>
  <c r="HL44" i="9" s="1"/>
  <c r="EB45" i="9"/>
  <c r="EU44" i="9"/>
  <c r="ES44" i="9"/>
  <c r="FF44" i="9"/>
  <c r="FH44" i="9" s="1"/>
  <c r="FJ44" i="9" s="1"/>
  <c r="DT42" i="9"/>
  <c r="BR43" i="9"/>
  <c r="BT43" i="9" s="1"/>
  <c r="BV43" i="9" s="1"/>
  <c r="AN44" i="9"/>
  <c r="BE43" i="9"/>
  <c r="BG43" i="9"/>
  <c r="GS44" i="9"/>
  <c r="FW45" i="9"/>
  <c r="GQ44" i="9"/>
  <c r="AD45" i="9"/>
  <c r="BY45" i="9"/>
  <c r="DS18" i="8"/>
  <c r="CT18" i="8"/>
  <c r="M45" i="8"/>
  <c r="L46" i="8"/>
  <c r="HI48" i="8"/>
  <c r="FW44" i="8"/>
  <c r="GQ43" i="8"/>
  <c r="GP43" i="8" s="1"/>
  <c r="GS43" i="8"/>
  <c r="HH43" i="8"/>
  <c r="HJ43" i="8" s="1"/>
  <c r="HL43" i="8" s="1"/>
  <c r="AD44" i="8"/>
  <c r="BY44" i="8"/>
  <c r="GP42" i="8"/>
  <c r="CP18" i="8"/>
  <c r="DR43" i="8"/>
  <c r="DS43" i="8" s="1"/>
  <c r="DD43" i="8"/>
  <c r="FM43" i="8" s="1"/>
  <c r="AK40" i="8"/>
  <c r="AF40" i="8"/>
  <c r="DT42" i="8"/>
  <c r="AI42" i="8"/>
  <c r="AJ42" i="8" s="1"/>
  <c r="E39" i="8"/>
  <c r="AL39" i="8"/>
  <c r="F39" i="8" s="1"/>
  <c r="AH40" i="8"/>
  <c r="CK45" i="8"/>
  <c r="DE44" i="8"/>
  <c r="DV44" i="8"/>
  <c r="DG44" i="8"/>
  <c r="X44" i="8"/>
  <c r="AC43" i="8"/>
  <c r="AE43" i="8" s="1"/>
  <c r="AN45" i="8"/>
  <c r="BG44" i="8"/>
  <c r="BE44" i="8"/>
  <c r="BR44" i="8"/>
  <c r="BT44" i="8" s="1"/>
  <c r="BV44" i="8" s="1"/>
  <c r="HC43" i="8"/>
  <c r="GN44" i="8"/>
  <c r="AC44" i="7"/>
  <c r="X45" i="7"/>
  <c r="L46" i="7"/>
  <c r="M45" i="7"/>
  <c r="AN44" i="7"/>
  <c r="BG43" i="7"/>
  <c r="BE43" i="7"/>
  <c r="BR43" i="7"/>
  <c r="BT43" i="7" s="1"/>
  <c r="BV43" i="7" s="1"/>
  <c r="HD42" i="7"/>
  <c r="FW44" i="7"/>
  <c r="GS43" i="7"/>
  <c r="GQ43" i="7"/>
  <c r="GP43" i="7" s="1"/>
  <c r="HH43" i="7"/>
  <c r="HJ43" i="7" s="1"/>
  <c r="HL43" i="7" s="1"/>
  <c r="BY44" i="7"/>
  <c r="AD44" i="7"/>
  <c r="HI47" i="7"/>
  <c r="HF42" i="7"/>
  <c r="HO42" i="7"/>
  <c r="AL39" i="7"/>
  <c r="F39" i="7" s="1"/>
  <c r="AH40" i="7"/>
  <c r="E39" i="7"/>
  <c r="GN44" i="7"/>
  <c r="HC43" i="7"/>
  <c r="AF40" i="7"/>
  <c r="AI41" i="7" s="1"/>
  <c r="AJ41" i="7" s="1"/>
  <c r="AK40" i="7"/>
  <c r="AI43" i="6"/>
  <c r="AJ43" i="6" s="1"/>
  <c r="FW45" i="6"/>
  <c r="GS44" i="6"/>
  <c r="GQ44" i="6"/>
  <c r="GP44" i="6" s="1"/>
  <c r="HH44" i="6"/>
  <c r="HJ44" i="6" s="1"/>
  <c r="HL44" i="6" s="1"/>
  <c r="DG44" i="6"/>
  <c r="DE44" i="6"/>
  <c r="CK45" i="6"/>
  <c r="DV44" i="6"/>
  <c r="GN45" i="6"/>
  <c r="HC44" i="6"/>
  <c r="DR43" i="6"/>
  <c r="DS43" i="6" s="1"/>
  <c r="DD43" i="6"/>
  <c r="FM43" i="6" s="1"/>
  <c r="EB45" i="6"/>
  <c r="EU44" i="6"/>
  <c r="FF44" i="6"/>
  <c r="FH44" i="6" s="1"/>
  <c r="FJ44" i="6" s="1"/>
  <c r="ES44" i="6"/>
  <c r="HF43" i="6"/>
  <c r="HO43" i="6"/>
  <c r="AD45" i="6"/>
  <c r="BY45" i="6"/>
  <c r="M46" i="6"/>
  <c r="L47" i="6"/>
  <c r="X45" i="6"/>
  <c r="AC44" i="6"/>
  <c r="AE44" i="6" s="1"/>
  <c r="HI47" i="6"/>
  <c r="BR44" i="6"/>
  <c r="BT44" i="6" s="1"/>
  <c r="BV44" i="6" s="1"/>
  <c r="AN45" i="6"/>
  <c r="BG44" i="6"/>
  <c r="BE44" i="6"/>
  <c r="HF42" i="6"/>
  <c r="HO42" i="6"/>
  <c r="DT42" i="6"/>
  <c r="HD43" i="6"/>
  <c r="AI43" i="5"/>
  <c r="AJ43" i="5" s="1"/>
  <c r="AD45" i="5"/>
  <c r="BY45" i="5"/>
  <c r="CK45" i="5"/>
  <c r="DG44" i="5"/>
  <c r="DE44" i="5"/>
  <c r="DV44" i="5"/>
  <c r="BG44" i="5"/>
  <c r="AN45" i="5"/>
  <c r="BR44" i="5"/>
  <c r="BT44" i="5" s="1"/>
  <c r="BV44" i="5" s="1"/>
  <c r="BE44" i="5"/>
  <c r="HD42" i="5"/>
  <c r="GP42" i="5"/>
  <c r="AC44" i="5"/>
  <c r="AE44" i="5" s="1"/>
  <c r="X45" i="5"/>
  <c r="FW44" i="5"/>
  <c r="GQ43" i="5"/>
  <c r="GS43" i="5"/>
  <c r="HH43" i="5"/>
  <c r="HJ43" i="5" s="1"/>
  <c r="HL43" i="5" s="1"/>
  <c r="FF45" i="5"/>
  <c r="FH45" i="5" s="1"/>
  <c r="FJ45" i="5" s="1"/>
  <c r="EB46" i="5"/>
  <c r="ES45" i="5"/>
  <c r="EU45" i="5"/>
  <c r="HF41" i="5"/>
  <c r="HO41" i="5"/>
  <c r="DR43" i="5"/>
  <c r="DS43" i="5" s="1"/>
  <c r="DD43" i="5"/>
  <c r="FM43" i="5" s="1"/>
  <c r="DT42" i="5"/>
  <c r="AF41" i="5"/>
  <c r="M46" i="5"/>
  <c r="L47" i="5"/>
  <c r="HC44" i="5"/>
  <c r="GN45" i="5"/>
  <c r="AH41" i="5"/>
  <c r="AK41" i="5" s="1"/>
  <c r="AL40" i="5"/>
  <c r="F40" i="5" s="1"/>
  <c r="E40" i="5"/>
  <c r="HI46" i="5"/>
  <c r="GQ43" i="3"/>
  <c r="GS43" i="3"/>
  <c r="DV43" i="3"/>
  <c r="DG43" i="3"/>
  <c r="DE43" i="3"/>
  <c r="HO41" i="3"/>
  <c r="GP42" i="3"/>
  <c r="HF42" i="3" s="1"/>
  <c r="HD42" i="3"/>
  <c r="DD42" i="3"/>
  <c r="GN51" i="3"/>
  <c r="HC48" i="3"/>
  <c r="HH43" i="3"/>
  <c r="HJ43" i="3" s="1"/>
  <c r="HL43" i="3" s="1"/>
  <c r="BR43" i="3"/>
  <c r="BT43" i="3" s="1"/>
  <c r="BV43" i="3" s="1"/>
  <c r="BE43" i="3"/>
  <c r="BG43" i="3"/>
  <c r="EB45" i="3"/>
  <c r="ES44" i="3"/>
  <c r="EU44" i="3"/>
  <c r="FF44" i="3"/>
  <c r="FH44" i="3" s="1"/>
  <c r="FJ44" i="3" s="1"/>
  <c r="DR42" i="3"/>
  <c r="AN44" i="3"/>
  <c r="FW44" i="3"/>
  <c r="BY44" i="3"/>
  <c r="AD44" i="3"/>
  <c r="AC44" i="3"/>
  <c r="L46" i="3"/>
  <c r="M45" i="3"/>
  <c r="DX43" i="3"/>
  <c r="DZ43" i="3" s="1"/>
  <c r="DW46" i="3"/>
  <c r="DQ47" i="3"/>
  <c r="BP43" i="3"/>
  <c r="X45" i="3"/>
  <c r="CK44" i="3"/>
  <c r="AE43" i="3"/>
  <c r="HF42" i="9" l="1"/>
  <c r="HO42" i="9"/>
  <c r="HC43" i="9"/>
  <c r="HD43" i="9" s="1"/>
  <c r="GN44" i="9"/>
  <c r="GN44" i="10"/>
  <c r="HC43" i="10"/>
  <c r="GP44" i="9"/>
  <c r="GP43" i="9"/>
  <c r="HN19" i="9"/>
  <c r="HP19" i="9" s="1"/>
  <c r="HQ19" i="9" s="1"/>
  <c r="GG20" i="9"/>
  <c r="GB20" i="9" s="1"/>
  <c r="HN20" i="9" s="1"/>
  <c r="HP20" i="9" s="1"/>
  <c r="HQ20" i="9" s="1"/>
  <c r="J18" i="9"/>
  <c r="GE20" i="10"/>
  <c r="HE20" i="10" s="1"/>
  <c r="AJ43" i="10"/>
  <c r="AJ43" i="9"/>
  <c r="CP20" i="9"/>
  <c r="CQ20" i="9" s="1"/>
  <c r="HS19" i="10"/>
  <c r="HV19" i="10" s="1"/>
  <c r="HS20" i="10" s="1"/>
  <c r="HW18" i="10"/>
  <c r="J18" i="10" s="1"/>
  <c r="DS20" i="9"/>
  <c r="CT20" i="9"/>
  <c r="FT19" i="9"/>
  <c r="AF43" i="6"/>
  <c r="HV19" i="11"/>
  <c r="GB20" i="11"/>
  <c r="HE20" i="11"/>
  <c r="GF20" i="11"/>
  <c r="FO19" i="6"/>
  <c r="G17" i="11"/>
  <c r="FQ18" i="11"/>
  <c r="FT18" i="11" s="1"/>
  <c r="FO18" i="11"/>
  <c r="CP19" i="11"/>
  <c r="CQ19" i="11" s="1"/>
  <c r="HT17" i="5"/>
  <c r="HU17" i="5" s="1"/>
  <c r="HQ17" i="5"/>
  <c r="HE18" i="5"/>
  <c r="GF18" i="5"/>
  <c r="GB18" i="5"/>
  <c r="EB44" i="8"/>
  <c r="FF43" i="8"/>
  <c r="FH43" i="8" s="1"/>
  <c r="FJ43" i="8" s="1"/>
  <c r="EU43" i="8"/>
  <c r="ES43" i="8"/>
  <c r="AH43" i="6"/>
  <c r="AL42" i="6"/>
  <c r="F42" i="6" s="1"/>
  <c r="EU43" i="7"/>
  <c r="ES43" i="7"/>
  <c r="EB44" i="7"/>
  <c r="FF43" i="7"/>
  <c r="FH43" i="7" s="1"/>
  <c r="FJ43" i="7" s="1"/>
  <c r="DS19" i="11"/>
  <c r="CT19" i="11"/>
  <c r="HD44" i="11"/>
  <c r="FM41" i="7"/>
  <c r="DT41" i="7"/>
  <c r="DR43" i="12"/>
  <c r="DS43" i="12" s="1"/>
  <c r="DD43" i="12"/>
  <c r="DR42" i="7"/>
  <c r="DS42" i="7" s="1"/>
  <c r="DD42" i="7"/>
  <c r="FM42" i="12"/>
  <c r="DT42" i="12"/>
  <c r="AK43" i="6"/>
  <c r="AL43" i="6" s="1"/>
  <c r="CK45" i="12"/>
  <c r="DV44" i="12"/>
  <c r="DE44" i="12"/>
  <c r="DG44" i="12"/>
  <c r="CK44" i="7"/>
  <c r="DV43" i="7"/>
  <c r="DG43" i="7"/>
  <c r="DE43" i="7"/>
  <c r="DS19" i="12"/>
  <c r="CT19" i="12"/>
  <c r="CP19" i="12"/>
  <c r="FS18" i="12"/>
  <c r="FT18" i="12"/>
  <c r="FS19" i="5"/>
  <c r="FT19" i="5"/>
  <c r="DS20" i="5"/>
  <c r="CT20" i="5"/>
  <c r="CP20" i="5"/>
  <c r="DT42" i="3"/>
  <c r="FM42" i="3"/>
  <c r="CP20" i="6"/>
  <c r="CQ20" i="6" s="1"/>
  <c r="FT19" i="6"/>
  <c r="FQ20" i="6" s="1"/>
  <c r="HV20" i="8"/>
  <c r="I20" i="8" s="1"/>
  <c r="GB21" i="8"/>
  <c r="GC21" i="8" s="1"/>
  <c r="GG22" i="8" s="1"/>
  <c r="I17" i="12"/>
  <c r="HS18" i="12"/>
  <c r="GG19" i="12"/>
  <c r="GE19" i="12"/>
  <c r="HV19" i="6"/>
  <c r="I19" i="6" s="1"/>
  <c r="HT18" i="12"/>
  <c r="HU18" i="12" s="1"/>
  <c r="GF20" i="9"/>
  <c r="CT20" i="6"/>
  <c r="AF42" i="10"/>
  <c r="AK42" i="10"/>
  <c r="AL41" i="10"/>
  <c r="F41" i="10" s="1"/>
  <c r="AH42" i="10"/>
  <c r="E41" i="10"/>
  <c r="HE20" i="6"/>
  <c r="GF20" i="6"/>
  <c r="GB20" i="6"/>
  <c r="HE21" i="8"/>
  <c r="GF21" i="8"/>
  <c r="FU17" i="8"/>
  <c r="H17" i="8" s="1"/>
  <c r="G17" i="8"/>
  <c r="G18" i="7"/>
  <c r="FU18" i="7"/>
  <c r="H18" i="7" s="1"/>
  <c r="FQ19" i="7"/>
  <c r="GG23" i="7"/>
  <c r="GE23" i="7"/>
  <c r="AE44" i="7"/>
  <c r="AI44" i="7" s="1"/>
  <c r="FL19" i="7"/>
  <c r="FN19" i="7" s="1"/>
  <c r="CQ19" i="7"/>
  <c r="HT22" i="7"/>
  <c r="HU22" i="7" s="1"/>
  <c r="HQ22" i="7"/>
  <c r="E42" i="6"/>
  <c r="AI44" i="12"/>
  <c r="AJ44" i="12" s="1"/>
  <c r="AL41" i="12"/>
  <c r="F41" i="12" s="1"/>
  <c r="AH42" i="12"/>
  <c r="E41" i="12"/>
  <c r="HF42" i="12"/>
  <c r="HO42" i="12"/>
  <c r="AN45" i="12"/>
  <c r="BG44" i="12"/>
  <c r="BR44" i="12"/>
  <c r="BT44" i="12" s="1"/>
  <c r="BV44" i="12" s="1"/>
  <c r="BE44" i="12"/>
  <c r="AF42" i="12"/>
  <c r="AK42" i="12"/>
  <c r="AD46" i="12"/>
  <c r="BY46" i="12"/>
  <c r="AC45" i="12"/>
  <c r="AE45" i="12" s="1"/>
  <c r="X46" i="12"/>
  <c r="HI47" i="12"/>
  <c r="HC45" i="12"/>
  <c r="GN46" i="12"/>
  <c r="EB46" i="12"/>
  <c r="EU45" i="12"/>
  <c r="FF45" i="12"/>
  <c r="FH45" i="12" s="1"/>
  <c r="FJ45" i="12" s="1"/>
  <c r="ES45" i="12"/>
  <c r="HD43" i="12"/>
  <c r="GP43" i="12"/>
  <c r="L48" i="12"/>
  <c r="M47" i="12"/>
  <c r="FW45" i="12"/>
  <c r="GS44" i="12"/>
  <c r="GQ44" i="12"/>
  <c r="HH44" i="12"/>
  <c r="HJ44" i="12" s="1"/>
  <c r="HL44" i="12" s="1"/>
  <c r="GN46" i="11"/>
  <c r="HC45" i="11"/>
  <c r="EB46" i="11"/>
  <c r="ES45" i="11"/>
  <c r="FF45" i="11"/>
  <c r="FH45" i="11" s="1"/>
  <c r="FJ45" i="11" s="1"/>
  <c r="EU45" i="11"/>
  <c r="FW46" i="11"/>
  <c r="GQ45" i="11"/>
  <c r="GS45" i="11"/>
  <c r="HH45" i="11"/>
  <c r="HJ45" i="11" s="1"/>
  <c r="HL45" i="11" s="1"/>
  <c r="AC45" i="11"/>
  <c r="AE45" i="11" s="1"/>
  <c r="X46" i="11"/>
  <c r="AH42" i="11"/>
  <c r="E41" i="11"/>
  <c r="AL41" i="11"/>
  <c r="F41" i="11" s="1"/>
  <c r="GP44" i="11"/>
  <c r="AK42" i="11"/>
  <c r="AF42" i="11"/>
  <c r="HI48" i="11"/>
  <c r="AI44" i="11"/>
  <c r="AJ44" i="11" s="1"/>
  <c r="DV44" i="11"/>
  <c r="CK45" i="11"/>
  <c r="DE44" i="11"/>
  <c r="DG44" i="11"/>
  <c r="M47" i="11"/>
  <c r="L48" i="11"/>
  <c r="DR43" i="11"/>
  <c r="DS43" i="11" s="1"/>
  <c r="DD43" i="11"/>
  <c r="FM43" i="11" s="1"/>
  <c r="AD46" i="11"/>
  <c r="BY46" i="11"/>
  <c r="DT42" i="11"/>
  <c r="AN46" i="11"/>
  <c r="BE45" i="11"/>
  <c r="BG45" i="11"/>
  <c r="BR45" i="11"/>
  <c r="BT45" i="11" s="1"/>
  <c r="BV45" i="11" s="1"/>
  <c r="AI44" i="10"/>
  <c r="HF42" i="10"/>
  <c r="HO42" i="10"/>
  <c r="HD43" i="10"/>
  <c r="GP43" i="10"/>
  <c r="GS44" i="10"/>
  <c r="FW45" i="10"/>
  <c r="GQ44" i="10"/>
  <c r="HH44" i="10"/>
  <c r="HJ44" i="10" s="1"/>
  <c r="HL44" i="10" s="1"/>
  <c r="FR18" i="10"/>
  <c r="FS18" i="10" s="1"/>
  <c r="FO18" i="10"/>
  <c r="HI50" i="10"/>
  <c r="AC45" i="10"/>
  <c r="AE45" i="10" s="1"/>
  <c r="X46" i="10"/>
  <c r="DT43" i="10"/>
  <c r="DG45" i="10"/>
  <c r="CK46" i="10"/>
  <c r="DE45" i="10"/>
  <c r="DV45" i="10"/>
  <c r="EB46" i="10"/>
  <c r="ES45" i="10"/>
  <c r="FF45" i="10"/>
  <c r="FH45" i="10" s="1"/>
  <c r="FJ45" i="10" s="1"/>
  <c r="EU45" i="10"/>
  <c r="M47" i="10"/>
  <c r="L48" i="10"/>
  <c r="CU19" i="10"/>
  <c r="CS19" i="10"/>
  <c r="AN45" i="10"/>
  <c r="BR44" i="10"/>
  <c r="BT44" i="10" s="1"/>
  <c r="BV44" i="10" s="1"/>
  <c r="BG44" i="10"/>
  <c r="BE44" i="10"/>
  <c r="DR44" i="10"/>
  <c r="DS44" i="10" s="1"/>
  <c r="DD44" i="10"/>
  <c r="FM44" i="10" s="1"/>
  <c r="AD46" i="10"/>
  <c r="BY46" i="10"/>
  <c r="GS45" i="9"/>
  <c r="FW46" i="9"/>
  <c r="GQ45" i="9"/>
  <c r="DR44" i="9"/>
  <c r="DS44" i="9" s="1"/>
  <c r="DD44" i="9"/>
  <c r="FM44" i="9" s="1"/>
  <c r="AI44" i="9"/>
  <c r="DV45" i="9"/>
  <c r="CK46" i="9"/>
  <c r="DG45" i="9"/>
  <c r="DE45" i="9"/>
  <c r="AK42" i="9"/>
  <c r="AF42" i="9"/>
  <c r="DT43" i="9"/>
  <c r="AH42" i="9"/>
  <c r="E41" i="9"/>
  <c r="AL41" i="9"/>
  <c r="F41" i="9" s="1"/>
  <c r="EB46" i="9"/>
  <c r="EU45" i="9"/>
  <c r="ES45" i="9"/>
  <c r="FF45" i="9"/>
  <c r="FH45" i="9" s="1"/>
  <c r="FJ45" i="9" s="1"/>
  <c r="HI46" i="9"/>
  <c r="HH45" i="9"/>
  <c r="HJ45" i="9" s="1"/>
  <c r="HL45" i="9" s="1"/>
  <c r="HF44" i="9"/>
  <c r="HO44" i="9"/>
  <c r="AN45" i="9"/>
  <c r="BR44" i="9"/>
  <c r="BT44" i="9" s="1"/>
  <c r="BV44" i="9" s="1"/>
  <c r="BE44" i="9"/>
  <c r="BG44" i="9"/>
  <c r="X46" i="9"/>
  <c r="AC45" i="9"/>
  <c r="AE45" i="9" s="1"/>
  <c r="M47" i="9"/>
  <c r="L48" i="9"/>
  <c r="AD46" i="9"/>
  <c r="BY46" i="9"/>
  <c r="AI43" i="8"/>
  <c r="AJ43" i="8" s="1"/>
  <c r="HC44" i="8"/>
  <c r="GN45" i="8"/>
  <c r="HD43" i="8"/>
  <c r="CK46" i="8"/>
  <c r="DG45" i="8"/>
  <c r="DE45" i="8"/>
  <c r="DV45" i="8"/>
  <c r="DT43" i="8"/>
  <c r="HF43" i="8"/>
  <c r="HO43" i="8"/>
  <c r="FL18" i="8"/>
  <c r="FN18" i="8" s="1"/>
  <c r="CQ18" i="8"/>
  <c r="HF42" i="8"/>
  <c r="HO42" i="8"/>
  <c r="FW45" i="8"/>
  <c r="GS44" i="8"/>
  <c r="GQ44" i="8"/>
  <c r="GP44" i="8" s="1"/>
  <c r="HH44" i="8"/>
  <c r="HJ44" i="8" s="1"/>
  <c r="HL44" i="8" s="1"/>
  <c r="AC44" i="8"/>
  <c r="AE44" i="8" s="1"/>
  <c r="X45" i="8"/>
  <c r="AD45" i="8"/>
  <c r="BY45" i="8"/>
  <c r="E40" i="8"/>
  <c r="AL40" i="8"/>
  <c r="F40" i="8" s="1"/>
  <c r="AH41" i="8"/>
  <c r="AN46" i="8"/>
  <c r="BR45" i="8"/>
  <c r="BT45" i="8" s="1"/>
  <c r="BV45" i="8" s="1"/>
  <c r="BE45" i="8"/>
  <c r="BG45" i="8"/>
  <c r="HI49" i="8"/>
  <c r="M46" i="8"/>
  <c r="L47" i="8"/>
  <c r="AK41" i="8"/>
  <c r="AF41" i="8"/>
  <c r="DR44" i="8"/>
  <c r="DS44" i="8" s="1"/>
  <c r="DD44" i="8"/>
  <c r="FM44" i="8" s="1"/>
  <c r="AF41" i="7"/>
  <c r="AI42" i="7" s="1"/>
  <c r="AJ42" i="7" s="1"/>
  <c r="AJ43" i="7" s="1"/>
  <c r="AH41" i="7"/>
  <c r="AK41" i="7" s="1"/>
  <c r="E40" i="7"/>
  <c r="AL40" i="7"/>
  <c r="F40" i="7" s="1"/>
  <c r="HF43" i="7"/>
  <c r="HO43" i="7"/>
  <c r="HD43" i="7"/>
  <c r="HC44" i="7"/>
  <c r="GN45" i="7"/>
  <c r="AD45" i="7"/>
  <c r="BY45" i="7"/>
  <c r="FW45" i="7"/>
  <c r="GS44" i="7"/>
  <c r="GQ44" i="7"/>
  <c r="GP44" i="7" s="1"/>
  <c r="HH44" i="7"/>
  <c r="HJ44" i="7" s="1"/>
  <c r="HL44" i="7" s="1"/>
  <c r="M46" i="7"/>
  <c r="L47" i="7"/>
  <c r="HI48" i="7"/>
  <c r="AC45" i="7"/>
  <c r="X46" i="7"/>
  <c r="BR44" i="7"/>
  <c r="BT44" i="7" s="1"/>
  <c r="BV44" i="7" s="1"/>
  <c r="BG44" i="7"/>
  <c r="AN45" i="7"/>
  <c r="BE44" i="7"/>
  <c r="CK46" i="6"/>
  <c r="DG45" i="6"/>
  <c r="DE45" i="6"/>
  <c r="DV45" i="6"/>
  <c r="DR44" i="6"/>
  <c r="DS44" i="6" s="1"/>
  <c r="DD44" i="6"/>
  <c r="FM44" i="6" s="1"/>
  <c r="HF44" i="6"/>
  <c r="HO44" i="6"/>
  <c r="HI48" i="6"/>
  <c r="GN46" i="6"/>
  <c r="HC45" i="6"/>
  <c r="AI44" i="6"/>
  <c r="AJ44" i="6" s="1"/>
  <c r="FW46" i="6"/>
  <c r="GQ45" i="6"/>
  <c r="GS45" i="6"/>
  <c r="HH45" i="6"/>
  <c r="HJ45" i="6" s="1"/>
  <c r="HL45" i="6" s="1"/>
  <c r="EB46" i="6"/>
  <c r="ES45" i="6"/>
  <c r="EU45" i="6"/>
  <c r="FF45" i="6"/>
  <c r="FH45" i="6" s="1"/>
  <c r="FJ45" i="6" s="1"/>
  <c r="M47" i="6"/>
  <c r="L48" i="6"/>
  <c r="DT43" i="6"/>
  <c r="X46" i="6"/>
  <c r="AC45" i="6"/>
  <c r="AE45" i="6" s="1"/>
  <c r="AD46" i="6"/>
  <c r="BY46" i="6"/>
  <c r="HD44" i="6"/>
  <c r="AN46" i="6"/>
  <c r="BR45" i="6"/>
  <c r="BT45" i="6" s="1"/>
  <c r="BV45" i="6" s="1"/>
  <c r="BG45" i="6"/>
  <c r="BE45" i="6"/>
  <c r="DV45" i="5"/>
  <c r="DE45" i="5"/>
  <c r="CK46" i="5"/>
  <c r="DG45" i="5"/>
  <c r="GS44" i="5"/>
  <c r="FW45" i="5"/>
  <c r="GQ44" i="5"/>
  <c r="HH44" i="5"/>
  <c r="HJ44" i="5" s="1"/>
  <c r="HL44" i="5" s="1"/>
  <c r="HI47" i="5"/>
  <c r="DR44" i="5"/>
  <c r="DS44" i="5" s="1"/>
  <c r="DD44" i="5"/>
  <c r="FM44" i="5" s="1"/>
  <c r="HC45" i="5"/>
  <c r="GN46" i="5"/>
  <c r="AC45" i="5"/>
  <c r="AE45" i="5" s="1"/>
  <c r="X46" i="5"/>
  <c r="HF42" i="5"/>
  <c r="HO42" i="5"/>
  <c r="M47" i="5"/>
  <c r="L48" i="5"/>
  <c r="AI44" i="5"/>
  <c r="AJ44" i="5" s="1"/>
  <c r="HD43" i="5"/>
  <c r="GP43" i="5"/>
  <c r="AD46" i="5"/>
  <c r="BY46" i="5"/>
  <c r="AF42" i="5"/>
  <c r="AK42" i="5"/>
  <c r="AL41" i="5"/>
  <c r="F41" i="5" s="1"/>
  <c r="E41" i="5"/>
  <c r="AH42" i="5"/>
  <c r="AN46" i="5"/>
  <c r="BG45" i="5"/>
  <c r="BR45" i="5"/>
  <c r="BT45" i="5" s="1"/>
  <c r="BV45" i="5" s="1"/>
  <c r="BE45" i="5"/>
  <c r="DT43" i="5"/>
  <c r="EB47" i="5"/>
  <c r="EU46" i="5"/>
  <c r="FF46" i="5"/>
  <c r="FH46" i="5" s="1"/>
  <c r="FJ46" i="5" s="1"/>
  <c r="ES46" i="5"/>
  <c r="DV44" i="3"/>
  <c r="DG44" i="3"/>
  <c r="DE44" i="3"/>
  <c r="GQ44" i="3"/>
  <c r="GS44" i="3"/>
  <c r="HO42" i="3"/>
  <c r="GN52" i="3"/>
  <c r="DD43" i="3"/>
  <c r="GP43" i="3"/>
  <c r="HF43" i="3" s="1"/>
  <c r="HD43" i="3"/>
  <c r="HC49" i="3"/>
  <c r="BG44" i="3"/>
  <c r="BR44" i="3"/>
  <c r="BT44" i="3" s="1"/>
  <c r="BV44" i="3" s="1"/>
  <c r="BE44" i="3"/>
  <c r="EB46" i="3"/>
  <c r="ES45" i="3"/>
  <c r="EU45" i="3"/>
  <c r="FF45" i="3"/>
  <c r="FH45" i="3" s="1"/>
  <c r="FJ45" i="3" s="1"/>
  <c r="DR43" i="3"/>
  <c r="FW45" i="3"/>
  <c r="AN45" i="3"/>
  <c r="AC45" i="3"/>
  <c r="AD45" i="3"/>
  <c r="BY45" i="3"/>
  <c r="L47" i="3"/>
  <c r="M46" i="3"/>
  <c r="DX44" i="3"/>
  <c r="DZ44" i="3" s="1"/>
  <c r="DW47" i="3"/>
  <c r="BP44" i="3"/>
  <c r="DQ48" i="3"/>
  <c r="CK45" i="3"/>
  <c r="X46" i="3"/>
  <c r="HH44" i="3"/>
  <c r="HJ44" i="3" s="1"/>
  <c r="HL44" i="3" s="1"/>
  <c r="AE44" i="3"/>
  <c r="HT19" i="9" l="1"/>
  <c r="HU19" i="9" s="1"/>
  <c r="HO43" i="9"/>
  <c r="HF43" i="9"/>
  <c r="AJ44" i="10"/>
  <c r="HC44" i="10"/>
  <c r="GN45" i="10"/>
  <c r="GN45" i="9"/>
  <c r="HC44" i="9"/>
  <c r="HD44" i="9" s="1"/>
  <c r="GF20" i="10"/>
  <c r="AJ44" i="9"/>
  <c r="I19" i="10"/>
  <c r="GB20" i="10"/>
  <c r="HN20" i="10" s="1"/>
  <c r="HP20" i="10" s="1"/>
  <c r="HQ20" i="10" s="1"/>
  <c r="FL20" i="9"/>
  <c r="FN20" i="9" s="1"/>
  <c r="FR20" i="9" s="1"/>
  <c r="FS20" i="9" s="1"/>
  <c r="HW19" i="10"/>
  <c r="J19" i="10" s="1"/>
  <c r="CU21" i="9"/>
  <c r="CS21" i="9"/>
  <c r="G19" i="9"/>
  <c r="FU19" i="9"/>
  <c r="H19" i="9" s="1"/>
  <c r="FQ20" i="9"/>
  <c r="F43" i="6"/>
  <c r="AK44" i="6"/>
  <c r="AL44" i="6" s="1"/>
  <c r="AF44" i="6"/>
  <c r="AH44" i="6"/>
  <c r="E43" i="6"/>
  <c r="HN20" i="11"/>
  <c r="HP20" i="11" s="1"/>
  <c r="GC20" i="11"/>
  <c r="HW19" i="11"/>
  <c r="J19" i="11" s="1"/>
  <c r="HS20" i="11"/>
  <c r="I19" i="11"/>
  <c r="FQ19" i="11"/>
  <c r="FU18" i="11"/>
  <c r="H18" i="11" s="1"/>
  <c r="G18" i="11"/>
  <c r="HT20" i="9"/>
  <c r="HU20" i="9" s="1"/>
  <c r="GC20" i="9"/>
  <c r="GG21" i="9" s="1"/>
  <c r="HV17" i="5"/>
  <c r="HS18" i="5" s="1"/>
  <c r="FL19" i="11"/>
  <c r="FN19" i="11" s="1"/>
  <c r="FO19" i="11" s="1"/>
  <c r="GC18" i="5"/>
  <c r="HN18" i="5"/>
  <c r="HP18" i="5" s="1"/>
  <c r="FM42" i="7"/>
  <c r="DT42" i="7"/>
  <c r="FM43" i="12"/>
  <c r="DT43" i="12"/>
  <c r="CS20" i="11"/>
  <c r="DS20" i="11" s="1"/>
  <c r="CU20" i="11"/>
  <c r="DD43" i="7"/>
  <c r="DR43" i="7"/>
  <c r="DS43" i="7" s="1"/>
  <c r="FF44" i="7"/>
  <c r="FH44" i="7" s="1"/>
  <c r="FJ44" i="7" s="1"/>
  <c r="ES44" i="7"/>
  <c r="EB45" i="7"/>
  <c r="EU44" i="7"/>
  <c r="HD45" i="6"/>
  <c r="DG44" i="7"/>
  <c r="DV44" i="7"/>
  <c r="DE44" i="7"/>
  <c r="CK45" i="7"/>
  <c r="CK46" i="12"/>
  <c r="DG45" i="12"/>
  <c r="DE45" i="12"/>
  <c r="DV45" i="12"/>
  <c r="DR44" i="12"/>
  <c r="DS44" i="12" s="1"/>
  <c r="DD44" i="12"/>
  <c r="AJ44" i="7"/>
  <c r="HW20" i="8"/>
  <c r="J20" i="8" s="1"/>
  <c r="EB45" i="8"/>
  <c r="EU44" i="8"/>
  <c r="FF44" i="8"/>
  <c r="FH44" i="8" s="1"/>
  <c r="FJ44" i="8" s="1"/>
  <c r="ES44" i="8"/>
  <c r="G19" i="6"/>
  <c r="FU19" i="6"/>
  <c r="H19" i="6" s="1"/>
  <c r="FL20" i="6"/>
  <c r="FN20" i="6" s="1"/>
  <c r="FR20" i="6" s="1"/>
  <c r="FS20" i="6" s="1"/>
  <c r="FQ19" i="12"/>
  <c r="FU18" i="12"/>
  <c r="H18" i="12" s="1"/>
  <c r="G18" i="12"/>
  <c r="CQ19" i="12"/>
  <c r="FL19" i="12"/>
  <c r="FN19" i="12" s="1"/>
  <c r="CQ20" i="5"/>
  <c r="FL20" i="5"/>
  <c r="FN20" i="5" s="1"/>
  <c r="FU19" i="5"/>
  <c r="H19" i="5" s="1"/>
  <c r="G19" i="5"/>
  <c r="FQ20" i="5"/>
  <c r="DT43" i="3"/>
  <c r="FM43" i="3"/>
  <c r="FT18" i="10"/>
  <c r="G18" i="10" s="1"/>
  <c r="HN21" i="8"/>
  <c r="HP21" i="8" s="1"/>
  <c r="HQ21" i="8" s="1"/>
  <c r="HS21" i="8"/>
  <c r="HS20" i="6"/>
  <c r="GE22" i="8"/>
  <c r="GB22" i="8" s="1"/>
  <c r="GC22" i="8" s="1"/>
  <c r="HW19" i="6"/>
  <c r="J19" i="6" s="1"/>
  <c r="HV18" i="12"/>
  <c r="HE19" i="12"/>
  <c r="GF19" i="12"/>
  <c r="GB19" i="12"/>
  <c r="AL42" i="10"/>
  <c r="F42" i="10" s="1"/>
  <c r="AH43" i="10"/>
  <c r="E42" i="10"/>
  <c r="AF43" i="10"/>
  <c r="AK43" i="10"/>
  <c r="HN20" i="6"/>
  <c r="HP20" i="6" s="1"/>
  <c r="GC20" i="6"/>
  <c r="CP19" i="10"/>
  <c r="CQ19" i="10" s="1"/>
  <c r="HV19" i="9"/>
  <c r="HW19" i="9" s="1"/>
  <c r="J19" i="9" s="1"/>
  <c r="HV22" i="7"/>
  <c r="HS23" i="7" s="1"/>
  <c r="HD44" i="7"/>
  <c r="GB23" i="7"/>
  <c r="HE23" i="7"/>
  <c r="GF23" i="7"/>
  <c r="FR19" i="7"/>
  <c r="FS19" i="7" s="1"/>
  <c r="FO19" i="7"/>
  <c r="CU20" i="7"/>
  <c r="CS20" i="7"/>
  <c r="AE45" i="7"/>
  <c r="AI45" i="7" s="1"/>
  <c r="CS21" i="6"/>
  <c r="CU21" i="6"/>
  <c r="AI45" i="12"/>
  <c r="AJ45" i="12" s="1"/>
  <c r="HD44" i="12"/>
  <c r="GP44" i="12"/>
  <c r="HC46" i="12"/>
  <c r="GN47" i="12"/>
  <c r="BY47" i="12"/>
  <c r="AD47" i="12"/>
  <c r="AH43" i="12"/>
  <c r="E42" i="12"/>
  <c r="AL42" i="12"/>
  <c r="F42" i="12" s="1"/>
  <c r="FW46" i="12"/>
  <c r="GQ45" i="12"/>
  <c r="GS45" i="12"/>
  <c r="HH45" i="12"/>
  <c r="HJ45" i="12" s="1"/>
  <c r="HL45" i="12" s="1"/>
  <c r="AK43" i="12"/>
  <c r="AF43" i="12"/>
  <c r="HF43" i="12"/>
  <c r="HO43" i="12"/>
  <c r="L49" i="12"/>
  <c r="M48" i="12"/>
  <c r="HI48" i="12"/>
  <c r="EB47" i="12"/>
  <c r="ES46" i="12"/>
  <c r="FF46" i="12"/>
  <c r="FH46" i="12" s="1"/>
  <c r="FJ46" i="12" s="1"/>
  <c r="EU46" i="12"/>
  <c r="X47" i="12"/>
  <c r="AC46" i="12"/>
  <c r="AE46" i="12" s="1"/>
  <c r="AN46" i="12"/>
  <c r="BE45" i="12"/>
  <c r="BG45" i="12"/>
  <c r="BR45" i="12"/>
  <c r="BT45" i="12" s="1"/>
  <c r="BV45" i="12" s="1"/>
  <c r="AI45" i="11"/>
  <c r="AJ45" i="11" s="1"/>
  <c r="HD45" i="11"/>
  <c r="FW47" i="11"/>
  <c r="GS46" i="11"/>
  <c r="GQ46" i="11"/>
  <c r="HH46" i="11"/>
  <c r="HJ46" i="11" s="1"/>
  <c r="HL46" i="11" s="1"/>
  <c r="L49" i="11"/>
  <c r="M48" i="11"/>
  <c r="BY47" i="11"/>
  <c r="AD47" i="11"/>
  <c r="AK43" i="11"/>
  <c r="AF43" i="11"/>
  <c r="DD44" i="11"/>
  <c r="FM44" i="11" s="1"/>
  <c r="DR44" i="11"/>
  <c r="DS44" i="11" s="1"/>
  <c r="EB47" i="11"/>
  <c r="FF46" i="11"/>
  <c r="FH46" i="11" s="1"/>
  <c r="FJ46" i="11" s="1"/>
  <c r="EU46" i="11"/>
  <c r="ES46" i="11"/>
  <c r="AN47" i="11"/>
  <c r="BG46" i="11"/>
  <c r="BR46" i="11"/>
  <c r="BT46" i="11" s="1"/>
  <c r="BV46" i="11" s="1"/>
  <c r="BE46" i="11"/>
  <c r="E42" i="11"/>
  <c r="AH43" i="11"/>
  <c r="AL42" i="11"/>
  <c r="F42" i="11" s="1"/>
  <c r="GN47" i="11"/>
  <c r="HC46" i="11"/>
  <c r="HF44" i="11"/>
  <c r="HO44" i="11"/>
  <c r="DG45" i="11"/>
  <c r="CK46" i="11"/>
  <c r="DE45" i="11"/>
  <c r="DV45" i="11"/>
  <c r="GP45" i="11"/>
  <c r="DT43" i="11"/>
  <c r="AC46" i="11"/>
  <c r="AE46" i="11" s="1"/>
  <c r="X47" i="11"/>
  <c r="HI49" i="11"/>
  <c r="HI51" i="10"/>
  <c r="FW46" i="10"/>
  <c r="GS45" i="10"/>
  <c r="GQ45" i="10"/>
  <c r="HH45" i="10"/>
  <c r="HJ45" i="10" s="1"/>
  <c r="HL45" i="10" s="1"/>
  <c r="L49" i="10"/>
  <c r="M48" i="10"/>
  <c r="BY47" i="10"/>
  <c r="AD47" i="10"/>
  <c r="HF43" i="10"/>
  <c r="HO43" i="10"/>
  <c r="DR45" i="10"/>
  <c r="DS45" i="10" s="1"/>
  <c r="DD45" i="10"/>
  <c r="FM45" i="10" s="1"/>
  <c r="DT44" i="10"/>
  <c r="AN46" i="10"/>
  <c r="BE45" i="10"/>
  <c r="BR45" i="10"/>
  <c r="BT45" i="10" s="1"/>
  <c r="BV45" i="10" s="1"/>
  <c r="BG45" i="10"/>
  <c r="CK47" i="10"/>
  <c r="DV46" i="10"/>
  <c r="DE46" i="10"/>
  <c r="DG46" i="10"/>
  <c r="AI45" i="10"/>
  <c r="AJ45" i="10" s="1"/>
  <c r="DS19" i="10"/>
  <c r="CT19" i="10"/>
  <c r="EB47" i="10"/>
  <c r="EU46" i="10"/>
  <c r="FF46" i="10"/>
  <c r="FH46" i="10" s="1"/>
  <c r="FJ46" i="10" s="1"/>
  <c r="ES46" i="10"/>
  <c r="AC46" i="10"/>
  <c r="AE46" i="10" s="1"/>
  <c r="X47" i="10"/>
  <c r="HD44" i="10"/>
  <c r="GP44" i="10"/>
  <c r="AK43" i="9"/>
  <c r="AF43" i="9"/>
  <c r="FW47" i="9"/>
  <c r="GS46" i="9"/>
  <c r="GQ46" i="9"/>
  <c r="DT44" i="9"/>
  <c r="HI47" i="9"/>
  <c r="HH46" i="9"/>
  <c r="HJ46" i="9" s="1"/>
  <c r="HL46" i="9" s="1"/>
  <c r="E42" i="9"/>
  <c r="AH43" i="9"/>
  <c r="AL42" i="9"/>
  <c r="F42" i="9" s="1"/>
  <c r="X47" i="9"/>
  <c r="AC46" i="9"/>
  <c r="AE46" i="9" s="1"/>
  <c r="M48" i="9"/>
  <c r="L49" i="9"/>
  <c r="ES46" i="9"/>
  <c r="EU46" i="9"/>
  <c r="EB47" i="9"/>
  <c r="FF46" i="9"/>
  <c r="FH46" i="9" s="1"/>
  <c r="FJ46" i="9" s="1"/>
  <c r="BY47" i="9"/>
  <c r="AD47" i="9"/>
  <c r="DD45" i="9"/>
  <c r="FM45" i="9" s="1"/>
  <c r="DR45" i="9"/>
  <c r="DS45" i="9" s="1"/>
  <c r="AN46" i="9"/>
  <c r="BG45" i="9"/>
  <c r="BR45" i="9"/>
  <c r="BT45" i="9" s="1"/>
  <c r="BV45" i="9" s="1"/>
  <c r="BE45" i="9"/>
  <c r="CK47" i="9"/>
  <c r="DE46" i="9"/>
  <c r="DG46" i="9"/>
  <c r="DV46" i="9"/>
  <c r="AI45" i="9"/>
  <c r="AJ45" i="9" s="1"/>
  <c r="AI44" i="8"/>
  <c r="AJ44" i="8" s="1"/>
  <c r="L48" i="8"/>
  <c r="M47" i="8"/>
  <c r="AN47" i="8"/>
  <c r="BG46" i="8"/>
  <c r="BE46" i="8"/>
  <c r="BR46" i="8"/>
  <c r="BT46" i="8" s="1"/>
  <c r="BV46" i="8" s="1"/>
  <c r="DR45" i="8"/>
  <c r="DS45" i="8" s="1"/>
  <c r="DD45" i="8"/>
  <c r="FM45" i="8" s="1"/>
  <c r="AD46" i="8"/>
  <c r="BY46" i="8"/>
  <c r="CK47" i="8"/>
  <c r="DG46" i="8"/>
  <c r="DV46" i="8"/>
  <c r="DE46" i="8"/>
  <c r="HD44" i="8"/>
  <c r="AK42" i="8"/>
  <c r="AF42" i="8"/>
  <c r="E41" i="8"/>
  <c r="AL41" i="8"/>
  <c r="F41" i="8" s="1"/>
  <c r="AH42" i="8"/>
  <c r="GN46" i="8"/>
  <c r="HC45" i="8"/>
  <c r="DT44" i="8"/>
  <c r="HI50" i="8"/>
  <c r="HF44" i="8"/>
  <c r="HO44" i="8"/>
  <c r="FW46" i="8"/>
  <c r="GQ45" i="8"/>
  <c r="GS45" i="8"/>
  <c r="HH45" i="8"/>
  <c r="HJ45" i="8" s="1"/>
  <c r="HL45" i="8" s="1"/>
  <c r="CU19" i="8"/>
  <c r="CS19" i="8"/>
  <c r="FR18" i="8"/>
  <c r="FS18" i="8" s="1"/>
  <c r="FO18" i="8"/>
  <c r="AC45" i="8"/>
  <c r="AE45" i="8" s="1"/>
  <c r="X46" i="8"/>
  <c r="AC46" i="7"/>
  <c r="X47" i="7"/>
  <c r="GN46" i="7"/>
  <c r="HC45" i="7"/>
  <c r="HF44" i="7"/>
  <c r="HO44" i="7"/>
  <c r="FW46" i="7"/>
  <c r="GS45" i="7"/>
  <c r="GQ45" i="7"/>
  <c r="HH45" i="7"/>
  <c r="HJ45" i="7" s="1"/>
  <c r="HL45" i="7" s="1"/>
  <c r="AN46" i="7"/>
  <c r="BE45" i="7"/>
  <c r="BR45" i="7"/>
  <c r="BT45" i="7" s="1"/>
  <c r="BV45" i="7" s="1"/>
  <c r="BG45" i="7"/>
  <c r="E41" i="7"/>
  <c r="AL41" i="7"/>
  <c r="F41" i="7" s="1"/>
  <c r="AH42" i="7"/>
  <c r="AK42" i="7" s="1"/>
  <c r="M47" i="7"/>
  <c r="L48" i="7"/>
  <c r="AF42" i="7"/>
  <c r="HI49" i="7"/>
  <c r="AD46" i="7"/>
  <c r="BY46" i="7"/>
  <c r="AI45" i="6"/>
  <c r="AJ45" i="6" s="1"/>
  <c r="FW47" i="6"/>
  <c r="GQ46" i="6"/>
  <c r="GP46" i="6" s="1"/>
  <c r="GS46" i="6"/>
  <c r="HH46" i="6"/>
  <c r="HJ46" i="6" s="1"/>
  <c r="HL46" i="6" s="1"/>
  <c r="M48" i="6"/>
  <c r="L49" i="6"/>
  <c r="BY47" i="6"/>
  <c r="AD47" i="6"/>
  <c r="AN47" i="6"/>
  <c r="BR46" i="6"/>
  <c r="BT46" i="6" s="1"/>
  <c r="BV46" i="6" s="1"/>
  <c r="BG46" i="6"/>
  <c r="BE46" i="6"/>
  <c r="HI49" i="6"/>
  <c r="DT44" i="6"/>
  <c r="AC46" i="6"/>
  <c r="AE46" i="6" s="1"/>
  <c r="X47" i="6"/>
  <c r="DR45" i="6"/>
  <c r="DS45" i="6" s="1"/>
  <c r="DD45" i="6"/>
  <c r="FM45" i="6" s="1"/>
  <c r="EB47" i="6"/>
  <c r="ES46" i="6"/>
  <c r="FF46" i="6"/>
  <c r="FH46" i="6" s="1"/>
  <c r="FJ46" i="6" s="1"/>
  <c r="EU46" i="6"/>
  <c r="CK47" i="6"/>
  <c r="DG46" i="6"/>
  <c r="DV46" i="6"/>
  <c r="DE46" i="6"/>
  <c r="GP45" i="6"/>
  <c r="HC46" i="6"/>
  <c r="GN47" i="6"/>
  <c r="HC46" i="5"/>
  <c r="GN47" i="5"/>
  <c r="AI45" i="5"/>
  <c r="AJ45" i="5" s="1"/>
  <c r="HD44" i="5"/>
  <c r="GP44" i="5"/>
  <c r="AC46" i="5"/>
  <c r="AE46" i="5" s="1"/>
  <c r="X47" i="5"/>
  <c r="EB48" i="5"/>
  <c r="ES47" i="5"/>
  <c r="FF47" i="5"/>
  <c r="FH47" i="5" s="1"/>
  <c r="FJ47" i="5" s="1"/>
  <c r="EU47" i="5"/>
  <c r="AL42" i="5"/>
  <c r="F42" i="5" s="1"/>
  <c r="AH43" i="5"/>
  <c r="E42" i="5"/>
  <c r="AF43" i="5"/>
  <c r="AK43" i="5"/>
  <c r="M48" i="5"/>
  <c r="L49" i="5"/>
  <c r="BY47" i="5"/>
  <c r="AD47" i="5"/>
  <c r="DG46" i="5"/>
  <c r="CK47" i="5"/>
  <c r="DV46" i="5"/>
  <c r="DE46" i="5"/>
  <c r="DR45" i="5"/>
  <c r="DS45" i="5" s="1"/>
  <c r="DD45" i="5"/>
  <c r="FM45" i="5" s="1"/>
  <c r="DT44" i="5"/>
  <c r="FW46" i="5"/>
  <c r="GQ45" i="5"/>
  <c r="GS45" i="5"/>
  <c r="HH45" i="5"/>
  <c r="HJ45" i="5" s="1"/>
  <c r="HL45" i="5" s="1"/>
  <c r="BE46" i="5"/>
  <c r="AN47" i="5"/>
  <c r="BG46" i="5"/>
  <c r="BR46" i="5"/>
  <c r="BT46" i="5" s="1"/>
  <c r="BV46" i="5" s="1"/>
  <c r="HF43" i="5"/>
  <c r="HO43" i="5"/>
  <c r="HI48" i="5"/>
  <c r="GQ45" i="3"/>
  <c r="GS45" i="3"/>
  <c r="DV45" i="3"/>
  <c r="DE45" i="3"/>
  <c r="DG45" i="3"/>
  <c r="HO43" i="3"/>
  <c r="GP44" i="3"/>
  <c r="HF44" i="3" s="1"/>
  <c r="HD44" i="3"/>
  <c r="DD44" i="3"/>
  <c r="FM44" i="3" s="1"/>
  <c r="HC50" i="3"/>
  <c r="HH45" i="3"/>
  <c r="HJ45" i="3" s="1"/>
  <c r="HL45" i="3" s="1"/>
  <c r="EB47" i="3"/>
  <c r="ES46" i="3"/>
  <c r="EU46" i="3"/>
  <c r="FF46" i="3"/>
  <c r="FH46" i="3" s="1"/>
  <c r="FJ46" i="3" s="1"/>
  <c r="BG45" i="3"/>
  <c r="BR45" i="3"/>
  <c r="BT45" i="3" s="1"/>
  <c r="BV45" i="3" s="1"/>
  <c r="BE45" i="3"/>
  <c r="DR44" i="3"/>
  <c r="AN46" i="3"/>
  <c r="FW46" i="3"/>
  <c r="AD46" i="3"/>
  <c r="BY46" i="3"/>
  <c r="AC46" i="3"/>
  <c r="L48" i="3"/>
  <c r="M47" i="3"/>
  <c r="DX45" i="3"/>
  <c r="DZ45" i="3" s="1"/>
  <c r="DW48" i="3"/>
  <c r="DQ49" i="3"/>
  <c r="CK46" i="3"/>
  <c r="X47" i="3"/>
  <c r="BP45" i="3"/>
  <c r="AE45" i="3"/>
  <c r="HC45" i="9" l="1"/>
  <c r="HD45" i="9" s="1"/>
  <c r="GN46" i="9"/>
  <c r="GP46" i="9"/>
  <c r="GN46" i="10"/>
  <c r="HC45" i="10"/>
  <c r="GP45" i="9"/>
  <c r="GC20" i="10"/>
  <c r="GE21" i="10" s="1"/>
  <c r="HE21" i="10" s="1"/>
  <c r="HT20" i="10"/>
  <c r="HU20" i="10" s="1"/>
  <c r="FO20" i="9"/>
  <c r="CP21" i="9"/>
  <c r="CQ21" i="9" s="1"/>
  <c r="CU22" i="9" s="1"/>
  <c r="F44" i="6"/>
  <c r="CT21" i="9"/>
  <c r="DS21" i="9"/>
  <c r="AK45" i="6"/>
  <c r="AH46" i="6" s="1"/>
  <c r="AF45" i="6"/>
  <c r="E45" i="6" s="1"/>
  <c r="AH45" i="6"/>
  <c r="FT20" i="9"/>
  <c r="E44" i="6"/>
  <c r="GE21" i="9"/>
  <c r="HE21" i="9" s="1"/>
  <c r="GG21" i="11"/>
  <c r="GE21" i="11"/>
  <c r="HT20" i="11"/>
  <c r="HU20" i="11" s="1"/>
  <c r="HQ20" i="11"/>
  <c r="I17" i="5"/>
  <c r="GF21" i="10"/>
  <c r="CP20" i="11"/>
  <c r="FL20" i="11" s="1"/>
  <c r="FN20" i="11" s="1"/>
  <c r="FR20" i="11" s="1"/>
  <c r="FR19" i="11"/>
  <c r="FS19" i="11" s="1"/>
  <c r="HW17" i="5"/>
  <c r="J17" i="5" s="1"/>
  <c r="GG21" i="10"/>
  <c r="GB21" i="10" s="1"/>
  <c r="GC21" i="10" s="1"/>
  <c r="GG22" i="10" s="1"/>
  <c r="AJ45" i="7"/>
  <c r="HE22" i="8"/>
  <c r="HN22" i="8" s="1"/>
  <c r="HP22" i="8" s="1"/>
  <c r="FO20" i="6"/>
  <c r="HQ18" i="5"/>
  <c r="HT18" i="5"/>
  <c r="HU18" i="5" s="1"/>
  <c r="GE19" i="5"/>
  <c r="GG19" i="5"/>
  <c r="FM44" i="12"/>
  <c r="DT44" i="12"/>
  <c r="FM43" i="7"/>
  <c r="DT43" i="7"/>
  <c r="DR45" i="12"/>
  <c r="DS45" i="12" s="1"/>
  <c r="DD45" i="12"/>
  <c r="DE46" i="12"/>
  <c r="CK47" i="12"/>
  <c r="DV46" i="12"/>
  <c r="DG46" i="12"/>
  <c r="DV45" i="7"/>
  <c r="CK46" i="7"/>
  <c r="DE45" i="7"/>
  <c r="DG45" i="7"/>
  <c r="DD44" i="7"/>
  <c r="DR44" i="7"/>
  <c r="DS44" i="7" s="1"/>
  <c r="HD46" i="11"/>
  <c r="EB46" i="8"/>
  <c r="ES45" i="8"/>
  <c r="EU45" i="8"/>
  <c r="FF45" i="8"/>
  <c r="FH45" i="8" s="1"/>
  <c r="FJ45" i="8" s="1"/>
  <c r="EU45" i="7"/>
  <c r="ES45" i="7"/>
  <c r="FF45" i="7"/>
  <c r="FH45" i="7" s="1"/>
  <c r="FJ45" i="7" s="1"/>
  <c r="EB46" i="7"/>
  <c r="HD46" i="6"/>
  <c r="CT20" i="11"/>
  <c r="FQ19" i="10"/>
  <c r="FU18" i="10"/>
  <c r="H18" i="10" s="1"/>
  <c r="FR19" i="12"/>
  <c r="FS19" i="12" s="1"/>
  <c r="FO19" i="12"/>
  <c r="CU20" i="12"/>
  <c r="CS20" i="12"/>
  <c r="FR20" i="5"/>
  <c r="FS20" i="5" s="1"/>
  <c r="FO20" i="5"/>
  <c r="CS21" i="5"/>
  <c r="CU21" i="5"/>
  <c r="FL19" i="10"/>
  <c r="FN19" i="10" s="1"/>
  <c r="FR19" i="10" s="1"/>
  <c r="FS19" i="10" s="1"/>
  <c r="GF22" i="8"/>
  <c r="HT21" i="8"/>
  <c r="HU21" i="8" s="1"/>
  <c r="I19" i="9"/>
  <c r="HN19" i="12"/>
  <c r="HP19" i="12" s="1"/>
  <c r="GC19" i="12"/>
  <c r="HW18" i="12"/>
  <c r="J18" i="12" s="1"/>
  <c r="HS19" i="12"/>
  <c r="I18" i="12"/>
  <c r="AK44" i="10"/>
  <c r="AF44" i="10"/>
  <c r="AL43" i="10"/>
  <c r="F43" i="10" s="1"/>
  <c r="E43" i="10"/>
  <c r="AH44" i="10"/>
  <c r="GG23" i="8"/>
  <c r="GE23" i="8"/>
  <c r="CP21" i="6"/>
  <c r="CQ21" i="6" s="1"/>
  <c r="CU22" i="6" s="1"/>
  <c r="GG21" i="6"/>
  <c r="GE21" i="6"/>
  <c r="HQ20" i="6"/>
  <c r="HT20" i="6"/>
  <c r="HU20" i="6" s="1"/>
  <c r="HS20" i="9"/>
  <c r="HV20" i="9" s="1"/>
  <c r="I20" i="9" s="1"/>
  <c r="HD45" i="8"/>
  <c r="FT18" i="8"/>
  <c r="FQ19" i="8" s="1"/>
  <c r="HD45" i="7"/>
  <c r="I22" i="7"/>
  <c r="HW22" i="7"/>
  <c r="J22" i="7" s="1"/>
  <c r="GP45" i="7"/>
  <c r="HF45" i="7" s="1"/>
  <c r="CP20" i="7"/>
  <c r="DS20" i="7"/>
  <c r="CT20" i="7"/>
  <c r="FT19" i="7"/>
  <c r="G19" i="7" s="1"/>
  <c r="HN23" i="7"/>
  <c r="HP23" i="7" s="1"/>
  <c r="GC23" i="7"/>
  <c r="DS21" i="6"/>
  <c r="CT21" i="6"/>
  <c r="FT20" i="6"/>
  <c r="AI46" i="12"/>
  <c r="AJ46" i="12" s="1"/>
  <c r="AH44" i="12"/>
  <c r="E43" i="12"/>
  <c r="AL43" i="12"/>
  <c r="F43" i="12" s="1"/>
  <c r="HC47" i="12"/>
  <c r="GN48" i="12"/>
  <c r="X48" i="12"/>
  <c r="AC47" i="12"/>
  <c r="AE47" i="12" s="1"/>
  <c r="HI49" i="12"/>
  <c r="HD45" i="12"/>
  <c r="GP45" i="12"/>
  <c r="AN47" i="12"/>
  <c r="BG46" i="12"/>
  <c r="BE46" i="12"/>
  <c r="BR46" i="12"/>
  <c r="BT46" i="12" s="1"/>
  <c r="BV46" i="12" s="1"/>
  <c r="GQ46" i="12"/>
  <c r="FW47" i="12"/>
  <c r="GS46" i="12"/>
  <c r="HH46" i="12"/>
  <c r="HJ46" i="12" s="1"/>
  <c r="HL46" i="12" s="1"/>
  <c r="L50" i="12"/>
  <c r="M49" i="12"/>
  <c r="EB48" i="12"/>
  <c r="ES47" i="12"/>
  <c r="FF47" i="12"/>
  <c r="FH47" i="12" s="1"/>
  <c r="FJ47" i="12" s="1"/>
  <c r="EU47" i="12"/>
  <c r="HF44" i="12"/>
  <c r="HO44" i="12"/>
  <c r="BY48" i="12"/>
  <c r="AD48" i="12"/>
  <c r="AF44" i="12"/>
  <c r="AK44" i="12"/>
  <c r="AI46" i="11"/>
  <c r="AJ46" i="11" s="1"/>
  <c r="L50" i="11"/>
  <c r="M49" i="11"/>
  <c r="DT44" i="11"/>
  <c r="X48" i="11"/>
  <c r="AC47" i="11"/>
  <c r="AE47" i="11" s="1"/>
  <c r="DR45" i="11"/>
  <c r="DS45" i="11" s="1"/>
  <c r="DD45" i="11"/>
  <c r="FM45" i="11" s="1"/>
  <c r="AD48" i="11"/>
  <c r="BY48" i="11"/>
  <c r="CK47" i="11"/>
  <c r="DE46" i="11"/>
  <c r="DV46" i="11"/>
  <c r="DG46" i="11"/>
  <c r="HC47" i="11"/>
  <c r="GN48" i="11"/>
  <c r="FW48" i="11"/>
  <c r="GS47" i="11"/>
  <c r="GQ47" i="11"/>
  <c r="HH47" i="11"/>
  <c r="HJ47" i="11" s="1"/>
  <c r="HL47" i="11" s="1"/>
  <c r="HF45" i="11"/>
  <c r="HO45" i="11"/>
  <c r="AK44" i="11"/>
  <c r="AF44" i="11"/>
  <c r="EB48" i="11"/>
  <c r="ES47" i="11"/>
  <c r="EU47" i="11"/>
  <c r="FF47" i="11"/>
  <c r="FH47" i="11" s="1"/>
  <c r="FJ47" i="11" s="1"/>
  <c r="GP46" i="11"/>
  <c r="AH44" i="11"/>
  <c r="AL43" i="11"/>
  <c r="F43" i="11" s="1"/>
  <c r="E43" i="11"/>
  <c r="BR47" i="11"/>
  <c r="BT47" i="11" s="1"/>
  <c r="BV47" i="11" s="1"/>
  <c r="BE47" i="11"/>
  <c r="AN48" i="11"/>
  <c r="BG47" i="11"/>
  <c r="HI50" i="11"/>
  <c r="AI46" i="10"/>
  <c r="AJ46" i="10" s="1"/>
  <c r="BR46" i="10"/>
  <c r="BT46" i="10" s="1"/>
  <c r="BV46" i="10" s="1"/>
  <c r="BG46" i="10"/>
  <c r="AN47" i="10"/>
  <c r="BE46" i="10"/>
  <c r="CU20" i="10"/>
  <c r="CS20" i="10"/>
  <c r="DS20" i="10" s="1"/>
  <c r="HD45" i="10"/>
  <c r="GP45" i="10"/>
  <c r="AD48" i="10"/>
  <c r="BY48" i="10"/>
  <c r="L50" i="10"/>
  <c r="M49" i="10"/>
  <c r="FW47" i="10"/>
  <c r="GQ46" i="10"/>
  <c r="GS46" i="10"/>
  <c r="HH46" i="10"/>
  <c r="HJ46" i="10" s="1"/>
  <c r="HL46" i="10" s="1"/>
  <c r="CK48" i="10"/>
  <c r="DE47" i="10"/>
  <c r="DG47" i="10"/>
  <c r="DV47" i="10"/>
  <c r="EB48" i="10"/>
  <c r="FF47" i="10"/>
  <c r="FH47" i="10" s="1"/>
  <c r="FJ47" i="10" s="1"/>
  <c r="EU47" i="10"/>
  <c r="ES47" i="10"/>
  <c r="AC47" i="10"/>
  <c r="AE47" i="10" s="1"/>
  <c r="X48" i="10"/>
  <c r="HI52" i="10"/>
  <c r="DT45" i="10"/>
  <c r="HF44" i="10"/>
  <c r="HO44" i="10"/>
  <c r="DR46" i="10"/>
  <c r="DS46" i="10" s="1"/>
  <c r="DD46" i="10"/>
  <c r="FM46" i="10" s="1"/>
  <c r="AI46" i="9"/>
  <c r="AJ46" i="9" s="1"/>
  <c r="E43" i="9"/>
  <c r="AH44" i="9"/>
  <c r="AL43" i="9"/>
  <c r="F43" i="9" s="1"/>
  <c r="AN47" i="9"/>
  <c r="BE46" i="9"/>
  <c r="BR46" i="9"/>
  <c r="BT46" i="9" s="1"/>
  <c r="BV46" i="9" s="1"/>
  <c r="BG46" i="9"/>
  <c r="EB48" i="9"/>
  <c r="ES47" i="9"/>
  <c r="EU47" i="9"/>
  <c r="FF47" i="9"/>
  <c r="FH47" i="9" s="1"/>
  <c r="FJ47" i="9" s="1"/>
  <c r="L50" i="9"/>
  <c r="M49" i="9"/>
  <c r="HF46" i="9"/>
  <c r="HO46" i="9"/>
  <c r="HI48" i="9"/>
  <c r="HH47" i="9"/>
  <c r="HJ47" i="9" s="1"/>
  <c r="HL47" i="9" s="1"/>
  <c r="BY48" i="9"/>
  <c r="AD48" i="9"/>
  <c r="DT45" i="9"/>
  <c r="DR46" i="9"/>
  <c r="DS46" i="9" s="1"/>
  <c r="DD46" i="9"/>
  <c r="FM46" i="9" s="1"/>
  <c r="X48" i="9"/>
  <c r="AC47" i="9"/>
  <c r="AE47" i="9" s="1"/>
  <c r="GS47" i="9"/>
  <c r="FW48" i="9"/>
  <c r="GQ47" i="9"/>
  <c r="CK48" i="9"/>
  <c r="DE47" i="9"/>
  <c r="DG47" i="9"/>
  <c r="DV47" i="9"/>
  <c r="AK44" i="9"/>
  <c r="AF44" i="9"/>
  <c r="AI45" i="8"/>
  <c r="AJ45" i="8" s="1"/>
  <c r="FW47" i="8"/>
  <c r="GS46" i="8"/>
  <c r="GQ46" i="8"/>
  <c r="GP46" i="8" s="1"/>
  <c r="HH46" i="8"/>
  <c r="HJ46" i="8" s="1"/>
  <c r="HL46" i="8" s="1"/>
  <c r="DT45" i="8"/>
  <c r="AC46" i="8"/>
  <c r="AE46" i="8" s="1"/>
  <c r="X47" i="8"/>
  <c r="AK43" i="8"/>
  <c r="AF43" i="8"/>
  <c r="AN48" i="8"/>
  <c r="BE47" i="8"/>
  <c r="BG47" i="8"/>
  <c r="BR47" i="8"/>
  <c r="BT47" i="8" s="1"/>
  <c r="BV47" i="8" s="1"/>
  <c r="DR46" i="8"/>
  <c r="DS46" i="8" s="1"/>
  <c r="DD46" i="8"/>
  <c r="FM46" i="8" s="1"/>
  <c r="AD47" i="8"/>
  <c r="BY47" i="8"/>
  <c r="HI51" i="8"/>
  <c r="AH43" i="8"/>
  <c r="E42" i="8"/>
  <c r="AL42" i="8"/>
  <c r="F42" i="8" s="1"/>
  <c r="HC46" i="8"/>
  <c r="GN47" i="8"/>
  <c r="DS19" i="8"/>
  <c r="CT19" i="8"/>
  <c r="CP19" i="8"/>
  <c r="L49" i="8"/>
  <c r="M48" i="8"/>
  <c r="GP45" i="8"/>
  <c r="CK48" i="8"/>
  <c r="DV47" i="8"/>
  <c r="DG47" i="8"/>
  <c r="DE47" i="8"/>
  <c r="AF43" i="7"/>
  <c r="AL42" i="7"/>
  <c r="F42" i="7" s="1"/>
  <c r="AH43" i="7"/>
  <c r="AK43" i="7" s="1"/>
  <c r="E42" i="7"/>
  <c r="X48" i="7"/>
  <c r="AC47" i="7"/>
  <c r="L49" i="7"/>
  <c r="M48" i="7"/>
  <c r="AN47" i="7"/>
  <c r="BG46" i="7"/>
  <c r="BE46" i="7"/>
  <c r="BR46" i="7"/>
  <c r="BT46" i="7" s="1"/>
  <c r="BV46" i="7" s="1"/>
  <c r="GQ46" i="7"/>
  <c r="GP46" i="7" s="1"/>
  <c r="FW47" i="7"/>
  <c r="GS46" i="7"/>
  <c r="HH46" i="7"/>
  <c r="HJ46" i="7" s="1"/>
  <c r="HL46" i="7" s="1"/>
  <c r="BY47" i="7"/>
  <c r="AD47" i="7"/>
  <c r="HI50" i="7"/>
  <c r="AE46" i="7"/>
  <c r="GN47" i="7"/>
  <c r="HC46" i="7"/>
  <c r="BY48" i="6"/>
  <c r="AD48" i="6"/>
  <c r="DR46" i="6"/>
  <c r="DS46" i="6" s="1"/>
  <c r="DD46" i="6"/>
  <c r="FM46" i="6" s="1"/>
  <c r="AN48" i="6"/>
  <c r="BR47" i="6"/>
  <c r="BT47" i="6" s="1"/>
  <c r="BV47" i="6" s="1"/>
  <c r="BG47" i="6"/>
  <c r="BE47" i="6"/>
  <c r="HI50" i="6"/>
  <c r="X48" i="6"/>
  <c r="AC47" i="6"/>
  <c r="AE47" i="6" s="1"/>
  <c r="L50" i="6"/>
  <c r="M49" i="6"/>
  <c r="FW48" i="6"/>
  <c r="GQ47" i="6"/>
  <c r="GS47" i="6"/>
  <c r="HH47" i="6"/>
  <c r="HJ47" i="6" s="1"/>
  <c r="HL47" i="6" s="1"/>
  <c r="HF46" i="6"/>
  <c r="HO46" i="6"/>
  <c r="HC47" i="6"/>
  <c r="GN48" i="6"/>
  <c r="HF45" i="6"/>
  <c r="HO45" i="6"/>
  <c r="DT45" i="6"/>
  <c r="CK48" i="6"/>
  <c r="DE47" i="6"/>
  <c r="DV47" i="6"/>
  <c r="DG47" i="6"/>
  <c r="AI46" i="6"/>
  <c r="AJ46" i="6" s="1"/>
  <c r="EB48" i="6"/>
  <c r="ES47" i="6"/>
  <c r="FF47" i="6"/>
  <c r="FH47" i="6" s="1"/>
  <c r="FJ47" i="6" s="1"/>
  <c r="EU47" i="6"/>
  <c r="ES48" i="5"/>
  <c r="EB49" i="5"/>
  <c r="EU48" i="5"/>
  <c r="FF48" i="5"/>
  <c r="FH48" i="5" s="1"/>
  <c r="FJ48" i="5" s="1"/>
  <c r="BG47" i="5"/>
  <c r="AN48" i="5"/>
  <c r="BR47" i="5"/>
  <c r="BT47" i="5" s="1"/>
  <c r="BV47" i="5" s="1"/>
  <c r="BE47" i="5"/>
  <c r="E43" i="5"/>
  <c r="AL43" i="5"/>
  <c r="F43" i="5" s="1"/>
  <c r="AH44" i="5"/>
  <c r="L50" i="5"/>
  <c r="M49" i="5"/>
  <c r="HI49" i="5"/>
  <c r="HD45" i="5"/>
  <c r="GP45" i="5"/>
  <c r="CK48" i="5"/>
  <c r="DG47" i="5"/>
  <c r="DE47" i="5"/>
  <c r="DV47" i="5"/>
  <c r="AK44" i="5"/>
  <c r="AF44" i="5"/>
  <c r="HF44" i="5"/>
  <c r="HO44" i="5"/>
  <c r="DT45" i="5"/>
  <c r="GQ46" i="5"/>
  <c r="FW47" i="5"/>
  <c r="GS46" i="5"/>
  <c r="HH46" i="5"/>
  <c r="HJ46" i="5" s="1"/>
  <c r="HL46" i="5" s="1"/>
  <c r="HC47" i="5"/>
  <c r="GN48" i="5"/>
  <c r="BY48" i="5"/>
  <c r="AD48" i="5"/>
  <c r="AI46" i="5"/>
  <c r="AJ46" i="5" s="1"/>
  <c r="DR46" i="5"/>
  <c r="DS46" i="5" s="1"/>
  <c r="DD46" i="5"/>
  <c r="FM46" i="5" s="1"/>
  <c r="X48" i="5"/>
  <c r="AC47" i="5"/>
  <c r="AE47" i="5" s="1"/>
  <c r="GQ46" i="3"/>
  <c r="GS46" i="3"/>
  <c r="DV46" i="3"/>
  <c r="DG46" i="3"/>
  <c r="DE46" i="3"/>
  <c r="DT44" i="3"/>
  <c r="HO44" i="3"/>
  <c r="GP45" i="3"/>
  <c r="HF45" i="3" s="1"/>
  <c r="HD45" i="3"/>
  <c r="DD45" i="3"/>
  <c r="FM45" i="3" s="1"/>
  <c r="HC51" i="3"/>
  <c r="BG46" i="3"/>
  <c r="BR46" i="3"/>
  <c r="BT46" i="3" s="1"/>
  <c r="BV46" i="3" s="1"/>
  <c r="BE46" i="3"/>
  <c r="EB48" i="3"/>
  <c r="ES47" i="3"/>
  <c r="EU47" i="3"/>
  <c r="FF47" i="3"/>
  <c r="FH47" i="3" s="1"/>
  <c r="FJ47" i="3" s="1"/>
  <c r="DR45" i="3"/>
  <c r="FW47" i="3"/>
  <c r="AN47" i="3"/>
  <c r="AD47" i="3"/>
  <c r="BY47" i="3"/>
  <c r="AC47" i="3"/>
  <c r="L49" i="3"/>
  <c r="M48" i="3"/>
  <c r="BP46" i="3"/>
  <c r="DX46" i="3"/>
  <c r="DZ46" i="3" s="1"/>
  <c r="DW49" i="3"/>
  <c r="DQ50" i="3"/>
  <c r="X48" i="3"/>
  <c r="CK47" i="3"/>
  <c r="AE46" i="3"/>
  <c r="HH46" i="3"/>
  <c r="HJ46" i="3" s="1"/>
  <c r="HL46" i="3" s="1"/>
  <c r="HO45" i="9" l="1"/>
  <c r="HF45" i="9"/>
  <c r="HV20" i="10"/>
  <c r="I20" i="10" s="1"/>
  <c r="HC46" i="10"/>
  <c r="GN47" i="10"/>
  <c r="GN47" i="9"/>
  <c r="HC46" i="9"/>
  <c r="HD46" i="9" s="1"/>
  <c r="GB21" i="9"/>
  <c r="AL45" i="6"/>
  <c r="FL21" i="9"/>
  <c r="FN21" i="9" s="1"/>
  <c r="FR21" i="9" s="1"/>
  <c r="FS21" i="9" s="1"/>
  <c r="CS22" i="9"/>
  <c r="DS22" i="9" s="1"/>
  <c r="GF21" i="9"/>
  <c r="AF46" i="6"/>
  <c r="AK46" i="6"/>
  <c r="AK47" i="6" s="1"/>
  <c r="F45" i="6"/>
  <c r="G20" i="9"/>
  <c r="FQ21" i="9"/>
  <c r="FU20" i="9"/>
  <c r="H20" i="9" s="1"/>
  <c r="HV20" i="11"/>
  <c r="HS21" i="11" s="1"/>
  <c r="HN21" i="10"/>
  <c r="HP21" i="10" s="1"/>
  <c r="HT21" i="10" s="1"/>
  <c r="HU21" i="10" s="1"/>
  <c r="HE21" i="11"/>
  <c r="GF21" i="11"/>
  <c r="GB21" i="11"/>
  <c r="GB19" i="5"/>
  <c r="GC19" i="5" s="1"/>
  <c r="GG20" i="5" s="1"/>
  <c r="FO20" i="11"/>
  <c r="CQ20" i="11"/>
  <c r="CU21" i="11" s="1"/>
  <c r="FT19" i="11"/>
  <c r="FQ20" i="11" s="1"/>
  <c r="FT20" i="11" s="1"/>
  <c r="GE22" i="10"/>
  <c r="HE22" i="10" s="1"/>
  <c r="HV18" i="5"/>
  <c r="HW18" i="5" s="1"/>
  <c r="J18" i="5" s="1"/>
  <c r="HV21" i="8"/>
  <c r="I21" i="8" s="1"/>
  <c r="HD47" i="6"/>
  <c r="HE19" i="5"/>
  <c r="GF19" i="5"/>
  <c r="HV20" i="6"/>
  <c r="HW20" i="6" s="1"/>
  <c r="J20" i="6" s="1"/>
  <c r="FT20" i="5"/>
  <c r="G20" i="5" s="1"/>
  <c r="CK48" i="12"/>
  <c r="DG47" i="12"/>
  <c r="DV47" i="12"/>
  <c r="DE47" i="12"/>
  <c r="DR46" i="12"/>
  <c r="DS46" i="12" s="1"/>
  <c r="DD46" i="12"/>
  <c r="FF46" i="8"/>
  <c r="FH46" i="8" s="1"/>
  <c r="FJ46" i="8" s="1"/>
  <c r="EU46" i="8"/>
  <c r="EB47" i="8"/>
  <c r="ES46" i="8"/>
  <c r="FM45" i="12"/>
  <c r="DT45" i="12"/>
  <c r="FS20" i="11"/>
  <c r="FM44" i="7"/>
  <c r="DT44" i="7"/>
  <c r="EU46" i="7"/>
  <c r="EB47" i="7"/>
  <c r="ES46" i="7"/>
  <c r="FF46" i="7"/>
  <c r="FH46" i="7" s="1"/>
  <c r="FJ46" i="7" s="1"/>
  <c r="DR45" i="7"/>
  <c r="DS45" i="7" s="1"/>
  <c r="DD45" i="7"/>
  <c r="DG46" i="7"/>
  <c r="DE46" i="7"/>
  <c r="CK47" i="7"/>
  <c r="DV46" i="7"/>
  <c r="FT19" i="12"/>
  <c r="G19" i="12" s="1"/>
  <c r="FL21" i="6"/>
  <c r="FN21" i="6" s="1"/>
  <c r="FO21" i="6" s="1"/>
  <c r="CS22" i="6"/>
  <c r="DS22" i="6" s="1"/>
  <c r="CP21" i="5"/>
  <c r="CQ21" i="5" s="1"/>
  <c r="FO19" i="10"/>
  <c r="DS20" i="12"/>
  <c r="CT20" i="12"/>
  <c r="CP20" i="12"/>
  <c r="DS21" i="5"/>
  <c r="CT21" i="5"/>
  <c r="GB23" i="8"/>
  <c r="GC23" i="8" s="1"/>
  <c r="GE24" i="8" s="1"/>
  <c r="HE24" i="8" s="1"/>
  <c r="GB21" i="6"/>
  <c r="GG20" i="12"/>
  <c r="GE20" i="12"/>
  <c r="HT19" i="12"/>
  <c r="HU19" i="12" s="1"/>
  <c r="HQ19" i="12"/>
  <c r="HE23" i="8"/>
  <c r="GF23" i="8"/>
  <c r="AK45" i="10"/>
  <c r="AF45" i="10"/>
  <c r="AH45" i="10"/>
  <c r="AL44" i="10"/>
  <c r="F44" i="10" s="1"/>
  <c r="E44" i="10"/>
  <c r="HT22" i="8"/>
  <c r="HU22" i="8" s="1"/>
  <c r="HQ22" i="8"/>
  <c r="HE21" i="6"/>
  <c r="GF21" i="6"/>
  <c r="CP20" i="10"/>
  <c r="FL20" i="10" s="1"/>
  <c r="FN20" i="10" s="1"/>
  <c r="CT20" i="10"/>
  <c r="HW20" i="9"/>
  <c r="J20" i="9" s="1"/>
  <c r="HS21" i="9"/>
  <c r="FU18" i="8"/>
  <c r="H18" i="8" s="1"/>
  <c r="G18" i="8"/>
  <c r="HO45" i="7"/>
  <c r="AE47" i="7"/>
  <c r="AI47" i="7" s="1"/>
  <c r="GG24" i="7"/>
  <c r="GE24" i="7"/>
  <c r="HT23" i="7"/>
  <c r="HU23" i="7" s="1"/>
  <c r="HQ23" i="7"/>
  <c r="FL20" i="7"/>
  <c r="FN20" i="7" s="1"/>
  <c r="CQ20" i="7"/>
  <c r="FQ20" i="7"/>
  <c r="FU19" i="7"/>
  <c r="H19" i="7" s="1"/>
  <c r="FU20" i="6"/>
  <c r="H20" i="6" s="1"/>
  <c r="FQ21" i="6"/>
  <c r="G20" i="6"/>
  <c r="AI47" i="12"/>
  <c r="AJ47" i="12" s="1"/>
  <c r="AH45" i="12"/>
  <c r="AL44" i="12"/>
  <c r="F44" i="12" s="1"/>
  <c r="E44" i="12"/>
  <c r="X49" i="12"/>
  <c r="AC48" i="12"/>
  <c r="AE48" i="12" s="1"/>
  <c r="AF45" i="12"/>
  <c r="AK45" i="12"/>
  <c r="FW48" i="12"/>
  <c r="GS47" i="12"/>
  <c r="GQ47" i="12"/>
  <c r="HH47" i="12"/>
  <c r="HJ47" i="12" s="1"/>
  <c r="HL47" i="12" s="1"/>
  <c r="HD46" i="12"/>
  <c r="GP46" i="12"/>
  <c r="ES48" i="12"/>
  <c r="EB49" i="12"/>
  <c r="EU48" i="12"/>
  <c r="FF48" i="12"/>
  <c r="FH48" i="12" s="1"/>
  <c r="FJ48" i="12" s="1"/>
  <c r="AN48" i="12"/>
  <c r="BR47" i="12"/>
  <c r="BT47" i="12" s="1"/>
  <c r="BV47" i="12" s="1"/>
  <c r="BG47" i="12"/>
  <c r="BE47" i="12"/>
  <c r="BY49" i="12"/>
  <c r="AD49" i="12"/>
  <c r="HF45" i="12"/>
  <c r="HO45" i="12"/>
  <c r="HC48" i="12"/>
  <c r="GN49" i="12"/>
  <c r="L51" i="12"/>
  <c r="M50" i="12"/>
  <c r="HI50" i="12"/>
  <c r="AI47" i="11"/>
  <c r="AJ47" i="11" s="1"/>
  <c r="HF46" i="11"/>
  <c r="HO46" i="11"/>
  <c r="AC48" i="11"/>
  <c r="AE48" i="11" s="1"/>
  <c r="X49" i="11"/>
  <c r="HD47" i="11"/>
  <c r="CK48" i="11"/>
  <c r="DG47" i="11"/>
  <c r="DV47" i="11"/>
  <c r="DE47" i="11"/>
  <c r="FW49" i="11"/>
  <c r="GS48" i="11"/>
  <c r="GQ48" i="11"/>
  <c r="HH48" i="11"/>
  <c r="HJ48" i="11" s="1"/>
  <c r="HL48" i="11" s="1"/>
  <c r="DR46" i="11"/>
  <c r="DS46" i="11" s="1"/>
  <c r="DD46" i="11"/>
  <c r="FM46" i="11" s="1"/>
  <c r="HI51" i="11"/>
  <c r="BY49" i="11"/>
  <c r="AD49" i="11"/>
  <c r="EB49" i="11"/>
  <c r="ES48" i="11"/>
  <c r="EU48" i="11"/>
  <c r="FF48" i="11"/>
  <c r="FH48" i="11" s="1"/>
  <c r="FJ48" i="11" s="1"/>
  <c r="AN49" i="11"/>
  <c r="BG48" i="11"/>
  <c r="BE48" i="11"/>
  <c r="BR48" i="11"/>
  <c r="BT48" i="11" s="1"/>
  <c r="BV48" i="11" s="1"/>
  <c r="AK45" i="11"/>
  <c r="AF45" i="11"/>
  <c r="M50" i="11"/>
  <c r="L51" i="11"/>
  <c r="AL44" i="11"/>
  <c r="F44" i="11" s="1"/>
  <c r="E44" i="11"/>
  <c r="AH45" i="11"/>
  <c r="GP47" i="11"/>
  <c r="DT45" i="11"/>
  <c r="HC48" i="11"/>
  <c r="GN49" i="11"/>
  <c r="EB49" i="10"/>
  <c r="ES48" i="10"/>
  <c r="EU48" i="10"/>
  <c r="FF48" i="10"/>
  <c r="FH48" i="10" s="1"/>
  <c r="FJ48" i="10" s="1"/>
  <c r="BE47" i="10"/>
  <c r="AN48" i="10"/>
  <c r="BR47" i="10"/>
  <c r="BT47" i="10" s="1"/>
  <c r="BV47" i="10" s="1"/>
  <c r="BG47" i="10"/>
  <c r="AD49" i="10"/>
  <c r="BY49" i="10"/>
  <c r="DR47" i="10"/>
  <c r="DS47" i="10" s="1"/>
  <c r="DD47" i="10"/>
  <c r="FM47" i="10" s="1"/>
  <c r="FT19" i="10"/>
  <c r="AI47" i="10"/>
  <c r="AJ47" i="10" s="1"/>
  <c r="HF45" i="10"/>
  <c r="HO45" i="10"/>
  <c r="DT46" i="10"/>
  <c r="AC48" i="10"/>
  <c r="AE48" i="10" s="1"/>
  <c r="X49" i="10"/>
  <c r="CK49" i="10"/>
  <c r="DG48" i="10"/>
  <c r="DV48" i="10"/>
  <c r="DE48" i="10"/>
  <c r="HD46" i="10"/>
  <c r="GP46" i="10"/>
  <c r="FW48" i="10"/>
  <c r="GQ47" i="10"/>
  <c r="GS47" i="10"/>
  <c r="HH47" i="10"/>
  <c r="HJ47" i="10" s="1"/>
  <c r="HL47" i="10" s="1"/>
  <c r="L51" i="10"/>
  <c r="M50" i="10"/>
  <c r="AI47" i="9"/>
  <c r="AJ47" i="9" s="1"/>
  <c r="AD49" i="9"/>
  <c r="BY49" i="9"/>
  <c r="L51" i="9"/>
  <c r="M50" i="9"/>
  <c r="FW49" i="9"/>
  <c r="GS48" i="9"/>
  <c r="GQ48" i="9"/>
  <c r="DT46" i="9"/>
  <c r="HI49" i="9"/>
  <c r="HH48" i="9"/>
  <c r="HJ48" i="9" s="1"/>
  <c r="HL48" i="9" s="1"/>
  <c r="BR47" i="9"/>
  <c r="BT47" i="9" s="1"/>
  <c r="BV47" i="9" s="1"/>
  <c r="AN48" i="9"/>
  <c r="BE47" i="9"/>
  <c r="BG47" i="9"/>
  <c r="E44" i="9"/>
  <c r="AH45" i="9"/>
  <c r="AL44" i="9"/>
  <c r="F44" i="9" s="1"/>
  <c r="AK45" i="9"/>
  <c r="AF45" i="9"/>
  <c r="ES48" i="9"/>
  <c r="EU48" i="9"/>
  <c r="EB49" i="9"/>
  <c r="FF48" i="9"/>
  <c r="FH48" i="9" s="1"/>
  <c r="FJ48" i="9" s="1"/>
  <c r="DR47" i="9"/>
  <c r="DS47" i="9" s="1"/>
  <c r="DD47" i="9"/>
  <c r="FM47" i="9" s="1"/>
  <c r="AC48" i="9"/>
  <c r="AE48" i="9" s="1"/>
  <c r="X49" i="9"/>
  <c r="CK49" i="9"/>
  <c r="DE48" i="9"/>
  <c r="DV48" i="9"/>
  <c r="DG48" i="9"/>
  <c r="HN21" i="9"/>
  <c r="HP21" i="9" s="1"/>
  <c r="GC21" i="9"/>
  <c r="AI46" i="8"/>
  <c r="AJ46" i="8" s="1"/>
  <c r="AF44" i="8"/>
  <c r="AK44" i="8"/>
  <c r="E43" i="8"/>
  <c r="AH44" i="8"/>
  <c r="AL43" i="8"/>
  <c r="F43" i="8" s="1"/>
  <c r="HI52" i="8"/>
  <c r="DR47" i="8"/>
  <c r="DS47" i="8" s="1"/>
  <c r="DD47" i="8"/>
  <c r="FM47" i="8" s="1"/>
  <c r="DT46" i="8"/>
  <c r="CK49" i="8"/>
  <c r="DG48" i="8"/>
  <c r="DV48" i="8"/>
  <c r="DE48" i="8"/>
  <c r="HF45" i="8"/>
  <c r="HO45" i="8"/>
  <c r="FL19" i="8"/>
  <c r="FN19" i="8" s="1"/>
  <c r="CQ19" i="8"/>
  <c r="HF46" i="8"/>
  <c r="HO46" i="8"/>
  <c r="HC47" i="8"/>
  <c r="GN48" i="8"/>
  <c r="HD46" i="8"/>
  <c r="AD48" i="8"/>
  <c r="BY48" i="8"/>
  <c r="FW48" i="8"/>
  <c r="GS47" i="8"/>
  <c r="GQ47" i="8"/>
  <c r="GP47" i="8" s="1"/>
  <c r="HH47" i="8"/>
  <c r="HJ47" i="8" s="1"/>
  <c r="HL47" i="8" s="1"/>
  <c r="L50" i="8"/>
  <c r="M49" i="8"/>
  <c r="AN49" i="8"/>
  <c r="BR48" i="8"/>
  <c r="BT48" i="8" s="1"/>
  <c r="BV48" i="8" s="1"/>
  <c r="BG48" i="8"/>
  <c r="BE48" i="8"/>
  <c r="AC47" i="8"/>
  <c r="AE47" i="8" s="1"/>
  <c r="X48" i="8"/>
  <c r="AC48" i="7"/>
  <c r="X49" i="7"/>
  <c r="HC47" i="7"/>
  <c r="GN48" i="7"/>
  <c r="GS47" i="7"/>
  <c r="FW48" i="7"/>
  <c r="GQ47" i="7"/>
  <c r="HH47" i="7"/>
  <c r="HJ47" i="7" s="1"/>
  <c r="HL47" i="7" s="1"/>
  <c r="AI46" i="7"/>
  <c r="AJ46" i="7" s="1"/>
  <c r="HD46" i="7"/>
  <c r="HF46" i="7"/>
  <c r="HO46" i="7"/>
  <c r="HI51" i="7"/>
  <c r="BE47" i="7"/>
  <c r="AN48" i="7"/>
  <c r="BG47" i="7"/>
  <c r="BR47" i="7"/>
  <c r="BT47" i="7" s="1"/>
  <c r="BV47" i="7" s="1"/>
  <c r="AH44" i="7"/>
  <c r="AK44" i="7" s="1"/>
  <c r="AL43" i="7"/>
  <c r="F43" i="7" s="1"/>
  <c r="E43" i="7"/>
  <c r="AD48" i="7"/>
  <c r="BY48" i="7"/>
  <c r="AF44" i="7"/>
  <c r="L50" i="7"/>
  <c r="M49" i="7"/>
  <c r="HC48" i="6"/>
  <c r="GN49" i="6"/>
  <c r="GP47" i="6"/>
  <c r="AI47" i="6"/>
  <c r="AJ47" i="6" s="1"/>
  <c r="BY49" i="6"/>
  <c r="AD49" i="6"/>
  <c r="AN49" i="6"/>
  <c r="BR48" i="6"/>
  <c r="BT48" i="6" s="1"/>
  <c r="BV48" i="6" s="1"/>
  <c r="BG48" i="6"/>
  <c r="BE48" i="6"/>
  <c r="L51" i="6"/>
  <c r="M50" i="6"/>
  <c r="HI51" i="6"/>
  <c r="DR47" i="6"/>
  <c r="DS47" i="6" s="1"/>
  <c r="DD47" i="6"/>
  <c r="FM47" i="6" s="1"/>
  <c r="DT46" i="6"/>
  <c r="CK49" i="6"/>
  <c r="DE48" i="6"/>
  <c r="DG48" i="6"/>
  <c r="DV48" i="6"/>
  <c r="EB49" i="6"/>
  <c r="EU48" i="6"/>
  <c r="FF48" i="6"/>
  <c r="FH48" i="6" s="1"/>
  <c r="FJ48" i="6" s="1"/>
  <c r="ES48" i="6"/>
  <c r="X49" i="6"/>
  <c r="AC48" i="6"/>
  <c r="AE48" i="6" s="1"/>
  <c r="GS48" i="6"/>
  <c r="GQ48" i="6"/>
  <c r="GP48" i="6" s="1"/>
  <c r="FW49" i="6"/>
  <c r="HH48" i="6"/>
  <c r="HJ48" i="6" s="1"/>
  <c r="HL48" i="6" s="1"/>
  <c r="BY49" i="5"/>
  <c r="AD49" i="5"/>
  <c r="CK49" i="5"/>
  <c r="DG48" i="5"/>
  <c r="DV48" i="5"/>
  <c r="DE48" i="5"/>
  <c r="HI50" i="5"/>
  <c r="HD46" i="5"/>
  <c r="GP46" i="5"/>
  <c r="AC48" i="5"/>
  <c r="AE48" i="5" s="1"/>
  <c r="X49" i="5"/>
  <c r="HF45" i="5"/>
  <c r="HO45" i="5"/>
  <c r="HC48" i="5"/>
  <c r="GN49" i="5"/>
  <c r="GS47" i="5"/>
  <c r="FW48" i="5"/>
  <c r="GQ47" i="5"/>
  <c r="HH47" i="5"/>
  <c r="HJ47" i="5" s="1"/>
  <c r="HL47" i="5" s="1"/>
  <c r="AI47" i="5"/>
  <c r="AJ47" i="5" s="1"/>
  <c r="DT46" i="5"/>
  <c r="AN49" i="5"/>
  <c r="BG48" i="5"/>
  <c r="BE48" i="5"/>
  <c r="BR48" i="5"/>
  <c r="BT48" i="5" s="1"/>
  <c r="BV48" i="5" s="1"/>
  <c r="AK45" i="5"/>
  <c r="AF45" i="5"/>
  <c r="EU49" i="5"/>
  <c r="EB50" i="5"/>
  <c r="ES49" i="5"/>
  <c r="FF49" i="5"/>
  <c r="FH49" i="5" s="1"/>
  <c r="FJ49" i="5" s="1"/>
  <c r="L51" i="5"/>
  <c r="M50" i="5"/>
  <c r="DR47" i="5"/>
  <c r="DS47" i="5" s="1"/>
  <c r="DD47" i="5"/>
  <c r="FM47" i="5" s="1"/>
  <c r="E44" i="5"/>
  <c r="AH45" i="5"/>
  <c r="AL44" i="5"/>
  <c r="F44" i="5" s="1"/>
  <c r="GS47" i="3"/>
  <c r="GQ47" i="3"/>
  <c r="DV47" i="3"/>
  <c r="DE47" i="3"/>
  <c r="DG47" i="3"/>
  <c r="DT45" i="3"/>
  <c r="HO45" i="3"/>
  <c r="GP46" i="3"/>
  <c r="HD46" i="3"/>
  <c r="DD46" i="3"/>
  <c r="FM46" i="3" s="1"/>
  <c r="HC52" i="3"/>
  <c r="BG47" i="3"/>
  <c r="BR47" i="3"/>
  <c r="BT47" i="3" s="1"/>
  <c r="BV47" i="3" s="1"/>
  <c r="BE47" i="3"/>
  <c r="EB49" i="3"/>
  <c r="ES48" i="3"/>
  <c r="EU48" i="3"/>
  <c r="FF48" i="3"/>
  <c r="FH48" i="3" s="1"/>
  <c r="FJ48" i="3" s="1"/>
  <c r="DR46" i="3"/>
  <c r="AN48" i="3"/>
  <c r="FW48" i="3"/>
  <c r="AD48" i="3"/>
  <c r="BY48" i="3"/>
  <c r="AC48" i="3"/>
  <c r="L50" i="3"/>
  <c r="M49" i="3"/>
  <c r="BP47" i="3"/>
  <c r="DX47" i="3"/>
  <c r="DZ47" i="3" s="1"/>
  <c r="DW50" i="3"/>
  <c r="DQ51" i="3"/>
  <c r="X49" i="3"/>
  <c r="CK48" i="3"/>
  <c r="AE47" i="3"/>
  <c r="HH47" i="3"/>
  <c r="HJ47" i="3" s="1"/>
  <c r="HL47" i="3" s="1"/>
  <c r="E46" i="6" l="1"/>
  <c r="AL46" i="6"/>
  <c r="F46" i="6" s="1"/>
  <c r="HC47" i="9"/>
  <c r="HD47" i="9" s="1"/>
  <c r="GN48" i="9"/>
  <c r="FT21" i="9"/>
  <c r="FQ22" i="9" s="1"/>
  <c r="HC47" i="10"/>
  <c r="GN48" i="10"/>
  <c r="CP22" i="9"/>
  <c r="CQ22" i="9" s="1"/>
  <c r="CS23" i="9" s="1"/>
  <c r="AF47" i="6"/>
  <c r="E47" i="6" s="1"/>
  <c r="HS21" i="10"/>
  <c r="HV21" i="10" s="1"/>
  <c r="HW21" i="10" s="1"/>
  <c r="GP47" i="9"/>
  <c r="HW20" i="10"/>
  <c r="J20" i="10" s="1"/>
  <c r="AH47" i="6"/>
  <c r="FO21" i="9"/>
  <c r="CT22" i="9"/>
  <c r="HN19" i="5"/>
  <c r="HP19" i="5" s="1"/>
  <c r="HQ19" i="5" s="1"/>
  <c r="I20" i="11"/>
  <c r="HW20" i="11"/>
  <c r="J20" i="11" s="1"/>
  <c r="HQ21" i="10"/>
  <c r="GE20" i="5"/>
  <c r="HE20" i="5" s="1"/>
  <c r="HN21" i="11"/>
  <c r="HP21" i="11" s="1"/>
  <c r="GC21" i="11"/>
  <c r="HS22" i="8"/>
  <c r="HV22" i="8" s="1"/>
  <c r="I22" i="8" s="1"/>
  <c r="GB22" i="10"/>
  <c r="GC22" i="10" s="1"/>
  <c r="GG23" i="10" s="1"/>
  <c r="FR21" i="6"/>
  <c r="FS21" i="6" s="1"/>
  <c r="CS21" i="11"/>
  <c r="DS21" i="11" s="1"/>
  <c r="HW21" i="8"/>
  <c r="J21" i="8" s="1"/>
  <c r="I18" i="5"/>
  <c r="G19" i="11"/>
  <c r="FU19" i="11"/>
  <c r="H19" i="11" s="1"/>
  <c r="GF22" i="10"/>
  <c r="HS19" i="5"/>
  <c r="I20" i="6"/>
  <c r="FU20" i="5"/>
  <c r="H20" i="5" s="1"/>
  <c r="FQ21" i="5"/>
  <c r="FQ20" i="12"/>
  <c r="FU19" i="12"/>
  <c r="H19" i="12" s="1"/>
  <c r="HS21" i="6"/>
  <c r="FR20" i="10"/>
  <c r="FS20" i="10" s="1"/>
  <c r="FM45" i="7"/>
  <c r="DT45" i="7"/>
  <c r="EB48" i="8"/>
  <c r="ES47" i="8"/>
  <c r="EU47" i="8"/>
  <c r="FF47" i="8"/>
  <c r="FH47" i="8" s="1"/>
  <c r="FJ47" i="8" s="1"/>
  <c r="EU47" i="7"/>
  <c r="EB48" i="7"/>
  <c r="ES47" i="7"/>
  <c r="FF47" i="7"/>
  <c r="FH47" i="7" s="1"/>
  <c r="FJ47" i="7" s="1"/>
  <c r="FM46" i="12"/>
  <c r="DT46" i="12"/>
  <c r="HD48" i="11"/>
  <c r="DD47" i="12"/>
  <c r="DR47" i="12"/>
  <c r="DS47" i="12" s="1"/>
  <c r="G20" i="11"/>
  <c r="FQ21" i="11"/>
  <c r="FU20" i="11"/>
  <c r="H20" i="11" s="1"/>
  <c r="CK49" i="12"/>
  <c r="DG48" i="12"/>
  <c r="DV48" i="12"/>
  <c r="DE48" i="12"/>
  <c r="CT22" i="6"/>
  <c r="FL21" i="5"/>
  <c r="FN21" i="5" s="1"/>
  <c r="FR21" i="5" s="1"/>
  <c r="FS21" i="5" s="1"/>
  <c r="DG47" i="7"/>
  <c r="DV47" i="7"/>
  <c r="CK48" i="7"/>
  <c r="DE47" i="7"/>
  <c r="DD46" i="7"/>
  <c r="DR46" i="7"/>
  <c r="DS46" i="7" s="1"/>
  <c r="CP22" i="6"/>
  <c r="CQ22" i="6" s="1"/>
  <c r="FL20" i="12"/>
  <c r="FN20" i="12" s="1"/>
  <c r="CQ20" i="12"/>
  <c r="CS22" i="5"/>
  <c r="CU22" i="5"/>
  <c r="CQ20" i="10"/>
  <c r="CS21" i="10" s="1"/>
  <c r="HN23" i="8"/>
  <c r="HP23" i="8" s="1"/>
  <c r="HQ23" i="8" s="1"/>
  <c r="GG24" i="8"/>
  <c r="GB24" i="8" s="1"/>
  <c r="HN24" i="8" s="1"/>
  <c r="HP24" i="8" s="1"/>
  <c r="HV19" i="12"/>
  <c r="HW19" i="12" s="1"/>
  <c r="J19" i="12" s="1"/>
  <c r="HN21" i="6"/>
  <c r="HP21" i="6" s="1"/>
  <c r="HQ21" i="6" s="1"/>
  <c r="GC21" i="6"/>
  <c r="GE22" i="6" s="1"/>
  <c r="GF24" i="8"/>
  <c r="GB20" i="12"/>
  <c r="GC20" i="12" s="1"/>
  <c r="GE21" i="12" s="1"/>
  <c r="HE21" i="12" s="1"/>
  <c r="HE20" i="12"/>
  <c r="GF20" i="12"/>
  <c r="AL45" i="10"/>
  <c r="F45" i="10" s="1"/>
  <c r="E45" i="10"/>
  <c r="AH46" i="10"/>
  <c r="AK46" i="10"/>
  <c r="AF46" i="10"/>
  <c r="AE48" i="7"/>
  <c r="AI48" i="7" s="1"/>
  <c r="FO20" i="10"/>
  <c r="AJ47" i="7"/>
  <c r="GF24" i="7"/>
  <c r="HE24" i="7"/>
  <c r="CU21" i="7"/>
  <c r="CS21" i="7"/>
  <c r="FR20" i="7"/>
  <c r="FS20" i="7" s="1"/>
  <c r="FO20" i="7"/>
  <c r="HV23" i="7"/>
  <c r="GB24" i="7"/>
  <c r="GQ48" i="12"/>
  <c r="FW49" i="12"/>
  <c r="GS48" i="12"/>
  <c r="HH48" i="12"/>
  <c r="HJ48" i="12" s="1"/>
  <c r="HL48" i="12" s="1"/>
  <c r="HI51" i="12"/>
  <c r="AI48" i="12"/>
  <c r="AJ48" i="12" s="1"/>
  <c r="EB50" i="12"/>
  <c r="FF49" i="12"/>
  <c r="FH49" i="12" s="1"/>
  <c r="FJ49" i="12" s="1"/>
  <c r="ES49" i="12"/>
  <c r="EU49" i="12"/>
  <c r="AK46" i="12"/>
  <c r="AF46" i="12"/>
  <c r="HD47" i="12"/>
  <c r="GP47" i="12"/>
  <c r="AD50" i="12"/>
  <c r="BY50" i="12"/>
  <c r="HF46" i="12"/>
  <c r="HO46" i="12"/>
  <c r="GN50" i="12"/>
  <c r="HC49" i="12"/>
  <c r="X50" i="12"/>
  <c r="AC49" i="12"/>
  <c r="AE49" i="12" s="1"/>
  <c r="M51" i="12"/>
  <c r="L52" i="12"/>
  <c r="M52" i="12" s="1"/>
  <c r="AN49" i="12"/>
  <c r="BR48" i="12"/>
  <c r="BT48" i="12" s="1"/>
  <c r="BV48" i="12" s="1"/>
  <c r="BG48" i="12"/>
  <c r="BE48" i="12"/>
  <c r="AH46" i="12"/>
  <c r="E45" i="12"/>
  <c r="AL45" i="12"/>
  <c r="F45" i="12" s="1"/>
  <c r="GQ49" i="11"/>
  <c r="GP49" i="11" s="1"/>
  <c r="FW50" i="11"/>
  <c r="GS49" i="11"/>
  <c r="HH49" i="11"/>
  <c r="HJ49" i="11" s="1"/>
  <c r="HL49" i="11" s="1"/>
  <c r="HI52" i="11"/>
  <c r="GN50" i="11"/>
  <c r="HC49" i="11"/>
  <c r="M51" i="11"/>
  <c r="L52" i="11"/>
  <c r="M52" i="11" s="1"/>
  <c r="AD50" i="11"/>
  <c r="BY50" i="11"/>
  <c r="EB50" i="11"/>
  <c r="FF49" i="11"/>
  <c r="FH49" i="11" s="1"/>
  <c r="FJ49" i="11" s="1"/>
  <c r="ES49" i="11"/>
  <c r="EU49" i="11"/>
  <c r="DR47" i="11"/>
  <c r="DS47" i="11" s="1"/>
  <c r="DD47" i="11"/>
  <c r="FM47" i="11" s="1"/>
  <c r="GP48" i="11"/>
  <c r="HF47" i="11"/>
  <c r="HO47" i="11"/>
  <c r="E45" i="11"/>
  <c r="AL45" i="11"/>
  <c r="F45" i="11" s="1"/>
  <c r="AH46" i="11"/>
  <c r="DT46" i="11"/>
  <c r="AI48" i="11"/>
  <c r="AJ48" i="11" s="1"/>
  <c r="AN50" i="11"/>
  <c r="BE49" i="11"/>
  <c r="BG49" i="11"/>
  <c r="BR49" i="11"/>
  <c r="BT49" i="11" s="1"/>
  <c r="BV49" i="11" s="1"/>
  <c r="CK49" i="11"/>
  <c r="DG48" i="11"/>
  <c r="DE48" i="11"/>
  <c r="DV48" i="11"/>
  <c r="AF46" i="11"/>
  <c r="AK46" i="11"/>
  <c r="AC49" i="11"/>
  <c r="AE49" i="11" s="1"/>
  <c r="X50" i="11"/>
  <c r="AC49" i="10"/>
  <c r="AE49" i="10" s="1"/>
  <c r="X50" i="10"/>
  <c r="AN49" i="10"/>
  <c r="BG48" i="10"/>
  <c r="BR48" i="10"/>
  <c r="BT48" i="10" s="1"/>
  <c r="BV48" i="10" s="1"/>
  <c r="BE48" i="10"/>
  <c r="HD47" i="10"/>
  <c r="GP47" i="10"/>
  <c r="FW49" i="10"/>
  <c r="GS48" i="10"/>
  <c r="GQ48" i="10"/>
  <c r="HH48" i="10"/>
  <c r="HJ48" i="10" s="1"/>
  <c r="HL48" i="10" s="1"/>
  <c r="AD50" i="10"/>
  <c r="BY50" i="10"/>
  <c r="HF46" i="10"/>
  <c r="HO46" i="10"/>
  <c r="FQ20" i="10"/>
  <c r="FU19" i="10"/>
  <c r="H19" i="10" s="1"/>
  <c r="G19" i="10"/>
  <c r="AI48" i="10"/>
  <c r="AJ48" i="10" s="1"/>
  <c r="EU49" i="10"/>
  <c r="FF49" i="10"/>
  <c r="FH49" i="10" s="1"/>
  <c r="FJ49" i="10" s="1"/>
  <c r="EB50" i="10"/>
  <c r="ES49" i="10"/>
  <c r="M51" i="10"/>
  <c r="L52" i="10"/>
  <c r="M52" i="10" s="1"/>
  <c r="DT47" i="10"/>
  <c r="DR48" i="10"/>
  <c r="DS48" i="10" s="1"/>
  <c r="DD48" i="10"/>
  <c r="FM48" i="10" s="1"/>
  <c r="DV49" i="10"/>
  <c r="DE49" i="10"/>
  <c r="CK50" i="10"/>
  <c r="DG49" i="10"/>
  <c r="AI48" i="9"/>
  <c r="AJ48" i="9" s="1"/>
  <c r="DT47" i="9"/>
  <c r="GG22" i="9"/>
  <c r="GE22" i="9"/>
  <c r="EU49" i="9"/>
  <c r="EB50" i="9"/>
  <c r="ES49" i="9"/>
  <c r="FF49" i="9"/>
  <c r="FH49" i="9" s="1"/>
  <c r="FJ49" i="9" s="1"/>
  <c r="DR48" i="9"/>
  <c r="DS48" i="9" s="1"/>
  <c r="DD48" i="9"/>
  <c r="FM48" i="9" s="1"/>
  <c r="HT21" i="9"/>
  <c r="HU21" i="9" s="1"/>
  <c r="HQ21" i="9"/>
  <c r="GP48" i="9"/>
  <c r="AN49" i="9"/>
  <c r="BR48" i="9"/>
  <c r="BT48" i="9" s="1"/>
  <c r="BV48" i="9" s="1"/>
  <c r="BE48" i="9"/>
  <c r="BG48" i="9"/>
  <c r="CK50" i="9"/>
  <c r="DV49" i="9"/>
  <c r="DG49" i="9"/>
  <c r="DE49" i="9"/>
  <c r="X50" i="9"/>
  <c r="AC49" i="9"/>
  <c r="AE49" i="9" s="1"/>
  <c r="AK46" i="9"/>
  <c r="AF46" i="9"/>
  <c r="HI50" i="9"/>
  <c r="HH49" i="9"/>
  <c r="HJ49" i="9" s="1"/>
  <c r="HL49" i="9" s="1"/>
  <c r="FW50" i="9"/>
  <c r="GQ49" i="9"/>
  <c r="GS49" i="9"/>
  <c r="AL45" i="9"/>
  <c r="F45" i="9" s="1"/>
  <c r="E45" i="9"/>
  <c r="AH46" i="9"/>
  <c r="AD50" i="9"/>
  <c r="BY50" i="9"/>
  <c r="M51" i="9"/>
  <c r="L52" i="9"/>
  <c r="M52" i="9" s="1"/>
  <c r="AN50" i="8"/>
  <c r="BE49" i="8"/>
  <c r="BG49" i="8"/>
  <c r="BR49" i="8"/>
  <c r="BT49" i="8" s="1"/>
  <c r="BV49" i="8" s="1"/>
  <c r="BY49" i="8"/>
  <c r="AD49" i="8"/>
  <c r="GN49" i="8"/>
  <c r="HC48" i="8"/>
  <c r="DR48" i="8"/>
  <c r="DS48" i="8" s="1"/>
  <c r="DD48" i="8"/>
  <c r="FM48" i="8" s="1"/>
  <c r="L51" i="8"/>
  <c r="M50" i="8"/>
  <c r="HD47" i="8"/>
  <c r="DV49" i="8"/>
  <c r="DE49" i="8"/>
  <c r="CK50" i="8"/>
  <c r="DG49" i="8"/>
  <c r="AH45" i="8"/>
  <c r="E44" i="8"/>
  <c r="AL44" i="8"/>
  <c r="F44" i="8" s="1"/>
  <c r="AI47" i="8"/>
  <c r="AJ47" i="8" s="1"/>
  <c r="DT47" i="8"/>
  <c r="CU20" i="8"/>
  <c r="CS20" i="8"/>
  <c r="AF45" i="8"/>
  <c r="AK45" i="8"/>
  <c r="FW49" i="8"/>
  <c r="GS48" i="8"/>
  <c r="GQ48" i="8"/>
  <c r="HH48" i="8"/>
  <c r="HJ48" i="8" s="1"/>
  <c r="HL48" i="8" s="1"/>
  <c r="AC48" i="8"/>
  <c r="AE48" i="8" s="1"/>
  <c r="X49" i="8"/>
  <c r="FR19" i="8"/>
  <c r="FS19" i="8" s="1"/>
  <c r="FO19" i="8"/>
  <c r="HF47" i="8"/>
  <c r="HO47" i="8"/>
  <c r="AD49" i="7"/>
  <c r="BY49" i="7"/>
  <c r="L51" i="7"/>
  <c r="M50" i="7"/>
  <c r="AL44" i="7"/>
  <c r="F44" i="7" s="1"/>
  <c r="AH45" i="7"/>
  <c r="AK45" i="7" s="1"/>
  <c r="E44" i="7"/>
  <c r="AN49" i="7"/>
  <c r="BR48" i="7"/>
  <c r="BT48" i="7" s="1"/>
  <c r="BV48" i="7" s="1"/>
  <c r="BG48" i="7"/>
  <c r="BE48" i="7"/>
  <c r="HD47" i="7"/>
  <c r="AF45" i="7"/>
  <c r="FW49" i="7"/>
  <c r="GQ48" i="7"/>
  <c r="GP48" i="7" s="1"/>
  <c r="GS48" i="7"/>
  <c r="HH48" i="7"/>
  <c r="HJ48" i="7" s="1"/>
  <c r="HL48" i="7" s="1"/>
  <c r="HI52" i="7"/>
  <c r="AC49" i="7"/>
  <c r="X50" i="7"/>
  <c r="GP47" i="7"/>
  <c r="HC48" i="7"/>
  <c r="GN49" i="7"/>
  <c r="HI52" i="6"/>
  <c r="HC49" i="6"/>
  <c r="GN50" i="6"/>
  <c r="ES49" i="6"/>
  <c r="EB50" i="6"/>
  <c r="EU49" i="6"/>
  <c r="FF49" i="6"/>
  <c r="FH49" i="6" s="1"/>
  <c r="FJ49" i="6" s="1"/>
  <c r="AD50" i="6"/>
  <c r="BY50" i="6"/>
  <c r="M51" i="6"/>
  <c r="L52" i="6"/>
  <c r="M52" i="6" s="1"/>
  <c r="HF48" i="6"/>
  <c r="HO48" i="6"/>
  <c r="DD48" i="6"/>
  <c r="FM48" i="6" s="1"/>
  <c r="DR48" i="6"/>
  <c r="DS48" i="6" s="1"/>
  <c r="X50" i="6"/>
  <c r="AC49" i="6"/>
  <c r="AE49" i="6" s="1"/>
  <c r="CK50" i="6"/>
  <c r="DG49" i="6"/>
  <c r="DE49" i="6"/>
  <c r="DV49" i="6"/>
  <c r="AH48" i="6"/>
  <c r="AL47" i="6"/>
  <c r="F47" i="6" s="1"/>
  <c r="HF47" i="6"/>
  <c r="HO47" i="6"/>
  <c r="AN50" i="6"/>
  <c r="BR49" i="6"/>
  <c r="BT49" i="6" s="1"/>
  <c r="BV49" i="6" s="1"/>
  <c r="BG49" i="6"/>
  <c r="BE49" i="6"/>
  <c r="AK48" i="6"/>
  <c r="AI48" i="6"/>
  <c r="AJ48" i="6" s="1"/>
  <c r="AF48" i="6"/>
  <c r="HJ49" i="6"/>
  <c r="HL49" i="6" s="1"/>
  <c r="GS49" i="6"/>
  <c r="GQ49" i="6"/>
  <c r="GP49" i="6" s="1"/>
  <c r="FW50" i="6"/>
  <c r="HH49" i="6"/>
  <c r="DT47" i="6"/>
  <c r="HD48" i="6"/>
  <c r="DT47" i="5"/>
  <c r="HD47" i="5"/>
  <c r="GP47" i="5"/>
  <c r="X50" i="5"/>
  <c r="AC49" i="5"/>
  <c r="AE49" i="5" s="1"/>
  <c r="DR48" i="5"/>
  <c r="DS48" i="5" s="1"/>
  <c r="DD48" i="5"/>
  <c r="FM48" i="5" s="1"/>
  <c r="FW49" i="5"/>
  <c r="GS48" i="5"/>
  <c r="GQ48" i="5"/>
  <c r="HH48" i="5"/>
  <c r="HJ48" i="5" s="1"/>
  <c r="HL48" i="5" s="1"/>
  <c r="AD50" i="5"/>
  <c r="BY50" i="5"/>
  <c r="EB51" i="5"/>
  <c r="EU50" i="5"/>
  <c r="ES50" i="5"/>
  <c r="FF50" i="5"/>
  <c r="FH50" i="5" s="1"/>
  <c r="FJ50" i="5" s="1"/>
  <c r="M51" i="5"/>
  <c r="L52" i="5"/>
  <c r="M52" i="5" s="1"/>
  <c r="AI48" i="5"/>
  <c r="AJ48" i="5" s="1"/>
  <c r="CK50" i="5"/>
  <c r="DE49" i="5"/>
  <c r="DV49" i="5"/>
  <c r="DG49" i="5"/>
  <c r="AN50" i="5"/>
  <c r="BR49" i="5"/>
  <c r="BT49" i="5" s="1"/>
  <c r="BV49" i="5" s="1"/>
  <c r="BG49" i="5"/>
  <c r="BE49" i="5"/>
  <c r="HF46" i="5"/>
  <c r="HO46" i="5"/>
  <c r="AF46" i="5"/>
  <c r="AK46" i="5"/>
  <c r="HC49" i="5"/>
  <c r="GN50" i="5"/>
  <c r="HI51" i="5"/>
  <c r="AH46" i="5"/>
  <c r="AL45" i="5"/>
  <c r="F45" i="5" s="1"/>
  <c r="E45" i="5"/>
  <c r="DV48" i="3"/>
  <c r="DE48" i="3"/>
  <c r="DG48" i="3"/>
  <c r="GS48" i="3"/>
  <c r="GQ48" i="3"/>
  <c r="DT46" i="3"/>
  <c r="HF46" i="3"/>
  <c r="HO46" i="3"/>
  <c r="GP47" i="3"/>
  <c r="HF47" i="3" s="1"/>
  <c r="HD47" i="3"/>
  <c r="DD47" i="3"/>
  <c r="FM47" i="3" s="1"/>
  <c r="EB50" i="3"/>
  <c r="EU49" i="3"/>
  <c r="ES49" i="3"/>
  <c r="FF49" i="3"/>
  <c r="FH49" i="3" s="1"/>
  <c r="FJ49" i="3" s="1"/>
  <c r="BG48" i="3"/>
  <c r="BR48" i="3"/>
  <c r="BT48" i="3" s="1"/>
  <c r="BV48" i="3" s="1"/>
  <c r="BE48" i="3"/>
  <c r="DR47" i="3"/>
  <c r="FW49" i="3"/>
  <c r="AN49" i="3"/>
  <c r="AD49" i="3"/>
  <c r="BY49" i="3"/>
  <c r="AC49" i="3"/>
  <c r="L51" i="3"/>
  <c r="M50" i="3"/>
  <c r="DX48" i="3"/>
  <c r="DZ48" i="3" s="1"/>
  <c r="DW51" i="3"/>
  <c r="BP48" i="3"/>
  <c r="DQ52" i="3"/>
  <c r="CK49" i="3"/>
  <c r="X50" i="3"/>
  <c r="HH48" i="3"/>
  <c r="HJ48" i="3" s="1"/>
  <c r="HL48" i="3" s="1"/>
  <c r="AE48" i="3"/>
  <c r="G21" i="9" l="1"/>
  <c r="FL22" i="9"/>
  <c r="FN22" i="9" s="1"/>
  <c r="FO22" i="9" s="1"/>
  <c r="CU23" i="9"/>
  <c r="CP23" i="9" s="1"/>
  <c r="CQ23" i="9" s="1"/>
  <c r="CU24" i="9" s="1"/>
  <c r="HF47" i="9"/>
  <c r="HO47" i="9"/>
  <c r="HC48" i="10"/>
  <c r="GN49" i="10"/>
  <c r="HC48" i="9"/>
  <c r="HD48" i="9" s="1"/>
  <c r="GN49" i="9"/>
  <c r="FU21" i="9"/>
  <c r="H21" i="9" s="1"/>
  <c r="HT19" i="5"/>
  <c r="HU19" i="5" s="1"/>
  <c r="FR22" i="9"/>
  <c r="FS22" i="9" s="1"/>
  <c r="J21" i="10"/>
  <c r="I21" i="10"/>
  <c r="HS22" i="10"/>
  <c r="GF20" i="5"/>
  <c r="GE23" i="10"/>
  <c r="HE23" i="10" s="1"/>
  <c r="GB20" i="5"/>
  <c r="GC20" i="5" s="1"/>
  <c r="GG21" i="5" s="1"/>
  <c r="CT23" i="9"/>
  <c r="DS23" i="9"/>
  <c r="HN22" i="10"/>
  <c r="HP22" i="10" s="1"/>
  <c r="HQ22" i="10" s="1"/>
  <c r="CP21" i="11"/>
  <c r="FL21" i="11" s="1"/>
  <c r="FN21" i="11" s="1"/>
  <c r="FT21" i="6"/>
  <c r="G21" i="6" s="1"/>
  <c r="GG22" i="11"/>
  <c r="GE22" i="11"/>
  <c r="CT21" i="11"/>
  <c r="HT21" i="11"/>
  <c r="HU21" i="11" s="1"/>
  <c r="HQ21" i="11"/>
  <c r="FT20" i="10"/>
  <c r="G20" i="10" s="1"/>
  <c r="AJ48" i="7"/>
  <c r="FO21" i="5"/>
  <c r="HV19" i="5"/>
  <c r="FM46" i="7"/>
  <c r="DT46" i="7"/>
  <c r="DR48" i="12"/>
  <c r="DS48" i="12" s="1"/>
  <c r="DD48" i="12"/>
  <c r="I19" i="12"/>
  <c r="FL22" i="6"/>
  <c r="FN22" i="6" s="1"/>
  <c r="FO22" i="6" s="1"/>
  <c r="HS20" i="12"/>
  <c r="DR47" i="7"/>
  <c r="DS47" i="7" s="1"/>
  <c r="DD47" i="7"/>
  <c r="CK50" i="12"/>
  <c r="DE49" i="12"/>
  <c r="DG49" i="12"/>
  <c r="DV49" i="12"/>
  <c r="ES48" i="7"/>
  <c r="EB49" i="7"/>
  <c r="FF48" i="7"/>
  <c r="FH48" i="7" s="1"/>
  <c r="FJ48" i="7" s="1"/>
  <c r="EU48" i="7"/>
  <c r="CK49" i="7"/>
  <c r="DE48" i="7"/>
  <c r="DG48" i="7"/>
  <c r="DV48" i="7"/>
  <c r="ES48" i="8"/>
  <c r="EU48" i="8"/>
  <c r="FF48" i="8"/>
  <c r="FH48" i="8" s="1"/>
  <c r="FJ48" i="8" s="1"/>
  <c r="EB49" i="8"/>
  <c r="FM47" i="12"/>
  <c r="DT47" i="12"/>
  <c r="CP22" i="5"/>
  <c r="CQ22" i="5" s="1"/>
  <c r="CS23" i="5" s="1"/>
  <c r="FT21" i="5"/>
  <c r="FQ22" i="5" s="1"/>
  <c r="CU21" i="10"/>
  <c r="CP21" i="10" s="1"/>
  <c r="CQ21" i="10" s="1"/>
  <c r="CS21" i="12"/>
  <c r="CU21" i="12"/>
  <c r="FR20" i="12"/>
  <c r="FS20" i="12" s="1"/>
  <c r="FO20" i="12"/>
  <c r="CT22" i="5"/>
  <c r="DS22" i="5"/>
  <c r="GG22" i="6"/>
  <c r="GB22" i="6" s="1"/>
  <c r="GC22" i="6" s="1"/>
  <c r="GG23" i="6" s="1"/>
  <c r="HT23" i="8"/>
  <c r="HU23" i="8" s="1"/>
  <c r="HT24" i="8"/>
  <c r="HW22" i="8"/>
  <c r="J22" i="8" s="1"/>
  <c r="GC24" i="8"/>
  <c r="HT21" i="6"/>
  <c r="HU21" i="6" s="1"/>
  <c r="HS23" i="8"/>
  <c r="HN20" i="12"/>
  <c r="HP20" i="12" s="1"/>
  <c r="HT20" i="12" s="1"/>
  <c r="HU20" i="12" s="1"/>
  <c r="GG21" i="12"/>
  <c r="GB21" i="12" s="1"/>
  <c r="GF21" i="12"/>
  <c r="HQ24" i="8"/>
  <c r="GF22" i="6"/>
  <c r="HE22" i="6"/>
  <c r="AF47" i="10"/>
  <c r="AK47" i="10"/>
  <c r="AL46" i="10"/>
  <c r="F46" i="10" s="1"/>
  <c r="E46" i="10"/>
  <c r="AH47" i="10"/>
  <c r="HD48" i="8"/>
  <c r="FT20" i="7"/>
  <c r="FU20" i="7" s="1"/>
  <c r="H20" i="7" s="1"/>
  <c r="HS24" i="7"/>
  <c r="HW23" i="7"/>
  <c r="J23" i="7" s="1"/>
  <c r="DS21" i="7"/>
  <c r="CT21" i="7"/>
  <c r="CP21" i="7"/>
  <c r="GC24" i="7"/>
  <c r="HN24" i="7"/>
  <c r="HP24" i="7" s="1"/>
  <c r="I23" i="7"/>
  <c r="CS23" i="6"/>
  <c r="CU23" i="6"/>
  <c r="AD52" i="12"/>
  <c r="BY52" i="12"/>
  <c r="AD51" i="12"/>
  <c r="BY51" i="12"/>
  <c r="AI49" i="12"/>
  <c r="AJ49" i="12" s="1"/>
  <c r="HI52" i="12"/>
  <c r="HC50" i="12"/>
  <c r="GN51" i="12"/>
  <c r="HF47" i="12"/>
  <c r="HO47" i="12"/>
  <c r="GQ49" i="12"/>
  <c r="FW50" i="12"/>
  <c r="GS49" i="12"/>
  <c r="HH49" i="12"/>
  <c r="HJ49" i="12" s="1"/>
  <c r="HL49" i="12" s="1"/>
  <c r="ES50" i="12"/>
  <c r="EB51" i="12"/>
  <c r="FF50" i="12"/>
  <c r="FH50" i="12" s="1"/>
  <c r="FJ50" i="12" s="1"/>
  <c r="EU50" i="12"/>
  <c r="AC50" i="12"/>
  <c r="AE50" i="12" s="1"/>
  <c r="X51" i="12"/>
  <c r="HD48" i="12"/>
  <c r="GP48" i="12"/>
  <c r="AK47" i="12"/>
  <c r="AF47" i="12"/>
  <c r="AL46" i="12"/>
  <c r="F46" i="12" s="1"/>
  <c r="AH47" i="12"/>
  <c r="E46" i="12"/>
  <c r="BE49" i="12"/>
  <c r="AN50" i="12"/>
  <c r="BR49" i="12"/>
  <c r="BT49" i="12" s="1"/>
  <c r="BV49" i="12" s="1"/>
  <c r="BG49" i="12"/>
  <c r="AI49" i="11"/>
  <c r="AJ49" i="11" s="1"/>
  <c r="DV49" i="11"/>
  <c r="DE49" i="11"/>
  <c r="CK50" i="11"/>
  <c r="DG49" i="11"/>
  <c r="BE50" i="11"/>
  <c r="AN51" i="11"/>
  <c r="BG50" i="11"/>
  <c r="BR50" i="11"/>
  <c r="BT50" i="11" s="1"/>
  <c r="BV50" i="11" s="1"/>
  <c r="HC50" i="11"/>
  <c r="GN51" i="11"/>
  <c r="DT47" i="11"/>
  <c r="HF48" i="11"/>
  <c r="HO48" i="11"/>
  <c r="GS50" i="11"/>
  <c r="GQ50" i="11"/>
  <c r="FW51" i="11"/>
  <c r="HH50" i="11"/>
  <c r="HJ50" i="11" s="1"/>
  <c r="HL50" i="11" s="1"/>
  <c r="AL46" i="11"/>
  <c r="F46" i="11" s="1"/>
  <c r="AH47" i="11"/>
  <c r="E46" i="11"/>
  <c r="AD52" i="11"/>
  <c r="BY52" i="11"/>
  <c r="ES50" i="11"/>
  <c r="EB51" i="11"/>
  <c r="FF50" i="11"/>
  <c r="FH50" i="11" s="1"/>
  <c r="FJ50" i="11" s="1"/>
  <c r="EU50" i="11"/>
  <c r="AC50" i="11"/>
  <c r="AE50" i="11" s="1"/>
  <c r="X51" i="11"/>
  <c r="HD49" i="11"/>
  <c r="AK47" i="11"/>
  <c r="AF47" i="11"/>
  <c r="DR48" i="11"/>
  <c r="DS48" i="11" s="1"/>
  <c r="DD48" i="11"/>
  <c r="FM48" i="11" s="1"/>
  <c r="BY51" i="11"/>
  <c r="AD51" i="11"/>
  <c r="HF49" i="11"/>
  <c r="HO49" i="11"/>
  <c r="HF47" i="10"/>
  <c r="HO47" i="10"/>
  <c r="DG50" i="10"/>
  <c r="DV50" i="10"/>
  <c r="DE50" i="10"/>
  <c r="CK51" i="10"/>
  <c r="DT48" i="10"/>
  <c r="DR49" i="10"/>
  <c r="DS49" i="10" s="1"/>
  <c r="DD49" i="10"/>
  <c r="FM49" i="10" s="1"/>
  <c r="AN50" i="10"/>
  <c r="BR49" i="10"/>
  <c r="BT49" i="10" s="1"/>
  <c r="BV49" i="10" s="1"/>
  <c r="BE49" i="10"/>
  <c r="BG49" i="10"/>
  <c r="DS21" i="10"/>
  <c r="CT21" i="10"/>
  <c r="AC50" i="10"/>
  <c r="AE50" i="10" s="1"/>
  <c r="X51" i="10"/>
  <c r="AI49" i="10"/>
  <c r="AJ49" i="10" s="1"/>
  <c r="AD52" i="10"/>
  <c r="BY52" i="10"/>
  <c r="AD51" i="10"/>
  <c r="BY51" i="10"/>
  <c r="HD48" i="10"/>
  <c r="GP48" i="10"/>
  <c r="EU50" i="10"/>
  <c r="EB51" i="10"/>
  <c r="FF50" i="10"/>
  <c r="FH50" i="10" s="1"/>
  <c r="FJ50" i="10" s="1"/>
  <c r="ES50" i="10"/>
  <c r="GQ49" i="10"/>
  <c r="FW50" i="10"/>
  <c r="GS49" i="10"/>
  <c r="HH49" i="10"/>
  <c r="HJ49" i="10" s="1"/>
  <c r="HL49" i="10" s="1"/>
  <c r="GS50" i="9"/>
  <c r="GQ50" i="9"/>
  <c r="FW51" i="9"/>
  <c r="BY52" i="9"/>
  <c r="AD52" i="9"/>
  <c r="AD51" i="9"/>
  <c r="BY51" i="9"/>
  <c r="AF47" i="9"/>
  <c r="AK47" i="9"/>
  <c r="E46" i="9"/>
  <c r="AH47" i="9"/>
  <c r="AL46" i="9"/>
  <c r="F46" i="9" s="1"/>
  <c r="AN50" i="9"/>
  <c r="BR49" i="9"/>
  <c r="BT49" i="9" s="1"/>
  <c r="BV49" i="9" s="1"/>
  <c r="BG49" i="9"/>
  <c r="BE49" i="9"/>
  <c r="HE22" i="9"/>
  <c r="GF22" i="9"/>
  <c r="AI49" i="9"/>
  <c r="AJ49" i="9" s="1"/>
  <c r="HH50" i="9"/>
  <c r="HJ50" i="9" s="1"/>
  <c r="HL50" i="9" s="1"/>
  <c r="HI51" i="9"/>
  <c r="HF48" i="9"/>
  <c r="HO48" i="9"/>
  <c r="GP49" i="9"/>
  <c r="GB22" i="9"/>
  <c r="CK51" i="9"/>
  <c r="DV50" i="9"/>
  <c r="DG50" i="9"/>
  <c r="DE50" i="9"/>
  <c r="EB51" i="9"/>
  <c r="EU50" i="9"/>
  <c r="ES50" i="9"/>
  <c r="FF50" i="9"/>
  <c r="FH50" i="9" s="1"/>
  <c r="FJ50" i="9" s="1"/>
  <c r="HV21" i="9"/>
  <c r="DT48" i="9"/>
  <c r="AC50" i="9"/>
  <c r="AE50" i="9" s="1"/>
  <c r="X51" i="9"/>
  <c r="DR49" i="9"/>
  <c r="DS49" i="9" s="1"/>
  <c r="DD49" i="9"/>
  <c r="FM49" i="9" s="1"/>
  <c r="X50" i="8"/>
  <c r="AC49" i="8"/>
  <c r="AE49" i="8" s="1"/>
  <c r="GP48" i="8"/>
  <c r="DD49" i="8"/>
  <c r="FM49" i="8" s="1"/>
  <c r="DR49" i="8"/>
  <c r="DS49" i="8" s="1"/>
  <c r="AH46" i="8"/>
  <c r="AL45" i="8"/>
  <c r="F45" i="8" s="1"/>
  <c r="E45" i="8"/>
  <c r="DT48" i="8"/>
  <c r="GQ49" i="8"/>
  <c r="GP49" i="8" s="1"/>
  <c r="FW50" i="8"/>
  <c r="GS49" i="8"/>
  <c r="HH49" i="8"/>
  <c r="HJ49" i="8" s="1"/>
  <c r="HL49" i="8" s="1"/>
  <c r="AK46" i="8"/>
  <c r="AF46" i="8"/>
  <c r="AD50" i="8"/>
  <c r="BY50" i="8"/>
  <c r="DS20" i="8"/>
  <c r="CT20" i="8"/>
  <c r="DG50" i="8"/>
  <c r="CK51" i="8"/>
  <c r="DV50" i="8"/>
  <c r="DE50" i="8"/>
  <c r="M51" i="8"/>
  <c r="L52" i="8"/>
  <c r="M52" i="8" s="1"/>
  <c r="BE50" i="8"/>
  <c r="AN51" i="8"/>
  <c r="BR50" i="8"/>
  <c r="BT50" i="8" s="1"/>
  <c r="BV50" i="8" s="1"/>
  <c r="BG50" i="8"/>
  <c r="FT19" i="8"/>
  <c r="AI48" i="8"/>
  <c r="AJ48" i="8" s="1"/>
  <c r="CP20" i="8"/>
  <c r="HC49" i="8"/>
  <c r="GN50" i="8"/>
  <c r="AD50" i="7"/>
  <c r="BY50" i="7"/>
  <c r="HF47" i="7"/>
  <c r="HO47" i="7"/>
  <c r="AN50" i="7"/>
  <c r="BG49" i="7"/>
  <c r="BR49" i="7"/>
  <c r="BT49" i="7" s="1"/>
  <c r="BV49" i="7" s="1"/>
  <c r="BE49" i="7"/>
  <c r="AC50" i="7"/>
  <c r="X51" i="7"/>
  <c r="M51" i="7"/>
  <c r="L52" i="7"/>
  <c r="M52" i="7" s="1"/>
  <c r="HF48" i="7"/>
  <c r="HO48" i="7"/>
  <c r="AE49" i="7"/>
  <c r="HD48" i="7"/>
  <c r="GQ49" i="7"/>
  <c r="GP49" i="7" s="1"/>
  <c r="FW50" i="7"/>
  <c r="GS49" i="7"/>
  <c r="HH49" i="7"/>
  <c r="HJ49" i="7" s="1"/>
  <c r="HL49" i="7" s="1"/>
  <c r="AL45" i="7"/>
  <c r="F45" i="7" s="1"/>
  <c r="AH46" i="7"/>
  <c r="E45" i="7"/>
  <c r="GN50" i="7"/>
  <c r="HC49" i="7"/>
  <c r="AF46" i="7"/>
  <c r="AK46" i="7"/>
  <c r="HF49" i="6"/>
  <c r="HO49" i="6"/>
  <c r="DV50" i="6"/>
  <c r="DE50" i="6"/>
  <c r="CK51" i="6"/>
  <c r="DG50" i="6"/>
  <c r="E48" i="6"/>
  <c r="AL48" i="6"/>
  <c r="F48" i="6" s="1"/>
  <c r="AH49" i="6"/>
  <c r="DR49" i="6"/>
  <c r="DS49" i="6" s="1"/>
  <c r="DD49" i="6"/>
  <c r="FM49" i="6" s="1"/>
  <c r="AN51" i="6"/>
  <c r="BE50" i="6"/>
  <c r="BR50" i="6"/>
  <c r="BT50" i="6" s="1"/>
  <c r="BV50" i="6" s="1"/>
  <c r="BG50" i="6"/>
  <c r="HC50" i="6"/>
  <c r="GN51" i="6"/>
  <c r="EU50" i="6"/>
  <c r="ES50" i="6"/>
  <c r="EB51" i="6"/>
  <c r="FF50" i="6"/>
  <c r="FH50" i="6" s="1"/>
  <c r="FJ50" i="6" s="1"/>
  <c r="DT48" i="6"/>
  <c r="HD49" i="6"/>
  <c r="AK49" i="6"/>
  <c r="AI49" i="6"/>
  <c r="AJ49" i="6" s="1"/>
  <c r="AF49" i="6"/>
  <c r="GS50" i="6"/>
  <c r="GQ50" i="6"/>
  <c r="GP50" i="6" s="1"/>
  <c r="FW51" i="6"/>
  <c r="HH50" i="6"/>
  <c r="HJ50" i="6" s="1"/>
  <c r="HL50" i="6" s="1"/>
  <c r="AC50" i="6"/>
  <c r="AE50" i="6" s="1"/>
  <c r="X51" i="6"/>
  <c r="AD52" i="6"/>
  <c r="BY52" i="6"/>
  <c r="AD51" i="6"/>
  <c r="BY51" i="6"/>
  <c r="AI49" i="5"/>
  <c r="AJ49" i="5" s="1"/>
  <c r="DG50" i="5"/>
  <c r="CK51" i="5"/>
  <c r="DV50" i="5"/>
  <c r="DE50" i="5"/>
  <c r="AC50" i="5"/>
  <c r="AE50" i="5" s="1"/>
  <c r="X51" i="5"/>
  <c r="DT48" i="5"/>
  <c r="ES51" i="5"/>
  <c r="EB52" i="5"/>
  <c r="EU51" i="5"/>
  <c r="FF51" i="5"/>
  <c r="FH51" i="5" s="1"/>
  <c r="FJ51" i="5" s="1"/>
  <c r="HF47" i="5"/>
  <c r="HO47" i="5"/>
  <c r="BE50" i="5"/>
  <c r="AN51" i="5"/>
  <c r="BG50" i="5"/>
  <c r="BR50" i="5"/>
  <c r="BT50" i="5" s="1"/>
  <c r="BV50" i="5" s="1"/>
  <c r="AL46" i="5"/>
  <c r="F46" i="5" s="1"/>
  <c r="AH47" i="5"/>
  <c r="E46" i="5"/>
  <c r="AK47" i="5"/>
  <c r="AF47" i="5"/>
  <c r="HI52" i="5"/>
  <c r="AD52" i="5"/>
  <c r="BY52" i="5"/>
  <c r="GQ49" i="5"/>
  <c r="FW50" i="5"/>
  <c r="GS49" i="5"/>
  <c r="HH49" i="5"/>
  <c r="HJ49" i="5" s="1"/>
  <c r="HL49" i="5" s="1"/>
  <c r="DR49" i="5"/>
  <c r="DS49" i="5" s="1"/>
  <c r="DD49" i="5"/>
  <c r="FM49" i="5" s="1"/>
  <c r="AD51" i="5"/>
  <c r="BY51" i="5"/>
  <c r="HC50" i="5"/>
  <c r="GN51" i="5"/>
  <c r="HD48" i="5"/>
  <c r="GP48" i="5"/>
  <c r="DV49" i="3"/>
  <c r="DG49" i="3"/>
  <c r="DE49" i="3"/>
  <c r="GS49" i="3"/>
  <c r="GQ49" i="3"/>
  <c r="DT47" i="3"/>
  <c r="HO47" i="3"/>
  <c r="DD48" i="3"/>
  <c r="FM48" i="3" s="1"/>
  <c r="GP48" i="3"/>
  <c r="HF48" i="3" s="1"/>
  <c r="HD48" i="3"/>
  <c r="BE49" i="3"/>
  <c r="BG49" i="3"/>
  <c r="BR49" i="3"/>
  <c r="BT49" i="3" s="1"/>
  <c r="BV49" i="3" s="1"/>
  <c r="EB51" i="3"/>
  <c r="ES50" i="3"/>
  <c r="EU50" i="3"/>
  <c r="FF50" i="3"/>
  <c r="FH50" i="3" s="1"/>
  <c r="FJ50" i="3" s="1"/>
  <c r="DR48" i="3"/>
  <c r="AN50" i="3"/>
  <c r="FW50" i="3"/>
  <c r="AD50" i="3"/>
  <c r="BY50" i="3"/>
  <c r="AC50" i="3"/>
  <c r="L52" i="3"/>
  <c r="M52" i="3" s="1"/>
  <c r="M51" i="3"/>
  <c r="BP49" i="3"/>
  <c r="DX49" i="3"/>
  <c r="DZ49" i="3" s="1"/>
  <c r="DW52" i="3"/>
  <c r="X51" i="3"/>
  <c r="CK50" i="3"/>
  <c r="HH49" i="3"/>
  <c r="HJ49" i="3" s="1"/>
  <c r="HL49" i="3" s="1"/>
  <c r="AE49" i="3"/>
  <c r="HC49" i="9" l="1"/>
  <c r="HD49" i="9" s="1"/>
  <c r="GN50" i="9"/>
  <c r="HC49" i="10"/>
  <c r="GN50" i="10"/>
  <c r="CS24" i="9"/>
  <c r="DS24" i="9" s="1"/>
  <c r="FT22" i="9"/>
  <c r="G22" i="9" s="1"/>
  <c r="FL23" i="9"/>
  <c r="FN23" i="9" s="1"/>
  <c r="FR23" i="9" s="1"/>
  <c r="FS23" i="9" s="1"/>
  <c r="HT22" i="10"/>
  <c r="HU22" i="10" s="1"/>
  <c r="HN20" i="5"/>
  <c r="HP20" i="5" s="1"/>
  <c r="HQ20" i="5" s="1"/>
  <c r="CQ21" i="11"/>
  <c r="CS22" i="11" s="1"/>
  <c r="FU21" i="6"/>
  <c r="H21" i="6" s="1"/>
  <c r="GF23" i="10"/>
  <c r="GB23" i="10"/>
  <c r="GC23" i="10" s="1"/>
  <c r="GE24" i="10" s="1"/>
  <c r="HE24" i="10" s="1"/>
  <c r="FQ22" i="6"/>
  <c r="GE21" i="5"/>
  <c r="GF21" i="5" s="1"/>
  <c r="FU20" i="10"/>
  <c r="H20" i="10" s="1"/>
  <c r="FQ21" i="10"/>
  <c r="HV21" i="11"/>
  <c r="HE22" i="11"/>
  <c r="GF22" i="11"/>
  <c r="GB22" i="11"/>
  <c r="G21" i="5"/>
  <c r="HW19" i="5"/>
  <c r="J19" i="5" s="1"/>
  <c r="HS20" i="5"/>
  <c r="I19" i="5"/>
  <c r="HV21" i="6"/>
  <c r="I21" i="6" s="1"/>
  <c r="CP21" i="12"/>
  <c r="CQ21" i="12" s="1"/>
  <c r="CS22" i="12" s="1"/>
  <c r="DS22" i="12" s="1"/>
  <c r="HU24" i="8"/>
  <c r="DR48" i="7"/>
  <c r="DS48" i="7" s="1"/>
  <c r="DD48" i="7"/>
  <c r="DV49" i="7"/>
  <c r="CK50" i="7"/>
  <c r="DG49" i="7"/>
  <c r="DE49" i="7"/>
  <c r="FU21" i="5"/>
  <c r="H21" i="5" s="1"/>
  <c r="EU49" i="7"/>
  <c r="ES49" i="7"/>
  <c r="EB50" i="7"/>
  <c r="FF49" i="7"/>
  <c r="FH49" i="7" s="1"/>
  <c r="FJ49" i="7" s="1"/>
  <c r="FM48" i="12"/>
  <c r="DT48" i="12"/>
  <c r="HD50" i="11"/>
  <c r="FR22" i="6"/>
  <c r="FS22" i="6" s="1"/>
  <c r="EU49" i="8"/>
  <c r="ES49" i="8"/>
  <c r="EB50" i="8"/>
  <c r="FF49" i="8"/>
  <c r="FH49" i="8" s="1"/>
  <c r="FJ49" i="8" s="1"/>
  <c r="DD49" i="12"/>
  <c r="DR49" i="12"/>
  <c r="DS49" i="12" s="1"/>
  <c r="DV50" i="12"/>
  <c r="DG50" i="12"/>
  <c r="CK51" i="12"/>
  <c r="DE50" i="12"/>
  <c r="FR21" i="11"/>
  <c r="FS21" i="11" s="1"/>
  <c r="FO21" i="11"/>
  <c r="FM47" i="7"/>
  <c r="DT47" i="7"/>
  <c r="FL22" i="5"/>
  <c r="FN22" i="5" s="1"/>
  <c r="FO22" i="5" s="1"/>
  <c r="FT20" i="12"/>
  <c r="FU20" i="12" s="1"/>
  <c r="H20" i="12" s="1"/>
  <c r="CP23" i="6"/>
  <c r="CQ23" i="6" s="1"/>
  <c r="CU24" i="6" s="1"/>
  <c r="CU23" i="5"/>
  <c r="CP23" i="5" s="1"/>
  <c r="DS21" i="12"/>
  <c r="CT21" i="12"/>
  <c r="HN22" i="6"/>
  <c r="HP22" i="6" s="1"/>
  <c r="HT22" i="6" s="1"/>
  <c r="HU22" i="6" s="1"/>
  <c r="HV23" i="8"/>
  <c r="I23" i="8" s="1"/>
  <c r="GG25" i="8"/>
  <c r="GE25" i="8"/>
  <c r="HV20" i="12"/>
  <c r="HS21" i="12" s="1"/>
  <c r="HQ20" i="12"/>
  <c r="HN21" i="12"/>
  <c r="HP21" i="12" s="1"/>
  <c r="GC21" i="12"/>
  <c r="GE23" i="6"/>
  <c r="HE23" i="6" s="1"/>
  <c r="FL21" i="10"/>
  <c r="FN21" i="10" s="1"/>
  <c r="FO21" i="10" s="1"/>
  <c r="AL47" i="10"/>
  <c r="F47" i="10" s="1"/>
  <c r="AH48" i="10"/>
  <c r="E47" i="10"/>
  <c r="AK48" i="10"/>
  <c r="AF48" i="10"/>
  <c r="G20" i="7"/>
  <c r="FQ21" i="7"/>
  <c r="HT24" i="7"/>
  <c r="HU24" i="7" s="1"/>
  <c r="HQ24" i="7"/>
  <c r="GE25" i="7"/>
  <c r="GG25" i="7"/>
  <c r="FL21" i="7"/>
  <c r="FN21" i="7" s="1"/>
  <c r="CQ21" i="7"/>
  <c r="DS23" i="6"/>
  <c r="CT23" i="6"/>
  <c r="DS23" i="5"/>
  <c r="CT23" i="5"/>
  <c r="AI50" i="12"/>
  <c r="AJ50" i="12" s="1"/>
  <c r="EU51" i="12"/>
  <c r="ES51" i="12"/>
  <c r="EB52" i="12"/>
  <c r="FF51" i="12"/>
  <c r="FH51" i="12" s="1"/>
  <c r="FJ51" i="12" s="1"/>
  <c r="HF48" i="12"/>
  <c r="HO48" i="12"/>
  <c r="AK48" i="12"/>
  <c r="AF48" i="12"/>
  <c r="HD49" i="12"/>
  <c r="GP49" i="12"/>
  <c r="E47" i="12"/>
  <c r="AL47" i="12"/>
  <c r="F47" i="12" s="1"/>
  <c r="AH48" i="12"/>
  <c r="GS50" i="12"/>
  <c r="GQ50" i="12"/>
  <c r="FW51" i="12"/>
  <c r="HH50" i="12"/>
  <c r="HJ50" i="12" s="1"/>
  <c r="HL50" i="12" s="1"/>
  <c r="BG50" i="12"/>
  <c r="BE50" i="12"/>
  <c r="BR50" i="12"/>
  <c r="BT50" i="12" s="1"/>
  <c r="BV50" i="12" s="1"/>
  <c r="AN51" i="12"/>
  <c r="AC51" i="12"/>
  <c r="AE51" i="12" s="1"/>
  <c r="X52" i="12"/>
  <c r="GN52" i="12"/>
  <c r="HC51" i="12"/>
  <c r="DG50" i="11"/>
  <c r="DV50" i="11"/>
  <c r="DE50" i="11"/>
  <c r="CK51" i="11"/>
  <c r="EU51" i="11"/>
  <c r="ES51" i="11"/>
  <c r="EB52" i="11"/>
  <c r="FF51" i="11"/>
  <c r="FH51" i="11" s="1"/>
  <c r="FJ51" i="11" s="1"/>
  <c r="GN52" i="11"/>
  <c r="HC51" i="11"/>
  <c r="DR49" i="11"/>
  <c r="DS49" i="11" s="1"/>
  <c r="DD49" i="11"/>
  <c r="FM49" i="11" s="1"/>
  <c r="GP50" i="11"/>
  <c r="AK48" i="11"/>
  <c r="AF48" i="11"/>
  <c r="E47" i="11"/>
  <c r="AH48" i="11"/>
  <c r="AL47" i="11"/>
  <c r="F47" i="11" s="1"/>
  <c r="BG51" i="11"/>
  <c r="BE51" i="11"/>
  <c r="AN52" i="11"/>
  <c r="BR51" i="11"/>
  <c r="BT51" i="11" s="1"/>
  <c r="BV51" i="11" s="1"/>
  <c r="DT48" i="11"/>
  <c r="AI50" i="11"/>
  <c r="AJ50" i="11" s="1"/>
  <c r="FW52" i="11"/>
  <c r="GQ51" i="11"/>
  <c r="GP51" i="11" s="1"/>
  <c r="GS51" i="11"/>
  <c r="HH51" i="11"/>
  <c r="HJ51" i="11" s="1"/>
  <c r="HL51" i="11" s="1"/>
  <c r="X52" i="11"/>
  <c r="AC51" i="11"/>
  <c r="AE51" i="11" s="1"/>
  <c r="CU22" i="10"/>
  <c r="CS22" i="10"/>
  <c r="DS22" i="10" s="1"/>
  <c r="DT49" i="10"/>
  <c r="ES51" i="10"/>
  <c r="EB52" i="10"/>
  <c r="EU51" i="10"/>
  <c r="FF51" i="10"/>
  <c r="FH51" i="10" s="1"/>
  <c r="FJ51" i="10" s="1"/>
  <c r="AI50" i="10"/>
  <c r="AJ50" i="10" s="1"/>
  <c r="CK52" i="10"/>
  <c r="DG51" i="10"/>
  <c r="DE51" i="10"/>
  <c r="DV51" i="10"/>
  <c r="DD50" i="10"/>
  <c r="FM50" i="10" s="1"/>
  <c r="DR50" i="10"/>
  <c r="DS50" i="10" s="1"/>
  <c r="HF48" i="10"/>
  <c r="HO48" i="10"/>
  <c r="BE50" i="10"/>
  <c r="AN51" i="10"/>
  <c r="BR50" i="10"/>
  <c r="BT50" i="10" s="1"/>
  <c r="BV50" i="10" s="1"/>
  <c r="BG50" i="10"/>
  <c r="GS50" i="10"/>
  <c r="FW51" i="10"/>
  <c r="GQ50" i="10"/>
  <c r="HH50" i="10"/>
  <c r="HJ50" i="10" s="1"/>
  <c r="HL50" i="10" s="1"/>
  <c r="HD49" i="10"/>
  <c r="GP49" i="10"/>
  <c r="AC51" i="10"/>
  <c r="AE51" i="10" s="1"/>
  <c r="X52" i="10"/>
  <c r="E47" i="9"/>
  <c r="AH48" i="9"/>
  <c r="AL47" i="9"/>
  <c r="F47" i="9" s="1"/>
  <c r="ES51" i="9"/>
  <c r="EB52" i="9"/>
  <c r="FF51" i="9"/>
  <c r="FH51" i="9" s="1"/>
  <c r="FJ51" i="9" s="1"/>
  <c r="EU51" i="9"/>
  <c r="AF48" i="9"/>
  <c r="AK48" i="9"/>
  <c r="HH51" i="9"/>
  <c r="HJ51" i="9" s="1"/>
  <c r="HL51" i="9" s="1"/>
  <c r="HI52" i="9"/>
  <c r="DT49" i="9"/>
  <c r="AI50" i="9"/>
  <c r="AJ50" i="9" s="1"/>
  <c r="HN22" i="9"/>
  <c r="HP22" i="9" s="1"/>
  <c r="GC22" i="9"/>
  <c r="AC51" i="9"/>
  <c r="AE51" i="9" s="1"/>
  <c r="X52" i="9"/>
  <c r="CK52" i="9"/>
  <c r="DV51" i="9"/>
  <c r="DE51" i="9"/>
  <c r="DG51" i="9"/>
  <c r="DR50" i="9"/>
  <c r="DS50" i="9" s="1"/>
  <c r="DD50" i="9"/>
  <c r="FM50" i="9" s="1"/>
  <c r="HW21" i="9"/>
  <c r="J21" i="9" s="1"/>
  <c r="HS22" i="9"/>
  <c r="I21" i="9"/>
  <c r="HF49" i="9"/>
  <c r="HO49" i="9"/>
  <c r="FW52" i="9"/>
  <c r="GS51" i="9"/>
  <c r="GQ51" i="9"/>
  <c r="AN51" i="9"/>
  <c r="BR50" i="9"/>
  <c r="BT50" i="9" s="1"/>
  <c r="BV50" i="9" s="1"/>
  <c r="BG50" i="9"/>
  <c r="BE50" i="9"/>
  <c r="AI49" i="8"/>
  <c r="AJ49" i="8" s="1"/>
  <c r="HF48" i="8"/>
  <c r="HO48" i="8"/>
  <c r="BG51" i="8"/>
  <c r="AN52" i="8"/>
  <c r="BR51" i="8"/>
  <c r="BT51" i="8" s="1"/>
  <c r="BV51" i="8" s="1"/>
  <c r="BE51" i="8"/>
  <c r="AF47" i="8"/>
  <c r="AK47" i="8"/>
  <c r="HC50" i="8"/>
  <c r="GN51" i="8"/>
  <c r="HF49" i="8"/>
  <c r="HO49" i="8"/>
  <c r="FL20" i="8"/>
  <c r="FN20" i="8" s="1"/>
  <c r="CQ20" i="8"/>
  <c r="GS50" i="8"/>
  <c r="GQ50" i="8"/>
  <c r="FW51" i="8"/>
  <c r="HH50" i="8"/>
  <c r="HJ50" i="8" s="1"/>
  <c r="HL50" i="8" s="1"/>
  <c r="AH47" i="8"/>
  <c r="E46" i="8"/>
  <c r="AL46" i="8"/>
  <c r="F46" i="8" s="1"/>
  <c r="AD52" i="8"/>
  <c r="BY52" i="8"/>
  <c r="AD51" i="8"/>
  <c r="BY51" i="8"/>
  <c r="DD50" i="8"/>
  <c r="FM50" i="8" s="1"/>
  <c r="DR50" i="8"/>
  <c r="DS50" i="8" s="1"/>
  <c r="HD49" i="8"/>
  <c r="DT49" i="8"/>
  <c r="AC50" i="8"/>
  <c r="AE50" i="8" s="1"/>
  <c r="X51" i="8"/>
  <c r="CK52" i="8"/>
  <c r="DV51" i="8"/>
  <c r="DG51" i="8"/>
  <c r="DE51" i="8"/>
  <c r="FQ20" i="8"/>
  <c r="FU19" i="8"/>
  <c r="H19" i="8" s="1"/>
  <c r="G19" i="8"/>
  <c r="HF49" i="7"/>
  <c r="HO49" i="7"/>
  <c r="AN51" i="7"/>
  <c r="BR50" i="7"/>
  <c r="BT50" i="7" s="1"/>
  <c r="BV50" i="7" s="1"/>
  <c r="BG50" i="7"/>
  <c r="BE50" i="7"/>
  <c r="GS50" i="7"/>
  <c r="GQ50" i="7"/>
  <c r="FW51" i="7"/>
  <c r="HH50" i="7"/>
  <c r="HJ50" i="7" s="1"/>
  <c r="HL50" i="7" s="1"/>
  <c r="AD52" i="7"/>
  <c r="BY52" i="7"/>
  <c r="HD49" i="7"/>
  <c r="BY51" i="7"/>
  <c r="AD51" i="7"/>
  <c r="X52" i="7"/>
  <c r="AC51" i="7"/>
  <c r="AE50" i="7"/>
  <c r="AL46" i="7"/>
  <c r="F46" i="7" s="1"/>
  <c r="AH47" i="7"/>
  <c r="AK47" i="7" s="1"/>
  <c r="E46" i="7"/>
  <c r="AF47" i="7"/>
  <c r="HC50" i="7"/>
  <c r="GN51" i="7"/>
  <c r="AI49" i="7"/>
  <c r="AJ49" i="7" s="1"/>
  <c r="HF50" i="6"/>
  <c r="HO50" i="6"/>
  <c r="AC51" i="6"/>
  <c r="AE51" i="6" s="1"/>
  <c r="X52" i="6"/>
  <c r="FW52" i="6"/>
  <c r="GS51" i="6"/>
  <c r="GQ51" i="6"/>
  <c r="HH51" i="6"/>
  <c r="HJ51" i="6" s="1"/>
  <c r="HL51" i="6" s="1"/>
  <c r="AK50" i="6"/>
  <c r="AF50" i="6"/>
  <c r="AI50" i="6"/>
  <c r="AJ50" i="6" s="1"/>
  <c r="CK52" i="6"/>
  <c r="DG51" i="6"/>
  <c r="DV51" i="6"/>
  <c r="DE51" i="6"/>
  <c r="HD50" i="6"/>
  <c r="DD50" i="6"/>
  <c r="FM50" i="6" s="1"/>
  <c r="DR50" i="6"/>
  <c r="DS50" i="6" s="1"/>
  <c r="EU51" i="6"/>
  <c r="ES51" i="6"/>
  <c r="EB52" i="6"/>
  <c r="FF51" i="6"/>
  <c r="FH51" i="6" s="1"/>
  <c r="FJ51" i="6" s="1"/>
  <c r="DT49" i="6"/>
  <c r="BE51" i="6"/>
  <c r="BR51" i="6"/>
  <c r="BT51" i="6" s="1"/>
  <c r="BV51" i="6" s="1"/>
  <c r="AN52" i="6"/>
  <c r="BG51" i="6"/>
  <c r="GN52" i="6"/>
  <c r="HC51" i="6"/>
  <c r="E49" i="6"/>
  <c r="AL49" i="6"/>
  <c r="F49" i="6" s="1"/>
  <c r="AH50" i="6"/>
  <c r="HF48" i="5"/>
  <c r="HO48" i="5"/>
  <c r="X52" i="5"/>
  <c r="AC51" i="5"/>
  <c r="AE51" i="5" s="1"/>
  <c r="HD49" i="5"/>
  <c r="GP49" i="5"/>
  <c r="AI50" i="5"/>
  <c r="AJ50" i="5" s="1"/>
  <c r="DT49" i="5"/>
  <c r="CK52" i="5"/>
  <c r="DV51" i="5"/>
  <c r="DE51" i="5"/>
  <c r="DG51" i="5"/>
  <c r="E47" i="5"/>
  <c r="AH48" i="5"/>
  <c r="AL47" i="5"/>
  <c r="F47" i="5" s="1"/>
  <c r="DD50" i="5"/>
  <c r="FM50" i="5" s="1"/>
  <c r="DR50" i="5"/>
  <c r="DS50" i="5" s="1"/>
  <c r="GN52" i="5"/>
  <c r="HC51" i="5"/>
  <c r="EU52" i="5"/>
  <c r="FF52" i="5"/>
  <c r="FH52" i="5" s="1"/>
  <c r="FJ52" i="5" s="1"/>
  <c r="ES52" i="5"/>
  <c r="AK48" i="5"/>
  <c r="AF48" i="5"/>
  <c r="GS50" i="5"/>
  <c r="FW51" i="5"/>
  <c r="GQ50" i="5"/>
  <c r="HH50" i="5"/>
  <c r="HJ50" i="5" s="1"/>
  <c r="HL50" i="5" s="1"/>
  <c r="BG51" i="5"/>
  <c r="AN52" i="5"/>
  <c r="BE51" i="5"/>
  <c r="BR51" i="5"/>
  <c r="BT51" i="5" s="1"/>
  <c r="BV51" i="5" s="1"/>
  <c r="GS50" i="3"/>
  <c r="GQ50" i="3"/>
  <c r="DV50" i="3"/>
  <c r="DE50" i="3"/>
  <c r="DG50" i="3"/>
  <c r="DT48" i="3"/>
  <c r="HO48" i="3"/>
  <c r="GP49" i="3"/>
  <c r="HF49" i="3" s="1"/>
  <c r="HD49" i="3"/>
  <c r="DD49" i="3"/>
  <c r="FM49" i="3" s="1"/>
  <c r="EB52" i="3"/>
  <c r="EU51" i="3"/>
  <c r="ES51" i="3"/>
  <c r="FF51" i="3"/>
  <c r="FH51" i="3" s="1"/>
  <c r="FJ51" i="3" s="1"/>
  <c r="BG50" i="3"/>
  <c r="BE50" i="3"/>
  <c r="BR50" i="3"/>
  <c r="BT50" i="3" s="1"/>
  <c r="BV50" i="3" s="1"/>
  <c r="DR49" i="3"/>
  <c r="FW51" i="3"/>
  <c r="AN51" i="3"/>
  <c r="AD51" i="3"/>
  <c r="BY51" i="3"/>
  <c r="AD52" i="3"/>
  <c r="BY52" i="3"/>
  <c r="AC51" i="3"/>
  <c r="DX50" i="3"/>
  <c r="DZ50" i="3" s="1"/>
  <c r="BP50" i="3"/>
  <c r="CK51" i="3"/>
  <c r="X52" i="3"/>
  <c r="HH50" i="3"/>
  <c r="HJ50" i="3" s="1"/>
  <c r="HL50" i="3" s="1"/>
  <c r="AE50" i="3"/>
  <c r="FU22" i="9" l="1"/>
  <c r="H22" i="9" s="1"/>
  <c r="FQ23" i="9"/>
  <c r="FT23" i="9" s="1"/>
  <c r="FU23" i="9" s="1"/>
  <c r="CT24" i="9"/>
  <c r="CP24" i="9"/>
  <c r="CQ24" i="9" s="1"/>
  <c r="CS25" i="9" s="1"/>
  <c r="DS25" i="9" s="1"/>
  <c r="HC50" i="10"/>
  <c r="GN51" i="10"/>
  <c r="GN51" i="9"/>
  <c r="HC50" i="9"/>
  <c r="HD50" i="9" s="1"/>
  <c r="GP50" i="9"/>
  <c r="HV22" i="10"/>
  <c r="I22" i="10" s="1"/>
  <c r="FO23" i="9"/>
  <c r="CU22" i="11"/>
  <c r="CP22" i="11" s="1"/>
  <c r="HT20" i="5"/>
  <c r="HU20" i="5" s="1"/>
  <c r="HN23" i="10"/>
  <c r="HP23" i="10" s="1"/>
  <c r="HQ23" i="10" s="1"/>
  <c r="GF24" i="10"/>
  <c r="GG24" i="10"/>
  <c r="GB24" i="10" s="1"/>
  <c r="GC24" i="10" s="1"/>
  <c r="GG25" i="10" s="1"/>
  <c r="HE21" i="5"/>
  <c r="GB21" i="5"/>
  <c r="GC21" i="5" s="1"/>
  <c r="GG22" i="5" s="1"/>
  <c r="FL21" i="12"/>
  <c r="FN21" i="12" s="1"/>
  <c r="FO21" i="12" s="1"/>
  <c r="HN22" i="11"/>
  <c r="HP22" i="11" s="1"/>
  <c r="GC22" i="11"/>
  <c r="HW21" i="11"/>
  <c r="J21" i="11" s="1"/>
  <c r="HS22" i="11"/>
  <c r="I21" i="11"/>
  <c r="HH52" i="9"/>
  <c r="CU22" i="12"/>
  <c r="CP22" i="12" s="1"/>
  <c r="CQ22" i="12" s="1"/>
  <c r="FT22" i="6"/>
  <c r="FU22" i="6" s="1"/>
  <c r="H22" i="6" s="1"/>
  <c r="FT21" i="11"/>
  <c r="G21" i="11" s="1"/>
  <c r="HQ22" i="6"/>
  <c r="HS22" i="6"/>
  <c r="HV22" i="6" s="1"/>
  <c r="HW21" i="6"/>
  <c r="J21" i="6" s="1"/>
  <c r="HS24" i="8"/>
  <c r="HV24" i="8" s="1"/>
  <c r="HW24" i="8" s="1"/>
  <c r="J24" i="8" s="1"/>
  <c r="CT22" i="12"/>
  <c r="HW23" i="8"/>
  <c r="J23" i="8" s="1"/>
  <c r="FL23" i="5"/>
  <c r="FN23" i="5" s="1"/>
  <c r="DR50" i="12"/>
  <c r="DS50" i="12" s="1"/>
  <c r="DD50" i="12"/>
  <c r="CK52" i="12"/>
  <c r="DG51" i="12"/>
  <c r="DV51" i="12"/>
  <c r="DE51" i="12"/>
  <c r="FF50" i="7"/>
  <c r="FH50" i="7" s="1"/>
  <c r="FJ50" i="7" s="1"/>
  <c r="EU50" i="7"/>
  <c r="ES50" i="7"/>
  <c r="EB51" i="7"/>
  <c r="FM49" i="12"/>
  <c r="DT49" i="12"/>
  <c r="ES50" i="8"/>
  <c r="EB51" i="8"/>
  <c r="EU50" i="8"/>
  <c r="FF50" i="8"/>
  <c r="FH50" i="8" s="1"/>
  <c r="FJ50" i="8" s="1"/>
  <c r="DR49" i="7"/>
  <c r="DS49" i="7" s="1"/>
  <c r="DD49" i="7"/>
  <c r="FL23" i="6"/>
  <c r="FN23" i="6" s="1"/>
  <c r="FR23" i="6" s="1"/>
  <c r="FS23" i="6" s="1"/>
  <c r="CK51" i="7"/>
  <c r="DV50" i="7"/>
  <c r="DE50" i="7"/>
  <c r="DG50" i="7"/>
  <c r="DS22" i="11"/>
  <c r="CT22" i="11"/>
  <c r="CS24" i="6"/>
  <c r="DS24" i="6" s="1"/>
  <c r="FM48" i="7"/>
  <c r="DT48" i="7"/>
  <c r="HD51" i="6"/>
  <c r="I20" i="12"/>
  <c r="FR22" i="5"/>
  <c r="FS22" i="5" s="1"/>
  <c r="FQ21" i="12"/>
  <c r="G20" i="12"/>
  <c r="FR21" i="10"/>
  <c r="FS21" i="10" s="1"/>
  <c r="CT22" i="10"/>
  <c r="GB25" i="7"/>
  <c r="GC25" i="7" s="1"/>
  <c r="HE25" i="8"/>
  <c r="GF25" i="8"/>
  <c r="GB25" i="8"/>
  <c r="HW20" i="12"/>
  <c r="J20" i="12" s="1"/>
  <c r="GG22" i="12"/>
  <c r="GE22" i="12"/>
  <c r="HT21" i="12"/>
  <c r="HU21" i="12" s="1"/>
  <c r="HQ21" i="12"/>
  <c r="GB23" i="6"/>
  <c r="GF23" i="6"/>
  <c r="AF49" i="10"/>
  <c r="AK49" i="10"/>
  <c r="AH49" i="10"/>
  <c r="AL48" i="10"/>
  <c r="F48" i="10" s="1"/>
  <c r="E48" i="10"/>
  <c r="HD50" i="8"/>
  <c r="HD50" i="7"/>
  <c r="HV24" i="7"/>
  <c r="I24" i="7" s="1"/>
  <c r="HE25" i="7"/>
  <c r="GF25" i="7"/>
  <c r="CU22" i="7"/>
  <c r="CS22" i="7"/>
  <c r="FO21" i="7"/>
  <c r="FR21" i="7"/>
  <c r="FS21" i="7" s="1"/>
  <c r="CQ23" i="5"/>
  <c r="AC52" i="12"/>
  <c r="AE52" i="12" s="1"/>
  <c r="HF49" i="12"/>
  <c r="HO49" i="12"/>
  <c r="BG51" i="12"/>
  <c r="AN52" i="12"/>
  <c r="BR51" i="12"/>
  <c r="BT51" i="12" s="1"/>
  <c r="BV51" i="12" s="1"/>
  <c r="BE51" i="12"/>
  <c r="FW52" i="12"/>
  <c r="GS51" i="12"/>
  <c r="GQ51" i="12"/>
  <c r="HH51" i="12"/>
  <c r="HJ51" i="12" s="1"/>
  <c r="HL51" i="12" s="1"/>
  <c r="HD50" i="12"/>
  <c r="GP50" i="12"/>
  <c r="ES52" i="12"/>
  <c r="EU52" i="12"/>
  <c r="FF52" i="12"/>
  <c r="FH52" i="12" s="1"/>
  <c r="FJ52" i="12" s="1"/>
  <c r="HC52" i="12"/>
  <c r="AI51" i="12"/>
  <c r="AJ51" i="12" s="1"/>
  <c r="AK49" i="12"/>
  <c r="AF49" i="12"/>
  <c r="E48" i="12"/>
  <c r="AL48" i="12"/>
  <c r="F48" i="12" s="1"/>
  <c r="AH49" i="12"/>
  <c r="AI51" i="11"/>
  <c r="AJ51" i="11" s="1"/>
  <c r="BG52" i="11"/>
  <c r="BE52" i="11"/>
  <c r="BR52" i="11"/>
  <c r="BT52" i="11" s="1"/>
  <c r="BV52" i="11" s="1"/>
  <c r="EU52" i="11"/>
  <c r="ES52" i="11"/>
  <c r="FF52" i="11"/>
  <c r="FH52" i="11" s="1"/>
  <c r="FJ52" i="11" s="1"/>
  <c r="AC52" i="11"/>
  <c r="AE52" i="11" s="1"/>
  <c r="AK49" i="11"/>
  <c r="AF49" i="11"/>
  <c r="GS52" i="11"/>
  <c r="GQ52" i="11"/>
  <c r="GP52" i="11" s="1"/>
  <c r="HH52" i="11"/>
  <c r="HJ52" i="11" s="1"/>
  <c r="HL52" i="11" s="1"/>
  <c r="CK52" i="11"/>
  <c r="DG51" i="11"/>
  <c r="DV51" i="11"/>
  <c r="DE51" i="11"/>
  <c r="DR50" i="11"/>
  <c r="DS50" i="11" s="1"/>
  <c r="DD50" i="11"/>
  <c r="FM50" i="11" s="1"/>
  <c r="HF50" i="11"/>
  <c r="HO50" i="11"/>
  <c r="AH49" i="11"/>
  <c r="AL48" i="11"/>
  <c r="F48" i="11" s="1"/>
  <c r="E48" i="11"/>
  <c r="DT49" i="11"/>
  <c r="HD51" i="11"/>
  <c r="HC52" i="11"/>
  <c r="HF51" i="11"/>
  <c r="HO51" i="11"/>
  <c r="AI51" i="10"/>
  <c r="AJ51" i="10" s="1"/>
  <c r="HF49" i="10"/>
  <c r="HO49" i="10"/>
  <c r="AC52" i="10"/>
  <c r="AE52" i="10" s="1"/>
  <c r="EU52" i="10"/>
  <c r="FF52" i="10"/>
  <c r="FH52" i="10" s="1"/>
  <c r="FJ52" i="10" s="1"/>
  <c r="ES52" i="10"/>
  <c r="CP22" i="10"/>
  <c r="DT50" i="10"/>
  <c r="DR51" i="10"/>
  <c r="DS51" i="10" s="1"/>
  <c r="DD51" i="10"/>
  <c r="FM51" i="10" s="1"/>
  <c r="HD50" i="10"/>
  <c r="GP50" i="10"/>
  <c r="BG51" i="10"/>
  <c r="BE51" i="10"/>
  <c r="AN52" i="10"/>
  <c r="BR51" i="10"/>
  <c r="BT51" i="10" s="1"/>
  <c r="BV51" i="10" s="1"/>
  <c r="FW52" i="10"/>
  <c r="GQ51" i="10"/>
  <c r="GS51" i="10"/>
  <c r="HH51" i="10"/>
  <c r="HJ51" i="10" s="1"/>
  <c r="HL51" i="10" s="1"/>
  <c r="DE52" i="10"/>
  <c r="DV52" i="10"/>
  <c r="DG52" i="10"/>
  <c r="E48" i="9"/>
  <c r="AH49" i="9"/>
  <c r="AL48" i="9"/>
  <c r="F48" i="9" s="1"/>
  <c r="AK49" i="9"/>
  <c r="AF49" i="9"/>
  <c r="HJ52" i="9"/>
  <c r="HL52" i="9" s="1"/>
  <c r="GQ52" i="9"/>
  <c r="GS52" i="9"/>
  <c r="GG23" i="9"/>
  <c r="GE23" i="9"/>
  <c r="DG52" i="9"/>
  <c r="DE52" i="9"/>
  <c r="DV52" i="9"/>
  <c r="AI51" i="9"/>
  <c r="AJ51" i="9" s="1"/>
  <c r="EU52" i="9"/>
  <c r="ES52" i="9"/>
  <c r="FF52" i="9"/>
  <c r="FH52" i="9" s="1"/>
  <c r="FJ52" i="9" s="1"/>
  <c r="AC52" i="9"/>
  <c r="AE52" i="9" s="1"/>
  <c r="AN52" i="9"/>
  <c r="BR51" i="9"/>
  <c r="BT51" i="9" s="1"/>
  <c r="BV51" i="9" s="1"/>
  <c r="BG51" i="9"/>
  <c r="BE51" i="9"/>
  <c r="DT50" i="9"/>
  <c r="HQ22" i="9"/>
  <c r="HT22" i="9"/>
  <c r="HU22" i="9" s="1"/>
  <c r="DR51" i="9"/>
  <c r="DS51" i="9" s="1"/>
  <c r="DD51" i="9"/>
  <c r="FM51" i="9" s="1"/>
  <c r="GP51" i="9"/>
  <c r="AI50" i="8"/>
  <c r="AJ50" i="8" s="1"/>
  <c r="AC51" i="8"/>
  <c r="AE51" i="8" s="1"/>
  <c r="X52" i="8"/>
  <c r="GN52" i="8"/>
  <c r="HC51" i="8"/>
  <c r="E47" i="8"/>
  <c r="AH48" i="8"/>
  <c r="AL47" i="8"/>
  <c r="F47" i="8" s="1"/>
  <c r="AK48" i="8"/>
  <c r="AF48" i="8"/>
  <c r="DT50" i="8"/>
  <c r="GP50" i="8"/>
  <c r="FW52" i="8"/>
  <c r="GS51" i="8"/>
  <c r="GQ51" i="8"/>
  <c r="HH51" i="8"/>
  <c r="HJ51" i="8" s="1"/>
  <c r="HL51" i="8" s="1"/>
  <c r="DR51" i="8"/>
  <c r="DS51" i="8" s="1"/>
  <c r="DD51" i="8"/>
  <c r="FM51" i="8" s="1"/>
  <c r="BR52" i="8"/>
  <c r="BT52" i="8" s="1"/>
  <c r="BV52" i="8" s="1"/>
  <c r="BG52" i="8"/>
  <c r="BE52" i="8"/>
  <c r="DE52" i="8"/>
  <c r="DG52" i="8"/>
  <c r="DV52" i="8"/>
  <c r="FR20" i="8"/>
  <c r="FS20" i="8" s="1"/>
  <c r="FO20" i="8"/>
  <c r="CU21" i="8"/>
  <c r="CS21" i="8"/>
  <c r="AE51" i="7"/>
  <c r="AN52" i="7"/>
  <c r="BE51" i="7"/>
  <c r="BR51" i="7"/>
  <c r="BT51" i="7" s="1"/>
  <c r="BV51" i="7" s="1"/>
  <c r="BG51" i="7"/>
  <c r="AC52" i="7"/>
  <c r="AE52" i="7" s="1"/>
  <c r="GP50" i="7"/>
  <c r="GN52" i="7"/>
  <c r="HC51" i="7"/>
  <c r="AF48" i="7"/>
  <c r="AI50" i="7"/>
  <c r="AJ50" i="7" s="1"/>
  <c r="E47" i="7"/>
  <c r="AH48" i="7"/>
  <c r="AK48" i="7" s="1"/>
  <c r="AL47" i="7"/>
  <c r="F47" i="7" s="1"/>
  <c r="FW52" i="7"/>
  <c r="GS51" i="7"/>
  <c r="GQ51" i="7"/>
  <c r="HH51" i="7"/>
  <c r="HJ51" i="7" s="1"/>
  <c r="HL51" i="7" s="1"/>
  <c r="AC52" i="6"/>
  <c r="AE52" i="6" s="1"/>
  <c r="HC52" i="6"/>
  <c r="GS52" i="6"/>
  <c r="GQ52" i="6"/>
  <c r="HH52" i="6"/>
  <c r="HJ52" i="6" s="1"/>
  <c r="HL52" i="6" s="1"/>
  <c r="DV52" i="6"/>
  <c r="DE52" i="6"/>
  <c r="DG52" i="6"/>
  <c r="BR52" i="6"/>
  <c r="BT52" i="6" s="1"/>
  <c r="BV52" i="6" s="1"/>
  <c r="BG52" i="6"/>
  <c r="BE52" i="6"/>
  <c r="DT50" i="6"/>
  <c r="DR51" i="6"/>
  <c r="DS51" i="6" s="1"/>
  <c r="DD51" i="6"/>
  <c r="FM51" i="6" s="1"/>
  <c r="AF51" i="6"/>
  <c r="AI51" i="6"/>
  <c r="AJ51" i="6" s="1"/>
  <c r="AK51" i="6"/>
  <c r="E50" i="6"/>
  <c r="AL50" i="6"/>
  <c r="F50" i="6" s="1"/>
  <c r="AH51" i="6"/>
  <c r="GP51" i="6"/>
  <c r="EU52" i="6"/>
  <c r="ES52" i="6"/>
  <c r="FF52" i="6"/>
  <c r="FH52" i="6" s="1"/>
  <c r="FJ52" i="6" s="1"/>
  <c r="AL48" i="5"/>
  <c r="F48" i="5" s="1"/>
  <c r="AH49" i="5"/>
  <c r="E48" i="5"/>
  <c r="AC52" i="5"/>
  <c r="AE52" i="5" s="1"/>
  <c r="AK49" i="5"/>
  <c r="AF49" i="5"/>
  <c r="DD51" i="5"/>
  <c r="FM51" i="5" s="1"/>
  <c r="DR51" i="5"/>
  <c r="DS51" i="5" s="1"/>
  <c r="DV52" i="5"/>
  <c r="DE52" i="5"/>
  <c r="DG52" i="5"/>
  <c r="DT50" i="5"/>
  <c r="AI51" i="5"/>
  <c r="AJ51" i="5" s="1"/>
  <c r="HD50" i="5"/>
  <c r="GP50" i="5"/>
  <c r="FW52" i="5"/>
  <c r="GQ51" i="5"/>
  <c r="GS51" i="5"/>
  <c r="HH51" i="5"/>
  <c r="HJ51" i="5" s="1"/>
  <c r="HL51" i="5" s="1"/>
  <c r="HC52" i="5"/>
  <c r="HF49" i="5"/>
  <c r="HO49" i="5"/>
  <c r="BR52" i="5"/>
  <c r="BT52" i="5" s="1"/>
  <c r="BV52" i="5" s="1"/>
  <c r="BG52" i="5"/>
  <c r="BE52" i="5"/>
  <c r="DV51" i="3"/>
  <c r="DG51" i="3"/>
  <c r="DE51" i="3"/>
  <c r="GS51" i="3"/>
  <c r="GQ51" i="3"/>
  <c r="DT49" i="3"/>
  <c r="HO49" i="3"/>
  <c r="DD50" i="3"/>
  <c r="GP50" i="3"/>
  <c r="HF50" i="3" s="1"/>
  <c r="HD50" i="3"/>
  <c r="EU52" i="3"/>
  <c r="ES52" i="3"/>
  <c r="FF52" i="3"/>
  <c r="FH52" i="3" s="1"/>
  <c r="FJ52" i="3" s="1"/>
  <c r="BE51" i="3"/>
  <c r="BR51" i="3"/>
  <c r="BT51" i="3" s="1"/>
  <c r="BV51" i="3" s="1"/>
  <c r="BG51" i="3"/>
  <c r="DR50" i="3"/>
  <c r="AN52" i="3"/>
  <c r="FW52" i="3"/>
  <c r="AC52" i="3"/>
  <c r="DX51" i="3"/>
  <c r="DZ51" i="3" s="1"/>
  <c r="BP51" i="3"/>
  <c r="CK52" i="3"/>
  <c r="HH51" i="3"/>
  <c r="HJ51" i="3" s="1"/>
  <c r="HL51" i="3" s="1"/>
  <c r="AE51" i="3"/>
  <c r="HW22" i="10" l="1"/>
  <c r="J22" i="10" s="1"/>
  <c r="CT25" i="9"/>
  <c r="FQ24" i="9"/>
  <c r="CU25" i="9"/>
  <c r="CP25" i="9" s="1"/>
  <c r="FL25" i="9" s="1"/>
  <c r="FN25" i="9" s="1"/>
  <c r="G23" i="9"/>
  <c r="FL24" i="9"/>
  <c r="FN24" i="9" s="1"/>
  <c r="FR24" i="9" s="1"/>
  <c r="FS24" i="9" s="1"/>
  <c r="H23" i="9"/>
  <c r="HS23" i="10"/>
  <c r="HO50" i="9"/>
  <c r="HF50" i="9"/>
  <c r="GN52" i="9"/>
  <c r="HC52" i="9" s="1"/>
  <c r="HC51" i="9"/>
  <c r="HD51" i="9" s="1"/>
  <c r="GN52" i="10"/>
  <c r="HC52" i="10" s="1"/>
  <c r="HC51" i="10"/>
  <c r="GE25" i="10"/>
  <c r="HE25" i="10" s="1"/>
  <c r="HT23" i="10"/>
  <c r="HU23" i="10" s="1"/>
  <c r="HN24" i="10"/>
  <c r="HP24" i="10" s="1"/>
  <c r="HT24" i="10" s="1"/>
  <c r="HV20" i="5"/>
  <c r="FR21" i="12"/>
  <c r="FS21" i="12" s="1"/>
  <c r="HN21" i="5"/>
  <c r="HP21" i="5" s="1"/>
  <c r="HQ21" i="5" s="1"/>
  <c r="GE22" i="5"/>
  <c r="HE22" i="5" s="1"/>
  <c r="G22" i="6"/>
  <c r="FQ23" i="6"/>
  <c r="FT23" i="6" s="1"/>
  <c r="CP24" i="6"/>
  <c r="CQ24" i="6" s="1"/>
  <c r="GG23" i="11"/>
  <c r="GE23" i="11"/>
  <c r="HT22" i="11"/>
  <c r="HU22" i="11" s="1"/>
  <c r="HQ22" i="11"/>
  <c r="FU21" i="11"/>
  <c r="H21" i="11" s="1"/>
  <c r="FQ22" i="11"/>
  <c r="HN25" i="7"/>
  <c r="HP25" i="7" s="1"/>
  <c r="HQ25" i="7" s="1"/>
  <c r="HS25" i="8"/>
  <c r="I24" i="8"/>
  <c r="FO23" i="6"/>
  <c r="FT21" i="10"/>
  <c r="G21" i="10" s="1"/>
  <c r="FL22" i="12"/>
  <c r="FN22" i="12" s="1"/>
  <c r="FO22" i="12" s="1"/>
  <c r="HD52" i="9"/>
  <c r="HD51" i="7"/>
  <c r="CT24" i="6"/>
  <c r="DR50" i="7"/>
  <c r="DS50" i="7" s="1"/>
  <c r="DD50" i="7"/>
  <c r="DV51" i="7"/>
  <c r="CK52" i="7"/>
  <c r="DG51" i="7"/>
  <c r="DE51" i="7"/>
  <c r="FL22" i="11"/>
  <c r="FN22" i="11" s="1"/>
  <c r="CQ22" i="11"/>
  <c r="EU51" i="7"/>
  <c r="ES51" i="7"/>
  <c r="EB52" i="7"/>
  <c r="FF51" i="7"/>
  <c r="FH51" i="7" s="1"/>
  <c r="FJ51" i="7" s="1"/>
  <c r="CQ25" i="9"/>
  <c r="CS26" i="9" s="1"/>
  <c r="DS26" i="9" s="1"/>
  <c r="FM49" i="7"/>
  <c r="DT49" i="7"/>
  <c r="DR51" i="12"/>
  <c r="DS51" i="12" s="1"/>
  <c r="DD51" i="12"/>
  <c r="DV52" i="12"/>
  <c r="DE52" i="12"/>
  <c r="DG52" i="12"/>
  <c r="ES51" i="8"/>
  <c r="EB52" i="8"/>
  <c r="FF51" i="8"/>
  <c r="FH51" i="8" s="1"/>
  <c r="FJ51" i="8" s="1"/>
  <c r="EU51" i="8"/>
  <c r="FM50" i="12"/>
  <c r="DT50" i="12"/>
  <c r="HD52" i="6"/>
  <c r="FT22" i="5"/>
  <c r="G22" i="5" s="1"/>
  <c r="CU23" i="12"/>
  <c r="CS23" i="12"/>
  <c r="DT50" i="3"/>
  <c r="FM50" i="3"/>
  <c r="HN25" i="8"/>
  <c r="HP25" i="8" s="1"/>
  <c r="GC25" i="8"/>
  <c r="GB22" i="12"/>
  <c r="GC22" i="12" s="1"/>
  <c r="GE23" i="12" s="1"/>
  <c r="HE23" i="12" s="1"/>
  <c r="HV21" i="12"/>
  <c r="HW21" i="12" s="1"/>
  <c r="J21" i="12" s="1"/>
  <c r="HN23" i="6"/>
  <c r="HP23" i="6" s="1"/>
  <c r="GC23" i="6"/>
  <c r="HE22" i="12"/>
  <c r="GF22" i="12"/>
  <c r="HW22" i="6"/>
  <c r="J22" i="6" s="1"/>
  <c r="HS23" i="6"/>
  <c r="AL49" i="10"/>
  <c r="F49" i="10" s="1"/>
  <c r="AH50" i="10"/>
  <c r="E49" i="10"/>
  <c r="AK50" i="10"/>
  <c r="AF50" i="10"/>
  <c r="I22" i="6"/>
  <c r="HD51" i="8"/>
  <c r="GP51" i="8"/>
  <c r="HF51" i="8" s="1"/>
  <c r="GP51" i="7"/>
  <c r="HO51" i="7" s="1"/>
  <c r="HW24" i="7"/>
  <c r="J24" i="7" s="1"/>
  <c r="HS25" i="7"/>
  <c r="GG26" i="7"/>
  <c r="GE26" i="7"/>
  <c r="HE26" i="7" s="1"/>
  <c r="FT21" i="7"/>
  <c r="G21" i="7" s="1"/>
  <c r="DS22" i="7"/>
  <c r="CT22" i="7"/>
  <c r="CP22" i="7"/>
  <c r="FO23" i="5"/>
  <c r="FR23" i="5"/>
  <c r="FS23" i="5" s="1"/>
  <c r="CS24" i="5"/>
  <c r="CU24" i="5"/>
  <c r="E49" i="12"/>
  <c r="AL49" i="12"/>
  <c r="F49" i="12" s="1"/>
  <c r="AH50" i="12"/>
  <c r="AF50" i="12"/>
  <c r="AK50" i="12"/>
  <c r="HD51" i="12"/>
  <c r="GP51" i="12"/>
  <c r="AI52" i="12"/>
  <c r="AJ52" i="12" s="1"/>
  <c r="HF50" i="12"/>
  <c r="HO50" i="12"/>
  <c r="GQ52" i="12"/>
  <c r="GS52" i="12"/>
  <c r="HH52" i="12"/>
  <c r="HJ52" i="12" s="1"/>
  <c r="HL52" i="12" s="1"/>
  <c r="BG52" i="12"/>
  <c r="BR52" i="12"/>
  <c r="BT52" i="12" s="1"/>
  <c r="BV52" i="12" s="1"/>
  <c r="BE52" i="12"/>
  <c r="DR51" i="11"/>
  <c r="DS51" i="11" s="1"/>
  <c r="DD51" i="11"/>
  <c r="FM51" i="11" s="1"/>
  <c r="HF52" i="11"/>
  <c r="HO52" i="11"/>
  <c r="DE52" i="11"/>
  <c r="DV52" i="11"/>
  <c r="DG52" i="11"/>
  <c r="AF50" i="11"/>
  <c r="AK50" i="11"/>
  <c r="DT50" i="11"/>
  <c r="HD52" i="11"/>
  <c r="AL49" i="11"/>
  <c r="F49" i="11" s="1"/>
  <c r="AH50" i="11"/>
  <c r="E49" i="11"/>
  <c r="AI52" i="11"/>
  <c r="AJ52" i="11" s="1"/>
  <c r="FL22" i="10"/>
  <c r="FN22" i="10" s="1"/>
  <c r="CQ22" i="10"/>
  <c r="BR52" i="10"/>
  <c r="BT52" i="10" s="1"/>
  <c r="BV52" i="10" s="1"/>
  <c r="BG52" i="10"/>
  <c r="BE52" i="10"/>
  <c r="GS52" i="10"/>
  <c r="GQ52" i="10"/>
  <c r="HH52" i="10"/>
  <c r="HJ52" i="10" s="1"/>
  <c r="HL52" i="10" s="1"/>
  <c r="AI52" i="10"/>
  <c r="AJ52" i="10" s="1"/>
  <c r="DR52" i="10"/>
  <c r="DS52" i="10" s="1"/>
  <c r="DD52" i="10"/>
  <c r="FM52" i="10" s="1"/>
  <c r="DT51" i="10"/>
  <c r="HF50" i="10"/>
  <c r="HO50" i="10"/>
  <c r="HD51" i="10"/>
  <c r="GP51" i="10"/>
  <c r="GB23" i="9"/>
  <c r="GP52" i="9"/>
  <c r="DT51" i="9"/>
  <c r="AK50" i="9"/>
  <c r="AF50" i="9"/>
  <c r="HV22" i="9"/>
  <c r="I22" i="9" s="1"/>
  <c r="HF51" i="9"/>
  <c r="HO51" i="9"/>
  <c r="AI52" i="9"/>
  <c r="AJ52" i="9" s="1"/>
  <c r="BE52" i="9"/>
  <c r="BR52" i="9"/>
  <c r="BT52" i="9" s="1"/>
  <c r="BV52" i="9" s="1"/>
  <c r="BG52" i="9"/>
  <c r="HE23" i="9"/>
  <c r="GF23" i="9"/>
  <c r="AH50" i="9"/>
  <c r="E49" i="9"/>
  <c r="AL49" i="9"/>
  <c r="F49" i="9" s="1"/>
  <c r="DR52" i="9"/>
  <c r="DS52" i="9" s="1"/>
  <c r="DD52" i="9"/>
  <c r="FM52" i="9" s="1"/>
  <c r="CP21" i="8"/>
  <c r="HC52" i="8"/>
  <c r="DS21" i="8"/>
  <c r="CT21" i="8"/>
  <c r="HF50" i="8"/>
  <c r="HO50" i="8"/>
  <c r="AC52" i="8"/>
  <c r="AE52" i="8" s="1"/>
  <c r="FT20" i="8"/>
  <c r="AL48" i="8"/>
  <c r="F48" i="8" s="1"/>
  <c r="AH49" i="8"/>
  <c r="E48" i="8"/>
  <c r="DT51" i="8"/>
  <c r="AK49" i="8"/>
  <c r="AF49" i="8"/>
  <c r="DR52" i="8"/>
  <c r="DS52" i="8" s="1"/>
  <c r="DD52" i="8"/>
  <c r="FM52" i="8" s="1"/>
  <c r="AI51" i="8"/>
  <c r="AJ51" i="8" s="1"/>
  <c r="GQ52" i="8"/>
  <c r="GS52" i="8"/>
  <c r="HH52" i="8"/>
  <c r="HJ52" i="8" s="1"/>
  <c r="HL52" i="8" s="1"/>
  <c r="AI52" i="7"/>
  <c r="HC52" i="7"/>
  <c r="AI51" i="7"/>
  <c r="AJ51" i="7" s="1"/>
  <c r="AH49" i="7"/>
  <c r="AL48" i="7"/>
  <c r="F48" i="7" s="1"/>
  <c r="E48" i="7"/>
  <c r="HF50" i="7"/>
  <c r="HO50" i="7"/>
  <c r="AF49" i="7"/>
  <c r="AK49" i="7"/>
  <c r="GS52" i="7"/>
  <c r="GQ52" i="7"/>
  <c r="GP52" i="7" s="1"/>
  <c r="HH52" i="7"/>
  <c r="HJ52" i="7" s="1"/>
  <c r="HL52" i="7" s="1"/>
  <c r="BR52" i="7"/>
  <c r="BT52" i="7" s="1"/>
  <c r="BV52" i="7" s="1"/>
  <c r="BG52" i="7"/>
  <c r="BE52" i="7"/>
  <c r="AH52" i="6"/>
  <c r="E51" i="6"/>
  <c r="AL51" i="6"/>
  <c r="F51" i="6" s="1"/>
  <c r="AI52" i="6"/>
  <c r="AJ52" i="6" s="1"/>
  <c r="AF52" i="6"/>
  <c r="AK52" i="6"/>
  <c r="DR52" i="6"/>
  <c r="DS52" i="6" s="1"/>
  <c r="DD52" i="6"/>
  <c r="FM52" i="6" s="1"/>
  <c r="HF51" i="6"/>
  <c r="HO51" i="6"/>
  <c r="GP52" i="6"/>
  <c r="DT51" i="6"/>
  <c r="HD51" i="5"/>
  <c r="GP51" i="5"/>
  <c r="GS52" i="5"/>
  <c r="GQ52" i="5"/>
  <c r="HH52" i="5"/>
  <c r="HJ52" i="5" s="1"/>
  <c r="HL52" i="5" s="1"/>
  <c r="DR52" i="5"/>
  <c r="DS52" i="5" s="1"/>
  <c r="DD52" i="5"/>
  <c r="FM52" i="5" s="1"/>
  <c r="HF50" i="5"/>
  <c r="HO50" i="5"/>
  <c r="DT51" i="5"/>
  <c r="E49" i="5"/>
  <c r="AL49" i="5"/>
  <c r="F49" i="5" s="1"/>
  <c r="AH50" i="5"/>
  <c r="AK50" i="5"/>
  <c r="AF50" i="5"/>
  <c r="AI52" i="5"/>
  <c r="AJ52" i="5" s="1"/>
  <c r="GS52" i="3"/>
  <c r="GQ52" i="3"/>
  <c r="DV52" i="3"/>
  <c r="DE52" i="3"/>
  <c r="DG52" i="3"/>
  <c r="HO50" i="3"/>
  <c r="GP51" i="3"/>
  <c r="HD51" i="3"/>
  <c r="DD51" i="3"/>
  <c r="FM51" i="3" s="1"/>
  <c r="BR52" i="3"/>
  <c r="BT52" i="3" s="1"/>
  <c r="BV52" i="3" s="1"/>
  <c r="BG52" i="3"/>
  <c r="BE52" i="3"/>
  <c r="DR51" i="3"/>
  <c r="DX52" i="3"/>
  <c r="DZ52" i="3" s="1"/>
  <c r="BP52" i="3"/>
  <c r="HH52" i="3"/>
  <c r="AE52" i="3"/>
  <c r="GF25" i="10" l="1"/>
  <c r="FT24" i="9"/>
  <c r="FO24" i="9"/>
  <c r="FO25" i="9" s="1"/>
  <c r="HU24" i="10"/>
  <c r="HQ24" i="10"/>
  <c r="GB25" i="10"/>
  <c r="HN25" i="10" s="1"/>
  <c r="HP25" i="10" s="1"/>
  <c r="HT25" i="10" s="1"/>
  <c r="HU25" i="10" s="1"/>
  <c r="FL24" i="6"/>
  <c r="FN24" i="6" s="1"/>
  <c r="FO24" i="6" s="1"/>
  <c r="HV23" i="10"/>
  <c r="I23" i="10" s="1"/>
  <c r="HW20" i="5"/>
  <c r="J20" i="5" s="1"/>
  <c r="HS21" i="5"/>
  <c r="I20" i="5"/>
  <c r="HT21" i="5"/>
  <c r="HU21" i="5" s="1"/>
  <c r="FT21" i="12"/>
  <c r="G21" i="12" s="1"/>
  <c r="GF22" i="5"/>
  <c r="GB22" i="5"/>
  <c r="GC22" i="5" s="1"/>
  <c r="HT25" i="7"/>
  <c r="HU25" i="7" s="1"/>
  <c r="HV22" i="11"/>
  <c r="I22" i="11" s="1"/>
  <c r="HE23" i="11"/>
  <c r="GF23" i="11"/>
  <c r="GB23" i="11"/>
  <c r="GC23" i="11" s="1"/>
  <c r="FQ22" i="10"/>
  <c r="FU21" i="10"/>
  <c r="H21" i="10" s="1"/>
  <c r="GG23" i="12"/>
  <c r="GB23" i="12" s="1"/>
  <c r="GC23" i="12" s="1"/>
  <c r="FR22" i="12"/>
  <c r="FS22" i="12" s="1"/>
  <c r="FU22" i="5"/>
  <c r="H22" i="5" s="1"/>
  <c r="CT26" i="9"/>
  <c r="HF51" i="7"/>
  <c r="DR52" i="12"/>
  <c r="DS52" i="12" s="1"/>
  <c r="DD52" i="12"/>
  <c r="CU23" i="11"/>
  <c r="CS23" i="11"/>
  <c r="AJ52" i="7"/>
  <c r="FQ23" i="5"/>
  <c r="FT23" i="5" s="1"/>
  <c r="FO22" i="11"/>
  <c r="FR22" i="11"/>
  <c r="FS22" i="11" s="1"/>
  <c r="FM51" i="12"/>
  <c r="DT51" i="12"/>
  <c r="DD51" i="7"/>
  <c r="DR51" i="7"/>
  <c r="DS51" i="7" s="1"/>
  <c r="DV52" i="7"/>
  <c r="DG52" i="7"/>
  <c r="DE52" i="7"/>
  <c r="FM50" i="7"/>
  <c r="DT50" i="7"/>
  <c r="EU52" i="8"/>
  <c r="ES52" i="8"/>
  <c r="FF52" i="8"/>
  <c r="FH52" i="8" s="1"/>
  <c r="FJ52" i="8" s="1"/>
  <c r="EU52" i="7"/>
  <c r="ES52" i="7"/>
  <c r="FF52" i="7"/>
  <c r="FH52" i="7" s="1"/>
  <c r="FJ52" i="7" s="1"/>
  <c r="CU26" i="9"/>
  <c r="CP26" i="9" s="1"/>
  <c r="CQ26" i="9" s="1"/>
  <c r="DS23" i="12"/>
  <c r="CT23" i="12"/>
  <c r="CP23" i="12"/>
  <c r="HN22" i="12"/>
  <c r="HP22" i="12" s="1"/>
  <c r="HQ22" i="12" s="1"/>
  <c r="HT25" i="8"/>
  <c r="HU25" i="8" s="1"/>
  <c r="HQ25" i="8"/>
  <c r="GG26" i="8"/>
  <c r="GE26" i="8"/>
  <c r="I21" i="12"/>
  <c r="GF23" i="12"/>
  <c r="HS22" i="12"/>
  <c r="GG24" i="6"/>
  <c r="GE24" i="6"/>
  <c r="HT23" i="6"/>
  <c r="HQ23" i="6"/>
  <c r="GF26" i="7"/>
  <c r="AK51" i="10"/>
  <c r="AF51" i="10"/>
  <c r="E50" i="10"/>
  <c r="AL50" i="10"/>
  <c r="F50" i="10" s="1"/>
  <c r="AH51" i="10"/>
  <c r="HO51" i="8"/>
  <c r="HD52" i="8"/>
  <c r="GB26" i="7"/>
  <c r="HN26" i="7" s="1"/>
  <c r="HP26" i="7" s="1"/>
  <c r="HQ26" i="7" s="1"/>
  <c r="FU21" i="7"/>
  <c r="H21" i="7" s="1"/>
  <c r="FQ22" i="7"/>
  <c r="FL22" i="7"/>
  <c r="FN22" i="7" s="1"/>
  <c r="CQ22" i="7"/>
  <c r="CU25" i="6"/>
  <c r="CS25" i="6"/>
  <c r="G23" i="6"/>
  <c r="FU23" i="6"/>
  <c r="H23" i="6" s="1"/>
  <c r="FQ24" i="6"/>
  <c r="DS24" i="5"/>
  <c r="CT24" i="5"/>
  <c r="CP24" i="5"/>
  <c r="HD52" i="12"/>
  <c r="GP52" i="12"/>
  <c r="HF51" i="12"/>
  <c r="HO51" i="12"/>
  <c r="E50" i="12"/>
  <c r="AL50" i="12"/>
  <c r="F50" i="12" s="1"/>
  <c r="AH51" i="12"/>
  <c r="AK51" i="12"/>
  <c r="AF51" i="12"/>
  <c r="DT51" i="11"/>
  <c r="DR52" i="11"/>
  <c r="DS52" i="11" s="1"/>
  <c r="DD52" i="11"/>
  <c r="FM52" i="11" s="1"/>
  <c r="E50" i="11"/>
  <c r="AL50" i="11"/>
  <c r="F50" i="11" s="1"/>
  <c r="AH51" i="11"/>
  <c r="AF51" i="11"/>
  <c r="AK51" i="11"/>
  <c r="CU23" i="10"/>
  <c r="CS23" i="10"/>
  <c r="FR22" i="10"/>
  <c r="FS22" i="10" s="1"/>
  <c r="FO22" i="10"/>
  <c r="HF51" i="10"/>
  <c r="HO51" i="10"/>
  <c r="HD52" i="10"/>
  <c r="GP52" i="10"/>
  <c r="DT52" i="10"/>
  <c r="HS23" i="9"/>
  <c r="HW22" i="9"/>
  <c r="J22" i="9" s="1"/>
  <c r="AF51" i="9"/>
  <c r="AK51" i="9"/>
  <c r="E50" i="9"/>
  <c r="AL50" i="9"/>
  <c r="F50" i="9" s="1"/>
  <c r="AH51" i="9"/>
  <c r="DT52" i="9"/>
  <c r="HF52" i="9"/>
  <c r="HO52" i="9"/>
  <c r="HN23" i="9"/>
  <c r="HP23" i="9" s="1"/>
  <c r="GC23" i="9"/>
  <c r="DT52" i="8"/>
  <c r="GP52" i="8"/>
  <c r="FU20" i="8"/>
  <c r="H20" i="8" s="1"/>
  <c r="FQ21" i="8"/>
  <c r="AI52" i="8"/>
  <c r="AJ52" i="8" s="1"/>
  <c r="G20" i="8"/>
  <c r="AF50" i="8"/>
  <c r="AK50" i="8"/>
  <c r="FL21" i="8"/>
  <c r="FN21" i="8" s="1"/>
  <c r="CQ21" i="8"/>
  <c r="E49" i="8"/>
  <c r="AL49" i="8"/>
  <c r="F49" i="8" s="1"/>
  <c r="AH50" i="8"/>
  <c r="HF52" i="7"/>
  <c r="HO52" i="7"/>
  <c r="HD52" i="7"/>
  <c r="AF50" i="7"/>
  <c r="AK50" i="7"/>
  <c r="AL49" i="7"/>
  <c r="F49" i="7" s="1"/>
  <c r="AH50" i="7"/>
  <c r="E49" i="7"/>
  <c r="DT52" i="6"/>
  <c r="E52" i="6"/>
  <c r="AL52" i="6"/>
  <c r="F52" i="6" s="1"/>
  <c r="HF52" i="6"/>
  <c r="HO52" i="6"/>
  <c r="HD52" i="5"/>
  <c r="GP52" i="5"/>
  <c r="HF51" i="5"/>
  <c r="HO51" i="5"/>
  <c r="AF51" i="5"/>
  <c r="AK51" i="5"/>
  <c r="DT52" i="5"/>
  <c r="E50" i="5"/>
  <c r="AL50" i="5"/>
  <c r="F50" i="5" s="1"/>
  <c r="AH51" i="5"/>
  <c r="DT51" i="3"/>
  <c r="DD52" i="3"/>
  <c r="FM52" i="3" s="1"/>
  <c r="GP52" i="3"/>
  <c r="HF52" i="3" s="1"/>
  <c r="HD52" i="3"/>
  <c r="HF51" i="3"/>
  <c r="HO51" i="3"/>
  <c r="DR52" i="3"/>
  <c r="HJ52" i="3"/>
  <c r="HL52" i="3" s="1"/>
  <c r="FR24" i="6" l="1"/>
  <c r="FS24" i="6" s="1"/>
  <c r="GC25" i="10"/>
  <c r="GE26" i="10" s="1"/>
  <c r="HQ25" i="10"/>
  <c r="HW23" i="10"/>
  <c r="J23" i="10" s="1"/>
  <c r="HS24" i="10"/>
  <c r="HV24" i="10" s="1"/>
  <c r="HS25" i="10" s="1"/>
  <c r="G24" i="9"/>
  <c r="FU24" i="9"/>
  <c r="H24" i="9" s="1"/>
  <c r="FQ25" i="9"/>
  <c r="FR25" i="9"/>
  <c r="FS25" i="9" s="1"/>
  <c r="FU21" i="12"/>
  <c r="H21" i="12" s="1"/>
  <c r="FQ22" i="12"/>
  <c r="FT22" i="12" s="1"/>
  <c r="G22" i="12" s="1"/>
  <c r="HV25" i="7"/>
  <c r="HW25" i="7" s="1"/>
  <c r="J25" i="7" s="1"/>
  <c r="HN22" i="5"/>
  <c r="HP22" i="5" s="1"/>
  <c r="HT22" i="5" s="1"/>
  <c r="HU22" i="5" s="1"/>
  <c r="HV21" i="5"/>
  <c r="HS22" i="5" s="1"/>
  <c r="HW22" i="11"/>
  <c r="J22" i="11" s="1"/>
  <c r="HS23" i="11"/>
  <c r="I24" i="10"/>
  <c r="GE24" i="11"/>
  <c r="HE24" i="11" s="1"/>
  <c r="GG24" i="11"/>
  <c r="HN23" i="11"/>
  <c r="HP23" i="11" s="1"/>
  <c r="HW24" i="10"/>
  <c r="J24" i="10" s="1"/>
  <c r="FL26" i="9"/>
  <c r="FN26" i="9" s="1"/>
  <c r="FO26" i="9" s="1"/>
  <c r="FQ24" i="5"/>
  <c r="FU23" i="5"/>
  <c r="H23" i="5" s="1"/>
  <c r="G23" i="5"/>
  <c r="FT22" i="11"/>
  <c r="FU22" i="11" s="1"/>
  <c r="H22" i="11" s="1"/>
  <c r="DR52" i="7"/>
  <c r="DS52" i="7" s="1"/>
  <c r="DD52" i="7"/>
  <c r="GE23" i="5"/>
  <c r="GG23" i="5"/>
  <c r="DS23" i="11"/>
  <c r="CT23" i="11"/>
  <c r="FT24" i="6"/>
  <c r="G24" i="6" s="1"/>
  <c r="CP23" i="11"/>
  <c r="FM51" i="7"/>
  <c r="DT51" i="7"/>
  <c r="FM52" i="12"/>
  <c r="DT52" i="12"/>
  <c r="CU27" i="9"/>
  <c r="FM27" i="9"/>
  <c r="CQ23" i="12"/>
  <c r="FL23" i="12"/>
  <c r="FN23" i="12" s="1"/>
  <c r="FL24" i="5"/>
  <c r="FN24" i="5" s="1"/>
  <c r="HT22" i="12"/>
  <c r="HU22" i="12" s="1"/>
  <c r="GG26" i="10"/>
  <c r="GB26" i="10" s="1"/>
  <c r="GC26" i="10" s="1"/>
  <c r="GE27" i="10" s="1"/>
  <c r="HE27" i="10" s="1"/>
  <c r="GB26" i="8"/>
  <c r="GC26" i="8" s="1"/>
  <c r="GG27" i="8" s="1"/>
  <c r="HV25" i="8"/>
  <c r="I25" i="8" s="1"/>
  <c r="HE26" i="8"/>
  <c r="GF26" i="8"/>
  <c r="HN23" i="12"/>
  <c r="HP23" i="12" s="1"/>
  <c r="HT23" i="12" s="1"/>
  <c r="HE24" i="6"/>
  <c r="GF24" i="6"/>
  <c r="GB24" i="6"/>
  <c r="GC24" i="6" s="1"/>
  <c r="GG24" i="12"/>
  <c r="GE24" i="12"/>
  <c r="HE24" i="12" s="1"/>
  <c r="HU23" i="6"/>
  <c r="HV23" i="6"/>
  <c r="HV25" i="10"/>
  <c r="E51" i="10"/>
  <c r="AL51" i="10"/>
  <c r="F51" i="10" s="1"/>
  <c r="AH52" i="10"/>
  <c r="AK52" i="10"/>
  <c r="AF52" i="10"/>
  <c r="HE26" i="10"/>
  <c r="GF26" i="10"/>
  <c r="CP23" i="10"/>
  <c r="CQ23" i="10" s="1"/>
  <c r="CU24" i="10" s="1"/>
  <c r="CS27" i="9"/>
  <c r="DS27" i="9" s="1"/>
  <c r="GC26" i="7"/>
  <c r="GG27" i="7" s="1"/>
  <c r="HT26" i="7"/>
  <c r="HU26" i="7" s="1"/>
  <c r="FO22" i="7"/>
  <c r="FR22" i="7"/>
  <c r="CU23" i="7"/>
  <c r="CS23" i="7"/>
  <c r="CT25" i="6"/>
  <c r="DS25" i="6"/>
  <c r="CP25" i="6"/>
  <c r="CQ24" i="5"/>
  <c r="AF52" i="12"/>
  <c r="AK52" i="12"/>
  <c r="AH52" i="12"/>
  <c r="E51" i="12"/>
  <c r="AL51" i="12"/>
  <c r="F51" i="12" s="1"/>
  <c r="HF52" i="12"/>
  <c r="HO52" i="12"/>
  <c r="AH52" i="11"/>
  <c r="E51" i="11"/>
  <c r="AL51" i="11"/>
  <c r="F51" i="11" s="1"/>
  <c r="DT52" i="11"/>
  <c r="AF52" i="11"/>
  <c r="AK52" i="11"/>
  <c r="HF52" i="10"/>
  <c r="HO52" i="10"/>
  <c r="FT22" i="10"/>
  <c r="DS23" i="10"/>
  <c r="CT23" i="10"/>
  <c r="AF52" i="9"/>
  <c r="AK52" i="9"/>
  <c r="HQ23" i="9"/>
  <c r="HT23" i="9"/>
  <c r="HU23" i="9" s="1"/>
  <c r="AH52" i="9"/>
  <c r="E51" i="9"/>
  <c r="AL51" i="9"/>
  <c r="F51" i="9" s="1"/>
  <c r="GG24" i="9"/>
  <c r="GE24" i="9"/>
  <c r="E50" i="8"/>
  <c r="AL50" i="8"/>
  <c r="F50" i="8" s="1"/>
  <c r="AH51" i="8"/>
  <c r="AF51" i="8"/>
  <c r="AK51" i="8"/>
  <c r="CU22" i="8"/>
  <c r="CS22" i="8"/>
  <c r="FR21" i="8"/>
  <c r="FS21" i="8" s="1"/>
  <c r="FO21" i="8"/>
  <c r="HF52" i="8"/>
  <c r="HO52" i="8"/>
  <c r="AF51" i="7"/>
  <c r="AK51" i="7"/>
  <c r="E50" i="7"/>
  <c r="AL50" i="7"/>
  <c r="F50" i="7" s="1"/>
  <c r="AH51" i="7"/>
  <c r="AF52" i="5"/>
  <c r="AK52" i="5"/>
  <c r="HF52" i="5"/>
  <c r="HO52" i="5"/>
  <c r="AH52" i="5"/>
  <c r="E51" i="5"/>
  <c r="AL51" i="5"/>
  <c r="F51" i="5" s="1"/>
  <c r="DT52" i="3"/>
  <c r="HO52" i="3"/>
  <c r="HS26" i="7" l="1"/>
  <c r="FT25" i="9"/>
  <c r="G25" i="9"/>
  <c r="I25" i="7"/>
  <c r="HQ22" i="5"/>
  <c r="I21" i="5"/>
  <c r="HW21" i="5"/>
  <c r="J21" i="5" s="1"/>
  <c r="FQ23" i="12"/>
  <c r="GF24" i="11"/>
  <c r="GB24" i="11"/>
  <c r="HN24" i="11" s="1"/>
  <c r="HP24" i="11" s="1"/>
  <c r="FR26" i="9"/>
  <c r="FS26" i="9" s="1"/>
  <c r="HQ23" i="11"/>
  <c r="HT23" i="11"/>
  <c r="HU23" i="11" s="1"/>
  <c r="FU22" i="12"/>
  <c r="H22" i="12" s="1"/>
  <c r="GB23" i="5"/>
  <c r="GC23" i="5" s="1"/>
  <c r="GG24" i="5" s="1"/>
  <c r="FQ23" i="11"/>
  <c r="HV22" i="5"/>
  <c r="G22" i="11"/>
  <c r="GG27" i="10"/>
  <c r="GB27" i="10" s="1"/>
  <c r="GC27" i="10" s="1"/>
  <c r="GE27" i="8"/>
  <c r="HE27" i="8" s="1"/>
  <c r="FQ25" i="6"/>
  <c r="FU24" i="6"/>
  <c r="H24" i="6" s="1"/>
  <c r="CT27" i="9"/>
  <c r="HE23" i="5"/>
  <c r="GF23" i="5"/>
  <c r="FM52" i="7"/>
  <c r="DT52" i="7"/>
  <c r="HQ23" i="12"/>
  <c r="CQ23" i="11"/>
  <c r="FL23" i="11"/>
  <c r="FN23" i="11" s="1"/>
  <c r="FR23" i="12"/>
  <c r="FO23" i="12"/>
  <c r="CU24" i="12"/>
  <c r="CS24" i="12"/>
  <c r="GF24" i="12"/>
  <c r="HV22" i="12"/>
  <c r="I22" i="12" s="1"/>
  <c r="HU23" i="12"/>
  <c r="HN26" i="10"/>
  <c r="HP26" i="10" s="1"/>
  <c r="HQ26" i="10" s="1"/>
  <c r="HN26" i="8"/>
  <c r="HP26" i="8" s="1"/>
  <c r="HQ26" i="8" s="1"/>
  <c r="HS26" i="8"/>
  <c r="HW25" i="8"/>
  <c r="J25" i="8" s="1"/>
  <c r="HV23" i="9"/>
  <c r="I23" i="9" s="1"/>
  <c r="HN24" i="6"/>
  <c r="HP24" i="6" s="1"/>
  <c r="HT24" i="6" s="1"/>
  <c r="GG25" i="6"/>
  <c r="GE25" i="6"/>
  <c r="HE25" i="6" s="1"/>
  <c r="I23" i="6"/>
  <c r="HS24" i="6"/>
  <c r="HW23" i="6"/>
  <c r="J23" i="6" s="1"/>
  <c r="GB24" i="12"/>
  <c r="CP22" i="8"/>
  <c r="CQ22" i="8" s="1"/>
  <c r="GF27" i="10"/>
  <c r="E52" i="10"/>
  <c r="AL52" i="10"/>
  <c r="F52" i="10" s="1"/>
  <c r="HW25" i="10"/>
  <c r="J25" i="10" s="1"/>
  <c r="HS26" i="10"/>
  <c r="I25" i="10"/>
  <c r="CS24" i="10"/>
  <c r="DS24" i="10" s="1"/>
  <c r="FL23" i="10"/>
  <c r="FN23" i="10" s="1"/>
  <c r="FO23" i="10" s="1"/>
  <c r="CP27" i="9"/>
  <c r="HV26" i="7"/>
  <c r="I26" i="7" s="1"/>
  <c r="GE27" i="7"/>
  <c r="HE27" i="7" s="1"/>
  <c r="CP23" i="7"/>
  <c r="CQ23" i="7" s="1"/>
  <c r="DS23" i="7"/>
  <c r="CT23" i="7"/>
  <c r="FT22" i="7"/>
  <c r="FS22" i="7"/>
  <c r="CQ25" i="6"/>
  <c r="FL25" i="6"/>
  <c r="FN25" i="6" s="1"/>
  <c r="FO24" i="5"/>
  <c r="FR24" i="5"/>
  <c r="FS24" i="5" s="1"/>
  <c r="CU25" i="5"/>
  <c r="CS25" i="5"/>
  <c r="AL52" i="12"/>
  <c r="F52" i="12" s="1"/>
  <c r="E52" i="12"/>
  <c r="E52" i="11"/>
  <c r="AL52" i="11"/>
  <c r="F52" i="11" s="1"/>
  <c r="FQ23" i="10"/>
  <c r="FU22" i="10"/>
  <c r="H22" i="10" s="1"/>
  <c r="G22" i="10"/>
  <c r="HE24" i="9"/>
  <c r="GF24" i="9"/>
  <c r="GB24" i="9"/>
  <c r="E52" i="9"/>
  <c r="AL52" i="9"/>
  <c r="F52" i="9" s="1"/>
  <c r="AH52" i="8"/>
  <c r="E51" i="8"/>
  <c r="AL51" i="8"/>
  <c r="F51" i="8" s="1"/>
  <c r="AK52" i="8"/>
  <c r="AF52" i="8"/>
  <c r="FT21" i="8"/>
  <c r="G21" i="8" s="1"/>
  <c r="DS22" i="8"/>
  <c r="CT22" i="8"/>
  <c r="AF52" i="7"/>
  <c r="AK52" i="7"/>
  <c r="AH52" i="7"/>
  <c r="E51" i="7"/>
  <c r="AL51" i="7"/>
  <c r="F51" i="7" s="1"/>
  <c r="E52" i="5"/>
  <c r="AL52" i="5"/>
  <c r="F52" i="5" s="1"/>
  <c r="I22" i="5" l="1"/>
  <c r="FQ26" i="9"/>
  <c r="FU25" i="9"/>
  <c r="H25" i="9" s="1"/>
  <c r="GC24" i="11"/>
  <c r="GG25" i="11" s="1"/>
  <c r="HT24" i="11"/>
  <c r="HU24" i="11" s="1"/>
  <c r="FT26" i="9"/>
  <c r="G26" i="9" s="1"/>
  <c r="HQ24" i="11"/>
  <c r="HW22" i="5"/>
  <c r="J22" i="5" s="1"/>
  <c r="HV23" i="11"/>
  <c r="I23" i="11" s="1"/>
  <c r="HS23" i="5"/>
  <c r="GE24" i="5"/>
  <c r="HE24" i="5" s="1"/>
  <c r="GF27" i="8"/>
  <c r="HN23" i="5"/>
  <c r="HP23" i="5" s="1"/>
  <c r="HQ23" i="5" s="1"/>
  <c r="GB27" i="8"/>
  <c r="GC27" i="8" s="1"/>
  <c r="HS24" i="9"/>
  <c r="CU24" i="11"/>
  <c r="CS24" i="11"/>
  <c r="FO23" i="11"/>
  <c r="FR23" i="11"/>
  <c r="FS23" i="11" s="1"/>
  <c r="CP24" i="12"/>
  <c r="CQ24" i="12" s="1"/>
  <c r="CU25" i="12" s="1"/>
  <c r="FL22" i="8"/>
  <c r="FN22" i="8" s="1"/>
  <c r="FO22" i="8" s="1"/>
  <c r="CT24" i="12"/>
  <c r="DS24" i="12"/>
  <c r="FS23" i="12"/>
  <c r="FT23" i="12"/>
  <c r="HW22" i="12"/>
  <c r="J22" i="12" s="1"/>
  <c r="HT26" i="8"/>
  <c r="HU26" i="8" s="1"/>
  <c r="HS23" i="12"/>
  <c r="HV23" i="12" s="1"/>
  <c r="I23" i="12" s="1"/>
  <c r="HT26" i="10"/>
  <c r="HU26" i="10" s="1"/>
  <c r="GF25" i="6"/>
  <c r="HW23" i="9"/>
  <c r="J23" i="9" s="1"/>
  <c r="HU24" i="6"/>
  <c r="HV24" i="6"/>
  <c r="GB25" i="6"/>
  <c r="HQ24" i="6"/>
  <c r="HN24" i="12"/>
  <c r="HP24" i="12" s="1"/>
  <c r="GC24" i="12"/>
  <c r="GG28" i="10"/>
  <c r="GE28" i="10"/>
  <c r="HE28" i="10" s="1"/>
  <c r="HN27" i="10"/>
  <c r="HP27" i="10" s="1"/>
  <c r="CT24" i="10"/>
  <c r="CP24" i="10"/>
  <c r="FL24" i="10" s="1"/>
  <c r="FN24" i="10" s="1"/>
  <c r="FR23" i="10"/>
  <c r="FS23" i="10" s="1"/>
  <c r="FL27" i="9"/>
  <c r="FN27" i="9" s="1"/>
  <c r="CQ27" i="9"/>
  <c r="HS27" i="7"/>
  <c r="HW26" i="7"/>
  <c r="J26" i="7" s="1"/>
  <c r="GF27" i="7"/>
  <c r="GB27" i="7"/>
  <c r="GC27" i="7" s="1"/>
  <c r="GE28" i="7" s="1"/>
  <c r="HE28" i="7" s="1"/>
  <c r="FL23" i="7"/>
  <c r="FN23" i="7" s="1"/>
  <c r="FR23" i="7" s="1"/>
  <c r="FS23" i="7" s="1"/>
  <c r="CS24" i="7"/>
  <c r="DS24" i="7" s="1"/>
  <c r="CU24" i="7"/>
  <c r="FU22" i="7"/>
  <c r="H22" i="7" s="1"/>
  <c r="FQ23" i="7"/>
  <c r="G22" i="7"/>
  <c r="CU26" i="6"/>
  <c r="CS26" i="6"/>
  <c r="FR25" i="6"/>
  <c r="FS25" i="6" s="1"/>
  <c r="FO25" i="6"/>
  <c r="FT24" i="5"/>
  <c r="G24" i="5" s="1"/>
  <c r="DS25" i="5"/>
  <c r="CT25" i="5"/>
  <c r="CP25" i="5"/>
  <c r="HN24" i="9"/>
  <c r="HP24" i="9" s="1"/>
  <c r="GC24" i="9"/>
  <c r="FU21" i="8"/>
  <c r="H21" i="8" s="1"/>
  <c r="FQ22" i="8"/>
  <c r="CU23" i="8"/>
  <c r="CS23" i="8"/>
  <c r="DS23" i="8" s="1"/>
  <c r="E52" i="8"/>
  <c r="AL52" i="8"/>
  <c r="F52" i="8" s="1"/>
  <c r="E52" i="7"/>
  <c r="AL52" i="7"/>
  <c r="F52" i="7" s="1"/>
  <c r="GE25" i="11" l="1"/>
  <c r="HE25" i="11" s="1"/>
  <c r="FQ27" i="9"/>
  <c r="HS24" i="11"/>
  <c r="HV24" i="11" s="1"/>
  <c r="HW24" i="11" s="1"/>
  <c r="J24" i="11" s="1"/>
  <c r="FU26" i="9"/>
  <c r="H26" i="9" s="1"/>
  <c r="HW23" i="11"/>
  <c r="J23" i="11" s="1"/>
  <c r="HT23" i="5"/>
  <c r="HU23" i="5" s="1"/>
  <c r="GF24" i="5"/>
  <c r="GB24" i="5"/>
  <c r="GC24" i="5" s="1"/>
  <c r="HN27" i="8"/>
  <c r="HP27" i="8" s="1"/>
  <c r="HT27" i="8" s="1"/>
  <c r="HU27" i="8" s="1"/>
  <c r="FR22" i="8"/>
  <c r="FS22" i="8" s="1"/>
  <c r="FT23" i="11"/>
  <c r="HV26" i="10"/>
  <c r="DS24" i="11"/>
  <c r="CT24" i="11"/>
  <c r="CP24" i="11"/>
  <c r="HV26" i="8"/>
  <c r="I26" i="8" s="1"/>
  <c r="FL24" i="12"/>
  <c r="FN24" i="12" s="1"/>
  <c r="FO24" i="12" s="1"/>
  <c r="CT23" i="8"/>
  <c r="CS25" i="12"/>
  <c r="CP25" i="12" s="1"/>
  <c r="CQ25" i="12" s="1"/>
  <c r="FL25" i="5"/>
  <c r="FN25" i="5" s="1"/>
  <c r="FU23" i="12"/>
  <c r="H23" i="12" s="1"/>
  <c r="G23" i="12"/>
  <c r="FQ24" i="12"/>
  <c r="HW23" i="12"/>
  <c r="J23" i="12" s="1"/>
  <c r="HS24" i="12"/>
  <c r="I24" i="6"/>
  <c r="GG28" i="8"/>
  <c r="GE28" i="8"/>
  <c r="GF28" i="10"/>
  <c r="HS25" i="6"/>
  <c r="HW24" i="6"/>
  <c r="J24" i="6" s="1"/>
  <c r="HN25" i="6"/>
  <c r="HP25" i="6" s="1"/>
  <c r="GC25" i="6"/>
  <c r="GG25" i="12"/>
  <c r="GE25" i="12"/>
  <c r="HT24" i="12"/>
  <c r="HU24" i="12" s="1"/>
  <c r="HQ24" i="12"/>
  <c r="HT27" i="10"/>
  <c r="HU27" i="10" s="1"/>
  <c r="HQ27" i="10"/>
  <c r="GB28" i="10"/>
  <c r="FT25" i="6"/>
  <c r="FQ26" i="6" s="1"/>
  <c r="CQ24" i="10"/>
  <c r="CU25" i="10" s="1"/>
  <c r="FT23" i="10"/>
  <c r="FU23" i="10" s="1"/>
  <c r="H23" i="10" s="1"/>
  <c r="CU28" i="9"/>
  <c r="CS28" i="9"/>
  <c r="FO27" i="9"/>
  <c r="FR27" i="9"/>
  <c r="HN27" i="7"/>
  <c r="HP27" i="7" s="1"/>
  <c r="GG28" i="7"/>
  <c r="GB28" i="7" s="1"/>
  <c r="HN28" i="7" s="1"/>
  <c r="HP28" i="7" s="1"/>
  <c r="FO23" i="7"/>
  <c r="FT23" i="7"/>
  <c r="CT24" i="7"/>
  <c r="GF28" i="7"/>
  <c r="CP24" i="7"/>
  <c r="DS26" i="6"/>
  <c r="CT26" i="6"/>
  <c r="CP26" i="6"/>
  <c r="CQ26" i="6" s="1"/>
  <c r="FM27" i="6" s="1"/>
  <c r="CQ25" i="5"/>
  <c r="FQ25" i="5"/>
  <c r="FU24" i="5"/>
  <c r="H24" i="5" s="1"/>
  <c r="FR24" i="10"/>
  <c r="FS24" i="10" s="1"/>
  <c r="FO24" i="10"/>
  <c r="HT24" i="9"/>
  <c r="HU24" i="9" s="1"/>
  <c r="HQ24" i="9"/>
  <c r="GG25" i="9"/>
  <c r="GE25" i="9"/>
  <c r="CP23" i="8"/>
  <c r="GF25" i="11" l="1"/>
  <c r="I24" i="11"/>
  <c r="HS25" i="11"/>
  <c r="HV23" i="5"/>
  <c r="HS24" i="5" s="1"/>
  <c r="GB25" i="11"/>
  <c r="HQ27" i="8"/>
  <c r="HN24" i="5"/>
  <c r="HP24" i="5" s="1"/>
  <c r="HT24" i="5" s="1"/>
  <c r="HU24" i="5" s="1"/>
  <c r="FT22" i="8"/>
  <c r="FU22" i="8" s="1"/>
  <c r="H22" i="8" s="1"/>
  <c r="HW26" i="8"/>
  <c r="J26" i="8" s="1"/>
  <c r="FR24" i="12"/>
  <c r="FS24" i="12" s="1"/>
  <c r="HW26" i="10"/>
  <c r="J26" i="10" s="1"/>
  <c r="I26" i="10"/>
  <c r="HS27" i="10"/>
  <c r="HV27" i="10" s="1"/>
  <c r="HW27" i="10" s="1"/>
  <c r="J27" i="10" s="1"/>
  <c r="HS27" i="8"/>
  <c r="HV27" i="8" s="1"/>
  <c r="FQ24" i="11"/>
  <c r="FU23" i="11"/>
  <c r="H23" i="11" s="1"/>
  <c r="GG25" i="5"/>
  <c r="GE25" i="5"/>
  <c r="DS25" i="12"/>
  <c r="FL25" i="12" s="1"/>
  <c r="FN25" i="12" s="1"/>
  <c r="FL24" i="11"/>
  <c r="FN24" i="11" s="1"/>
  <c r="CQ24" i="11"/>
  <c r="CT25" i="12"/>
  <c r="G23" i="11"/>
  <c r="G23" i="7"/>
  <c r="CU26" i="12"/>
  <c r="CS26" i="12"/>
  <c r="DS26" i="12" s="1"/>
  <c r="FU25" i="6"/>
  <c r="H25" i="6" s="1"/>
  <c r="G25" i="6"/>
  <c r="HE28" i="8"/>
  <c r="GF28" i="8"/>
  <c r="GB28" i="8"/>
  <c r="HV24" i="12"/>
  <c r="I24" i="12" s="1"/>
  <c r="GE26" i="6"/>
  <c r="GG26" i="6"/>
  <c r="HT25" i="6"/>
  <c r="HU25" i="6" s="1"/>
  <c r="HQ25" i="6"/>
  <c r="HE25" i="12"/>
  <c r="GF25" i="12"/>
  <c r="GC28" i="7"/>
  <c r="GE29" i="7" s="1"/>
  <c r="GB25" i="12"/>
  <c r="GC25" i="12" s="1"/>
  <c r="HN28" i="10"/>
  <c r="HP28" i="10" s="1"/>
  <c r="GC28" i="10"/>
  <c r="CS25" i="10"/>
  <c r="DS25" i="10" s="1"/>
  <c r="G23" i="10"/>
  <c r="FQ24" i="10"/>
  <c r="FT24" i="10" s="1"/>
  <c r="GB25" i="9"/>
  <c r="GC25" i="9" s="1"/>
  <c r="DS28" i="9"/>
  <c r="CT28" i="9"/>
  <c r="FS27" i="9"/>
  <c r="FT27" i="9"/>
  <c r="CP28" i="9"/>
  <c r="HT27" i="7"/>
  <c r="HU27" i="7" s="1"/>
  <c r="HQ27" i="7"/>
  <c r="FU23" i="7"/>
  <c r="H23" i="7" s="1"/>
  <c r="FQ24" i="7"/>
  <c r="FL24" i="7"/>
  <c r="FN24" i="7" s="1"/>
  <c r="CQ24" i="7"/>
  <c r="CU27" i="6"/>
  <c r="CS27" i="6"/>
  <c r="FL26" i="6"/>
  <c r="FN26" i="6" s="1"/>
  <c r="FR25" i="5"/>
  <c r="FS25" i="5" s="1"/>
  <c r="FO25" i="5"/>
  <c r="CU26" i="5"/>
  <c r="CS26" i="5"/>
  <c r="HV24" i="9"/>
  <c r="HE25" i="9"/>
  <c r="GF25" i="9"/>
  <c r="FL23" i="8"/>
  <c r="FN23" i="8" s="1"/>
  <c r="CQ23" i="8"/>
  <c r="HW23" i="5" l="1"/>
  <c r="J23" i="5" s="1"/>
  <c r="GC25" i="11"/>
  <c r="HN25" i="11"/>
  <c r="HP25" i="11" s="1"/>
  <c r="I27" i="8"/>
  <c r="I23" i="5"/>
  <c r="G22" i="8"/>
  <c r="HQ24" i="5"/>
  <c r="FQ23" i="8"/>
  <c r="HS28" i="8"/>
  <c r="HW27" i="8"/>
  <c r="J27" i="8" s="1"/>
  <c r="CP26" i="12"/>
  <c r="FL26" i="12" s="1"/>
  <c r="FN26" i="12" s="1"/>
  <c r="HV24" i="5"/>
  <c r="CT26" i="12"/>
  <c r="FT24" i="12"/>
  <c r="FR25" i="12"/>
  <c r="FS25" i="12" s="1"/>
  <c r="FO25" i="12"/>
  <c r="HS28" i="10"/>
  <c r="CS25" i="11"/>
  <c r="CU25" i="11"/>
  <c r="FO24" i="11"/>
  <c r="FR24" i="11"/>
  <c r="FS24" i="11" s="1"/>
  <c r="HE25" i="5"/>
  <c r="GF25" i="5"/>
  <c r="GB25" i="5"/>
  <c r="I27" i="10"/>
  <c r="CP26" i="5"/>
  <c r="CQ26" i="5" s="1"/>
  <c r="GB26" i="6"/>
  <c r="GC26" i="6" s="1"/>
  <c r="GE27" i="6" s="1"/>
  <c r="HE27" i="6" s="1"/>
  <c r="HS25" i="12"/>
  <c r="HW24" i="12"/>
  <c r="J24" i="12" s="1"/>
  <c r="GC28" i="8"/>
  <c r="HN28" i="8"/>
  <c r="HP28" i="8" s="1"/>
  <c r="HV25" i="6"/>
  <c r="HE26" i="6"/>
  <c r="GF26" i="6"/>
  <c r="GE26" i="12"/>
  <c r="HE26" i="12" s="1"/>
  <c r="GG26" i="12"/>
  <c r="HN25" i="12"/>
  <c r="HP25" i="12" s="1"/>
  <c r="GG29" i="7"/>
  <c r="GB29" i="7" s="1"/>
  <c r="HN25" i="9"/>
  <c r="HP25" i="9" s="1"/>
  <c r="HT25" i="9" s="1"/>
  <c r="HU25" i="9" s="1"/>
  <c r="HQ28" i="10"/>
  <c r="HT28" i="10"/>
  <c r="HU28" i="10" s="1"/>
  <c r="FT25" i="5"/>
  <c r="G25" i="5" s="1"/>
  <c r="CP27" i="6"/>
  <c r="CQ27" i="6" s="1"/>
  <c r="CU28" i="6" s="1"/>
  <c r="GE29" i="10"/>
  <c r="GG29" i="10"/>
  <c r="GB29" i="10" s="1"/>
  <c r="CT25" i="10"/>
  <c r="CP25" i="10"/>
  <c r="CQ25" i="10" s="1"/>
  <c r="FU27" i="9"/>
  <c r="H27" i="9" s="1"/>
  <c r="G27" i="9"/>
  <c r="FQ28" i="9"/>
  <c r="FL28" i="9"/>
  <c r="FN28" i="9" s="1"/>
  <c r="CQ28" i="9"/>
  <c r="HV27" i="7"/>
  <c r="HW27" i="7" s="1"/>
  <c r="J27" i="7" s="1"/>
  <c r="HQ28" i="7"/>
  <c r="HT28" i="7"/>
  <c r="HU28" i="7" s="1"/>
  <c r="HE29" i="7"/>
  <c r="GF29" i="7"/>
  <c r="CU25" i="7"/>
  <c r="CS25" i="7"/>
  <c r="FO24" i="7"/>
  <c r="FR24" i="7"/>
  <c r="FS24" i="7" s="1"/>
  <c r="FR26" i="6"/>
  <c r="FS26" i="6" s="1"/>
  <c r="FO26" i="6"/>
  <c r="DS27" i="6"/>
  <c r="CT27" i="6"/>
  <c r="DS26" i="5"/>
  <c r="CT26" i="5"/>
  <c r="FQ25" i="10"/>
  <c r="FU24" i="10"/>
  <c r="H24" i="10" s="1"/>
  <c r="G24" i="10"/>
  <c r="GG26" i="9"/>
  <c r="GE26" i="9"/>
  <c r="HE26" i="9" s="1"/>
  <c r="HW24" i="9"/>
  <c r="J24" i="9" s="1"/>
  <c r="HS25" i="9"/>
  <c r="I24" i="9"/>
  <c r="CU24" i="8"/>
  <c r="CS24" i="8"/>
  <c r="FR23" i="8"/>
  <c r="FS23" i="8" s="1"/>
  <c r="FO23" i="8"/>
  <c r="HT25" i="11" l="1"/>
  <c r="HQ25" i="11"/>
  <c r="GG26" i="11"/>
  <c r="GE26" i="11"/>
  <c r="I24" i="5"/>
  <c r="HS25" i="5"/>
  <c r="FO26" i="12"/>
  <c r="CQ26" i="12"/>
  <c r="FM27" i="12" s="1"/>
  <c r="CP25" i="11"/>
  <c r="CQ25" i="11" s="1"/>
  <c r="CS26" i="11" s="1"/>
  <c r="DS26" i="11" s="1"/>
  <c r="HW24" i="5"/>
  <c r="J24" i="5" s="1"/>
  <c r="FR26" i="12"/>
  <c r="FS26" i="12" s="1"/>
  <c r="HN26" i="6"/>
  <c r="HP26" i="6" s="1"/>
  <c r="HQ26" i="6" s="1"/>
  <c r="GG27" i="6"/>
  <c r="GB27" i="6" s="1"/>
  <c r="HN27" i="6" s="1"/>
  <c r="HP27" i="6" s="1"/>
  <c r="FL27" i="6"/>
  <c r="FN27" i="6" s="1"/>
  <c r="FO27" i="6" s="1"/>
  <c r="G24" i="12"/>
  <c r="FU24" i="12"/>
  <c r="H24" i="12" s="1"/>
  <c r="FQ25" i="12"/>
  <c r="FT25" i="12" s="1"/>
  <c r="FT24" i="11"/>
  <c r="DS25" i="11"/>
  <c r="CT25" i="11"/>
  <c r="HN25" i="5"/>
  <c r="HP25" i="5" s="1"/>
  <c r="GC25" i="5"/>
  <c r="FM27" i="5"/>
  <c r="FL26" i="5"/>
  <c r="FN26" i="5" s="1"/>
  <c r="FU25" i="5"/>
  <c r="H25" i="5" s="1"/>
  <c r="FT26" i="6"/>
  <c r="FU26" i="6" s="1"/>
  <c r="H26" i="6" s="1"/>
  <c r="FQ26" i="5"/>
  <c r="GF26" i="12"/>
  <c r="HV28" i="10"/>
  <c r="I28" i="10" s="1"/>
  <c r="GB26" i="12"/>
  <c r="HN26" i="12" s="1"/>
  <c r="HP26" i="12" s="1"/>
  <c r="HQ28" i="8"/>
  <c r="HT28" i="8"/>
  <c r="HU28" i="8" s="1"/>
  <c r="HE29" i="10"/>
  <c r="HN29" i="10" s="1"/>
  <c r="HP29" i="10" s="1"/>
  <c r="GF29" i="10"/>
  <c r="GF30" i="10" s="1"/>
  <c r="GE29" i="8"/>
  <c r="GG29" i="8"/>
  <c r="HQ25" i="9"/>
  <c r="GC29" i="10"/>
  <c r="GG30" i="10" s="1"/>
  <c r="HW25" i="6"/>
  <c r="J25" i="6" s="1"/>
  <c r="HS26" i="6"/>
  <c r="I25" i="6"/>
  <c r="GF27" i="6"/>
  <c r="HT25" i="12"/>
  <c r="HU25" i="12" s="1"/>
  <c r="HQ25" i="12"/>
  <c r="CP24" i="8"/>
  <c r="CQ24" i="8" s="1"/>
  <c r="CU25" i="8" s="1"/>
  <c r="GB26" i="9"/>
  <c r="HN26" i="9" s="1"/>
  <c r="HP26" i="9" s="1"/>
  <c r="FL25" i="10"/>
  <c r="FN25" i="10" s="1"/>
  <c r="FO25" i="10" s="1"/>
  <c r="HV25" i="9"/>
  <c r="HS26" i="9" s="1"/>
  <c r="GF26" i="9"/>
  <c r="CS29" i="9"/>
  <c r="CU29" i="9"/>
  <c r="FR28" i="9"/>
  <c r="FO28" i="9"/>
  <c r="FT23" i="8"/>
  <c r="FU23" i="8" s="1"/>
  <c r="H23" i="8" s="1"/>
  <c r="I27" i="7"/>
  <c r="HS28" i="7"/>
  <c r="HV28" i="7" s="1"/>
  <c r="FT24" i="7"/>
  <c r="FU24" i="7" s="1"/>
  <c r="H24" i="7" s="1"/>
  <c r="CP25" i="7"/>
  <c r="CQ25" i="7" s="1"/>
  <c r="CU26" i="7" s="1"/>
  <c r="DS25" i="7"/>
  <c r="CT25" i="7"/>
  <c r="GC29" i="7"/>
  <c r="HN29" i="7"/>
  <c r="HP29" i="7" s="1"/>
  <c r="CS28" i="6"/>
  <c r="DS28" i="6" s="1"/>
  <c r="CU27" i="5"/>
  <c r="CS27" i="5"/>
  <c r="DS27" i="5" s="1"/>
  <c r="CU26" i="10"/>
  <c r="CS26" i="10"/>
  <c r="DS24" i="8"/>
  <c r="CT24" i="8"/>
  <c r="AF2" i="3"/>
  <c r="GB26" i="11" l="1"/>
  <c r="HV25" i="11"/>
  <c r="HU25" i="11"/>
  <c r="HE26" i="11"/>
  <c r="GF26" i="11"/>
  <c r="CS27" i="12"/>
  <c r="DS27" i="12" s="1"/>
  <c r="CU27" i="12"/>
  <c r="FQ27" i="6"/>
  <c r="HT26" i="6"/>
  <c r="HU26" i="6" s="1"/>
  <c r="G26" i="6"/>
  <c r="FL25" i="11"/>
  <c r="FN25" i="11" s="1"/>
  <c r="FO25" i="11" s="1"/>
  <c r="FR27" i="6"/>
  <c r="FS27" i="6" s="1"/>
  <c r="CU26" i="11"/>
  <c r="CP26" i="11" s="1"/>
  <c r="FL26" i="11" s="1"/>
  <c r="FN26" i="11" s="1"/>
  <c r="GC26" i="12"/>
  <c r="GE27" i="12" s="1"/>
  <c r="HE27" i="12" s="1"/>
  <c r="GE30" i="10"/>
  <c r="HE30" i="10" s="1"/>
  <c r="FQ26" i="12"/>
  <c r="FT26" i="12" s="1"/>
  <c r="FQ27" i="12" s="1"/>
  <c r="FU25" i="12"/>
  <c r="H25" i="12" s="1"/>
  <c r="G25" i="12"/>
  <c r="CT26" i="11"/>
  <c r="HV25" i="12"/>
  <c r="HS26" i="12" s="1"/>
  <c r="HS29" i="10"/>
  <c r="GC27" i="6"/>
  <c r="GG28" i="6" s="1"/>
  <c r="HV28" i="8"/>
  <c r="HS29" i="8" s="1"/>
  <c r="HW28" i="10"/>
  <c r="J28" i="10" s="1"/>
  <c r="G24" i="11"/>
  <c r="FU24" i="11"/>
  <c r="H24" i="11" s="1"/>
  <c r="FQ25" i="11"/>
  <c r="FM27" i="11"/>
  <c r="GG26" i="5"/>
  <c r="GE26" i="5"/>
  <c r="HT25" i="5"/>
  <c r="HU25" i="5" s="1"/>
  <c r="HQ25" i="5"/>
  <c r="FO26" i="5"/>
  <c r="FR26" i="5"/>
  <c r="FS26" i="5" s="1"/>
  <c r="CS25" i="8"/>
  <c r="DS25" i="8" s="1"/>
  <c r="FL24" i="8"/>
  <c r="FN24" i="8" s="1"/>
  <c r="FR24" i="8" s="1"/>
  <c r="FS24" i="8" s="1"/>
  <c r="HQ29" i="10"/>
  <c r="HT29" i="10"/>
  <c r="HU29" i="10" s="1"/>
  <c r="GF30" i="11"/>
  <c r="GB29" i="8"/>
  <c r="GB30" i="10"/>
  <c r="HE29" i="8"/>
  <c r="GF29" i="8"/>
  <c r="HT27" i="6"/>
  <c r="HQ26" i="9"/>
  <c r="HQ27" i="6"/>
  <c r="HT26" i="12"/>
  <c r="HU26" i="12" s="1"/>
  <c r="GC26" i="9"/>
  <c r="GE27" i="9" s="1"/>
  <c r="HQ26" i="12"/>
  <c r="HT26" i="9"/>
  <c r="HU26" i="9" s="1"/>
  <c r="CP27" i="5"/>
  <c r="CP26" i="10"/>
  <c r="CQ26" i="10" s="1"/>
  <c r="CU27" i="10" s="1"/>
  <c r="CP29" i="9"/>
  <c r="CQ29" i="9" s="1"/>
  <c r="CS30" i="9" s="1"/>
  <c r="DS30" i="9" s="1"/>
  <c r="FR25" i="10"/>
  <c r="FS25" i="10" s="1"/>
  <c r="I25" i="9"/>
  <c r="HW25" i="9"/>
  <c r="J25" i="9" s="1"/>
  <c r="DS29" i="9"/>
  <c r="CT29" i="9"/>
  <c r="FS28" i="9"/>
  <c r="FT28" i="9"/>
  <c r="G23" i="8"/>
  <c r="FQ24" i="8"/>
  <c r="I28" i="7"/>
  <c r="HS29" i="7"/>
  <c r="HW28" i="7"/>
  <c r="J28" i="7" s="1"/>
  <c r="FQ25" i="7"/>
  <c r="G24" i="7"/>
  <c r="FL25" i="7"/>
  <c r="FN25" i="7" s="1"/>
  <c r="FR25" i="7" s="1"/>
  <c r="FS25" i="7" s="1"/>
  <c r="CS26" i="7"/>
  <c r="DS26" i="7" s="1"/>
  <c r="GE30" i="7"/>
  <c r="GG30" i="7"/>
  <c r="HT29" i="7"/>
  <c r="HU29" i="7" s="1"/>
  <c r="HQ29" i="7"/>
  <c r="CT28" i="6"/>
  <c r="CP28" i="6"/>
  <c r="CT27" i="5"/>
  <c r="DS26" i="10"/>
  <c r="CT26" i="10"/>
  <c r="AJ2" i="3"/>
  <c r="AK2" i="3" s="1"/>
  <c r="CT27" i="12" l="1"/>
  <c r="CP27" i="12"/>
  <c r="FL27" i="12" s="1"/>
  <c r="FN27" i="12" s="1"/>
  <c r="FO27" i="12" s="1"/>
  <c r="HW25" i="11"/>
  <c r="J25" i="11" s="1"/>
  <c r="HS26" i="11"/>
  <c r="GC26" i="11"/>
  <c r="HN26" i="11"/>
  <c r="HP26" i="11" s="1"/>
  <c r="I25" i="11"/>
  <c r="HV26" i="6"/>
  <c r="HS27" i="6" s="1"/>
  <c r="FT27" i="6"/>
  <c r="G27" i="6" s="1"/>
  <c r="HU27" i="6"/>
  <c r="FR25" i="11"/>
  <c r="FS25" i="11" s="1"/>
  <c r="I28" i="8"/>
  <c r="I25" i="12"/>
  <c r="FO26" i="11"/>
  <c r="GF27" i="12"/>
  <c r="GG27" i="12"/>
  <c r="GB27" i="12" s="1"/>
  <c r="GC27" i="12" s="1"/>
  <c r="CQ26" i="11"/>
  <c r="CU27" i="11" s="1"/>
  <c r="HN30" i="10"/>
  <c r="HP30" i="10" s="1"/>
  <c r="HQ30" i="10" s="1"/>
  <c r="G26" i="12"/>
  <c r="FT26" i="5"/>
  <c r="G26" i="5" s="1"/>
  <c r="FO24" i="8"/>
  <c r="HW28" i="8"/>
  <c r="J28" i="8" s="1"/>
  <c r="FU26" i="12"/>
  <c r="H26" i="12" s="1"/>
  <c r="CU30" i="9"/>
  <c r="CP30" i="9" s="1"/>
  <c r="FL30" i="9" s="1"/>
  <c r="FN30" i="9" s="1"/>
  <c r="CT30" i="9"/>
  <c r="FL29" i="9"/>
  <c r="FN29" i="9" s="1"/>
  <c r="FR29" i="9" s="1"/>
  <c r="FS29" i="9" s="1"/>
  <c r="FR26" i="11"/>
  <c r="FL26" i="10"/>
  <c r="FN26" i="10" s="1"/>
  <c r="FO26" i="10" s="1"/>
  <c r="CS27" i="10"/>
  <c r="DS27" i="10" s="1"/>
  <c r="CP25" i="8"/>
  <c r="FL25" i="8" s="1"/>
  <c r="FN25" i="8" s="1"/>
  <c r="HW25" i="12"/>
  <c r="J25" i="12" s="1"/>
  <c r="HE26" i="5"/>
  <c r="GF26" i="5"/>
  <c r="HV26" i="9"/>
  <c r="HW26" i="9" s="1"/>
  <c r="J26" i="9" s="1"/>
  <c r="GB26" i="5"/>
  <c r="HV29" i="10"/>
  <c r="HW29" i="10" s="1"/>
  <c r="J29" i="10" s="1"/>
  <c r="GE28" i="6"/>
  <c r="HE28" i="6" s="1"/>
  <c r="CT25" i="8"/>
  <c r="HV25" i="5"/>
  <c r="FM27" i="10"/>
  <c r="FL27" i="5"/>
  <c r="FN27" i="5" s="1"/>
  <c r="FT25" i="10"/>
  <c r="FQ26" i="10" s="1"/>
  <c r="GB30" i="7"/>
  <c r="GC30" i="10"/>
  <c r="GG31" i="10" s="1"/>
  <c r="HN29" i="8"/>
  <c r="HP29" i="8" s="1"/>
  <c r="GC29" i="8"/>
  <c r="GG27" i="9"/>
  <c r="GB27" i="9" s="1"/>
  <c r="GC27" i="9" s="1"/>
  <c r="GG28" i="9" s="1"/>
  <c r="HE30" i="7"/>
  <c r="GF30" i="7"/>
  <c r="HV26" i="12"/>
  <c r="HV29" i="7"/>
  <c r="I29" i="7" s="1"/>
  <c r="CQ27" i="5"/>
  <c r="CS28" i="5" s="1"/>
  <c r="DS28" i="5" s="1"/>
  <c r="FQ29" i="9"/>
  <c r="FU28" i="9"/>
  <c r="H28" i="9" s="1"/>
  <c r="G28" i="9"/>
  <c r="CP26" i="7"/>
  <c r="FL26" i="7" s="1"/>
  <c r="FN26" i="7" s="1"/>
  <c r="FO25" i="7"/>
  <c r="FT25" i="7"/>
  <c r="CT26" i="7"/>
  <c r="CQ28" i="6"/>
  <c r="FL28" i="6"/>
  <c r="FN28" i="6" s="1"/>
  <c r="HE27" i="9"/>
  <c r="GF27" i="9"/>
  <c r="FT24" i="8"/>
  <c r="E2" i="3"/>
  <c r="CG2" i="3"/>
  <c r="D2" i="3" s="1"/>
  <c r="FR27" i="12" l="1"/>
  <c r="FT27" i="12" s="1"/>
  <c r="FQ28" i="12" s="1"/>
  <c r="CQ27" i="12"/>
  <c r="CS28" i="12" s="1"/>
  <c r="DS28" i="12" s="1"/>
  <c r="HT26" i="11"/>
  <c r="HU26" i="11" s="1"/>
  <c r="HQ26" i="11"/>
  <c r="GG27" i="11"/>
  <c r="GE27" i="11"/>
  <c r="HV27" i="6"/>
  <c r="I27" i="6" s="1"/>
  <c r="HW26" i="6"/>
  <c r="J26" i="6" s="1"/>
  <c r="I26" i="6"/>
  <c r="HT30" i="10"/>
  <c r="HU30" i="10" s="1"/>
  <c r="FS26" i="11"/>
  <c r="FO25" i="8"/>
  <c r="FU26" i="5"/>
  <c r="H26" i="5" s="1"/>
  <c r="FU27" i="6"/>
  <c r="H27" i="6" s="1"/>
  <c r="FQ28" i="6"/>
  <c r="FT25" i="11"/>
  <c r="FU25" i="11" s="1"/>
  <c r="H25" i="11" s="1"/>
  <c r="HS30" i="10"/>
  <c r="HN27" i="12"/>
  <c r="HP27" i="12" s="1"/>
  <c r="HT27" i="12" s="1"/>
  <c r="HU27" i="12" s="1"/>
  <c r="CS27" i="11"/>
  <c r="GE28" i="12"/>
  <c r="GG28" i="12"/>
  <c r="FR25" i="8"/>
  <c r="FS25" i="8" s="1"/>
  <c r="FQ27" i="5"/>
  <c r="GE31" i="10"/>
  <c r="HE31" i="10" s="1"/>
  <c r="FO29" i="9"/>
  <c r="FO30" i="9" s="1"/>
  <c r="CQ30" i="9"/>
  <c r="CU31" i="9" s="1"/>
  <c r="CQ25" i="8"/>
  <c r="CU26" i="8" s="1"/>
  <c r="CT27" i="10"/>
  <c r="CP27" i="10"/>
  <c r="CQ27" i="10" s="1"/>
  <c r="FU25" i="10"/>
  <c r="H25" i="10" s="1"/>
  <c r="FR26" i="10"/>
  <c r="FS26" i="10" s="1"/>
  <c r="HS27" i="9"/>
  <c r="I26" i="9"/>
  <c r="I29" i="10"/>
  <c r="G25" i="10"/>
  <c r="HN30" i="7"/>
  <c r="HP30" i="7" s="1"/>
  <c r="HT30" i="7" s="1"/>
  <c r="HU30" i="7" s="1"/>
  <c r="GB28" i="6"/>
  <c r="HN28" i="6" s="1"/>
  <c r="HP28" i="6" s="1"/>
  <c r="HT28" i="6" s="1"/>
  <c r="HU28" i="6" s="1"/>
  <c r="GF28" i="6"/>
  <c r="HN26" i="5"/>
  <c r="HP26" i="5" s="1"/>
  <c r="GC26" i="5"/>
  <c r="HW25" i="5"/>
  <c r="J25" i="5" s="1"/>
  <c r="HS26" i="5"/>
  <c r="I25" i="5"/>
  <c r="FR27" i="5"/>
  <c r="FS27" i="5" s="1"/>
  <c r="FO27" i="5"/>
  <c r="CU28" i="5"/>
  <c r="CP28" i="5" s="1"/>
  <c r="FL28" i="5" s="1"/>
  <c r="HS30" i="7"/>
  <c r="GC30" i="7"/>
  <c r="GG31" i="7" s="1"/>
  <c r="HW29" i="7"/>
  <c r="J29" i="7" s="1"/>
  <c r="GB31" i="10"/>
  <c r="GC31" i="10" s="1"/>
  <c r="GF31" i="7"/>
  <c r="HN27" i="9"/>
  <c r="HP27" i="9" s="1"/>
  <c r="HQ27" i="9" s="1"/>
  <c r="GG30" i="8"/>
  <c r="GE30" i="8"/>
  <c r="HT29" i="8"/>
  <c r="HU29" i="8" s="1"/>
  <c r="HQ29" i="8"/>
  <c r="GF31" i="10"/>
  <c r="GE28" i="9"/>
  <c r="HE28" i="9" s="1"/>
  <c r="HW26" i="12"/>
  <c r="J26" i="12" s="1"/>
  <c r="HS27" i="12"/>
  <c r="I26" i="12"/>
  <c r="FT29" i="9"/>
  <c r="G25" i="7"/>
  <c r="CQ26" i="7"/>
  <c r="FU25" i="7"/>
  <c r="H25" i="7" s="1"/>
  <c r="FQ26" i="7"/>
  <c r="FR26" i="7"/>
  <c r="FS26" i="7" s="1"/>
  <c r="FO26" i="7"/>
  <c r="FO28" i="6"/>
  <c r="FR28" i="6"/>
  <c r="CU29" i="6"/>
  <c r="CS29" i="6"/>
  <c r="CT28" i="5"/>
  <c r="FU24" i="8"/>
  <c r="H24" i="8" s="1"/>
  <c r="FQ25" i="8"/>
  <c r="G24" i="8"/>
  <c r="AL2" i="3"/>
  <c r="F2" i="3" s="1"/>
  <c r="AH3" i="3"/>
  <c r="HV26" i="11" l="1"/>
  <c r="HW26" i="11" s="1"/>
  <c r="J26" i="11" s="1"/>
  <c r="CT28" i="12"/>
  <c r="FS27" i="12"/>
  <c r="FU27" i="12" s="1"/>
  <c r="H27" i="12" s="1"/>
  <c r="G27" i="12"/>
  <c r="CU28" i="12"/>
  <c r="CP28" i="12" s="1"/>
  <c r="FL28" i="12" s="1"/>
  <c r="FN28" i="12" s="1"/>
  <c r="FO28" i="12" s="1"/>
  <c r="GB27" i="11"/>
  <c r="GC27" i="11" s="1"/>
  <c r="GG28" i="11" s="1"/>
  <c r="HS28" i="6"/>
  <c r="HV28" i="6" s="1"/>
  <c r="HW28" i="6" s="1"/>
  <c r="HE27" i="11"/>
  <c r="GF27" i="11"/>
  <c r="HW27" i="6"/>
  <c r="J27" i="6" s="1"/>
  <c r="HV30" i="10"/>
  <c r="I30" i="10" s="1"/>
  <c r="FQ26" i="11"/>
  <c r="FT26" i="11" s="1"/>
  <c r="FQ27" i="11" s="1"/>
  <c r="HV27" i="12"/>
  <c r="HS28" i="12" s="1"/>
  <c r="CS26" i="8"/>
  <c r="DS26" i="8" s="1"/>
  <c r="FR30" i="9"/>
  <c r="FS30" i="9" s="1"/>
  <c r="G25" i="11"/>
  <c r="FT25" i="8"/>
  <c r="FU25" i="8" s="1"/>
  <c r="H25" i="8" s="1"/>
  <c r="GB28" i="12"/>
  <c r="GC28" i="12" s="1"/>
  <c r="HQ27" i="12"/>
  <c r="FL27" i="10"/>
  <c r="FN27" i="10" s="1"/>
  <c r="FO27" i="10" s="1"/>
  <c r="HE28" i="12"/>
  <c r="GF28" i="12"/>
  <c r="DS27" i="11"/>
  <c r="CT27" i="11"/>
  <c r="CS31" i="9"/>
  <c r="DS31" i="9" s="1"/>
  <c r="CP27" i="11"/>
  <c r="HQ28" i="6"/>
  <c r="GC28" i="6"/>
  <c r="GG29" i="6" s="1"/>
  <c r="FT26" i="10"/>
  <c r="FU26" i="10" s="1"/>
  <c r="H26" i="10" s="1"/>
  <c r="HV29" i="8"/>
  <c r="HW29" i="8" s="1"/>
  <c r="J29" i="8" s="1"/>
  <c r="GE31" i="7"/>
  <c r="HE31" i="7" s="1"/>
  <c r="HV30" i="7"/>
  <c r="HS31" i="7" s="1"/>
  <c r="HQ30" i="7"/>
  <c r="GF28" i="9"/>
  <c r="GG27" i="5"/>
  <c r="GE27" i="5"/>
  <c r="HT26" i="5"/>
  <c r="HU26" i="5" s="1"/>
  <c r="HQ26" i="5"/>
  <c r="HN31" i="10"/>
  <c r="HP31" i="10" s="1"/>
  <c r="HQ31" i="10" s="1"/>
  <c r="FT27" i="5"/>
  <c r="CU27" i="7"/>
  <c r="FM27" i="7"/>
  <c r="GB28" i="9"/>
  <c r="HN28" i="9" s="1"/>
  <c r="HP28" i="9" s="1"/>
  <c r="HQ28" i="9" s="1"/>
  <c r="HT27" i="9"/>
  <c r="HU27" i="9" s="1"/>
  <c r="GF31" i="11"/>
  <c r="GF30" i="6"/>
  <c r="GF32" i="10"/>
  <c r="GB30" i="8"/>
  <c r="HE30" i="8"/>
  <c r="GF30" i="8"/>
  <c r="GG32" i="10"/>
  <c r="GB32" i="10" s="1"/>
  <c r="GE32" i="10"/>
  <c r="HE32" i="10" s="1"/>
  <c r="CP29" i="6"/>
  <c r="CQ29" i="6" s="1"/>
  <c r="CS30" i="6" s="1"/>
  <c r="DS30" i="6" s="1"/>
  <c r="FQ30" i="9"/>
  <c r="FU29" i="9"/>
  <c r="H29" i="9" s="1"/>
  <c r="G29" i="9"/>
  <c r="FT26" i="7"/>
  <c r="FQ27" i="7" s="1"/>
  <c r="CS27" i="7"/>
  <c r="DS27" i="7" s="1"/>
  <c r="DS29" i="6"/>
  <c r="CT29" i="6"/>
  <c r="FS28" i="6"/>
  <c r="FT28" i="6"/>
  <c r="FN28" i="5"/>
  <c r="CQ28" i="5"/>
  <c r="CU28" i="10"/>
  <c r="CS28" i="10"/>
  <c r="I26" i="11" l="1"/>
  <c r="HS27" i="11"/>
  <c r="FR28" i="12"/>
  <c r="FT28" i="12" s="1"/>
  <c r="FQ29" i="12" s="1"/>
  <c r="CQ28" i="12"/>
  <c r="CU29" i="12" s="1"/>
  <c r="HN27" i="11"/>
  <c r="HP27" i="11" s="1"/>
  <c r="HQ27" i="11" s="1"/>
  <c r="GE28" i="11"/>
  <c r="HE28" i="11" s="1"/>
  <c r="I27" i="12"/>
  <c r="HW27" i="12"/>
  <c r="J27" i="12" s="1"/>
  <c r="FU26" i="11"/>
  <c r="H26" i="11" s="1"/>
  <c r="G26" i="11"/>
  <c r="HW30" i="10"/>
  <c r="J30" i="10" s="1"/>
  <c r="HS31" i="10"/>
  <c r="FQ26" i="8"/>
  <c r="CT26" i="8"/>
  <c r="CP26" i="8"/>
  <c r="FL26" i="8" s="1"/>
  <c r="FN26" i="8" s="1"/>
  <c r="FO26" i="8" s="1"/>
  <c r="FT30" i="9"/>
  <c r="FQ31" i="9" s="1"/>
  <c r="CT31" i="9"/>
  <c r="G25" i="8"/>
  <c r="FQ27" i="10"/>
  <c r="G26" i="10"/>
  <c r="FR27" i="10"/>
  <c r="FS27" i="10" s="1"/>
  <c r="HN28" i="12"/>
  <c r="HP28" i="12" s="1"/>
  <c r="HT28" i="12" s="1"/>
  <c r="HU28" i="12" s="1"/>
  <c r="GE29" i="6"/>
  <c r="GF29" i="6" s="1"/>
  <c r="GE29" i="12"/>
  <c r="HE29" i="12" s="1"/>
  <c r="GG29" i="12"/>
  <c r="I29" i="8"/>
  <c r="FL27" i="11"/>
  <c r="FN27" i="11" s="1"/>
  <c r="CQ27" i="11"/>
  <c r="CP31" i="9"/>
  <c r="CQ31" i="9" s="1"/>
  <c r="CS32" i="9" s="1"/>
  <c r="DS32" i="9" s="1"/>
  <c r="I30" i="7"/>
  <c r="HW30" i="7"/>
  <c r="J30" i="7" s="1"/>
  <c r="J28" i="6"/>
  <c r="HS30" i="8"/>
  <c r="HV26" i="5"/>
  <c r="HS27" i="5" s="1"/>
  <c r="I28" i="6"/>
  <c r="GB31" i="7"/>
  <c r="GC31" i="7" s="1"/>
  <c r="GE32" i="7" s="1"/>
  <c r="HE32" i="7" s="1"/>
  <c r="HS29" i="6"/>
  <c r="CU30" i="6"/>
  <c r="CP30" i="6" s="1"/>
  <c r="GB27" i="5"/>
  <c r="GC27" i="5" s="1"/>
  <c r="GE28" i="5" s="1"/>
  <c r="HE28" i="5" s="1"/>
  <c r="HT31" i="10"/>
  <c r="HU31" i="10" s="1"/>
  <c r="HE27" i="5"/>
  <c r="GF27" i="5"/>
  <c r="FQ28" i="5"/>
  <c r="FU27" i="5"/>
  <c r="H27" i="5" s="1"/>
  <c r="G27" i="5"/>
  <c r="HT28" i="9"/>
  <c r="HU28" i="9" s="1"/>
  <c r="GC28" i="9"/>
  <c r="GE29" i="9" s="1"/>
  <c r="HE29" i="9" s="1"/>
  <c r="GF32" i="7"/>
  <c r="HV27" i="9"/>
  <c r="I27" i="9" s="1"/>
  <c r="GF30" i="5"/>
  <c r="HN30" i="8"/>
  <c r="HP30" i="8" s="1"/>
  <c r="GC30" i="8"/>
  <c r="GF32" i="11"/>
  <c r="GF30" i="12"/>
  <c r="GC32" i="10"/>
  <c r="HN32" i="10"/>
  <c r="HP32" i="10" s="1"/>
  <c r="FL29" i="6"/>
  <c r="FN29" i="6" s="1"/>
  <c r="FO29" i="6" s="1"/>
  <c r="CP28" i="10"/>
  <c r="CQ28" i="10" s="1"/>
  <c r="CS29" i="10" s="1"/>
  <c r="DS29" i="10" s="1"/>
  <c r="G26" i="7"/>
  <c r="CT27" i="7"/>
  <c r="CP27" i="7"/>
  <c r="CQ27" i="7" s="1"/>
  <c r="CU28" i="7" s="1"/>
  <c r="FU26" i="7"/>
  <c r="H26" i="7" s="1"/>
  <c r="G28" i="6"/>
  <c r="FQ29" i="6"/>
  <c r="FU28" i="6"/>
  <c r="H28" i="6" s="1"/>
  <c r="FR28" i="5"/>
  <c r="FS28" i="5" s="1"/>
  <c r="FO28" i="5"/>
  <c r="CU29" i="5"/>
  <c r="CS29" i="5"/>
  <c r="DS28" i="10"/>
  <c r="CT28" i="10"/>
  <c r="CT29" i="10" s="1"/>
  <c r="GF28" i="11" l="1"/>
  <c r="G28" i="12"/>
  <c r="FS28" i="12"/>
  <c r="FU28" i="12" s="1"/>
  <c r="H28" i="12" s="1"/>
  <c r="GB28" i="11"/>
  <c r="HN28" i="11" s="1"/>
  <c r="HP28" i="11" s="1"/>
  <c r="CS29" i="12"/>
  <c r="DS29" i="12" s="1"/>
  <c r="HT27" i="11"/>
  <c r="HU27" i="11" s="1"/>
  <c r="FU30" i="9"/>
  <c r="H30" i="9" s="1"/>
  <c r="G30" i="9"/>
  <c r="CQ26" i="8"/>
  <c r="CU27" i="8" s="1"/>
  <c r="FR26" i="8"/>
  <c r="FS26" i="8" s="1"/>
  <c r="HQ28" i="12"/>
  <c r="HE29" i="6"/>
  <c r="FT27" i="10"/>
  <c r="FU27" i="10" s="1"/>
  <c r="H27" i="10" s="1"/>
  <c r="GB29" i="6"/>
  <c r="GC29" i="6" s="1"/>
  <c r="GB29" i="12"/>
  <c r="GC29" i="12" s="1"/>
  <c r="GE30" i="12" s="1"/>
  <c r="HE30" i="12" s="1"/>
  <c r="CU32" i="9"/>
  <c r="CP32" i="9" s="1"/>
  <c r="CQ32" i="9" s="1"/>
  <c r="FL31" i="9"/>
  <c r="FN31" i="9" s="1"/>
  <c r="FR31" i="9" s="1"/>
  <c r="FS31" i="9" s="1"/>
  <c r="GG32" i="7"/>
  <c r="GB32" i="7" s="1"/>
  <c r="HN32" i="7" s="1"/>
  <c r="HP32" i="7" s="1"/>
  <c r="GF29" i="12"/>
  <c r="HV28" i="12"/>
  <c r="I26" i="5"/>
  <c r="GG28" i="5"/>
  <c r="GB28" i="5" s="1"/>
  <c r="CS28" i="11"/>
  <c r="CU28" i="11"/>
  <c r="FR27" i="11"/>
  <c r="FS27" i="11" s="1"/>
  <c r="FO27" i="11"/>
  <c r="HW26" i="5"/>
  <c r="J26" i="5" s="1"/>
  <c r="HN31" i="7"/>
  <c r="HP31" i="7" s="1"/>
  <c r="HQ31" i="7" s="1"/>
  <c r="GF28" i="5"/>
  <c r="HN27" i="5"/>
  <c r="HP27" i="5" s="1"/>
  <c r="HQ27" i="5" s="1"/>
  <c r="HV31" i="10"/>
  <c r="HS32" i="10" s="1"/>
  <c r="GG29" i="9"/>
  <c r="GB29" i="9" s="1"/>
  <c r="GC29" i="9" s="1"/>
  <c r="CP29" i="5"/>
  <c r="CQ29" i="5" s="1"/>
  <c r="FM27" i="8"/>
  <c r="FR29" i="6"/>
  <c r="FS29" i="6" s="1"/>
  <c r="GF29" i="9"/>
  <c r="GE31" i="8"/>
  <c r="GG31" i="8"/>
  <c r="HQ30" i="8"/>
  <c r="HT30" i="8"/>
  <c r="HU30" i="8" s="1"/>
  <c r="GF33" i="7"/>
  <c r="HW27" i="9"/>
  <c r="J27" i="9" s="1"/>
  <c r="HS28" i="9"/>
  <c r="HV28" i="9" s="1"/>
  <c r="I28" i="9" s="1"/>
  <c r="HT32" i="10"/>
  <c r="HU32" i="10" s="1"/>
  <c r="HQ32" i="10"/>
  <c r="GG33" i="10"/>
  <c r="GE33" i="10"/>
  <c r="HE33" i="10" s="1"/>
  <c r="CU29" i="10"/>
  <c r="CP29" i="10" s="1"/>
  <c r="FL29" i="10" s="1"/>
  <c r="FN29" i="10" s="1"/>
  <c r="FL28" i="10"/>
  <c r="FN28" i="10" s="1"/>
  <c r="FO28" i="10" s="1"/>
  <c r="CT32" i="9"/>
  <c r="CS28" i="7"/>
  <c r="DS28" i="7" s="1"/>
  <c r="FL27" i="7"/>
  <c r="FN27" i="7" s="1"/>
  <c r="FL30" i="6"/>
  <c r="FN30" i="6" s="1"/>
  <c r="CQ30" i="6"/>
  <c r="DS29" i="5"/>
  <c r="CT29" i="5"/>
  <c r="FT28" i="5"/>
  <c r="G28" i="5" s="1"/>
  <c r="GC28" i="11" l="1"/>
  <c r="GG29" i="11" s="1"/>
  <c r="CT29" i="12"/>
  <c r="HV27" i="11"/>
  <c r="I27" i="11" s="1"/>
  <c r="CP29" i="12"/>
  <c r="CQ29" i="12" s="1"/>
  <c r="CS30" i="12" s="1"/>
  <c r="DS30" i="12" s="1"/>
  <c r="HS28" i="11"/>
  <c r="HW27" i="11"/>
  <c r="J27" i="11" s="1"/>
  <c r="CS27" i="8"/>
  <c r="DS27" i="8" s="1"/>
  <c r="FT26" i="8"/>
  <c r="G26" i="8" s="1"/>
  <c r="FQ28" i="10"/>
  <c r="FO31" i="9"/>
  <c r="G27" i="10"/>
  <c r="HN29" i="6"/>
  <c r="HP29" i="6" s="1"/>
  <c r="HQ29" i="6" s="1"/>
  <c r="HQ28" i="11"/>
  <c r="HT28" i="11"/>
  <c r="HU28" i="11" s="1"/>
  <c r="HT32" i="7"/>
  <c r="GC32" i="7"/>
  <c r="GE33" i="7" s="1"/>
  <c r="HE33" i="7" s="1"/>
  <c r="FT27" i="11"/>
  <c r="FU27" i="11" s="1"/>
  <c r="H27" i="11" s="1"/>
  <c r="HN29" i="12"/>
  <c r="HP29" i="12" s="1"/>
  <c r="GG30" i="12"/>
  <c r="GB30" i="12" s="1"/>
  <c r="CP28" i="11"/>
  <c r="CQ28" i="11" s="1"/>
  <c r="CS29" i="11" s="1"/>
  <c r="DS29" i="11" s="1"/>
  <c r="HN29" i="9"/>
  <c r="HP29" i="9" s="1"/>
  <c r="HQ29" i="9" s="1"/>
  <c r="HT31" i="7"/>
  <c r="HU31" i="7" s="1"/>
  <c r="HT27" i="5"/>
  <c r="HU27" i="5" s="1"/>
  <c r="DS28" i="11"/>
  <c r="CT28" i="11"/>
  <c r="HW28" i="12"/>
  <c r="J28" i="12" s="1"/>
  <c r="HS29" i="12"/>
  <c r="I28" i="12"/>
  <c r="HV30" i="8"/>
  <c r="I30" i="8" s="1"/>
  <c r="I31" i="10"/>
  <c r="HW31" i="10"/>
  <c r="J31" i="10" s="1"/>
  <c r="HQ32" i="7"/>
  <c r="FT29" i="6"/>
  <c r="G29" i="6" s="1"/>
  <c r="GB31" i="8"/>
  <c r="GC31" i="8" s="1"/>
  <c r="FR28" i="10"/>
  <c r="FS28" i="10" s="1"/>
  <c r="HS29" i="9"/>
  <c r="HW28" i="9"/>
  <c r="J28" i="9" s="1"/>
  <c r="HN28" i="5"/>
  <c r="HP28" i="5" s="1"/>
  <c r="GC28" i="5"/>
  <c r="FL29" i="5"/>
  <c r="FN29" i="5" s="1"/>
  <c r="FL32" i="9"/>
  <c r="FN32" i="9" s="1"/>
  <c r="GE30" i="6"/>
  <c r="HE30" i="6" s="1"/>
  <c r="GG30" i="6"/>
  <c r="HV32" i="10"/>
  <c r="HW32" i="10" s="1"/>
  <c r="J32" i="10" s="1"/>
  <c r="GF31" i="5"/>
  <c r="HE31" i="8"/>
  <c r="GF31" i="8"/>
  <c r="GF31" i="12"/>
  <c r="GF31" i="6"/>
  <c r="GB33" i="10"/>
  <c r="GC33" i="10" s="1"/>
  <c r="GG34" i="10" s="1"/>
  <c r="GB34" i="10" s="1"/>
  <c r="CP28" i="7"/>
  <c r="CQ28" i="7" s="1"/>
  <c r="CU29" i="7" s="1"/>
  <c r="CT28" i="7"/>
  <c r="FO29" i="10"/>
  <c r="CQ29" i="10"/>
  <c r="CS30" i="10" s="1"/>
  <c r="DS30" i="10" s="1"/>
  <c r="FT31" i="9"/>
  <c r="CS33" i="9"/>
  <c r="DS33" i="9" s="1"/>
  <c r="CU33" i="9"/>
  <c r="FR27" i="7"/>
  <c r="FS27" i="7" s="1"/>
  <c r="FO27" i="7"/>
  <c r="CU31" i="6"/>
  <c r="CS31" i="6"/>
  <c r="DS31" i="6" s="1"/>
  <c r="FO30" i="6"/>
  <c r="FR30" i="6"/>
  <c r="FS30" i="6" s="1"/>
  <c r="CS30" i="5"/>
  <c r="DS30" i="5" s="1"/>
  <c r="CU30" i="5"/>
  <c r="FU28" i="5"/>
  <c r="H28" i="5" s="1"/>
  <c r="FQ29" i="5"/>
  <c r="FR29" i="10"/>
  <c r="GG30" i="9"/>
  <c r="GE30" i="9"/>
  <c r="CD3" i="3"/>
  <c r="CE3" i="3" s="1"/>
  <c r="GE29" i="11" l="1"/>
  <c r="CT33" i="9"/>
  <c r="FL29" i="12"/>
  <c r="FN29" i="12" s="1"/>
  <c r="FR29" i="12" s="1"/>
  <c r="FS29" i="12" s="1"/>
  <c r="CU30" i="12"/>
  <c r="CP30" i="12" s="1"/>
  <c r="FL30" i="12" s="1"/>
  <c r="FN30" i="12" s="1"/>
  <c r="CP27" i="8"/>
  <c r="CQ27" i="8" s="1"/>
  <c r="CU28" i="8" s="1"/>
  <c r="CT27" i="8"/>
  <c r="FU26" i="8"/>
  <c r="H26" i="8" s="1"/>
  <c r="FQ27" i="8"/>
  <c r="FR32" i="9"/>
  <c r="FS32" i="9" s="1"/>
  <c r="FQ28" i="11"/>
  <c r="GB29" i="11"/>
  <c r="GC29" i="11" s="1"/>
  <c r="GE30" i="11" s="1"/>
  <c r="HE30" i="11" s="1"/>
  <c r="HV28" i="11"/>
  <c r="I28" i="11" s="1"/>
  <c r="HT29" i="6"/>
  <c r="HV29" i="6" s="1"/>
  <c r="CT29" i="11"/>
  <c r="G27" i="11"/>
  <c r="HU32" i="7"/>
  <c r="GG33" i="7"/>
  <c r="GB33" i="7" s="1"/>
  <c r="GC33" i="7" s="1"/>
  <c r="GG34" i="7" s="1"/>
  <c r="HT29" i="9"/>
  <c r="HU29" i="9" s="1"/>
  <c r="CU29" i="11"/>
  <c r="CP29" i="11" s="1"/>
  <c r="CQ29" i="11" s="1"/>
  <c r="CU30" i="11" s="1"/>
  <c r="HE29" i="11"/>
  <c r="GF29" i="11"/>
  <c r="FL28" i="11"/>
  <c r="FN28" i="11" s="1"/>
  <c r="FO28" i="11" s="1"/>
  <c r="GC30" i="12"/>
  <c r="HN30" i="12"/>
  <c r="HP30" i="12" s="1"/>
  <c r="FT28" i="10"/>
  <c r="FU28" i="10" s="1"/>
  <c r="H28" i="10" s="1"/>
  <c r="HQ29" i="12"/>
  <c r="HT29" i="12"/>
  <c r="HU29" i="12" s="1"/>
  <c r="FQ30" i="6"/>
  <c r="FT30" i="6" s="1"/>
  <c r="FU30" i="6" s="1"/>
  <c r="H30" i="6" s="1"/>
  <c r="HV31" i="7"/>
  <c r="HW31" i="7" s="1"/>
  <c r="J31" i="7" s="1"/>
  <c r="HV27" i="5"/>
  <c r="I27" i="5" s="1"/>
  <c r="HS31" i="8"/>
  <c r="HW30" i="8"/>
  <c r="J30" i="8" s="1"/>
  <c r="FU29" i="6"/>
  <c r="H29" i="6" s="1"/>
  <c r="HN31" i="8"/>
  <c r="HP31" i="8" s="1"/>
  <c r="HT31" i="8" s="1"/>
  <c r="HU31" i="8" s="1"/>
  <c r="FS29" i="10"/>
  <c r="FO32" i="9"/>
  <c r="HS33" i="10"/>
  <c r="I32" i="10"/>
  <c r="CP33" i="9"/>
  <c r="FL33" i="9" s="1"/>
  <c r="FN33" i="9" s="1"/>
  <c r="GB30" i="6"/>
  <c r="GG29" i="5"/>
  <c r="GE29" i="5"/>
  <c r="HT28" i="5"/>
  <c r="HU28" i="5" s="1"/>
  <c r="HQ28" i="5"/>
  <c r="FO29" i="5"/>
  <c r="FR29" i="5"/>
  <c r="FS29" i="5" s="1"/>
  <c r="FL28" i="7"/>
  <c r="FN28" i="7" s="1"/>
  <c r="FO28" i="7" s="1"/>
  <c r="GE34" i="10"/>
  <c r="HE34" i="10" s="1"/>
  <c r="GF33" i="11"/>
  <c r="GE32" i="8"/>
  <c r="HE32" i="8" s="1"/>
  <c r="GG32" i="8"/>
  <c r="GF32" i="5"/>
  <c r="GF32" i="12"/>
  <c r="HN33" i="10"/>
  <c r="HP33" i="10" s="1"/>
  <c r="HQ33" i="10" s="1"/>
  <c r="GF32" i="8"/>
  <c r="GB30" i="9"/>
  <c r="GC34" i="10"/>
  <c r="CS29" i="7"/>
  <c r="DS29" i="7" s="1"/>
  <c r="CP31" i="6"/>
  <c r="CQ31" i="6" s="1"/>
  <c r="CS32" i="6" s="1"/>
  <c r="DS32" i="6" s="1"/>
  <c r="CU30" i="10"/>
  <c r="CP30" i="10" s="1"/>
  <c r="HE30" i="9"/>
  <c r="GF30" i="9"/>
  <c r="G31" i="9"/>
  <c r="FU31" i="9"/>
  <c r="H31" i="9" s="1"/>
  <c r="FQ32" i="9"/>
  <c r="FT27" i="7"/>
  <c r="G27" i="7" s="1"/>
  <c r="CP30" i="5"/>
  <c r="FL30" i="5" s="1"/>
  <c r="CF3" i="3"/>
  <c r="FO29" i="12" l="1"/>
  <c r="FT29" i="12"/>
  <c r="FQ30" i="12" s="1"/>
  <c r="CQ30" i="12"/>
  <c r="CS31" i="12" s="1"/>
  <c r="DS31" i="12" s="1"/>
  <c r="HU29" i="6"/>
  <c r="HW29" i="6" s="1"/>
  <c r="J29" i="6" s="1"/>
  <c r="FL27" i="8"/>
  <c r="FN27" i="8" s="1"/>
  <c r="FR27" i="8" s="1"/>
  <c r="FS27" i="8" s="1"/>
  <c r="CS28" i="8"/>
  <c r="CP28" i="8" s="1"/>
  <c r="FT32" i="9"/>
  <c r="FU32" i="9" s="1"/>
  <c r="H32" i="9" s="1"/>
  <c r="GG30" i="11"/>
  <c r="GB30" i="11" s="1"/>
  <c r="HN30" i="11" s="1"/>
  <c r="HP30" i="11" s="1"/>
  <c r="HW28" i="11"/>
  <c r="J28" i="11" s="1"/>
  <c r="HS29" i="11"/>
  <c r="CS30" i="11"/>
  <c r="DS30" i="11" s="1"/>
  <c r="GE34" i="7"/>
  <c r="HE34" i="7" s="1"/>
  <c r="HN29" i="11"/>
  <c r="HP29" i="11" s="1"/>
  <c r="HQ29" i="11" s="1"/>
  <c r="HV29" i="9"/>
  <c r="HW29" i="9" s="1"/>
  <c r="J29" i="9" s="1"/>
  <c r="G28" i="10"/>
  <c r="FQ29" i="10"/>
  <c r="FT29" i="10" s="1"/>
  <c r="FQ30" i="10" s="1"/>
  <c r="HN33" i="7"/>
  <c r="HP33" i="7" s="1"/>
  <c r="HQ33" i="7" s="1"/>
  <c r="FL29" i="11"/>
  <c r="FN29" i="11" s="1"/>
  <c r="FO29" i="11" s="1"/>
  <c r="FR28" i="11"/>
  <c r="FS28" i="11" s="1"/>
  <c r="HT30" i="12"/>
  <c r="HU30" i="12" s="1"/>
  <c r="HQ30" i="12"/>
  <c r="GE31" i="12"/>
  <c r="HE31" i="12" s="1"/>
  <c r="GG31" i="12"/>
  <c r="HV29" i="12"/>
  <c r="I29" i="12" s="1"/>
  <c r="CQ33" i="9"/>
  <c r="CU34" i="9" s="1"/>
  <c r="HW27" i="5"/>
  <c r="J27" i="5" s="1"/>
  <c r="HS28" i="5"/>
  <c r="HV28" i="5" s="1"/>
  <c r="HS32" i="7"/>
  <c r="HV32" i="7" s="1"/>
  <c r="I31" i="7"/>
  <c r="HQ31" i="8"/>
  <c r="G30" i="6"/>
  <c r="FT29" i="5"/>
  <c r="FQ30" i="5" s="1"/>
  <c r="HV31" i="8"/>
  <c r="FR28" i="7"/>
  <c r="FS28" i="7" s="1"/>
  <c r="HN30" i="6"/>
  <c r="HP30" i="6" s="1"/>
  <c r="GC30" i="6"/>
  <c r="CU32" i="6"/>
  <c r="CP32" i="6" s="1"/>
  <c r="FL31" i="6"/>
  <c r="FN31" i="6" s="1"/>
  <c r="FR31" i="6" s="1"/>
  <c r="FS31" i="6" s="1"/>
  <c r="HE29" i="5"/>
  <c r="GF29" i="5"/>
  <c r="FQ31" i="6"/>
  <c r="GB29" i="5"/>
  <c r="GC29" i="5" s="1"/>
  <c r="CP29" i="7"/>
  <c r="FL29" i="7" s="1"/>
  <c r="FN29" i="7" s="1"/>
  <c r="CT29" i="7"/>
  <c r="HT33" i="10"/>
  <c r="HU33" i="10" s="1"/>
  <c r="HN34" i="10"/>
  <c r="HP34" i="10" s="1"/>
  <c r="HT34" i="10" s="1"/>
  <c r="I29" i="6"/>
  <c r="HS30" i="6"/>
  <c r="GF34" i="7"/>
  <c r="GF35" i="7" s="1"/>
  <c r="GF32" i="6"/>
  <c r="GB32" i="8"/>
  <c r="HN30" i="9"/>
  <c r="HP30" i="9" s="1"/>
  <c r="HQ30" i="9" s="1"/>
  <c r="GB34" i="7"/>
  <c r="GC34" i="7" s="1"/>
  <c r="GE35" i="7" s="1"/>
  <c r="HE35" i="7" s="1"/>
  <c r="GC30" i="9"/>
  <c r="GE31" i="9" s="1"/>
  <c r="GG35" i="10"/>
  <c r="GB35" i="10" s="1"/>
  <c r="GE35" i="10"/>
  <c r="HE35" i="10" s="1"/>
  <c r="FR33" i="9"/>
  <c r="FS33" i="9" s="1"/>
  <c r="FO33" i="9"/>
  <c r="FU27" i="7"/>
  <c r="H27" i="7" s="1"/>
  <c r="FQ28" i="7"/>
  <c r="FN30" i="5"/>
  <c r="CQ30" i="5"/>
  <c r="FL30" i="10"/>
  <c r="FN30" i="10" s="1"/>
  <c r="CQ30" i="10"/>
  <c r="CC4" i="3"/>
  <c r="CG3" i="3"/>
  <c r="G29" i="12" l="1"/>
  <c r="FU29" i="12"/>
  <c r="H29" i="12" s="1"/>
  <c r="FO30" i="12"/>
  <c r="FR30" i="12"/>
  <c r="FS30" i="12" s="1"/>
  <c r="CU31" i="12"/>
  <c r="CP31" i="12" s="1"/>
  <c r="CQ31" i="12" s="1"/>
  <c r="CU32" i="12" s="1"/>
  <c r="FT27" i="8"/>
  <c r="FU27" i="8" s="1"/>
  <c r="CT28" i="8"/>
  <c r="FO27" i="8"/>
  <c r="DS28" i="8"/>
  <c r="FL28" i="8" s="1"/>
  <c r="FN28" i="8" s="1"/>
  <c r="G32" i="9"/>
  <c r="FQ33" i="9"/>
  <c r="FT33" i="9" s="1"/>
  <c r="G33" i="9" s="1"/>
  <c r="HT29" i="11"/>
  <c r="HU29" i="11" s="1"/>
  <c r="HS30" i="9"/>
  <c r="I29" i="9"/>
  <c r="FU29" i="10"/>
  <c r="H29" i="10" s="1"/>
  <c r="G29" i="10"/>
  <c r="HT33" i="7"/>
  <c r="HU33" i="7" s="1"/>
  <c r="CP30" i="11"/>
  <c r="CQ30" i="11" s="1"/>
  <c r="CU31" i="11" s="1"/>
  <c r="FR29" i="11"/>
  <c r="FS29" i="11" s="1"/>
  <c r="CS34" i="9"/>
  <c r="FT28" i="11"/>
  <c r="G28" i="11" s="1"/>
  <c r="HQ30" i="11"/>
  <c r="GC30" i="11"/>
  <c r="GG31" i="11" s="1"/>
  <c r="GB31" i="12"/>
  <c r="HN31" i="12" s="1"/>
  <c r="HP31" i="12" s="1"/>
  <c r="HT30" i="11"/>
  <c r="HS30" i="12"/>
  <c r="HV30" i="12" s="1"/>
  <c r="HW29" i="12"/>
  <c r="J29" i="12" s="1"/>
  <c r="HW32" i="7"/>
  <c r="J32" i="7" s="1"/>
  <c r="I32" i="7"/>
  <c r="HS33" i="7"/>
  <c r="I31" i="8"/>
  <c r="FT28" i="7"/>
  <c r="FU28" i="7" s="1"/>
  <c r="H28" i="7" s="1"/>
  <c r="FU29" i="5"/>
  <c r="H29" i="5" s="1"/>
  <c r="CQ29" i="7"/>
  <c r="CS30" i="7" s="1"/>
  <c r="DS30" i="7" s="1"/>
  <c r="HS32" i="8"/>
  <c r="HW31" i="8"/>
  <c r="J31" i="8" s="1"/>
  <c r="FO31" i="6"/>
  <c r="G29" i="5"/>
  <c r="HQ34" i="10"/>
  <c r="HN29" i="5"/>
  <c r="HP29" i="5" s="1"/>
  <c r="HT29" i="5" s="1"/>
  <c r="HU29" i="5" s="1"/>
  <c r="GG35" i="7"/>
  <c r="GB35" i="7" s="1"/>
  <c r="HN35" i="7" s="1"/>
  <c r="HP35" i="7" s="1"/>
  <c r="FL32" i="6"/>
  <c r="FN32" i="6" s="1"/>
  <c r="CQ32" i="6"/>
  <c r="HU34" i="10"/>
  <c r="HV33" i="10"/>
  <c r="HS34" i="10" s="1"/>
  <c r="HW28" i="5"/>
  <c r="J28" i="5" s="1"/>
  <c r="HS29" i="5"/>
  <c r="GE31" i="6"/>
  <c r="HE31" i="6" s="1"/>
  <c r="GG31" i="6"/>
  <c r="HT30" i="6"/>
  <c r="HU30" i="6" s="1"/>
  <c r="HQ30" i="6"/>
  <c r="GE30" i="5"/>
  <c r="HE30" i="5" s="1"/>
  <c r="GG30" i="5"/>
  <c r="HN34" i="7"/>
  <c r="HP34" i="7" s="1"/>
  <c r="HQ34" i="7" s="1"/>
  <c r="I28" i="5"/>
  <c r="FT31" i="6"/>
  <c r="FU31" i="6" s="1"/>
  <c r="GF34" i="11"/>
  <c r="HT30" i="9"/>
  <c r="HU30" i="9" s="1"/>
  <c r="GC32" i="8"/>
  <c r="HN32" i="8"/>
  <c r="HP32" i="8" s="1"/>
  <c r="HE31" i="9"/>
  <c r="GF31" i="9"/>
  <c r="GG31" i="9"/>
  <c r="GB31" i="9" s="1"/>
  <c r="GC31" i="9" s="1"/>
  <c r="GC35" i="10"/>
  <c r="HN35" i="10"/>
  <c r="HP35" i="10" s="1"/>
  <c r="FR29" i="7"/>
  <c r="FS29" i="7" s="1"/>
  <c r="FO29" i="7"/>
  <c r="CS31" i="5"/>
  <c r="DS31" i="5" s="1"/>
  <c r="CU31" i="5"/>
  <c r="FR30" i="5"/>
  <c r="FS30" i="5" s="1"/>
  <c r="FO30" i="5"/>
  <c r="FO30" i="10"/>
  <c r="FR30" i="10"/>
  <c r="FS30" i="10" s="1"/>
  <c r="CU31" i="10"/>
  <c r="CP31" i="10" s="1"/>
  <c r="CS31" i="10"/>
  <c r="DS31" i="10" s="1"/>
  <c r="CQ28" i="8"/>
  <c r="FQ28" i="8"/>
  <c r="AI3" i="3"/>
  <c r="G27" i="8" l="1"/>
  <c r="FT30" i="12"/>
  <c r="CS32" i="12"/>
  <c r="DS32" i="12" s="1"/>
  <c r="FL31" i="12"/>
  <c r="FN31" i="12" s="1"/>
  <c r="FR31" i="12" s="1"/>
  <c r="FS31" i="12" s="1"/>
  <c r="H27" i="8"/>
  <c r="DS34" i="9"/>
  <c r="CT34" i="9"/>
  <c r="CP34" i="9"/>
  <c r="CQ34" i="9" s="1"/>
  <c r="CU35" i="9" s="1"/>
  <c r="CP35" i="9" s="1"/>
  <c r="CQ35" i="9" s="1"/>
  <c r="HU30" i="11"/>
  <c r="HV29" i="11"/>
  <c r="I29" i="11" s="1"/>
  <c r="CS31" i="11"/>
  <c r="DS31" i="11" s="1"/>
  <c r="FL30" i="11"/>
  <c r="FN30" i="11" s="1"/>
  <c r="FO30" i="11" s="1"/>
  <c r="HV33" i="7"/>
  <c r="I33" i="7" s="1"/>
  <c r="FQ29" i="11"/>
  <c r="FT29" i="11" s="1"/>
  <c r="FU29" i="11" s="1"/>
  <c r="H29" i="11" s="1"/>
  <c r="GC31" i="12"/>
  <c r="GE32" i="12" s="1"/>
  <c r="HE32" i="12" s="1"/>
  <c r="GE31" i="11"/>
  <c r="HE31" i="11" s="1"/>
  <c r="FU28" i="11"/>
  <c r="H28" i="11" s="1"/>
  <c r="CP31" i="5"/>
  <c r="FL31" i="5" s="1"/>
  <c r="FN31" i="5" s="1"/>
  <c r="I30" i="12"/>
  <c r="HW30" i="12"/>
  <c r="J30" i="12" s="1"/>
  <c r="HS31" i="12"/>
  <c r="FQ29" i="7"/>
  <c r="FT29" i="7" s="1"/>
  <c r="G29" i="7" s="1"/>
  <c r="G28" i="7"/>
  <c r="HQ31" i="12"/>
  <c r="HT31" i="12"/>
  <c r="HU31" i="12" s="1"/>
  <c r="GB30" i="5"/>
  <c r="HN30" i="5" s="1"/>
  <c r="HP30" i="5" s="1"/>
  <c r="CU30" i="7"/>
  <c r="CP30" i="7" s="1"/>
  <c r="FL30" i="7" s="1"/>
  <c r="FN30" i="7" s="1"/>
  <c r="FR30" i="7" s="1"/>
  <c r="FS30" i="7" s="1"/>
  <c r="H31" i="6"/>
  <c r="FO32" i="6"/>
  <c r="HT35" i="7"/>
  <c r="GC35" i="7"/>
  <c r="GG36" i="7" s="1"/>
  <c r="HQ29" i="5"/>
  <c r="HV29" i="5"/>
  <c r="HS30" i="5" s="1"/>
  <c r="FR32" i="6"/>
  <c r="FS32" i="6" s="1"/>
  <c r="G31" i="6"/>
  <c r="HT34" i="7"/>
  <c r="HU34" i="7" s="1"/>
  <c r="FQ32" i="6"/>
  <c r="GB31" i="6"/>
  <c r="HV30" i="6"/>
  <c r="HW33" i="10"/>
  <c r="J33" i="10" s="1"/>
  <c r="CU33" i="6"/>
  <c r="CP33" i="6" s="1"/>
  <c r="CS33" i="6"/>
  <c r="DS33" i="6" s="1"/>
  <c r="I33" i="10"/>
  <c r="HV34" i="10"/>
  <c r="HW34" i="10" s="1"/>
  <c r="J34" i="10" s="1"/>
  <c r="HV30" i="9"/>
  <c r="HW30" i="9" s="1"/>
  <c r="J30" i="9" s="1"/>
  <c r="FT30" i="5"/>
  <c r="G30" i="5" s="1"/>
  <c r="HQ32" i="8"/>
  <c r="HT32" i="8"/>
  <c r="HU32" i="8" s="1"/>
  <c r="GG33" i="8"/>
  <c r="GB33" i="8" s="1"/>
  <c r="GE33" i="8"/>
  <c r="HQ35" i="7"/>
  <c r="GF33" i="5"/>
  <c r="GF33" i="12"/>
  <c r="GF34" i="12" s="1"/>
  <c r="GF35" i="11"/>
  <c r="HQ35" i="10"/>
  <c r="HT35" i="10"/>
  <c r="HU35" i="10" s="1"/>
  <c r="GG36" i="10"/>
  <c r="GB36" i="10" s="1"/>
  <c r="GC36" i="10" s="1"/>
  <c r="GE36" i="10"/>
  <c r="HE36" i="10" s="1"/>
  <c r="HN31" i="9"/>
  <c r="HP31" i="9" s="1"/>
  <c r="HT31" i="9" s="1"/>
  <c r="HU31" i="9" s="1"/>
  <c r="FU33" i="9"/>
  <c r="H33" i="9" s="1"/>
  <c r="FQ34" i="9"/>
  <c r="FL31" i="10"/>
  <c r="FN31" i="10" s="1"/>
  <c r="FT30" i="10"/>
  <c r="G30" i="10" s="1"/>
  <c r="CQ31" i="10"/>
  <c r="GG32" i="9"/>
  <c r="GE32" i="9"/>
  <c r="FO28" i="8"/>
  <c r="FR28" i="8"/>
  <c r="FS28" i="8" s="1"/>
  <c r="CU29" i="8"/>
  <c r="CS29" i="8"/>
  <c r="AF3" i="3"/>
  <c r="AJ3" i="3"/>
  <c r="FO31" i="12" l="1"/>
  <c r="G30" i="12"/>
  <c r="FQ31" i="12"/>
  <c r="FT31" i="12" s="1"/>
  <c r="FU30" i="12"/>
  <c r="H30" i="12" s="1"/>
  <c r="CP32" i="12"/>
  <c r="CQ32" i="12" s="1"/>
  <c r="CU33" i="12" s="1"/>
  <c r="CP33" i="12" s="1"/>
  <c r="CQ33" i="12" s="1"/>
  <c r="CS34" i="12" s="1"/>
  <c r="DS34" i="12" s="1"/>
  <c r="CS35" i="9"/>
  <c r="DS35" i="9" s="1"/>
  <c r="FL34" i="9"/>
  <c r="FN34" i="9" s="1"/>
  <c r="FR34" i="9" s="1"/>
  <c r="FS34" i="9" s="1"/>
  <c r="CT35" i="9"/>
  <c r="HW29" i="11"/>
  <c r="J29" i="11" s="1"/>
  <c r="HS30" i="11"/>
  <c r="HV30" i="11" s="1"/>
  <c r="HW30" i="11" s="1"/>
  <c r="J30" i="11" s="1"/>
  <c r="FR30" i="11"/>
  <c r="FS30" i="11" s="1"/>
  <c r="HS34" i="7"/>
  <c r="HV34" i="7" s="1"/>
  <c r="HS35" i="7" s="1"/>
  <c r="HV35" i="7" s="1"/>
  <c r="I35" i="7" s="1"/>
  <c r="HW33" i="7"/>
  <c r="J33" i="7" s="1"/>
  <c r="FO34" i="9"/>
  <c r="G29" i="11"/>
  <c r="FQ30" i="11"/>
  <c r="CP31" i="11"/>
  <c r="GG32" i="12"/>
  <c r="GB32" i="12" s="1"/>
  <c r="CQ31" i="5"/>
  <c r="CS32" i="5" s="1"/>
  <c r="DS32" i="5" s="1"/>
  <c r="GB31" i="11"/>
  <c r="HV31" i="12"/>
  <c r="GE36" i="7"/>
  <c r="HE36" i="7" s="1"/>
  <c r="HQ30" i="5"/>
  <c r="HU35" i="7"/>
  <c r="GC30" i="5"/>
  <c r="I29" i="5"/>
  <c r="HW29" i="5"/>
  <c r="J29" i="5" s="1"/>
  <c r="HT30" i="5"/>
  <c r="HU30" i="5" s="1"/>
  <c r="FT32" i="6"/>
  <c r="FU32" i="6" s="1"/>
  <c r="H32" i="6" s="1"/>
  <c r="HS31" i="9"/>
  <c r="HV31" i="9" s="1"/>
  <c r="HS35" i="10"/>
  <c r="HV35" i="10" s="1"/>
  <c r="I30" i="9"/>
  <c r="FU30" i="5"/>
  <c r="H30" i="5" s="1"/>
  <c r="HW30" i="6"/>
  <c r="J30" i="6" s="1"/>
  <c r="HS31" i="6"/>
  <c r="HV32" i="8"/>
  <c r="HS33" i="8" s="1"/>
  <c r="CQ33" i="6"/>
  <c r="FL33" i="6"/>
  <c r="FN33" i="6" s="1"/>
  <c r="FQ31" i="5"/>
  <c r="I34" i="10"/>
  <c r="GC31" i="6"/>
  <c r="HN31" i="6"/>
  <c r="HP31" i="6" s="1"/>
  <c r="I30" i="6"/>
  <c r="FO31" i="5"/>
  <c r="FR31" i="5"/>
  <c r="FS31" i="5" s="1"/>
  <c r="FQ30" i="7"/>
  <c r="FT30" i="7" s="1"/>
  <c r="FU30" i="7" s="1"/>
  <c r="FU29" i="7"/>
  <c r="H29" i="7" s="1"/>
  <c r="GF35" i="12"/>
  <c r="GB36" i="7"/>
  <c r="GC36" i="7" s="1"/>
  <c r="GG37" i="7" s="1"/>
  <c r="GB37" i="7" s="1"/>
  <c r="HE33" i="8"/>
  <c r="HN33" i="8" s="1"/>
  <c r="HP33" i="8" s="1"/>
  <c r="GF33" i="8"/>
  <c r="GC33" i="8"/>
  <c r="GF33" i="6"/>
  <c r="GB32" i="9"/>
  <c r="GC32" i="9" s="1"/>
  <c r="GG33" i="9" s="1"/>
  <c r="HQ31" i="9"/>
  <c r="HN36" i="10"/>
  <c r="HP36" i="10" s="1"/>
  <c r="GG37" i="10"/>
  <c r="GB37" i="10" s="1"/>
  <c r="GC37" i="10" s="1"/>
  <c r="GE37" i="10"/>
  <c r="HE37" i="10" s="1"/>
  <c r="HE32" i="9"/>
  <c r="GF32" i="9"/>
  <c r="CU36" i="9"/>
  <c r="CS36" i="9"/>
  <c r="DS36" i="9" s="1"/>
  <c r="FL35" i="9"/>
  <c r="FN35" i="9" s="1"/>
  <c r="CP29" i="8"/>
  <c r="CQ29" i="8" s="1"/>
  <c r="FT28" i="8"/>
  <c r="FU28" i="8" s="1"/>
  <c r="H28" i="8" s="1"/>
  <c r="CQ30" i="7"/>
  <c r="CS31" i="7" s="1"/>
  <c r="DS31" i="7" s="1"/>
  <c r="FO30" i="7"/>
  <c r="FQ31" i="10"/>
  <c r="FU30" i="10"/>
  <c r="H30" i="10" s="1"/>
  <c r="CU32" i="10"/>
  <c r="CP32" i="10" s="1"/>
  <c r="CS32" i="10"/>
  <c r="DS32" i="10" s="1"/>
  <c r="FR31" i="10"/>
  <c r="FS31" i="10" s="1"/>
  <c r="FO31" i="10"/>
  <c r="DS29" i="8"/>
  <c r="CT29" i="8"/>
  <c r="AK3" i="3"/>
  <c r="AI4" i="3"/>
  <c r="AJ4" i="3" s="1"/>
  <c r="FQ32" i="12" l="1"/>
  <c r="FU31" i="12"/>
  <c r="H31" i="12" s="1"/>
  <c r="G31" i="12"/>
  <c r="FL32" i="12"/>
  <c r="FN32" i="12" s="1"/>
  <c r="FR32" i="12" s="1"/>
  <c r="FS32" i="12" s="1"/>
  <c r="CS33" i="12"/>
  <c r="DS33" i="12" s="1"/>
  <c r="CU34" i="12"/>
  <c r="CP34" i="12" s="1"/>
  <c r="CQ34" i="12" s="1"/>
  <c r="CU35" i="12" s="1"/>
  <c r="CP35" i="12" s="1"/>
  <c r="CQ35" i="12" s="1"/>
  <c r="FT34" i="9"/>
  <c r="FU34" i="9" s="1"/>
  <c r="H34" i="9" s="1"/>
  <c r="CP36" i="9"/>
  <c r="CQ36" i="9" s="1"/>
  <c r="FM37" i="9" s="1"/>
  <c r="CT36" i="9"/>
  <c r="I30" i="11"/>
  <c r="HS31" i="11"/>
  <c r="FT30" i="11"/>
  <c r="FU30" i="11" s="1"/>
  <c r="H30" i="11" s="1"/>
  <c r="GC32" i="12"/>
  <c r="GG33" i="12" s="1"/>
  <c r="GB33" i="12" s="1"/>
  <c r="HN32" i="12"/>
  <c r="HP32" i="12" s="1"/>
  <c r="HT32" i="12" s="1"/>
  <c r="HU32" i="12" s="1"/>
  <c r="CQ31" i="11"/>
  <c r="FL31" i="11"/>
  <c r="FN31" i="11" s="1"/>
  <c r="CU32" i="5"/>
  <c r="CP32" i="5" s="1"/>
  <c r="FL32" i="5" s="1"/>
  <c r="FN32" i="5" s="1"/>
  <c r="GC31" i="11"/>
  <c r="HN31" i="11"/>
  <c r="HP31" i="11" s="1"/>
  <c r="HW35" i="7"/>
  <c r="J35" i="7" s="1"/>
  <c r="I31" i="12"/>
  <c r="HW31" i="12"/>
  <c r="J31" i="12" s="1"/>
  <c r="HS32" i="12"/>
  <c r="GG31" i="5"/>
  <c r="GE31" i="5"/>
  <c r="HE31" i="5" s="1"/>
  <c r="I32" i="8"/>
  <c r="HS36" i="7"/>
  <c r="FQ33" i="6"/>
  <c r="G32" i="6"/>
  <c r="I34" i="7"/>
  <c r="HW34" i="7"/>
  <c r="J34" i="7" s="1"/>
  <c r="HV30" i="5"/>
  <c r="HW32" i="8"/>
  <c r="J32" i="8" s="1"/>
  <c r="I35" i="10"/>
  <c r="HS36" i="10"/>
  <c r="FO33" i="6"/>
  <c r="FR33" i="6"/>
  <c r="FS33" i="6" s="1"/>
  <c r="CU34" i="6"/>
  <c r="CP34" i="6" s="1"/>
  <c r="CQ34" i="6" s="1"/>
  <c r="CS34" i="6"/>
  <c r="DS34" i="6" s="1"/>
  <c r="HT31" i="6"/>
  <c r="HU31" i="6" s="1"/>
  <c r="HQ31" i="6"/>
  <c r="GG32" i="6"/>
  <c r="GE32" i="6"/>
  <c r="HE32" i="6" s="1"/>
  <c r="FT31" i="5"/>
  <c r="GE37" i="7"/>
  <c r="HE37" i="7" s="1"/>
  <c r="HW35" i="10"/>
  <c r="J35" i="10" s="1"/>
  <c r="HN36" i="7"/>
  <c r="HP36" i="7" s="1"/>
  <c r="HT36" i="7" s="1"/>
  <c r="HU36" i="7" s="1"/>
  <c r="GF34" i="6"/>
  <c r="GF33" i="9"/>
  <c r="HQ33" i="8"/>
  <c r="HT33" i="8"/>
  <c r="HU33" i="8" s="1"/>
  <c r="GE34" i="8"/>
  <c r="HE34" i="8" s="1"/>
  <c r="GG34" i="8"/>
  <c r="HN32" i="9"/>
  <c r="HP32" i="9" s="1"/>
  <c r="HQ32" i="9" s="1"/>
  <c r="GF34" i="8"/>
  <c r="GF34" i="5"/>
  <c r="GG38" i="10"/>
  <c r="GB38" i="10" s="1"/>
  <c r="GC38" i="10" s="1"/>
  <c r="GE38" i="10"/>
  <c r="HE38" i="10" s="1"/>
  <c r="HN37" i="10"/>
  <c r="HP37" i="10" s="1"/>
  <c r="HT36" i="10"/>
  <c r="HU36" i="10" s="1"/>
  <c r="HQ36" i="10"/>
  <c r="FT31" i="10"/>
  <c r="FU31" i="10" s="1"/>
  <c r="H31" i="10" s="1"/>
  <c r="GE33" i="9"/>
  <c r="HE33" i="9" s="1"/>
  <c r="FR35" i="9"/>
  <c r="FS35" i="9" s="1"/>
  <c r="FO35" i="9"/>
  <c r="FL29" i="8"/>
  <c r="FN29" i="8" s="1"/>
  <c r="FR29" i="8" s="1"/>
  <c r="FS29" i="8" s="1"/>
  <c r="FQ29" i="8"/>
  <c r="G28" i="8"/>
  <c r="GC37" i="7"/>
  <c r="GG38" i="7" s="1"/>
  <c r="GB38" i="7" s="1"/>
  <c r="GC38" i="7" s="1"/>
  <c r="H30" i="7"/>
  <c r="CU31" i="7"/>
  <c r="CP31" i="7" s="1"/>
  <c r="CQ31" i="7" s="1"/>
  <c r="G30" i="7"/>
  <c r="FQ31" i="7"/>
  <c r="FL32" i="10"/>
  <c r="FN32" i="10" s="1"/>
  <c r="CQ32" i="10"/>
  <c r="HW31" i="9"/>
  <c r="J31" i="9" s="1"/>
  <c r="HS32" i="9"/>
  <c r="I31" i="9"/>
  <c r="CU30" i="8"/>
  <c r="CS30" i="8"/>
  <c r="DS30" i="8" s="1"/>
  <c r="AF4" i="3"/>
  <c r="E3" i="3"/>
  <c r="AL3" i="3"/>
  <c r="F3" i="3" s="1"/>
  <c r="AH4" i="3"/>
  <c r="AK4" i="3" s="1"/>
  <c r="FO32" i="12" l="1"/>
  <c r="FQ31" i="11"/>
  <c r="FT32" i="12"/>
  <c r="FL36" i="9"/>
  <c r="FN36" i="9" s="1"/>
  <c r="FO36" i="9" s="1"/>
  <c r="FL33" i="12"/>
  <c r="FN33" i="12" s="1"/>
  <c r="FR33" i="12" s="1"/>
  <c r="FS33" i="12" s="1"/>
  <c r="G34" i="9"/>
  <c r="CS35" i="12"/>
  <c r="DS35" i="12" s="1"/>
  <c r="FL34" i="12"/>
  <c r="FN34" i="12" s="1"/>
  <c r="FQ35" i="9"/>
  <c r="FT35" i="9" s="1"/>
  <c r="G35" i="9" s="1"/>
  <c r="GE33" i="12"/>
  <c r="HE33" i="12" s="1"/>
  <c r="HQ32" i="12"/>
  <c r="G30" i="11"/>
  <c r="G32" i="12"/>
  <c r="FO33" i="12"/>
  <c r="FO34" i="12" s="1"/>
  <c r="CQ32" i="5"/>
  <c r="CU33" i="5" s="1"/>
  <c r="CP33" i="5" s="1"/>
  <c r="FO31" i="11"/>
  <c r="FR31" i="11"/>
  <c r="FS31" i="11" s="1"/>
  <c r="CU32" i="11"/>
  <c r="CS32" i="11"/>
  <c r="DS32" i="11" s="1"/>
  <c r="HQ31" i="11"/>
  <c r="HT31" i="11"/>
  <c r="HU31" i="11" s="1"/>
  <c r="GG32" i="11"/>
  <c r="GE32" i="11"/>
  <c r="HE32" i="11" s="1"/>
  <c r="HV32" i="12"/>
  <c r="HW32" i="12" s="1"/>
  <c r="GC33" i="12"/>
  <c r="GB31" i="5"/>
  <c r="HS31" i="5"/>
  <c r="HW30" i="5"/>
  <c r="J30" i="5" s="1"/>
  <c r="I30" i="5"/>
  <c r="HQ36" i="7"/>
  <c r="FT33" i="6"/>
  <c r="FQ34" i="6" s="1"/>
  <c r="GB32" i="6"/>
  <c r="HV31" i="6"/>
  <c r="I31" i="6" s="1"/>
  <c r="CU35" i="6"/>
  <c r="CP35" i="6" s="1"/>
  <c r="CS35" i="6"/>
  <c r="DS35" i="6" s="1"/>
  <c r="FL34" i="6"/>
  <c r="FN34" i="6" s="1"/>
  <c r="FQ32" i="5"/>
  <c r="G31" i="5"/>
  <c r="FU31" i="5"/>
  <c r="H31" i="5" s="1"/>
  <c r="FQ32" i="10"/>
  <c r="CS32" i="7"/>
  <c r="DS32" i="7" s="1"/>
  <c r="FO29" i="8"/>
  <c r="FL31" i="7"/>
  <c r="FN31" i="7" s="1"/>
  <c r="FR31" i="7" s="1"/>
  <c r="FS31" i="7" s="1"/>
  <c r="FR32" i="5"/>
  <c r="FO32" i="5"/>
  <c r="HN37" i="7"/>
  <c r="HP37" i="7" s="1"/>
  <c r="HT32" i="9"/>
  <c r="HU32" i="9" s="1"/>
  <c r="GB34" i="8"/>
  <c r="HV33" i="8"/>
  <c r="I33" i="8" s="1"/>
  <c r="HT37" i="10"/>
  <c r="HU37" i="10" s="1"/>
  <c r="HQ37" i="10"/>
  <c r="GE39" i="10"/>
  <c r="HE39" i="10" s="1"/>
  <c r="GG39" i="10"/>
  <c r="GB39" i="10" s="1"/>
  <c r="HN38" i="10"/>
  <c r="HP38" i="10" s="1"/>
  <c r="HV36" i="10"/>
  <c r="HV36" i="7"/>
  <c r="HS37" i="7" s="1"/>
  <c r="E4" i="3"/>
  <c r="G31" i="10"/>
  <c r="GB33" i="9"/>
  <c r="FR36" i="9"/>
  <c r="FS36" i="9" s="1"/>
  <c r="CP30" i="8"/>
  <c r="FL30" i="8" s="1"/>
  <c r="FN30" i="8" s="1"/>
  <c r="GE38" i="7"/>
  <c r="HE38" i="7" s="1"/>
  <c r="CU32" i="7"/>
  <c r="GG39" i="7"/>
  <c r="GB39" i="7" s="1"/>
  <c r="GE39" i="7"/>
  <c r="HE39" i="7" s="1"/>
  <c r="CU36" i="12"/>
  <c r="CP36" i="12" s="1"/>
  <c r="CS36" i="12"/>
  <c r="DS36" i="12" s="1"/>
  <c r="FQ33" i="12"/>
  <c r="FU32" i="12"/>
  <c r="H32" i="12" s="1"/>
  <c r="CU33" i="10"/>
  <c r="CP33" i="10" s="1"/>
  <c r="CQ33" i="10" s="1"/>
  <c r="CS33" i="10"/>
  <c r="DS33" i="10" s="1"/>
  <c r="FO32" i="10"/>
  <c r="FR32" i="10"/>
  <c r="FS32" i="10" s="1"/>
  <c r="FT29" i="8"/>
  <c r="AH5" i="3"/>
  <c r="AF5" i="3"/>
  <c r="AL4" i="3"/>
  <c r="F4" i="3" s="1"/>
  <c r="J32" i="12" l="1"/>
  <c r="FL35" i="12"/>
  <c r="FN35" i="12" s="1"/>
  <c r="FR35" i="12" s="1"/>
  <c r="FR34" i="12"/>
  <c r="FS34" i="12" s="1"/>
  <c r="HN33" i="12"/>
  <c r="HP33" i="12" s="1"/>
  <c r="HT33" i="12" s="1"/>
  <c r="HU33" i="12" s="1"/>
  <c r="FT33" i="12"/>
  <c r="FQ34" i="12" s="1"/>
  <c r="CS33" i="5"/>
  <c r="DS33" i="5" s="1"/>
  <c r="CP32" i="11"/>
  <c r="FT31" i="11"/>
  <c r="HV31" i="11"/>
  <c r="I31" i="11" s="1"/>
  <c r="HS33" i="12"/>
  <c r="GB32" i="11"/>
  <c r="I32" i="12"/>
  <c r="GE34" i="12"/>
  <c r="HE34" i="12" s="1"/>
  <c r="GG34" i="12"/>
  <c r="GB34" i="12" s="1"/>
  <c r="HN31" i="5"/>
  <c r="HP31" i="5" s="1"/>
  <c r="GC31" i="5"/>
  <c r="FO31" i="7"/>
  <c r="CP32" i="7"/>
  <c r="FL32" i="7" s="1"/>
  <c r="FN32" i="7" s="1"/>
  <c r="HQ37" i="7"/>
  <c r="HT37" i="7"/>
  <c r="HU37" i="7" s="1"/>
  <c r="FU33" i="6"/>
  <c r="H33" i="6" s="1"/>
  <c r="G33" i="6"/>
  <c r="HN32" i="6"/>
  <c r="HP32" i="6" s="1"/>
  <c r="GC32" i="6"/>
  <c r="FL35" i="6"/>
  <c r="FN35" i="6" s="1"/>
  <c r="CQ35" i="6"/>
  <c r="FR34" i="6"/>
  <c r="FS34" i="6" s="1"/>
  <c r="FO34" i="6"/>
  <c r="HW31" i="6"/>
  <c r="J31" i="6" s="1"/>
  <c r="HS32" i="6"/>
  <c r="FO30" i="8"/>
  <c r="FU35" i="9"/>
  <c r="H35" i="9" s="1"/>
  <c r="FQ36" i="9"/>
  <c r="FT36" i="9" s="1"/>
  <c r="FQ37" i="9" s="1"/>
  <c r="FT31" i="7"/>
  <c r="FQ32" i="7" s="1"/>
  <c r="FS32" i="5"/>
  <c r="FT32" i="5"/>
  <c r="CQ33" i="5"/>
  <c r="HV32" i="9"/>
  <c r="HS33" i="9" s="1"/>
  <c r="HW33" i="8"/>
  <c r="J33" i="8" s="1"/>
  <c r="HS34" i="8"/>
  <c r="I36" i="7"/>
  <c r="GF35" i="5"/>
  <c r="HW36" i="7"/>
  <c r="J36" i="7" s="1"/>
  <c r="HN34" i="8"/>
  <c r="HP34" i="8" s="1"/>
  <c r="GC34" i="8"/>
  <c r="HS37" i="10"/>
  <c r="HV37" i="10" s="1"/>
  <c r="I37" i="10" s="1"/>
  <c r="HW36" i="10"/>
  <c r="J36" i="10" s="1"/>
  <c r="HT38" i="10"/>
  <c r="HU38" i="10" s="1"/>
  <c r="GC39" i="10"/>
  <c r="HN39" i="10"/>
  <c r="HP39" i="10" s="1"/>
  <c r="I36" i="10"/>
  <c r="HN33" i="9"/>
  <c r="HP33" i="9" s="1"/>
  <c r="GC33" i="9"/>
  <c r="FR30" i="8"/>
  <c r="FS30" i="8" s="1"/>
  <c r="CQ30" i="8"/>
  <c r="CU31" i="8" s="1"/>
  <c r="HN38" i="7"/>
  <c r="HP38" i="7" s="1"/>
  <c r="GC39" i="7"/>
  <c r="HN39" i="7"/>
  <c r="HP39" i="7" s="1"/>
  <c r="FO35" i="12"/>
  <c r="FL36" i="12"/>
  <c r="FN36" i="12" s="1"/>
  <c r="CQ36" i="12"/>
  <c r="FM37" i="12" s="1"/>
  <c r="CU34" i="10"/>
  <c r="CP34" i="10" s="1"/>
  <c r="CS34" i="10"/>
  <c r="DS34" i="10" s="1"/>
  <c r="FT32" i="10"/>
  <c r="FL33" i="10"/>
  <c r="FN33" i="10" s="1"/>
  <c r="G29" i="8"/>
  <c r="FQ30" i="8"/>
  <c r="FU29" i="8"/>
  <c r="H29" i="8" s="1"/>
  <c r="FT34" i="12" l="1"/>
  <c r="G34" i="12" s="1"/>
  <c r="G33" i="12"/>
  <c r="FU33" i="12"/>
  <c r="H33" i="12" s="1"/>
  <c r="HQ33" i="12"/>
  <c r="FS35" i="12"/>
  <c r="FL33" i="5"/>
  <c r="FN33" i="5" s="1"/>
  <c r="FO33" i="5" s="1"/>
  <c r="G31" i="11"/>
  <c r="FQ32" i="11"/>
  <c r="FU31" i="11"/>
  <c r="H31" i="11" s="1"/>
  <c r="CQ32" i="11"/>
  <c r="FL32" i="11"/>
  <c r="FN32" i="11" s="1"/>
  <c r="HS32" i="11"/>
  <c r="HW31" i="11"/>
  <c r="J31" i="11" s="1"/>
  <c r="GC32" i="11"/>
  <c r="HN32" i="11"/>
  <c r="HP32" i="11" s="1"/>
  <c r="HN34" i="12"/>
  <c r="HP34" i="12" s="1"/>
  <c r="HT34" i="12" s="1"/>
  <c r="HU34" i="12" s="1"/>
  <c r="GC34" i="12"/>
  <c r="GE35" i="12" s="1"/>
  <c r="HE35" i="12" s="1"/>
  <c r="CQ32" i="7"/>
  <c r="CS33" i="7" s="1"/>
  <c r="DS33" i="7" s="1"/>
  <c r="HV33" i="12"/>
  <c r="FO32" i="7"/>
  <c r="FR32" i="7"/>
  <c r="FS32" i="7" s="1"/>
  <c r="HT38" i="7"/>
  <c r="HU38" i="7" s="1"/>
  <c r="GE32" i="5"/>
  <c r="HE32" i="5" s="1"/>
  <c r="GG32" i="5"/>
  <c r="HQ31" i="5"/>
  <c r="HT31" i="5"/>
  <c r="HU31" i="5" s="1"/>
  <c r="HW32" i="9"/>
  <c r="J32" i="9" s="1"/>
  <c r="HV37" i="7"/>
  <c r="I37" i="7" s="1"/>
  <c r="GG33" i="6"/>
  <c r="GB33" i="6" s="1"/>
  <c r="GE33" i="6"/>
  <c r="HE33" i="6" s="1"/>
  <c r="HQ32" i="6"/>
  <c r="HT32" i="6"/>
  <c r="HU32" i="6" s="1"/>
  <c r="FT34" i="6"/>
  <c r="FQ35" i="6" s="1"/>
  <c r="CU36" i="6"/>
  <c r="CP36" i="6" s="1"/>
  <c r="CS36" i="6"/>
  <c r="DS36" i="6" s="1"/>
  <c r="FO35" i="6"/>
  <c r="FR35" i="6"/>
  <c r="I32" i="9"/>
  <c r="FU36" i="9"/>
  <c r="ED37" i="9" s="1"/>
  <c r="EJ37" i="9" s="1"/>
  <c r="G36" i="9"/>
  <c r="G31" i="7"/>
  <c r="FU31" i="7"/>
  <c r="H31" i="7" s="1"/>
  <c r="CU34" i="5"/>
  <c r="CP34" i="5" s="1"/>
  <c r="CS34" i="5"/>
  <c r="DS34" i="5" s="1"/>
  <c r="FQ33" i="5"/>
  <c r="FU32" i="5"/>
  <c r="H32" i="5" s="1"/>
  <c r="G32" i="5"/>
  <c r="HT34" i="8"/>
  <c r="HU34" i="8" s="1"/>
  <c r="HQ34" i="8"/>
  <c r="GE35" i="8"/>
  <c r="GG35" i="8"/>
  <c r="GB35" i="8" s="1"/>
  <c r="GC35" i="8" s="1"/>
  <c r="HQ38" i="10"/>
  <c r="HT39" i="10" s="1"/>
  <c r="HU39" i="10" s="1"/>
  <c r="GE40" i="10"/>
  <c r="HE40" i="10" s="1"/>
  <c r="GG40" i="10"/>
  <c r="GB40" i="10" s="1"/>
  <c r="HW37" i="10"/>
  <c r="J37" i="10" s="1"/>
  <c r="HS38" i="10"/>
  <c r="HV38" i="10" s="1"/>
  <c r="FL34" i="10"/>
  <c r="FN34" i="10" s="1"/>
  <c r="GG34" i="9"/>
  <c r="GE34" i="9"/>
  <c r="HT33" i="9"/>
  <c r="HU33" i="9" s="1"/>
  <c r="HQ33" i="9"/>
  <c r="CS31" i="8"/>
  <c r="DS31" i="8" s="1"/>
  <c r="FT30" i="8"/>
  <c r="G30" i="8" s="1"/>
  <c r="HQ38" i="7"/>
  <c r="HT39" i="7" s="1"/>
  <c r="GG40" i="7"/>
  <c r="GB40" i="7" s="1"/>
  <c r="GC40" i="7" s="1"/>
  <c r="GE40" i="7"/>
  <c r="HE40" i="7" s="1"/>
  <c r="FO36" i="12"/>
  <c r="FR36" i="12"/>
  <c r="FR33" i="10"/>
  <c r="FS33" i="10" s="1"/>
  <c r="FO33" i="10"/>
  <c r="FQ33" i="10"/>
  <c r="FU32" i="10"/>
  <c r="H32" i="10" s="1"/>
  <c r="CQ34" i="10"/>
  <c r="G32" i="10"/>
  <c r="FS36" i="12" l="1"/>
  <c r="FU34" i="12"/>
  <c r="H34" i="12" s="1"/>
  <c r="FQ35" i="12"/>
  <c r="FT35" i="12" s="1"/>
  <c r="FU35" i="12" s="1"/>
  <c r="H35" i="12" s="1"/>
  <c r="I33" i="12"/>
  <c r="FR33" i="5"/>
  <c r="FO32" i="11"/>
  <c r="FR32" i="11"/>
  <c r="CS33" i="11"/>
  <c r="DS33" i="11" s="1"/>
  <c r="CU33" i="11"/>
  <c r="CP33" i="11" s="1"/>
  <c r="CQ33" i="11" s="1"/>
  <c r="HQ34" i="12"/>
  <c r="HT32" i="11"/>
  <c r="HU32" i="11" s="1"/>
  <c r="HQ32" i="11"/>
  <c r="GE33" i="11"/>
  <c r="HE33" i="11" s="1"/>
  <c r="GG33" i="11"/>
  <c r="GB33" i="11" s="1"/>
  <c r="GG35" i="12"/>
  <c r="GB35" i="12" s="1"/>
  <c r="HN35" i="12" s="1"/>
  <c r="HP35" i="12" s="1"/>
  <c r="CU33" i="7"/>
  <c r="CP33" i="7" s="1"/>
  <c r="CQ33" i="7" s="1"/>
  <c r="CU34" i="7" s="1"/>
  <c r="CP34" i="7" s="1"/>
  <c r="CQ34" i="7" s="1"/>
  <c r="CU35" i="7" s="1"/>
  <c r="CP35" i="7" s="1"/>
  <c r="CQ35" i="7" s="1"/>
  <c r="HV31" i="5"/>
  <c r="HW31" i="5" s="1"/>
  <c r="J31" i="5" s="1"/>
  <c r="FT32" i="7"/>
  <c r="FU32" i="7" s="1"/>
  <c r="H32" i="7" s="1"/>
  <c r="HS34" i="12"/>
  <c r="HV34" i="12" s="1"/>
  <c r="HW33" i="12"/>
  <c r="J33" i="12" s="1"/>
  <c r="GB32" i="5"/>
  <c r="GC32" i="5" s="1"/>
  <c r="GE33" i="5" s="1"/>
  <c r="HE33" i="5" s="1"/>
  <c r="HS38" i="7"/>
  <c r="HV38" i="7" s="1"/>
  <c r="HW38" i="7" s="1"/>
  <c r="J38" i="7" s="1"/>
  <c r="HV32" i="6"/>
  <c r="I32" i="6" s="1"/>
  <c r="HW37" i="7"/>
  <c r="J37" i="7" s="1"/>
  <c r="G34" i="6"/>
  <c r="FU34" i="6"/>
  <c r="H34" i="6" s="1"/>
  <c r="HU39" i="7"/>
  <c r="HN33" i="6"/>
  <c r="HP33" i="6" s="1"/>
  <c r="GC33" i="6"/>
  <c r="EG37" i="9"/>
  <c r="EH37" i="9" s="1"/>
  <c r="EJ38" i="9" s="1"/>
  <c r="HN40" i="10"/>
  <c r="HP40" i="10" s="1"/>
  <c r="FL36" i="6"/>
  <c r="FN36" i="6" s="1"/>
  <c r="HV34" i="8"/>
  <c r="I34" i="8" s="1"/>
  <c r="H36" i="9"/>
  <c r="FS35" i="6"/>
  <c r="FT35" i="6"/>
  <c r="CQ36" i="6"/>
  <c r="FM37" i="6" s="1"/>
  <c r="FL34" i="5"/>
  <c r="FN34" i="5" s="1"/>
  <c r="CQ34" i="5"/>
  <c r="FO34" i="10"/>
  <c r="FS33" i="5"/>
  <c r="FT33" i="5"/>
  <c r="GG36" i="8"/>
  <c r="GE36" i="8"/>
  <c r="HE36" i="8" s="1"/>
  <c r="HE35" i="8"/>
  <c r="HN35" i="8" s="1"/>
  <c r="HP35" i="8" s="1"/>
  <c r="GF35" i="8"/>
  <c r="HE34" i="9"/>
  <c r="GF34" i="9"/>
  <c r="GB34" i="9"/>
  <c r="GC34" i="9" s="1"/>
  <c r="GF35" i="6"/>
  <c r="GC40" i="10"/>
  <c r="GG41" i="10" s="1"/>
  <c r="GB41" i="10" s="1"/>
  <c r="HW38" i="10"/>
  <c r="J38" i="10" s="1"/>
  <c r="HS39" i="10"/>
  <c r="HV39" i="10" s="1"/>
  <c r="I38" i="10"/>
  <c r="HQ39" i="10"/>
  <c r="CP31" i="8"/>
  <c r="CQ31" i="8" s="1"/>
  <c r="HV33" i="9"/>
  <c r="FU30" i="8"/>
  <c r="H30" i="8" s="1"/>
  <c r="FQ31" i="8"/>
  <c r="HQ39" i="7"/>
  <c r="GG41" i="7"/>
  <c r="GB41" i="7" s="1"/>
  <c r="GC41" i="7" s="1"/>
  <c r="GE41" i="7"/>
  <c r="HE41" i="7" s="1"/>
  <c r="HN40" i="7"/>
  <c r="HP40" i="7" s="1"/>
  <c r="FT33" i="10"/>
  <c r="G33" i="10" s="1"/>
  <c r="FR34" i="10"/>
  <c r="FS34" i="10" s="1"/>
  <c r="CU35" i="10"/>
  <c r="CP35" i="10" s="1"/>
  <c r="CQ35" i="10" s="1"/>
  <c r="CS35" i="10"/>
  <c r="DS35" i="10" s="1"/>
  <c r="FQ36" i="12" l="1"/>
  <c r="FT36" i="12" s="1"/>
  <c r="G36" i="12" s="1"/>
  <c r="G35" i="12"/>
  <c r="FL33" i="11"/>
  <c r="FN33" i="11" s="1"/>
  <c r="FR33" i="11" s="1"/>
  <c r="CS34" i="7"/>
  <c r="DS34" i="7" s="1"/>
  <c r="FL33" i="7"/>
  <c r="FN33" i="7" s="1"/>
  <c r="FR33" i="7" s="1"/>
  <c r="FS33" i="7" s="1"/>
  <c r="CS34" i="11"/>
  <c r="DS34" i="11" s="1"/>
  <c r="CU34" i="11"/>
  <c r="CP34" i="11" s="1"/>
  <c r="HS32" i="5"/>
  <c r="FS32" i="11"/>
  <c r="FT32" i="11"/>
  <c r="GC35" i="12"/>
  <c r="GG36" i="12" s="1"/>
  <c r="GB36" i="12" s="1"/>
  <c r="GC36" i="12" s="1"/>
  <c r="I31" i="5"/>
  <c r="GC33" i="11"/>
  <c r="HN33" i="11"/>
  <c r="HP33" i="11" s="1"/>
  <c r="HV32" i="11"/>
  <c r="CS35" i="7"/>
  <c r="DS35" i="7" s="1"/>
  <c r="FQ33" i="7"/>
  <c r="G32" i="7"/>
  <c r="I38" i="7"/>
  <c r="HN32" i="5"/>
  <c r="HP32" i="5" s="1"/>
  <c r="HT32" i="5" s="1"/>
  <c r="HU32" i="5" s="1"/>
  <c r="GG33" i="5"/>
  <c r="GB33" i="5" s="1"/>
  <c r="GC33" i="5" s="1"/>
  <c r="GG34" i="5" s="1"/>
  <c r="GB34" i="5" s="1"/>
  <c r="HQ35" i="12"/>
  <c r="HT35" i="12"/>
  <c r="HU35" i="12" s="1"/>
  <c r="I34" i="12"/>
  <c r="HS35" i="12"/>
  <c r="HW34" i="12"/>
  <c r="J34" i="12" s="1"/>
  <c r="HS39" i="7"/>
  <c r="HV39" i="7" s="1"/>
  <c r="HS40" i="7" s="1"/>
  <c r="HS33" i="6"/>
  <c r="HW32" i="6"/>
  <c r="J32" i="6" s="1"/>
  <c r="HT40" i="10"/>
  <c r="HU40" i="10" s="1"/>
  <c r="GE41" i="10"/>
  <c r="HE41" i="10" s="1"/>
  <c r="HS35" i="8"/>
  <c r="HW34" i="8"/>
  <c r="J34" i="8" s="1"/>
  <c r="GG34" i="6"/>
  <c r="GB34" i="6" s="1"/>
  <c r="GE34" i="6"/>
  <c r="HE34" i="6" s="1"/>
  <c r="HT33" i="6"/>
  <c r="HU33" i="6" s="1"/>
  <c r="HQ33" i="6"/>
  <c r="I39" i="10"/>
  <c r="G35" i="6"/>
  <c r="FQ36" i="6"/>
  <c r="FU35" i="6"/>
  <c r="H35" i="6" s="1"/>
  <c r="FR36" i="6"/>
  <c r="FS36" i="6" s="1"/>
  <c r="FO36" i="6"/>
  <c r="CU32" i="8"/>
  <c r="CS32" i="8"/>
  <c r="DS32" i="8" s="1"/>
  <c r="FL31" i="8"/>
  <c r="FN31" i="8" s="1"/>
  <c r="FR31" i="8" s="1"/>
  <c r="FS31" i="8" s="1"/>
  <c r="EL37" i="9"/>
  <c r="EE37" i="9" s="1"/>
  <c r="FL37" i="9"/>
  <c r="FN37" i="9" s="1"/>
  <c r="G33" i="5"/>
  <c r="FQ34" i="5"/>
  <c r="FU33" i="5"/>
  <c r="H33" i="5" s="1"/>
  <c r="CU35" i="5"/>
  <c r="CP35" i="5" s="1"/>
  <c r="CS35" i="5"/>
  <c r="DS35" i="5" s="1"/>
  <c r="FR34" i="5"/>
  <c r="FS34" i="5" s="1"/>
  <c r="FO34" i="5"/>
  <c r="HN34" i="9"/>
  <c r="HP34" i="9" s="1"/>
  <c r="HQ34" i="9" s="1"/>
  <c r="HQ35" i="8"/>
  <c r="HT35" i="8"/>
  <c r="HU35" i="8" s="1"/>
  <c r="GB36" i="8"/>
  <c r="HS40" i="10"/>
  <c r="HW39" i="10"/>
  <c r="J39" i="10" s="1"/>
  <c r="HQ40" i="10"/>
  <c r="GC41" i="10"/>
  <c r="HS34" i="9"/>
  <c r="HW33" i="9"/>
  <c r="J33" i="9" s="1"/>
  <c r="GG35" i="9"/>
  <c r="GE35" i="9"/>
  <c r="HE35" i="9" s="1"/>
  <c r="I33" i="9"/>
  <c r="GG42" i="7"/>
  <c r="GB42" i="7" s="1"/>
  <c r="GC42" i="7" s="1"/>
  <c r="GE42" i="7"/>
  <c r="HE42" i="7" s="1"/>
  <c r="HT40" i="7"/>
  <c r="HU40" i="7" s="1"/>
  <c r="HQ40" i="7"/>
  <c r="HN41" i="7"/>
  <c r="HP41" i="7" s="1"/>
  <c r="CS36" i="7"/>
  <c r="DS36" i="7" s="1"/>
  <c r="CU36" i="7"/>
  <c r="CP36" i="7" s="1"/>
  <c r="CQ36" i="7" s="1"/>
  <c r="FM37" i="7" s="1"/>
  <c r="FL35" i="10"/>
  <c r="FN35" i="10" s="1"/>
  <c r="CU36" i="10"/>
  <c r="CP36" i="10" s="1"/>
  <c r="CQ36" i="10" s="1"/>
  <c r="FM37" i="10" s="1"/>
  <c r="CS36" i="10"/>
  <c r="DS36" i="10" s="1"/>
  <c r="FU33" i="10"/>
  <c r="H33" i="10" s="1"/>
  <c r="FQ34" i="10"/>
  <c r="FT34" i="10" s="1"/>
  <c r="FQ37" i="12" l="1"/>
  <c r="FU36" i="12"/>
  <c r="ED37" i="12" s="1"/>
  <c r="FO33" i="11"/>
  <c r="FL34" i="7"/>
  <c r="FN34" i="7" s="1"/>
  <c r="FT33" i="7"/>
  <c r="FU33" i="7" s="1"/>
  <c r="FO33" i="7"/>
  <c r="FL35" i="7"/>
  <c r="FN35" i="7" s="1"/>
  <c r="GE36" i="12"/>
  <c r="HE36" i="12" s="1"/>
  <c r="FS33" i="11"/>
  <c r="FU32" i="11"/>
  <c r="H32" i="11" s="1"/>
  <c r="G32" i="11"/>
  <c r="FQ33" i="11"/>
  <c r="FT33" i="11" s="1"/>
  <c r="FL34" i="11"/>
  <c r="FN34" i="11" s="1"/>
  <c r="CQ34" i="11"/>
  <c r="HS33" i="11"/>
  <c r="HW32" i="11"/>
  <c r="J32" i="11" s="1"/>
  <c r="I32" i="11"/>
  <c r="HT33" i="11"/>
  <c r="HU33" i="11" s="1"/>
  <c r="HQ33" i="11"/>
  <c r="GG34" i="11"/>
  <c r="GB34" i="11" s="1"/>
  <c r="GE34" i="11"/>
  <c r="HE34" i="11" s="1"/>
  <c r="I39" i="7"/>
  <c r="HW39" i="7"/>
  <c r="J39" i="7" s="1"/>
  <c r="HN33" i="5"/>
  <c r="HP33" i="5" s="1"/>
  <c r="GE34" i="5"/>
  <c r="HE34" i="5" s="1"/>
  <c r="HV32" i="5"/>
  <c r="HS33" i="5" s="1"/>
  <c r="HV40" i="10"/>
  <c r="HS41" i="10" s="1"/>
  <c r="HQ32" i="5"/>
  <c r="HV35" i="12"/>
  <c r="I35" i="12" s="1"/>
  <c r="GE37" i="12"/>
  <c r="HE37" i="12" s="1"/>
  <c r="GG37" i="12"/>
  <c r="GB37" i="12" s="1"/>
  <c r="FO31" i="8"/>
  <c r="HN41" i="10"/>
  <c r="HP41" i="10" s="1"/>
  <c r="HT41" i="10" s="1"/>
  <c r="HU41" i="10" s="1"/>
  <c r="GC34" i="5"/>
  <c r="FT36" i="6"/>
  <c r="G36" i="6" s="1"/>
  <c r="GC34" i="6"/>
  <c r="HN34" i="6"/>
  <c r="HP34" i="6" s="1"/>
  <c r="HT34" i="9"/>
  <c r="HU34" i="9" s="1"/>
  <c r="HV33" i="6"/>
  <c r="HV40" i="7"/>
  <c r="HS41" i="7" s="1"/>
  <c r="FT31" i="8"/>
  <c r="FU31" i="8" s="1"/>
  <c r="FO37" i="9"/>
  <c r="FR37" i="9"/>
  <c r="FS37" i="9" s="1"/>
  <c r="FT37" i="9"/>
  <c r="EG37" i="12"/>
  <c r="EH37" i="12" s="1"/>
  <c r="EJ37" i="12"/>
  <c r="EI38" i="9"/>
  <c r="EI39" i="9" s="1"/>
  <c r="EI40" i="9" s="1"/>
  <c r="EI41" i="9" s="1"/>
  <c r="EI42" i="9" s="1"/>
  <c r="EI43" i="9" s="1"/>
  <c r="EI44" i="9" s="1"/>
  <c r="EI45" i="9" s="1"/>
  <c r="EI46" i="9" s="1"/>
  <c r="EI47" i="9" s="1"/>
  <c r="EI48" i="9" s="1"/>
  <c r="EI49" i="9" s="1"/>
  <c r="EI50" i="9" s="1"/>
  <c r="EI51" i="9" s="1"/>
  <c r="EI52" i="9" s="1"/>
  <c r="EK37" i="9"/>
  <c r="FL35" i="5"/>
  <c r="FN35" i="5" s="1"/>
  <c r="CP32" i="8"/>
  <c r="FT34" i="5"/>
  <c r="CQ35" i="5"/>
  <c r="HV35" i="8"/>
  <c r="I35" i="8" s="1"/>
  <c r="HN36" i="8"/>
  <c r="HP36" i="8" s="1"/>
  <c r="GC36" i="8"/>
  <c r="GF35" i="9"/>
  <c r="GB35" i="9"/>
  <c r="HN35" i="9" s="1"/>
  <c r="HP35" i="9" s="1"/>
  <c r="GG42" i="10"/>
  <c r="GB42" i="10" s="1"/>
  <c r="GE42" i="10"/>
  <c r="HE42" i="10" s="1"/>
  <c r="EL38" i="9"/>
  <c r="EG38" i="9" s="1"/>
  <c r="EH38" i="9" s="1"/>
  <c r="GE43" i="7"/>
  <c r="HE43" i="7" s="1"/>
  <c r="GG43" i="7"/>
  <c r="GB43" i="7" s="1"/>
  <c r="HN42" i="7"/>
  <c r="HP42" i="7" s="1"/>
  <c r="FL36" i="7"/>
  <c r="FN36" i="7" s="1"/>
  <c r="HT41" i="7"/>
  <c r="HU41" i="7" s="1"/>
  <c r="FO35" i="10"/>
  <c r="FR35" i="10"/>
  <c r="FS35" i="10" s="1"/>
  <c r="FL36" i="10"/>
  <c r="FN36" i="10" s="1"/>
  <c r="FU34" i="10"/>
  <c r="H34" i="10" s="1"/>
  <c r="FQ35" i="10"/>
  <c r="G34" i="10"/>
  <c r="H36" i="12" l="1"/>
  <c r="H33" i="7"/>
  <c r="G33" i="7"/>
  <c r="FO34" i="7"/>
  <c r="FO35" i="7" s="1"/>
  <c r="FR34" i="7"/>
  <c r="FS34" i="7" s="1"/>
  <c r="FQ34" i="7"/>
  <c r="HN36" i="12"/>
  <c r="HP36" i="12" s="1"/>
  <c r="HT36" i="12" s="1"/>
  <c r="HU36" i="12" s="1"/>
  <c r="CS35" i="11"/>
  <c r="DS35" i="11" s="1"/>
  <c r="CU35" i="11"/>
  <c r="CP35" i="11" s="1"/>
  <c r="FR34" i="11"/>
  <c r="FS34" i="11" s="1"/>
  <c r="FO34" i="11"/>
  <c r="FU33" i="11"/>
  <c r="H33" i="11" s="1"/>
  <c r="G33" i="11"/>
  <c r="FQ34" i="11"/>
  <c r="HV33" i="11"/>
  <c r="HW33" i="11" s="1"/>
  <c r="J33" i="11" s="1"/>
  <c r="HN34" i="5"/>
  <c r="HP34" i="5" s="1"/>
  <c r="HN34" i="11"/>
  <c r="HP34" i="11" s="1"/>
  <c r="HT34" i="11" s="1"/>
  <c r="HU34" i="11" s="1"/>
  <c r="GC34" i="11"/>
  <c r="GG35" i="11" s="1"/>
  <c r="GB35" i="11" s="1"/>
  <c r="I40" i="10"/>
  <c r="HW32" i="5"/>
  <c r="J32" i="5" s="1"/>
  <c r="H31" i="8"/>
  <c r="HS36" i="12"/>
  <c r="HW35" i="12"/>
  <c r="J35" i="12" s="1"/>
  <c r="HQ33" i="5"/>
  <c r="I32" i="5"/>
  <c r="HT33" i="5"/>
  <c r="HU33" i="5" s="1"/>
  <c r="HW40" i="10"/>
  <c r="J40" i="10" s="1"/>
  <c r="HN37" i="12"/>
  <c r="HP37" i="12" s="1"/>
  <c r="GC37" i="12"/>
  <c r="HV41" i="7"/>
  <c r="HS42" i="7" s="1"/>
  <c r="FR35" i="7"/>
  <c r="HQ41" i="10"/>
  <c r="HV41" i="10"/>
  <c r="HS42" i="10" s="1"/>
  <c r="G31" i="8"/>
  <c r="GE35" i="5"/>
  <c r="HE35" i="5" s="1"/>
  <c r="GG35" i="5"/>
  <c r="GB35" i="5" s="1"/>
  <c r="GC35" i="5" s="1"/>
  <c r="GE36" i="5" s="1"/>
  <c r="HE36" i="5" s="1"/>
  <c r="FU36" i="6"/>
  <c r="ED37" i="6" s="1"/>
  <c r="FQ37" i="6"/>
  <c r="HQ41" i="7"/>
  <c r="I40" i="7"/>
  <c r="HW40" i="7"/>
  <c r="J40" i="7" s="1"/>
  <c r="I33" i="6"/>
  <c r="HS34" i="6"/>
  <c r="HW33" i="6"/>
  <c r="J33" i="6" s="1"/>
  <c r="HV34" i="9"/>
  <c r="HT34" i="6"/>
  <c r="HU34" i="6" s="1"/>
  <c r="HQ34" i="6"/>
  <c r="GG35" i="6"/>
  <c r="GB35" i="6" s="1"/>
  <c r="GE35" i="6"/>
  <c r="HE35" i="6" s="1"/>
  <c r="FQ32" i="8"/>
  <c r="FQ38" i="9"/>
  <c r="FU37" i="9"/>
  <c r="H37" i="9" s="1"/>
  <c r="EJ38" i="12"/>
  <c r="EJ39" i="9"/>
  <c r="CQ32" i="8"/>
  <c r="FL32" i="8"/>
  <c r="FN32" i="8" s="1"/>
  <c r="CS36" i="5"/>
  <c r="DS36" i="5" s="1"/>
  <c r="CU36" i="5"/>
  <c r="CP36" i="5" s="1"/>
  <c r="CQ36" i="5" s="1"/>
  <c r="FM37" i="5" s="1"/>
  <c r="FU34" i="5"/>
  <c r="H34" i="5" s="1"/>
  <c r="FQ35" i="5"/>
  <c r="G34" i="5"/>
  <c r="G37" i="9"/>
  <c r="FO35" i="5"/>
  <c r="FR35" i="5"/>
  <c r="FS35" i="5" s="1"/>
  <c r="HW35" i="8"/>
  <c r="J35" i="8" s="1"/>
  <c r="HS36" i="8"/>
  <c r="GG37" i="8"/>
  <c r="GB37" i="8" s="1"/>
  <c r="GC37" i="8" s="1"/>
  <c r="GE37" i="8"/>
  <c r="HE37" i="8" s="1"/>
  <c r="HN42" i="10"/>
  <c r="HP42" i="10" s="1"/>
  <c r="GC35" i="9"/>
  <c r="GE36" i="9" s="1"/>
  <c r="HE36" i="9" s="1"/>
  <c r="HT36" i="8"/>
  <c r="HU36" i="8" s="1"/>
  <c r="HQ36" i="8"/>
  <c r="GC42" i="10"/>
  <c r="GG43" i="10" s="1"/>
  <c r="GB43" i="10" s="1"/>
  <c r="HN43" i="7"/>
  <c r="HP43" i="7" s="1"/>
  <c r="FT35" i="10"/>
  <c r="FU35" i="10" s="1"/>
  <c r="H35" i="10" s="1"/>
  <c r="HQ35" i="9"/>
  <c r="HT35" i="9"/>
  <c r="HU35" i="9" s="1"/>
  <c r="GC43" i="7"/>
  <c r="GE44" i="7" s="1"/>
  <c r="HE44" i="7" s="1"/>
  <c r="FR36" i="10"/>
  <c r="FS36" i="10" s="1"/>
  <c r="FO36" i="10"/>
  <c r="FR36" i="7" l="1"/>
  <c r="FO36" i="7"/>
  <c r="FS35" i="7"/>
  <c r="FT34" i="7"/>
  <c r="G34" i="7" s="1"/>
  <c r="HQ36" i="12"/>
  <c r="HQ37" i="12" s="1"/>
  <c r="GE35" i="11"/>
  <c r="HE35" i="11" s="1"/>
  <c r="FT34" i="11"/>
  <c r="FU34" i="11" s="1"/>
  <c r="H34" i="11" s="1"/>
  <c r="HT37" i="12"/>
  <c r="HU37" i="12" s="1"/>
  <c r="HQ34" i="5"/>
  <c r="HQ34" i="11"/>
  <c r="I33" i="11"/>
  <c r="CQ35" i="11"/>
  <c r="FL35" i="11"/>
  <c r="FN35" i="11" s="1"/>
  <c r="HS34" i="11"/>
  <c r="HV34" i="11" s="1"/>
  <c r="HW34" i="11" s="1"/>
  <c r="GC35" i="11"/>
  <c r="GE36" i="11" s="1"/>
  <c r="HE36" i="11" s="1"/>
  <c r="HT34" i="5"/>
  <c r="HU34" i="5" s="1"/>
  <c r="HV33" i="5"/>
  <c r="HS34" i="5" s="1"/>
  <c r="HW41" i="7"/>
  <c r="J41" i="7" s="1"/>
  <c r="HV36" i="12"/>
  <c r="HW36" i="12" s="1"/>
  <c r="I41" i="7"/>
  <c r="I41" i="10"/>
  <c r="GE38" i="12"/>
  <c r="HE38" i="12" s="1"/>
  <c r="GG38" i="12"/>
  <c r="GB38" i="12" s="1"/>
  <c r="HT42" i="7"/>
  <c r="HU42" i="7" s="1"/>
  <c r="HN35" i="5"/>
  <c r="HP35" i="5" s="1"/>
  <c r="HW41" i="10"/>
  <c r="J41" i="10" s="1"/>
  <c r="H36" i="6"/>
  <c r="GG36" i="5"/>
  <c r="GB36" i="5" s="1"/>
  <c r="GC36" i="5" s="1"/>
  <c r="HQ42" i="7"/>
  <c r="HT43" i="7" s="1"/>
  <c r="GC35" i="6"/>
  <c r="HN35" i="6"/>
  <c r="HP35" i="6" s="1"/>
  <c r="HV34" i="6"/>
  <c r="HS35" i="9"/>
  <c r="HV35" i="9" s="1"/>
  <c r="HS36" i="9" s="1"/>
  <c r="I34" i="9"/>
  <c r="HW34" i="9"/>
  <c r="J34" i="9" s="1"/>
  <c r="EG37" i="6"/>
  <c r="EJ37" i="6"/>
  <c r="FR37" i="6"/>
  <c r="FS37" i="6" s="1"/>
  <c r="FT37" i="6"/>
  <c r="FL36" i="5"/>
  <c r="FN36" i="5" s="1"/>
  <c r="FR32" i="8"/>
  <c r="FO32" i="8"/>
  <c r="CS33" i="8"/>
  <c r="DS33" i="8" s="1"/>
  <c r="CU33" i="8"/>
  <c r="CP33" i="8" s="1"/>
  <c r="FT35" i="5"/>
  <c r="G35" i="5" s="1"/>
  <c r="FL38" i="9"/>
  <c r="FN38" i="9" s="1"/>
  <c r="EL37" i="12"/>
  <c r="EE37" i="12" s="1"/>
  <c r="FL37" i="12"/>
  <c r="FN37" i="12" s="1"/>
  <c r="HV36" i="8"/>
  <c r="HW36" i="8" s="1"/>
  <c r="J36" i="8" s="1"/>
  <c r="GG36" i="9"/>
  <c r="GB36" i="9" s="1"/>
  <c r="HQ42" i="10"/>
  <c r="HT42" i="10"/>
  <c r="HU42" i="10" s="1"/>
  <c r="GG38" i="8"/>
  <c r="GB38" i="8" s="1"/>
  <c r="GC38" i="8" s="1"/>
  <c r="GE38" i="8"/>
  <c r="HE38" i="8" s="1"/>
  <c r="GF36" i="9"/>
  <c r="HN37" i="8"/>
  <c r="HP37" i="8" s="1"/>
  <c r="GE43" i="10"/>
  <c r="HE43" i="10" s="1"/>
  <c r="GC43" i="10"/>
  <c r="G35" i="10"/>
  <c r="FQ36" i="10"/>
  <c r="FT36" i="10" s="1"/>
  <c r="GG44" i="7"/>
  <c r="GB44" i="7" s="1"/>
  <c r="GC44" i="7" s="1"/>
  <c r="GG45" i="7" s="1"/>
  <c r="GB45" i="7" s="1"/>
  <c r="FS36" i="7" l="1"/>
  <c r="FQ35" i="7"/>
  <c r="FT35" i="7" s="1"/>
  <c r="FU35" i="7" s="1"/>
  <c r="H35" i="7" s="1"/>
  <c r="FU34" i="7"/>
  <c r="H34" i="7" s="1"/>
  <c r="J36" i="12"/>
  <c r="HN35" i="11"/>
  <c r="HP35" i="11" s="1"/>
  <c r="HT35" i="11" s="1"/>
  <c r="HU35" i="11" s="1"/>
  <c r="G34" i="11"/>
  <c r="FQ35" i="11"/>
  <c r="HQ35" i="5"/>
  <c r="J34" i="11"/>
  <c r="FR35" i="11"/>
  <c r="FS35" i="11" s="1"/>
  <c r="FO35" i="11"/>
  <c r="CU36" i="11"/>
  <c r="CP36" i="11" s="1"/>
  <c r="CS36" i="11"/>
  <c r="DS36" i="11" s="1"/>
  <c r="GG36" i="11"/>
  <c r="GB36" i="11" s="1"/>
  <c r="HS35" i="11"/>
  <c r="I34" i="11"/>
  <c r="HV34" i="5"/>
  <c r="HS35" i="5" s="1"/>
  <c r="I33" i="5"/>
  <c r="HW33" i="5"/>
  <c r="J33" i="5" s="1"/>
  <c r="HU43" i="7"/>
  <c r="I36" i="12"/>
  <c r="HN36" i="5"/>
  <c r="HP36" i="5" s="1"/>
  <c r="HS37" i="12"/>
  <c r="HV37" i="12" s="1"/>
  <c r="HW37" i="12" s="1"/>
  <c r="J37" i="12" s="1"/>
  <c r="HV42" i="7"/>
  <c r="HW42" i="7" s="1"/>
  <c r="J42" i="7" s="1"/>
  <c r="HT35" i="5"/>
  <c r="HU35" i="5" s="1"/>
  <c r="GC38" i="12"/>
  <c r="HN38" i="12"/>
  <c r="HP38" i="12" s="1"/>
  <c r="I35" i="9"/>
  <c r="HV42" i="10"/>
  <c r="HS43" i="10" s="1"/>
  <c r="GE37" i="5"/>
  <c r="HE37" i="5" s="1"/>
  <c r="GG37" i="5"/>
  <c r="GB37" i="5" s="1"/>
  <c r="HS37" i="8"/>
  <c r="HN43" i="10"/>
  <c r="HP43" i="10" s="1"/>
  <c r="HS35" i="6"/>
  <c r="HW34" i="6"/>
  <c r="J34" i="6" s="1"/>
  <c r="I34" i="6"/>
  <c r="HT35" i="6"/>
  <c r="HU35" i="6" s="1"/>
  <c r="HQ35" i="6"/>
  <c r="HW35" i="9"/>
  <c r="J35" i="9" s="1"/>
  <c r="GG36" i="6"/>
  <c r="GB36" i="6" s="1"/>
  <c r="GE36" i="6"/>
  <c r="HE36" i="6" s="1"/>
  <c r="GC36" i="9"/>
  <c r="GE37" i="9" s="1"/>
  <c r="HE37" i="9" s="1"/>
  <c r="HN36" i="9"/>
  <c r="HP36" i="9" s="1"/>
  <c r="HQ36" i="9" s="1"/>
  <c r="EH37" i="6"/>
  <c r="EJ38" i="6" s="1"/>
  <c r="EL37" i="6"/>
  <c r="EE37" i="6" s="1"/>
  <c r="FL37" i="6"/>
  <c r="FN37" i="6" s="1"/>
  <c r="FO37" i="6" s="1"/>
  <c r="FU35" i="5"/>
  <c r="H35" i="5" s="1"/>
  <c r="FQ36" i="5"/>
  <c r="FQ38" i="6"/>
  <c r="FU37" i="6"/>
  <c r="FO37" i="12"/>
  <c r="FR37" i="12"/>
  <c r="FS37" i="12" s="1"/>
  <c r="FT37" i="12"/>
  <c r="EI38" i="12"/>
  <c r="EI39" i="12" s="1"/>
  <c r="EK37" i="12"/>
  <c r="FR36" i="5"/>
  <c r="FS36" i="5" s="1"/>
  <c r="FO36" i="5"/>
  <c r="FL33" i="8"/>
  <c r="FN33" i="8" s="1"/>
  <c r="CQ33" i="8"/>
  <c r="FS32" i="8"/>
  <c r="FT32" i="8"/>
  <c r="FO38" i="9"/>
  <c r="FR38" i="9"/>
  <c r="FS38" i="9" s="1"/>
  <c r="EL39" i="9"/>
  <c r="EG39" i="9" s="1"/>
  <c r="EH39" i="9" s="1"/>
  <c r="I36" i="8"/>
  <c r="GE39" i="8"/>
  <c r="HE39" i="8" s="1"/>
  <c r="GG39" i="8"/>
  <c r="GB39" i="8" s="1"/>
  <c r="GC39" i="8" s="1"/>
  <c r="HN38" i="8"/>
  <c r="HP38" i="8" s="1"/>
  <c r="HT37" i="8"/>
  <c r="HU37" i="8" s="1"/>
  <c r="HQ37" i="8"/>
  <c r="GE44" i="10"/>
  <c r="HE44" i="10" s="1"/>
  <c r="GG44" i="10"/>
  <c r="GB44" i="10" s="1"/>
  <c r="FU36" i="10"/>
  <c r="ED37" i="10" s="1"/>
  <c r="G36" i="10"/>
  <c r="FQ37" i="10"/>
  <c r="GC45" i="7"/>
  <c r="GE46" i="7" s="1"/>
  <c r="HE46" i="7" s="1"/>
  <c r="GE45" i="7"/>
  <c r="HE45" i="7" s="1"/>
  <c r="HN44" i="7"/>
  <c r="HP44" i="7" s="1"/>
  <c r="EL38" i="12"/>
  <c r="EG38" i="12" s="1"/>
  <c r="EH38" i="12" s="1"/>
  <c r="FQ36" i="7" l="1"/>
  <c r="FT36" i="7" s="1"/>
  <c r="FU36" i="7" s="1"/>
  <c r="ED37" i="7" s="1"/>
  <c r="EK37" i="7" s="1"/>
  <c r="G35" i="7"/>
  <c r="GF37" i="9"/>
  <c r="HQ36" i="5"/>
  <c r="HQ35" i="11"/>
  <c r="HW34" i="5"/>
  <c r="J34" i="5" s="1"/>
  <c r="FT35" i="11"/>
  <c r="G35" i="11" s="1"/>
  <c r="I34" i="5"/>
  <c r="GC36" i="11"/>
  <c r="HN36" i="11"/>
  <c r="HP36" i="11" s="1"/>
  <c r="HQ36" i="11" s="1"/>
  <c r="CQ36" i="11"/>
  <c r="FM37" i="11" s="1"/>
  <c r="FL36" i="11"/>
  <c r="FN36" i="11" s="1"/>
  <c r="HV35" i="11"/>
  <c r="HS36" i="11" s="1"/>
  <c r="HQ43" i="7"/>
  <c r="HT44" i="7" s="1"/>
  <c r="HU44" i="7" s="1"/>
  <c r="HT36" i="5"/>
  <c r="HU36" i="5" s="1"/>
  <c r="HV35" i="5"/>
  <c r="I35" i="5" s="1"/>
  <c r="I42" i="7"/>
  <c r="I37" i="12"/>
  <c r="HS38" i="12"/>
  <c r="HV38" i="12" s="1"/>
  <c r="HS43" i="7"/>
  <c r="HV43" i="7" s="1"/>
  <c r="HW43" i="7" s="1"/>
  <c r="HT36" i="9"/>
  <c r="HU36" i="9" s="1"/>
  <c r="HT38" i="12"/>
  <c r="HU38" i="12" s="1"/>
  <c r="HQ38" i="12"/>
  <c r="GE39" i="12"/>
  <c r="HE39" i="12" s="1"/>
  <c r="GG39" i="12"/>
  <c r="GB39" i="12" s="1"/>
  <c r="FT38" i="9"/>
  <c r="FQ39" i="9" s="1"/>
  <c r="HV37" i="8"/>
  <c r="HS38" i="8" s="1"/>
  <c r="HV38" i="8" s="1"/>
  <c r="I42" i="10"/>
  <c r="HN37" i="5"/>
  <c r="HP37" i="5" s="1"/>
  <c r="HQ37" i="5" s="1"/>
  <c r="EK37" i="6"/>
  <c r="H37" i="6" s="1"/>
  <c r="GG37" i="9"/>
  <c r="GB37" i="9" s="1"/>
  <c r="HN37" i="9" s="1"/>
  <c r="HP37" i="9" s="1"/>
  <c r="HT37" i="9" s="1"/>
  <c r="HQ43" i="10"/>
  <c r="HV35" i="6"/>
  <c r="HW35" i="6" s="1"/>
  <c r="J35" i="6" s="1"/>
  <c r="GC37" i="5"/>
  <c r="HW42" i="10"/>
  <c r="J42" i="10" s="1"/>
  <c r="HT43" i="10"/>
  <c r="HU43" i="10" s="1"/>
  <c r="G37" i="12"/>
  <c r="GC36" i="6"/>
  <c r="HN36" i="6"/>
  <c r="HP36" i="6" s="1"/>
  <c r="HT36" i="6" s="1"/>
  <c r="HU36" i="6" s="1"/>
  <c r="HN39" i="8"/>
  <c r="HP39" i="8" s="1"/>
  <c r="EI38" i="6"/>
  <c r="EI39" i="6" s="1"/>
  <c r="EI40" i="6" s="1"/>
  <c r="EI41" i="6" s="1"/>
  <c r="EL38" i="6"/>
  <c r="EG38" i="6" s="1"/>
  <c r="EH38" i="6" s="1"/>
  <c r="FQ38" i="12"/>
  <c r="FU37" i="12"/>
  <c r="H37" i="12" s="1"/>
  <c r="EJ39" i="12"/>
  <c r="EI40" i="12"/>
  <c r="EG37" i="10"/>
  <c r="EH37" i="10" s="1"/>
  <c r="EJ37" i="10"/>
  <c r="EJ40" i="9"/>
  <c r="FT36" i="5"/>
  <c r="FU32" i="8"/>
  <c r="H32" i="8" s="1"/>
  <c r="G32" i="8"/>
  <c r="FQ33" i="8"/>
  <c r="CU34" i="8"/>
  <c r="CP34" i="8" s="1"/>
  <c r="CS34" i="8"/>
  <c r="DS34" i="8" s="1"/>
  <c r="FO33" i="8"/>
  <c r="FR33" i="8"/>
  <c r="H36" i="10"/>
  <c r="GE40" i="8"/>
  <c r="HE40" i="8" s="1"/>
  <c r="GG40" i="8"/>
  <c r="GB40" i="8" s="1"/>
  <c r="HT38" i="8"/>
  <c r="HU38" i="8" s="1"/>
  <c r="GG46" i="7"/>
  <c r="GB46" i="7" s="1"/>
  <c r="GC46" i="7" s="1"/>
  <c r="GC44" i="10"/>
  <c r="HN44" i="10"/>
  <c r="HP44" i="10" s="1"/>
  <c r="HN45" i="7"/>
  <c r="HP45" i="7" s="1"/>
  <c r="FQ37" i="7" l="1"/>
  <c r="G36" i="7"/>
  <c r="EE37" i="7"/>
  <c r="EG37" i="7"/>
  <c r="EH37" i="7" s="1"/>
  <c r="EJ38" i="7" s="1"/>
  <c r="EJ37" i="7"/>
  <c r="H36" i="7"/>
  <c r="I35" i="11"/>
  <c r="FU35" i="11"/>
  <c r="H35" i="11" s="1"/>
  <c r="FQ36" i="11"/>
  <c r="HT36" i="11"/>
  <c r="HU36" i="11" s="1"/>
  <c r="FO36" i="11"/>
  <c r="FR36" i="11"/>
  <c r="FS36" i="11" s="1"/>
  <c r="GG37" i="11"/>
  <c r="GB37" i="11" s="1"/>
  <c r="GC37" i="11" s="1"/>
  <c r="GE37" i="11"/>
  <c r="HE37" i="11" s="1"/>
  <c r="HW35" i="11"/>
  <c r="J35" i="11" s="1"/>
  <c r="J43" i="7"/>
  <c r="HW37" i="8"/>
  <c r="J37" i="8" s="1"/>
  <c r="I37" i="8"/>
  <c r="I43" i="7"/>
  <c r="HW35" i="5"/>
  <c r="J35" i="5" s="1"/>
  <c r="HS36" i="5"/>
  <c r="HV36" i="5" s="1"/>
  <c r="HS37" i="5" s="1"/>
  <c r="HQ38" i="8"/>
  <c r="I38" i="8" s="1"/>
  <c r="HQ44" i="7"/>
  <c r="HV43" i="10"/>
  <c r="HS44" i="10" s="1"/>
  <c r="FU38" i="9"/>
  <c r="H38" i="9" s="1"/>
  <c r="G38" i="9"/>
  <c r="I38" i="12"/>
  <c r="HS44" i="7"/>
  <c r="HV36" i="9"/>
  <c r="HS37" i="9" s="1"/>
  <c r="HU37" i="9"/>
  <c r="HS36" i="6"/>
  <c r="HV36" i="6" s="1"/>
  <c r="GC39" i="12"/>
  <c r="HN39" i="12"/>
  <c r="HP39" i="12" s="1"/>
  <c r="HW38" i="12"/>
  <c r="J38" i="12" s="1"/>
  <c r="HS39" i="12"/>
  <c r="G37" i="6"/>
  <c r="HQ36" i="6"/>
  <c r="HT37" i="5"/>
  <c r="HU37" i="5" s="1"/>
  <c r="I35" i="6"/>
  <c r="HQ37" i="9"/>
  <c r="GC37" i="9"/>
  <c r="GG38" i="5"/>
  <c r="GB38" i="5" s="1"/>
  <c r="GE38" i="5"/>
  <c r="HE38" i="5" s="1"/>
  <c r="HT39" i="8"/>
  <c r="HU39" i="8" s="1"/>
  <c r="HT45" i="7"/>
  <c r="HU45" i="7" s="1"/>
  <c r="HV44" i="7"/>
  <c r="HS45" i="7" s="1"/>
  <c r="GG37" i="6"/>
  <c r="GB37" i="6" s="1"/>
  <c r="GE37" i="6"/>
  <c r="HE37" i="6" s="1"/>
  <c r="EJ39" i="6"/>
  <c r="HN46" i="7"/>
  <c r="HP46" i="7" s="1"/>
  <c r="EI41" i="12"/>
  <c r="EJ38" i="10"/>
  <c r="EI42" i="6"/>
  <c r="FU36" i="5"/>
  <c r="ED37" i="5" s="1"/>
  <c r="FQ37" i="5"/>
  <c r="G36" i="5"/>
  <c r="FS33" i="8"/>
  <c r="FT33" i="8"/>
  <c r="FL34" i="8"/>
  <c r="FN34" i="8" s="1"/>
  <c r="CQ34" i="8"/>
  <c r="FL38" i="6"/>
  <c r="FN38" i="6" s="1"/>
  <c r="EL37" i="7"/>
  <c r="FL37" i="7"/>
  <c r="FN37" i="7" s="1"/>
  <c r="FL38" i="12"/>
  <c r="FN38" i="12" s="1"/>
  <c r="FL39" i="9"/>
  <c r="FN39" i="9" s="1"/>
  <c r="HW38" i="8"/>
  <c r="HS39" i="8"/>
  <c r="GC40" i="8"/>
  <c r="HN40" i="8"/>
  <c r="HP40" i="8" s="1"/>
  <c r="HT44" i="10"/>
  <c r="HU44" i="10" s="1"/>
  <c r="GE45" i="10"/>
  <c r="HE45" i="10" s="1"/>
  <c r="GG45" i="10"/>
  <c r="GB45" i="10" s="1"/>
  <c r="GG47" i="7"/>
  <c r="GB47" i="7" s="1"/>
  <c r="GE47" i="7"/>
  <c r="HE47" i="7" s="1"/>
  <c r="HP5" i="3"/>
  <c r="HP4" i="3"/>
  <c r="HP2" i="3"/>
  <c r="HT2" i="3" s="1"/>
  <c r="HV36" i="11" l="1"/>
  <c r="HS37" i="11" s="1"/>
  <c r="HQ39" i="8"/>
  <c r="J38" i="8"/>
  <c r="FT36" i="11"/>
  <c r="G36" i="11" s="1"/>
  <c r="GG38" i="11"/>
  <c r="GB38" i="11" s="1"/>
  <c r="GC38" i="11" s="1"/>
  <c r="GE38" i="11"/>
  <c r="HE38" i="11" s="1"/>
  <c r="HN37" i="11"/>
  <c r="HP37" i="11" s="1"/>
  <c r="I36" i="5"/>
  <c r="HW36" i="5"/>
  <c r="J36" i="5" s="1"/>
  <c r="HV39" i="8"/>
  <c r="I36" i="9"/>
  <c r="HW43" i="10"/>
  <c r="J43" i="10" s="1"/>
  <c r="HQ44" i="10"/>
  <c r="I43" i="10"/>
  <c r="HV37" i="9"/>
  <c r="HS38" i="9" s="1"/>
  <c r="HV44" i="10"/>
  <c r="HS45" i="10" s="1"/>
  <c r="HW36" i="9"/>
  <c r="J36" i="9" s="1"/>
  <c r="HT39" i="12"/>
  <c r="HU39" i="12" s="1"/>
  <c r="HQ39" i="12"/>
  <c r="GE40" i="12"/>
  <c r="HE40" i="12" s="1"/>
  <c r="GG40" i="12"/>
  <c r="GB40" i="12" s="1"/>
  <c r="HV37" i="5"/>
  <c r="I37" i="5" s="1"/>
  <c r="HQ45" i="7"/>
  <c r="HW44" i="7"/>
  <c r="J44" i="7" s="1"/>
  <c r="HV45" i="7"/>
  <c r="HW45" i="7" s="1"/>
  <c r="GG38" i="9"/>
  <c r="GB38" i="9" s="1"/>
  <c r="GE38" i="9"/>
  <c r="HN38" i="5"/>
  <c r="HP38" i="5" s="1"/>
  <c r="GC38" i="5"/>
  <c r="I44" i="7"/>
  <c r="HW36" i="6"/>
  <c r="J36" i="6" s="1"/>
  <c r="HS37" i="6"/>
  <c r="I36" i="6"/>
  <c r="GC37" i="6"/>
  <c r="HN37" i="6"/>
  <c r="HP37" i="6" s="1"/>
  <c r="FO37" i="7"/>
  <c r="FR37" i="7"/>
  <c r="FS37" i="7" s="1"/>
  <c r="FT37" i="7"/>
  <c r="EI42" i="12"/>
  <c r="EI43" i="6"/>
  <c r="EG37" i="5"/>
  <c r="EH37" i="5" s="1"/>
  <c r="EJ37" i="5"/>
  <c r="H36" i="5"/>
  <c r="CU35" i="8"/>
  <c r="CP35" i="8" s="1"/>
  <c r="CS35" i="8"/>
  <c r="DS35" i="8" s="1"/>
  <c r="FO34" i="8"/>
  <c r="FR34" i="8"/>
  <c r="FQ34" i="8"/>
  <c r="FU33" i="8"/>
  <c r="H33" i="8" s="1"/>
  <c r="G33" i="8"/>
  <c r="EL37" i="10"/>
  <c r="EE37" i="10" s="1"/>
  <c r="FL37" i="10"/>
  <c r="FN37" i="10" s="1"/>
  <c r="FR39" i="9"/>
  <c r="FS39" i="9" s="1"/>
  <c r="FO39" i="9"/>
  <c r="EL40" i="9"/>
  <c r="FO38" i="12"/>
  <c r="FR38" i="12"/>
  <c r="FS38" i="12" s="1"/>
  <c r="EL39" i="12"/>
  <c r="EG39" i="12" s="1"/>
  <c r="EH39" i="12" s="1"/>
  <c r="EI38" i="7"/>
  <c r="FO38" i="6"/>
  <c r="FR38" i="6"/>
  <c r="FS38" i="6" s="1"/>
  <c r="EL39" i="6"/>
  <c r="HT40" i="8"/>
  <c r="HU40" i="8" s="1"/>
  <c r="GE41" i="8"/>
  <c r="HE41" i="8" s="1"/>
  <c r="GG41" i="8"/>
  <c r="GB41" i="8" s="1"/>
  <c r="GC45" i="10"/>
  <c r="HN45" i="10"/>
  <c r="HP45" i="10" s="1"/>
  <c r="EL38" i="7"/>
  <c r="HN47" i="7"/>
  <c r="HP47" i="7" s="1"/>
  <c r="GC47" i="7"/>
  <c r="HQ2" i="3"/>
  <c r="HU2" i="3"/>
  <c r="HP3" i="3"/>
  <c r="HT3" i="3" s="1"/>
  <c r="HE38" i="9" l="1"/>
  <c r="GF38" i="9"/>
  <c r="I39" i="8"/>
  <c r="I36" i="11"/>
  <c r="HW36" i="11"/>
  <c r="J36" i="11" s="1"/>
  <c r="FT39" i="9"/>
  <c r="G39" i="9" s="1"/>
  <c r="FT38" i="6"/>
  <c r="FU38" i="6" s="1"/>
  <c r="H38" i="6" s="1"/>
  <c r="FU36" i="11"/>
  <c r="ED37" i="11" s="1"/>
  <c r="FQ37" i="11"/>
  <c r="HW39" i="8"/>
  <c r="J39" i="8" s="1"/>
  <c r="HQ40" i="8"/>
  <c r="HS40" i="8"/>
  <c r="HV40" i="8" s="1"/>
  <c r="GE39" i="11"/>
  <c r="HE39" i="11" s="1"/>
  <c r="GG39" i="11"/>
  <c r="GB39" i="11" s="1"/>
  <c r="I37" i="9"/>
  <c r="HQ37" i="11"/>
  <c r="HT37" i="11"/>
  <c r="HU37" i="11" s="1"/>
  <c r="HN38" i="11"/>
  <c r="HP38" i="11" s="1"/>
  <c r="HW37" i="9"/>
  <c r="J37" i="9" s="1"/>
  <c r="I44" i="10"/>
  <c r="HW44" i="10"/>
  <c r="J44" i="10" s="1"/>
  <c r="HQ46" i="7"/>
  <c r="I45" i="7"/>
  <c r="HT46" i="7"/>
  <c r="HU46" i="7" s="1"/>
  <c r="J45" i="7"/>
  <c r="HS46" i="7"/>
  <c r="GC40" i="12"/>
  <c r="HN40" i="12"/>
  <c r="HP40" i="12" s="1"/>
  <c r="HS38" i="5"/>
  <c r="HW37" i="5"/>
  <c r="J37" i="5" s="1"/>
  <c r="HV39" i="12"/>
  <c r="FT38" i="12"/>
  <c r="G38" i="12" s="1"/>
  <c r="GC38" i="9"/>
  <c r="HN38" i="9"/>
  <c r="HP38" i="9" s="1"/>
  <c r="HN41" i="8"/>
  <c r="HP41" i="8" s="1"/>
  <c r="GE39" i="5"/>
  <c r="HE39" i="5" s="1"/>
  <c r="GG39" i="5"/>
  <c r="GB39" i="5" s="1"/>
  <c r="GC39" i="5" s="1"/>
  <c r="HT38" i="5"/>
  <c r="HU38" i="5" s="1"/>
  <c r="HQ38" i="5"/>
  <c r="HT37" i="6"/>
  <c r="HU37" i="6" s="1"/>
  <c r="HQ37" i="6"/>
  <c r="GG38" i="6"/>
  <c r="GB38" i="6" s="1"/>
  <c r="GC38" i="6" s="1"/>
  <c r="GE38" i="6"/>
  <c r="HE38" i="6" s="1"/>
  <c r="GC41" i="8"/>
  <c r="GG42" i="8" s="1"/>
  <c r="GB42" i="8" s="1"/>
  <c r="FR37" i="11"/>
  <c r="FS37" i="11" s="1"/>
  <c r="FT37" i="11"/>
  <c r="FQ38" i="7"/>
  <c r="FU37" i="7"/>
  <c r="H37" i="7" s="1"/>
  <c r="FO37" i="10"/>
  <c r="FR37" i="10"/>
  <c r="FS37" i="10" s="1"/>
  <c r="EJ40" i="12"/>
  <c r="EI43" i="12"/>
  <c r="EI38" i="10"/>
  <c r="EI39" i="10" s="1"/>
  <c r="EI40" i="10" s="1"/>
  <c r="EI41" i="10" s="1"/>
  <c r="EI42" i="10" s="1"/>
  <c r="EI43" i="10" s="1"/>
  <c r="EI44" i="10" s="1"/>
  <c r="EI45" i="10" s="1"/>
  <c r="EI46" i="10" s="1"/>
  <c r="EI47" i="10" s="1"/>
  <c r="EI48" i="10" s="1"/>
  <c r="EI49" i="10" s="1"/>
  <c r="EI50" i="10" s="1"/>
  <c r="EI51" i="10" s="1"/>
  <c r="EI52" i="10" s="1"/>
  <c r="EK37" i="10"/>
  <c r="EG40" i="9"/>
  <c r="EH40" i="9" s="1"/>
  <c r="EG39" i="6"/>
  <c r="EH39" i="6" s="1"/>
  <c r="EI44" i="6"/>
  <c r="EJ38" i="5"/>
  <c r="FS34" i="8"/>
  <c r="FT34" i="8"/>
  <c r="CQ35" i="8"/>
  <c r="FL35" i="8"/>
  <c r="FN35" i="8" s="1"/>
  <c r="G37" i="7"/>
  <c r="FL39" i="12"/>
  <c r="FN39" i="12" s="1"/>
  <c r="EG38" i="7"/>
  <c r="EN38" i="5"/>
  <c r="EP38" i="5" s="1"/>
  <c r="HV45" i="10"/>
  <c r="HQ45" i="10"/>
  <c r="HT45" i="10"/>
  <c r="HU45" i="10" s="1"/>
  <c r="GG46" i="10"/>
  <c r="GB46" i="10" s="1"/>
  <c r="GE46" i="10"/>
  <c r="HE46" i="10" s="1"/>
  <c r="EI39" i="7"/>
  <c r="EI40" i="7" s="1"/>
  <c r="EL38" i="10"/>
  <c r="EG38" i="10" s="1"/>
  <c r="EH38" i="10" s="1"/>
  <c r="GG48" i="7"/>
  <c r="GB48" i="7" s="1"/>
  <c r="GE48" i="7"/>
  <c r="HE48" i="7" s="1"/>
  <c r="HT47" i="7"/>
  <c r="HV2" i="3"/>
  <c r="HW2" i="3" s="1"/>
  <c r="HU3" i="3"/>
  <c r="HP6" i="3"/>
  <c r="AI5" i="3"/>
  <c r="HS3" i="3" l="1"/>
  <c r="J2" i="3"/>
  <c r="FQ40" i="9"/>
  <c r="FU39" i="9"/>
  <c r="H39" i="9" s="1"/>
  <c r="I40" i="8"/>
  <c r="H36" i="11"/>
  <c r="HN39" i="11"/>
  <c r="HP39" i="11" s="1"/>
  <c r="HT39" i="11" s="1"/>
  <c r="G38" i="6"/>
  <c r="FQ39" i="6"/>
  <c r="HQ41" i="8"/>
  <c r="HS41" i="8"/>
  <c r="HW40" i="8"/>
  <c r="J40" i="8" s="1"/>
  <c r="GC39" i="11"/>
  <c r="GE40" i="11" s="1"/>
  <c r="HE40" i="11" s="1"/>
  <c r="HV37" i="11"/>
  <c r="HS38" i="11" s="1"/>
  <c r="HT38" i="11"/>
  <c r="HU38" i="11" s="1"/>
  <c r="EJ37" i="11"/>
  <c r="EG37" i="11"/>
  <c r="HU47" i="7"/>
  <c r="HV38" i="5"/>
  <c r="HS39" i="5" s="1"/>
  <c r="HV46" i="7"/>
  <c r="HQ47" i="7" s="1"/>
  <c r="FU38" i="12"/>
  <c r="H38" i="12" s="1"/>
  <c r="FQ39" i="12"/>
  <c r="HW39" i="12"/>
  <c r="J39" i="12" s="1"/>
  <c r="HS40" i="12"/>
  <c r="I39" i="12"/>
  <c r="HT40" i="12"/>
  <c r="HU40" i="12" s="1"/>
  <c r="HQ40" i="12"/>
  <c r="GG41" i="12"/>
  <c r="GB41" i="12" s="1"/>
  <c r="GE41" i="12"/>
  <c r="HE41" i="12" s="1"/>
  <c r="HV37" i="6"/>
  <c r="HW37" i="6" s="1"/>
  <c r="J37" i="6" s="1"/>
  <c r="HT41" i="8"/>
  <c r="HU41" i="8" s="1"/>
  <c r="GE42" i="8"/>
  <c r="HE42" i="8" s="1"/>
  <c r="GC42" i="8"/>
  <c r="GG43" i="8" s="1"/>
  <c r="GB43" i="8" s="1"/>
  <c r="GC43" i="8" s="1"/>
  <c r="HN39" i="5"/>
  <c r="HP39" i="5" s="1"/>
  <c r="HT38" i="9"/>
  <c r="HU38" i="9" s="1"/>
  <c r="HQ38" i="9"/>
  <c r="HV38" i="9"/>
  <c r="GE39" i="9"/>
  <c r="HE39" i="9" s="1"/>
  <c r="GG39" i="9"/>
  <c r="GB39" i="9" s="1"/>
  <c r="GE40" i="5"/>
  <c r="HE40" i="5" s="1"/>
  <c r="GG40" i="5"/>
  <c r="GB40" i="5" s="1"/>
  <c r="HV41" i="8"/>
  <c r="HN38" i="6"/>
  <c r="HP38" i="6" s="1"/>
  <c r="GG39" i="6"/>
  <c r="GB39" i="6" s="1"/>
  <c r="GE39" i="6"/>
  <c r="HE39" i="6" s="1"/>
  <c r="FT37" i="10"/>
  <c r="G37" i="10" s="1"/>
  <c r="FQ38" i="11"/>
  <c r="FU37" i="11"/>
  <c r="EI44" i="12"/>
  <c r="EJ39" i="10"/>
  <c r="EJ41" i="9"/>
  <c r="FL40" i="9"/>
  <c r="FN40" i="9" s="1"/>
  <c r="EJ40" i="6"/>
  <c r="EI45" i="6"/>
  <c r="FL39" i="6"/>
  <c r="FN39" i="6" s="1"/>
  <c r="FL37" i="5"/>
  <c r="FN37" i="5" s="1"/>
  <c r="EL37" i="5"/>
  <c r="EE37" i="5" s="1"/>
  <c r="FR35" i="8"/>
  <c r="FO35" i="8"/>
  <c r="CS36" i="8"/>
  <c r="DS36" i="8" s="1"/>
  <c r="CU36" i="8"/>
  <c r="CP36" i="8" s="1"/>
  <c r="FU34" i="8"/>
  <c r="H34" i="8" s="1"/>
  <c r="FQ35" i="8"/>
  <c r="G34" i="8"/>
  <c r="EL41" i="9"/>
  <c r="EL40" i="6"/>
  <c r="EH38" i="7"/>
  <c r="FL38" i="7"/>
  <c r="FN38" i="7" s="1"/>
  <c r="EP39" i="5"/>
  <c r="EP40" i="5" s="1"/>
  <c r="EP41" i="5" s="1"/>
  <c r="EP42" i="5" s="1"/>
  <c r="EP43" i="5" s="1"/>
  <c r="EP44" i="5" s="1"/>
  <c r="EP45" i="5" s="1"/>
  <c r="EP46" i="5" s="1"/>
  <c r="EP47" i="5" s="1"/>
  <c r="EQ38" i="5"/>
  <c r="FO39" i="12"/>
  <c r="FR39" i="12"/>
  <c r="FS39" i="12" s="1"/>
  <c r="EL40" i="12"/>
  <c r="EG40" i="12" s="1"/>
  <c r="EH40" i="12" s="1"/>
  <c r="I45" i="10"/>
  <c r="GC46" i="10"/>
  <c r="HN46" i="10"/>
  <c r="HP46" i="10" s="1"/>
  <c r="HS46" i="10"/>
  <c r="HW45" i="10"/>
  <c r="J45" i="10" s="1"/>
  <c r="HN48" i="7"/>
  <c r="HP48" i="7" s="1"/>
  <c r="EI41" i="7"/>
  <c r="EI42" i="7" s="1"/>
  <c r="EI43" i="7" s="1"/>
  <c r="EI44" i="7" s="1"/>
  <c r="EI45" i="7" s="1"/>
  <c r="EI46" i="7" s="1"/>
  <c r="EI47" i="7" s="1"/>
  <c r="EI48" i="7" s="1"/>
  <c r="GC48" i="7"/>
  <c r="I2" i="3"/>
  <c r="HQ3" i="3"/>
  <c r="HV3" i="3"/>
  <c r="AJ5" i="3"/>
  <c r="AK5" i="3"/>
  <c r="E5" i="3" s="1"/>
  <c r="AI6" i="3"/>
  <c r="GF39" i="9" l="1"/>
  <c r="I41" i="8"/>
  <c r="HQ38" i="11"/>
  <c r="GG40" i="11"/>
  <c r="GB40" i="11" s="1"/>
  <c r="GC40" i="11" s="1"/>
  <c r="HV38" i="11"/>
  <c r="I38" i="11" s="1"/>
  <c r="HU39" i="11"/>
  <c r="I37" i="11"/>
  <c r="HW37" i="11"/>
  <c r="J37" i="11" s="1"/>
  <c r="EH37" i="11"/>
  <c r="EL37" i="11"/>
  <c r="EE37" i="11" s="1"/>
  <c r="FL37" i="11"/>
  <c r="FN37" i="11" s="1"/>
  <c r="FO37" i="11" s="1"/>
  <c r="I37" i="6"/>
  <c r="HS38" i="6"/>
  <c r="HW38" i="5"/>
  <c r="J38" i="5" s="1"/>
  <c r="I38" i="5"/>
  <c r="HQ38" i="6"/>
  <c r="HN42" i="8"/>
  <c r="HP42" i="8" s="1"/>
  <c r="HQ42" i="8" s="1"/>
  <c r="HS47" i="7"/>
  <c r="I46" i="7"/>
  <c r="HW46" i="7"/>
  <c r="J46" i="7" s="1"/>
  <c r="HV47" i="7"/>
  <c r="HQ48" i="7" s="1"/>
  <c r="GC41" i="12"/>
  <c r="HN41" i="12"/>
  <c r="HP41" i="12" s="1"/>
  <c r="HV40" i="12"/>
  <c r="FT39" i="12"/>
  <c r="FQ40" i="12" s="1"/>
  <c r="HT38" i="6"/>
  <c r="HU38" i="6" s="1"/>
  <c r="GE43" i="8"/>
  <c r="HE43" i="8" s="1"/>
  <c r="HN39" i="9"/>
  <c r="HP39" i="9" s="1"/>
  <c r="GC39" i="9"/>
  <c r="HW38" i="9"/>
  <c r="J38" i="9" s="1"/>
  <c r="HS39" i="9"/>
  <c r="I38" i="9"/>
  <c r="HQ39" i="5"/>
  <c r="HT39" i="5"/>
  <c r="HU39" i="5" s="1"/>
  <c r="HW41" i="8"/>
  <c r="J41" i="8" s="1"/>
  <c r="HS42" i="8"/>
  <c r="GC40" i="5"/>
  <c r="HN40" i="5"/>
  <c r="HP40" i="5" s="1"/>
  <c r="GC39" i="6"/>
  <c r="HN39" i="6"/>
  <c r="HP39" i="6" s="1"/>
  <c r="EG40" i="6"/>
  <c r="EH40" i="6" s="1"/>
  <c r="EJ41" i="6" s="1"/>
  <c r="FO37" i="5"/>
  <c r="FR37" i="5"/>
  <c r="FS37" i="5" s="1"/>
  <c r="FQ38" i="10"/>
  <c r="FU37" i="10"/>
  <c r="H37" i="10" s="1"/>
  <c r="EI45" i="12"/>
  <c r="EJ41" i="12"/>
  <c r="EG41" i="9"/>
  <c r="EH41" i="9" s="1"/>
  <c r="EL42" i="9" s="1"/>
  <c r="FR40" i="9"/>
  <c r="FS40" i="9" s="1"/>
  <c r="FO40" i="9"/>
  <c r="EI46" i="6"/>
  <c r="FO39" i="6"/>
  <c r="FR39" i="6"/>
  <c r="FS39" i="6" s="1"/>
  <c r="EI38" i="5"/>
  <c r="EI39" i="5" s="1"/>
  <c r="EK37" i="5"/>
  <c r="EL38" i="5"/>
  <c r="EG38" i="5" s="1"/>
  <c r="EH38" i="5" s="1"/>
  <c r="CQ36" i="8"/>
  <c r="FM37" i="8" s="1"/>
  <c r="FL36" i="8"/>
  <c r="FN36" i="8" s="1"/>
  <c r="FS35" i="8"/>
  <c r="FT35" i="8"/>
  <c r="FO38" i="7"/>
  <c r="FR38" i="7"/>
  <c r="FS38" i="7" s="1"/>
  <c r="EJ39" i="7"/>
  <c r="EL39" i="7"/>
  <c r="FL38" i="10"/>
  <c r="FN38" i="10" s="1"/>
  <c r="EQ39" i="5"/>
  <c r="EQ40" i="5" s="1"/>
  <c r="EQ41" i="5" s="1"/>
  <c r="EQ42" i="5" s="1"/>
  <c r="EQ43" i="5" s="1"/>
  <c r="EQ44" i="5" s="1"/>
  <c r="EQ45" i="5" s="1"/>
  <c r="EQ46" i="5" s="1"/>
  <c r="EQ47" i="5" s="1"/>
  <c r="GE44" i="8"/>
  <c r="HE44" i="8" s="1"/>
  <c r="GG44" i="8"/>
  <c r="GB44" i="8" s="1"/>
  <c r="GC44" i="8" s="1"/>
  <c r="HT46" i="10"/>
  <c r="HU46" i="10" s="1"/>
  <c r="HQ46" i="10"/>
  <c r="GE47" i="10"/>
  <c r="HE47" i="10" s="1"/>
  <c r="GG47" i="10"/>
  <c r="GB47" i="10" s="1"/>
  <c r="GC47" i="10" s="1"/>
  <c r="HT48" i="7"/>
  <c r="HU48" i="7" s="1"/>
  <c r="GG49" i="7"/>
  <c r="GB49" i="7" s="1"/>
  <c r="GC49" i="7" s="1"/>
  <c r="GE49" i="7"/>
  <c r="HE49" i="7" s="1"/>
  <c r="EI49" i="7"/>
  <c r="I3" i="3"/>
  <c r="HT4" i="3"/>
  <c r="HU4" i="3" s="1"/>
  <c r="AH6" i="3"/>
  <c r="AK6" i="3" s="1"/>
  <c r="AF6" i="3"/>
  <c r="AI7" i="3" s="1"/>
  <c r="HQ4" i="3"/>
  <c r="HS4" i="3"/>
  <c r="HV4" i="3" s="1"/>
  <c r="HS5" i="3" s="1"/>
  <c r="HW3" i="3"/>
  <c r="J3" i="3" s="1"/>
  <c r="AL5" i="3"/>
  <c r="F5" i="3" s="1"/>
  <c r="AJ6" i="3"/>
  <c r="HQ39" i="11" l="1"/>
  <c r="HV39" i="11"/>
  <c r="I39" i="11" s="1"/>
  <c r="HS39" i="11"/>
  <c r="HW38" i="11"/>
  <c r="J38" i="11" s="1"/>
  <c r="HN40" i="11"/>
  <c r="HP40" i="11" s="1"/>
  <c r="HT40" i="11" s="1"/>
  <c r="HU40" i="11" s="1"/>
  <c r="HT42" i="8"/>
  <c r="HU42" i="8" s="1"/>
  <c r="EI38" i="11"/>
  <c r="EK37" i="11"/>
  <c r="G37" i="11" s="1"/>
  <c r="EJ38" i="11"/>
  <c r="EL38" i="11"/>
  <c r="G39" i="12"/>
  <c r="FU39" i="12"/>
  <c r="H39" i="12" s="1"/>
  <c r="HW39" i="11"/>
  <c r="J39" i="11" s="1"/>
  <c r="HS40" i="11"/>
  <c r="HW47" i="7"/>
  <c r="J47" i="7" s="1"/>
  <c r="HS48" i="7"/>
  <c r="HV48" i="7" s="1"/>
  <c r="HS49" i="7" s="1"/>
  <c r="I47" i="7"/>
  <c r="HV38" i="6"/>
  <c r="I38" i="6" s="1"/>
  <c r="GG41" i="11"/>
  <c r="GB41" i="11" s="1"/>
  <c r="GE41" i="11"/>
  <c r="HE41" i="11" s="1"/>
  <c r="FT40" i="9"/>
  <c r="FQ41" i="9" s="1"/>
  <c r="HW40" i="12"/>
  <c r="J40" i="12" s="1"/>
  <c r="HS41" i="12"/>
  <c r="I40" i="12"/>
  <c r="HT41" i="12"/>
  <c r="HU41" i="12" s="1"/>
  <c r="HQ41" i="12"/>
  <c r="FT39" i="6"/>
  <c r="G39" i="6" s="1"/>
  <c r="HV39" i="5"/>
  <c r="HS40" i="5" s="1"/>
  <c r="GG42" i="12"/>
  <c r="GB42" i="12" s="1"/>
  <c r="GC42" i="12" s="1"/>
  <c r="GE42" i="12"/>
  <c r="HE42" i="12" s="1"/>
  <c r="HN43" i="8"/>
  <c r="HP43" i="8" s="1"/>
  <c r="GG40" i="9"/>
  <c r="GB40" i="9" s="1"/>
  <c r="GC40" i="9" s="1"/>
  <c r="GE40" i="9"/>
  <c r="HE40" i="9" s="1"/>
  <c r="HQ39" i="9"/>
  <c r="HT39" i="9"/>
  <c r="HU39" i="9" s="1"/>
  <c r="HT40" i="5"/>
  <c r="HU40" i="5" s="1"/>
  <c r="GE41" i="5"/>
  <c r="HE41" i="5" s="1"/>
  <c r="GG41" i="5"/>
  <c r="GB41" i="5" s="1"/>
  <c r="HV42" i="8"/>
  <c r="HS43" i="8" s="1"/>
  <c r="HV46" i="10"/>
  <c r="HS47" i="10" s="1"/>
  <c r="HT39" i="6"/>
  <c r="HU39" i="6" s="1"/>
  <c r="GE40" i="6"/>
  <c r="HE40" i="6" s="1"/>
  <c r="GG40" i="6"/>
  <c r="GB40" i="6" s="1"/>
  <c r="EJ39" i="5"/>
  <c r="FT37" i="5"/>
  <c r="G37" i="5" s="1"/>
  <c r="EI46" i="12"/>
  <c r="EJ42" i="9"/>
  <c r="EG42" i="9" s="1"/>
  <c r="EH42" i="9" s="1"/>
  <c r="FL41" i="9"/>
  <c r="FN41" i="9" s="1"/>
  <c r="EI47" i="6"/>
  <c r="EI40" i="5"/>
  <c r="FT38" i="7"/>
  <c r="FQ39" i="7" s="1"/>
  <c r="EG39" i="7"/>
  <c r="FL39" i="7" s="1"/>
  <c r="FN39" i="7" s="1"/>
  <c r="FR39" i="7" s="1"/>
  <c r="FS39" i="7" s="1"/>
  <c r="FL38" i="5"/>
  <c r="FN38" i="5" s="1"/>
  <c r="FU35" i="8"/>
  <c r="H35" i="8" s="1"/>
  <c r="G35" i="8"/>
  <c r="FQ36" i="8"/>
  <c r="FR36" i="8"/>
  <c r="FS36" i="8" s="1"/>
  <c r="FO36" i="8"/>
  <c r="FO38" i="10"/>
  <c r="FR38" i="10"/>
  <c r="FS38" i="10" s="1"/>
  <c r="EL39" i="10"/>
  <c r="EG39" i="10" s="1"/>
  <c r="EH39" i="10" s="1"/>
  <c r="FL40" i="6"/>
  <c r="FN40" i="6" s="1"/>
  <c r="FL40" i="12"/>
  <c r="FN40" i="12" s="1"/>
  <c r="GG45" i="8"/>
  <c r="GB45" i="8" s="1"/>
  <c r="GC45" i="8" s="1"/>
  <c r="GE45" i="8"/>
  <c r="HE45" i="8" s="1"/>
  <c r="HN44" i="8"/>
  <c r="HP44" i="8" s="1"/>
  <c r="GE48" i="10"/>
  <c r="HE48" i="10" s="1"/>
  <c r="GG48" i="10"/>
  <c r="GB48" i="10" s="1"/>
  <c r="HN47" i="10"/>
  <c r="HP47" i="10" s="1"/>
  <c r="EI50" i="7"/>
  <c r="HN49" i="7"/>
  <c r="HP49" i="7" s="1"/>
  <c r="GG50" i="7"/>
  <c r="GB50" i="7" s="1"/>
  <c r="GE50" i="7"/>
  <c r="HE50" i="7" s="1"/>
  <c r="I4" i="3"/>
  <c r="AH7" i="3"/>
  <c r="AK7" i="3" s="1"/>
  <c r="E6" i="3"/>
  <c r="HT5" i="3"/>
  <c r="HU5" i="3" s="1"/>
  <c r="AF7" i="3"/>
  <c r="AI8" i="3" s="1"/>
  <c r="AL6" i="3"/>
  <c r="F6" i="3" s="1"/>
  <c r="AJ7" i="3"/>
  <c r="HW4" i="3"/>
  <c r="J4" i="3" s="1"/>
  <c r="HQ5" i="3"/>
  <c r="GF40" i="9" l="1"/>
  <c r="HQ40" i="11"/>
  <c r="H37" i="11"/>
  <c r="EG38" i="11"/>
  <c r="EI39" i="11"/>
  <c r="EI40" i="11" s="1"/>
  <c r="EI41" i="11" s="1"/>
  <c r="EI42" i="11" s="1"/>
  <c r="EI43" i="11" s="1"/>
  <c r="EI44" i="11" s="1"/>
  <c r="HS39" i="6"/>
  <c r="HQ40" i="5"/>
  <c r="HQ43" i="8"/>
  <c r="HW48" i="7"/>
  <c r="J48" i="7" s="1"/>
  <c r="HQ39" i="6"/>
  <c r="I48" i="7"/>
  <c r="FU39" i="6"/>
  <c r="H39" i="6" s="1"/>
  <c r="FQ40" i="6"/>
  <c r="HW38" i="6"/>
  <c r="J38" i="6" s="1"/>
  <c r="I39" i="5"/>
  <c r="HV40" i="11"/>
  <c r="GC41" i="11"/>
  <c r="HN41" i="11"/>
  <c r="HP41" i="11" s="1"/>
  <c r="HT43" i="8"/>
  <c r="HU43" i="8" s="1"/>
  <c r="HW39" i="5"/>
  <c r="J39" i="5" s="1"/>
  <c r="FU40" i="9"/>
  <c r="H40" i="9" s="1"/>
  <c r="HV40" i="5"/>
  <c r="HW40" i="5" s="1"/>
  <c r="G40" i="9"/>
  <c r="HV39" i="9"/>
  <c r="I39" i="9" s="1"/>
  <c r="GG43" i="12"/>
  <c r="GB43" i="12" s="1"/>
  <c r="GE43" i="12"/>
  <c r="HE43" i="12" s="1"/>
  <c r="HN42" i="12"/>
  <c r="HP42" i="12" s="1"/>
  <c r="HV39" i="6"/>
  <c r="HS40" i="6" s="1"/>
  <c r="FT38" i="10"/>
  <c r="G38" i="10" s="1"/>
  <c r="HV41" i="12"/>
  <c r="GE41" i="9"/>
  <c r="HE41" i="9" s="1"/>
  <c r="GG41" i="9"/>
  <c r="GB41" i="9" s="1"/>
  <c r="I46" i="10"/>
  <c r="HN40" i="9"/>
  <c r="HP40" i="9" s="1"/>
  <c r="HW46" i="10"/>
  <c r="J46" i="10" s="1"/>
  <c r="HW42" i="8"/>
  <c r="J42" i="8" s="1"/>
  <c r="I42" i="8"/>
  <c r="HN41" i="5"/>
  <c r="HP41" i="5" s="1"/>
  <c r="GC41" i="5"/>
  <c r="HV43" i="8"/>
  <c r="EH39" i="7"/>
  <c r="EL40" i="7" s="1"/>
  <c r="HN40" i="6"/>
  <c r="HP40" i="6" s="1"/>
  <c r="HT40" i="6" s="1"/>
  <c r="HU40" i="6" s="1"/>
  <c r="GC40" i="6"/>
  <c r="G38" i="7"/>
  <c r="FU38" i="7"/>
  <c r="H38" i="7" s="1"/>
  <c r="FQ38" i="5"/>
  <c r="FU37" i="5"/>
  <c r="H37" i="5" s="1"/>
  <c r="EI47" i="12"/>
  <c r="EJ40" i="10"/>
  <c r="EJ43" i="9"/>
  <c r="EL43" i="9"/>
  <c r="FT41" i="9"/>
  <c r="FQ42" i="9" s="1"/>
  <c r="FO41" i="9"/>
  <c r="FR41" i="9"/>
  <c r="FS41" i="9" s="1"/>
  <c r="FL42" i="9"/>
  <c r="FN42" i="9" s="1"/>
  <c r="FO39" i="7"/>
  <c r="EI48" i="6"/>
  <c r="EI41" i="5"/>
  <c r="FT39" i="7"/>
  <c r="FQ40" i="7" s="1"/>
  <c r="EL39" i="5"/>
  <c r="FR38" i="5"/>
  <c r="FS38" i="5" s="1"/>
  <c r="FO38" i="5"/>
  <c r="FT36" i="8"/>
  <c r="FO40" i="6"/>
  <c r="FR40" i="6"/>
  <c r="FS40" i="6" s="1"/>
  <c r="FR40" i="12"/>
  <c r="FS40" i="12" s="1"/>
  <c r="FO40" i="12"/>
  <c r="FT40" i="12"/>
  <c r="EL41" i="12"/>
  <c r="EG41" i="12" s="1"/>
  <c r="EH41" i="12" s="1"/>
  <c r="EL41" i="6"/>
  <c r="EG41" i="6" s="1"/>
  <c r="EH41" i="6" s="1"/>
  <c r="HT44" i="8"/>
  <c r="GE46" i="8"/>
  <c r="HE46" i="8" s="1"/>
  <c r="GG46" i="8"/>
  <c r="GB46" i="8" s="1"/>
  <c r="HN45" i="8"/>
  <c r="HP45" i="8" s="1"/>
  <c r="GC48" i="10"/>
  <c r="HN48" i="10"/>
  <c r="HP48" i="10" s="1"/>
  <c r="HQ47" i="10"/>
  <c r="HT47" i="10"/>
  <c r="HU47" i="10" s="1"/>
  <c r="HV47" i="10"/>
  <c r="HT49" i="7"/>
  <c r="HU49" i="7" s="1"/>
  <c r="HV49" i="7"/>
  <c r="HQ49" i="7"/>
  <c r="HN50" i="7"/>
  <c r="HP50" i="7" s="1"/>
  <c r="EI51" i="7"/>
  <c r="GC50" i="7"/>
  <c r="AH8" i="3"/>
  <c r="E7" i="3"/>
  <c r="HV5" i="3"/>
  <c r="AJ8" i="3"/>
  <c r="AF8" i="3"/>
  <c r="HT6" i="3"/>
  <c r="HU6" i="3" s="1"/>
  <c r="AL7" i="3"/>
  <c r="F7" i="3" s="1"/>
  <c r="HQ6" i="3"/>
  <c r="HS6" i="3" l="1"/>
  <c r="HV6" i="3"/>
  <c r="HW6" i="3" s="1"/>
  <c r="GF41" i="9"/>
  <c r="J40" i="5"/>
  <c r="HQ44" i="8"/>
  <c r="FU38" i="10"/>
  <c r="H38" i="10" s="1"/>
  <c r="FQ39" i="10"/>
  <c r="EH38" i="11"/>
  <c r="FL38" i="11"/>
  <c r="FN38" i="11" s="1"/>
  <c r="HU44" i="8"/>
  <c r="HS44" i="8"/>
  <c r="I40" i="11"/>
  <c r="HS41" i="11"/>
  <c r="HW40" i="11"/>
  <c r="J40" i="11" s="1"/>
  <c r="I39" i="6"/>
  <c r="HW39" i="6"/>
  <c r="J39" i="6" s="1"/>
  <c r="HW39" i="9"/>
  <c r="J39" i="9" s="1"/>
  <c r="HS40" i="9"/>
  <c r="HV40" i="9" s="1"/>
  <c r="HS41" i="9" s="1"/>
  <c r="HQ41" i="11"/>
  <c r="HT41" i="11"/>
  <c r="HU41" i="11" s="1"/>
  <c r="GE42" i="11"/>
  <c r="HE42" i="11" s="1"/>
  <c r="GG42" i="11"/>
  <c r="GB42" i="11" s="1"/>
  <c r="GC42" i="11" s="1"/>
  <c r="I40" i="5"/>
  <c r="HS41" i="5"/>
  <c r="FT38" i="5"/>
  <c r="FQ39" i="5" s="1"/>
  <c r="HT42" i="12"/>
  <c r="HU42" i="12" s="1"/>
  <c r="HQ42" i="12"/>
  <c r="GC43" i="12"/>
  <c r="HN43" i="12"/>
  <c r="HP43" i="12" s="1"/>
  <c r="HS42" i="12"/>
  <c r="HV42" i="12" s="1"/>
  <c r="HW41" i="12"/>
  <c r="J41" i="12" s="1"/>
  <c r="I43" i="8"/>
  <c r="FT40" i="6"/>
  <c r="G40" i="6" s="1"/>
  <c r="EJ40" i="7"/>
  <c r="I41" i="12"/>
  <c r="FU39" i="7"/>
  <c r="H39" i="7" s="1"/>
  <c r="HW43" i="8"/>
  <c r="J43" i="8" s="1"/>
  <c r="HT40" i="9"/>
  <c r="HU40" i="9" s="1"/>
  <c r="HQ40" i="9"/>
  <c r="GC41" i="9"/>
  <c r="HN41" i="9"/>
  <c r="HP41" i="9" s="1"/>
  <c r="HV40" i="6"/>
  <c r="HS41" i="6" s="1"/>
  <c r="HQ40" i="6"/>
  <c r="GE42" i="5"/>
  <c r="HE42" i="5" s="1"/>
  <c r="GG42" i="5"/>
  <c r="GB42" i="5" s="1"/>
  <c r="HT41" i="5"/>
  <c r="HU41" i="5" s="1"/>
  <c r="HQ41" i="5"/>
  <c r="HV44" i="8"/>
  <c r="HS45" i="8" s="1"/>
  <c r="FU41" i="9"/>
  <c r="H41" i="9" s="1"/>
  <c r="EG43" i="9"/>
  <c r="EH43" i="9" s="1"/>
  <c r="EL44" i="9" s="1"/>
  <c r="GE41" i="6"/>
  <c r="HE41" i="6" s="1"/>
  <c r="GG41" i="6"/>
  <c r="GB41" i="6" s="1"/>
  <c r="G39" i="7"/>
  <c r="EJ42" i="12"/>
  <c r="EI48" i="12"/>
  <c r="EI45" i="11"/>
  <c r="FT42" i="9"/>
  <c r="FQ43" i="9" s="1"/>
  <c r="FR42" i="9"/>
  <c r="FS42" i="9" s="1"/>
  <c r="FO42" i="9"/>
  <c r="G41" i="9"/>
  <c r="EI49" i="6"/>
  <c r="EJ42" i="6"/>
  <c r="EI42" i="5"/>
  <c r="EG39" i="5"/>
  <c r="EH39" i="5" s="1"/>
  <c r="EL40" i="5" s="1"/>
  <c r="FL41" i="6"/>
  <c r="FN41" i="6" s="1"/>
  <c r="FR41" i="6" s="1"/>
  <c r="FS41" i="6" s="1"/>
  <c r="FU36" i="8"/>
  <c r="ED37" i="8" s="1"/>
  <c r="FQ37" i="8"/>
  <c r="G36" i="8"/>
  <c r="G40" i="12"/>
  <c r="FL41" i="12"/>
  <c r="FN41" i="12" s="1"/>
  <c r="FQ41" i="12"/>
  <c r="FU40" i="12"/>
  <c r="H40" i="12" s="1"/>
  <c r="EG40" i="7"/>
  <c r="FL39" i="10"/>
  <c r="FN39" i="10" s="1"/>
  <c r="HT45" i="8"/>
  <c r="GC46" i="8"/>
  <c r="HN46" i="8"/>
  <c r="HP46" i="8" s="1"/>
  <c r="HS48" i="10"/>
  <c r="HW47" i="10"/>
  <c r="J47" i="10" s="1"/>
  <c r="I47" i="10"/>
  <c r="HQ48" i="10"/>
  <c r="HV48" i="10"/>
  <c r="HT48" i="10"/>
  <c r="HU48" i="10" s="1"/>
  <c r="GG49" i="10"/>
  <c r="GB49" i="10" s="1"/>
  <c r="GE49" i="10"/>
  <c r="HE49" i="10" s="1"/>
  <c r="GG51" i="7"/>
  <c r="GB51" i="7" s="1"/>
  <c r="GC51" i="7" s="1"/>
  <c r="GE51" i="7"/>
  <c r="HE51" i="7" s="1"/>
  <c r="HS50" i="7"/>
  <c r="HW49" i="7"/>
  <c r="J49" i="7" s="1"/>
  <c r="HQ50" i="7"/>
  <c r="HV50" i="7"/>
  <c r="HT50" i="7"/>
  <c r="HU50" i="7" s="1"/>
  <c r="EI52" i="7"/>
  <c r="I49" i="7"/>
  <c r="I5" i="3"/>
  <c r="HS7" i="3"/>
  <c r="HW5" i="3"/>
  <c r="J5" i="3" s="1"/>
  <c r="AK8" i="3"/>
  <c r="FO38" i="11" l="1"/>
  <c r="FR38" i="11"/>
  <c r="FS38" i="11" s="1"/>
  <c r="EL39" i="11"/>
  <c r="EJ39" i="11"/>
  <c r="HU45" i="8"/>
  <c r="FQ41" i="6"/>
  <c r="FT41" i="6" s="1"/>
  <c r="FQ42" i="6" s="1"/>
  <c r="FU40" i="6"/>
  <c r="H40" i="6" s="1"/>
  <c r="FU38" i="5"/>
  <c r="H38" i="5" s="1"/>
  <c r="G38" i="5"/>
  <c r="HQ45" i="8"/>
  <c r="HN42" i="11"/>
  <c r="HP42" i="11" s="1"/>
  <c r="HV41" i="11"/>
  <c r="HS42" i="11" s="1"/>
  <c r="GE43" i="11"/>
  <c r="HE43" i="11" s="1"/>
  <c r="GG43" i="11"/>
  <c r="GB43" i="11" s="1"/>
  <c r="GC43" i="11" s="1"/>
  <c r="I40" i="6"/>
  <c r="HS43" i="12"/>
  <c r="HW42" i="12"/>
  <c r="J42" i="12" s="1"/>
  <c r="HT43" i="12"/>
  <c r="HU43" i="12" s="1"/>
  <c r="HV43" i="12"/>
  <c r="HQ43" i="12"/>
  <c r="GE44" i="12"/>
  <c r="HE44" i="12" s="1"/>
  <c r="GG44" i="12"/>
  <c r="GB44" i="12" s="1"/>
  <c r="I42" i="12"/>
  <c r="HV41" i="5"/>
  <c r="HS42" i="5" s="1"/>
  <c r="HW40" i="9"/>
  <c r="J40" i="9" s="1"/>
  <c r="I40" i="9"/>
  <c r="HW44" i="8"/>
  <c r="J44" i="8" s="1"/>
  <c r="I44" i="8"/>
  <c r="HN41" i="6"/>
  <c r="HP41" i="6" s="1"/>
  <c r="HQ41" i="6" s="1"/>
  <c r="FL43" i="9"/>
  <c r="FN43" i="9" s="1"/>
  <c r="FR43" i="9" s="1"/>
  <c r="FS43" i="9" s="1"/>
  <c r="EJ44" i="9"/>
  <c r="EG44" i="9" s="1"/>
  <c r="EH44" i="9" s="1"/>
  <c r="HT41" i="9"/>
  <c r="HU41" i="9" s="1"/>
  <c r="HQ41" i="9"/>
  <c r="GG42" i="9"/>
  <c r="GE42" i="9"/>
  <c r="HE42" i="9" s="1"/>
  <c r="FU42" i="9"/>
  <c r="H42" i="9" s="1"/>
  <c r="HW40" i="6"/>
  <c r="J40" i="6" s="1"/>
  <c r="GC42" i="5"/>
  <c r="HN42" i="5"/>
  <c r="HP42" i="5" s="1"/>
  <c r="HV45" i="8"/>
  <c r="GC41" i="6"/>
  <c r="FL39" i="5"/>
  <c r="FN39" i="5" s="1"/>
  <c r="EI49" i="12"/>
  <c r="EI46" i="11"/>
  <c r="G42" i="9"/>
  <c r="EG37" i="8"/>
  <c r="EH37" i="8" s="1"/>
  <c r="EJ37" i="8"/>
  <c r="FO41" i="6"/>
  <c r="EI50" i="6"/>
  <c r="EI43" i="5"/>
  <c r="EJ40" i="5"/>
  <c r="EG40" i="5" s="1"/>
  <c r="H36" i="8"/>
  <c r="FL40" i="7"/>
  <c r="FN40" i="7" s="1"/>
  <c r="EH40" i="7"/>
  <c r="EL42" i="6"/>
  <c r="FO39" i="10"/>
  <c r="FR39" i="10"/>
  <c r="FS39" i="10" s="1"/>
  <c r="EL40" i="10"/>
  <c r="EG40" i="10" s="1"/>
  <c r="EH40" i="10" s="1"/>
  <c r="EL42" i="12"/>
  <c r="EG42" i="12" s="1"/>
  <c r="EH42" i="12" s="1"/>
  <c r="FT41" i="12"/>
  <c r="FR41" i="12"/>
  <c r="FS41" i="12" s="1"/>
  <c r="FO41" i="12"/>
  <c r="GE47" i="8"/>
  <c r="HE47" i="8" s="1"/>
  <c r="GG47" i="8"/>
  <c r="GB47" i="8" s="1"/>
  <c r="GC47" i="8" s="1"/>
  <c r="I48" i="10"/>
  <c r="HT46" i="8"/>
  <c r="GC49" i="10"/>
  <c r="HN49" i="10"/>
  <c r="HP49" i="10" s="1"/>
  <c r="HW48" i="10"/>
  <c r="J48" i="10" s="1"/>
  <c r="HS49" i="10"/>
  <c r="I50" i="7"/>
  <c r="HS51" i="7"/>
  <c r="HW50" i="7"/>
  <c r="J50" i="7" s="1"/>
  <c r="GG52" i="7"/>
  <c r="GB52" i="7" s="1"/>
  <c r="GE52" i="7"/>
  <c r="HE52" i="7" s="1"/>
  <c r="HN51" i="7"/>
  <c r="HP51" i="7" s="1"/>
  <c r="I6" i="3"/>
  <c r="AH9" i="3"/>
  <c r="E8" i="3"/>
  <c r="AF9" i="3"/>
  <c r="J6" i="3"/>
  <c r="AL8" i="3"/>
  <c r="F8" i="3" s="1"/>
  <c r="GB42" i="9" l="1"/>
  <c r="GF42" i="9"/>
  <c r="FT38" i="11"/>
  <c r="FQ39" i="11" s="1"/>
  <c r="FT39" i="10"/>
  <c r="FU39" i="10" s="1"/>
  <c r="H39" i="10" s="1"/>
  <c r="HU46" i="8"/>
  <c r="HW45" i="8"/>
  <c r="J45" i="8" s="1"/>
  <c r="EG39" i="11"/>
  <c r="HQ42" i="11"/>
  <c r="HT42" i="11"/>
  <c r="HU42" i="11" s="1"/>
  <c r="HN43" i="11"/>
  <c r="HP43" i="11" s="1"/>
  <c r="HT43" i="11" s="1"/>
  <c r="I43" i="12"/>
  <c r="HV41" i="9"/>
  <c r="HS42" i="9" s="1"/>
  <c r="HW41" i="11"/>
  <c r="J41" i="11" s="1"/>
  <c r="HV42" i="11"/>
  <c r="HS43" i="11" s="1"/>
  <c r="I41" i="11"/>
  <c r="FO43" i="9"/>
  <c r="GG44" i="11"/>
  <c r="GB44" i="11" s="1"/>
  <c r="GE44" i="11"/>
  <c r="HE44" i="11" s="1"/>
  <c r="FT43" i="9"/>
  <c r="FQ44" i="9" s="1"/>
  <c r="HQ46" i="8"/>
  <c r="I45" i="8"/>
  <c r="GC44" i="12"/>
  <c r="HN44" i="12"/>
  <c r="HP44" i="12" s="1"/>
  <c r="HT41" i="6"/>
  <c r="HW43" i="12"/>
  <c r="J43" i="12" s="1"/>
  <c r="HS44" i="12"/>
  <c r="HV42" i="5"/>
  <c r="HS43" i="5" s="1"/>
  <c r="HW41" i="5"/>
  <c r="J41" i="5" s="1"/>
  <c r="I41" i="5"/>
  <c r="HS46" i="8"/>
  <c r="HV46" i="8" s="1"/>
  <c r="GC42" i="9"/>
  <c r="HN42" i="9"/>
  <c r="HP42" i="9" s="1"/>
  <c r="HT42" i="5"/>
  <c r="HU42" i="5" s="1"/>
  <c r="HQ42" i="5"/>
  <c r="GG43" i="5"/>
  <c r="GB43" i="5" s="1"/>
  <c r="GE43" i="5"/>
  <c r="HE43" i="5" s="1"/>
  <c r="GG42" i="6"/>
  <c r="GB42" i="6" s="1"/>
  <c r="GC42" i="6" s="1"/>
  <c r="GE42" i="6"/>
  <c r="HE42" i="6" s="1"/>
  <c r="HN47" i="8"/>
  <c r="HP47" i="8" s="1"/>
  <c r="HT47" i="8" s="1"/>
  <c r="G41" i="12"/>
  <c r="FO39" i="5"/>
  <c r="FR39" i="5"/>
  <c r="FS39" i="5" s="1"/>
  <c r="FU41" i="6"/>
  <c r="H41" i="6" s="1"/>
  <c r="G41" i="6"/>
  <c r="FL42" i="12"/>
  <c r="FN42" i="12" s="1"/>
  <c r="EJ43" i="12"/>
  <c r="EI50" i="12"/>
  <c r="EI47" i="11"/>
  <c r="EJ41" i="10"/>
  <c r="EJ45" i="9"/>
  <c r="FL44" i="9"/>
  <c r="FN44" i="9" s="1"/>
  <c r="EJ38" i="8"/>
  <c r="EG42" i="6"/>
  <c r="EH42" i="6" s="1"/>
  <c r="EI51" i="6"/>
  <c r="EH40" i="5"/>
  <c r="FL40" i="5"/>
  <c r="FN40" i="5" s="1"/>
  <c r="EI44" i="5"/>
  <c r="FQ42" i="12"/>
  <c r="FU41" i="12"/>
  <c r="H41" i="12" s="1"/>
  <c r="EL41" i="7"/>
  <c r="EG41" i="7" s="1"/>
  <c r="EH41" i="7" s="1"/>
  <c r="EJ41" i="7"/>
  <c r="FR40" i="7"/>
  <c r="FS40" i="7" s="1"/>
  <c r="FO40" i="7"/>
  <c r="GE48" i="8"/>
  <c r="HE48" i="8" s="1"/>
  <c r="GG48" i="8"/>
  <c r="GB48" i="8" s="1"/>
  <c r="HV49" i="10"/>
  <c r="HT49" i="10"/>
  <c r="HU49" i="10" s="1"/>
  <c r="HQ49" i="10"/>
  <c r="GE50" i="10"/>
  <c r="HE50" i="10" s="1"/>
  <c r="GG50" i="10"/>
  <c r="GB50" i="10" s="1"/>
  <c r="EL45" i="9"/>
  <c r="EL43" i="12"/>
  <c r="HN52" i="7"/>
  <c r="HP52" i="7" s="1"/>
  <c r="HT51" i="7"/>
  <c r="HU51" i="7" s="1"/>
  <c r="HQ51" i="7"/>
  <c r="HV51" i="7"/>
  <c r="GC52" i="7"/>
  <c r="FU38" i="11" l="1"/>
  <c r="H38" i="11" s="1"/>
  <c r="G38" i="11"/>
  <c r="HU47" i="8"/>
  <c r="FQ40" i="10"/>
  <c r="G39" i="10"/>
  <c r="FT40" i="7"/>
  <c r="FU40" i="7" s="1"/>
  <c r="H40" i="7" s="1"/>
  <c r="FT42" i="12"/>
  <c r="FQ43" i="12" s="1"/>
  <c r="EH39" i="11"/>
  <c r="FL39" i="11"/>
  <c r="FN39" i="11" s="1"/>
  <c r="FU43" i="9"/>
  <c r="H43" i="9" s="1"/>
  <c r="G43" i="9"/>
  <c r="HU43" i="11"/>
  <c r="HV43" i="11"/>
  <c r="I41" i="9"/>
  <c r="HW41" i="9"/>
  <c r="J41" i="9" s="1"/>
  <c r="HQ43" i="11"/>
  <c r="HW42" i="11"/>
  <c r="J42" i="11" s="1"/>
  <c r="I42" i="11"/>
  <c r="EG43" i="12"/>
  <c r="EH43" i="12" s="1"/>
  <c r="EJ44" i="12" s="1"/>
  <c r="GC44" i="11"/>
  <c r="HN44" i="11"/>
  <c r="HP44" i="11" s="1"/>
  <c r="I46" i="8"/>
  <c r="HW46" i="8"/>
  <c r="J46" i="8" s="1"/>
  <c r="FT39" i="5"/>
  <c r="FQ40" i="5" s="1"/>
  <c r="I42" i="5"/>
  <c r="HU41" i="6"/>
  <c r="HV41" i="6"/>
  <c r="HW42" i="5"/>
  <c r="J42" i="5" s="1"/>
  <c r="HT44" i="12"/>
  <c r="HU44" i="12" s="1"/>
  <c r="HQ44" i="12"/>
  <c r="HV44" i="12"/>
  <c r="GG45" i="12"/>
  <c r="GB45" i="12" s="1"/>
  <c r="GE45" i="12"/>
  <c r="HE45" i="12" s="1"/>
  <c r="HS47" i="8"/>
  <c r="HV47" i="8" s="1"/>
  <c r="HS48" i="8" s="1"/>
  <c r="HQ42" i="9"/>
  <c r="HT42" i="9"/>
  <c r="HU42" i="9" s="1"/>
  <c r="GE43" i="9"/>
  <c r="HE43" i="9" s="1"/>
  <c r="GG43" i="9"/>
  <c r="GB43" i="9" s="1"/>
  <c r="HQ47" i="8"/>
  <c r="HN43" i="5"/>
  <c r="HP43" i="5" s="1"/>
  <c r="GC43" i="5"/>
  <c r="FO42" i="12"/>
  <c r="FR42" i="12"/>
  <c r="FS42" i="12" s="1"/>
  <c r="HN50" i="10"/>
  <c r="HP50" i="10" s="1"/>
  <c r="HQ50" i="10" s="1"/>
  <c r="I49" i="10"/>
  <c r="GE43" i="6"/>
  <c r="HE43" i="6" s="1"/>
  <c r="GG43" i="6"/>
  <c r="GB43" i="6" s="1"/>
  <c r="GC43" i="6" s="1"/>
  <c r="HN42" i="6"/>
  <c r="HP42" i="6" s="1"/>
  <c r="GC50" i="10"/>
  <c r="GE51" i="10" s="1"/>
  <c r="HE51" i="10" s="1"/>
  <c r="EG45" i="9"/>
  <c r="EH45" i="9" s="1"/>
  <c r="EJ46" i="9" s="1"/>
  <c r="EI51" i="12"/>
  <c r="EI48" i="11"/>
  <c r="FT44" i="9"/>
  <c r="FO44" i="9"/>
  <c r="FR44" i="9"/>
  <c r="FS44" i="9" s="1"/>
  <c r="EJ43" i="6"/>
  <c r="EI52" i="6"/>
  <c r="FL42" i="6"/>
  <c r="FN42" i="6" s="1"/>
  <c r="EI45" i="5"/>
  <c r="EJ41" i="5"/>
  <c r="EL37" i="8"/>
  <c r="EE37" i="8" s="1"/>
  <c r="FL37" i="8"/>
  <c r="FN37" i="8" s="1"/>
  <c r="EL43" i="6"/>
  <c r="FL41" i="7"/>
  <c r="FN41" i="7" s="1"/>
  <c r="EL41" i="5"/>
  <c r="FR40" i="5"/>
  <c r="FS40" i="5" s="1"/>
  <c r="EL42" i="7"/>
  <c r="EJ42" i="7"/>
  <c r="FL40" i="10"/>
  <c r="FN40" i="10" s="1"/>
  <c r="GC48" i="8"/>
  <c r="HN48" i="8"/>
  <c r="HP48" i="8" s="1"/>
  <c r="HW49" i="10"/>
  <c r="J49" i="10" s="1"/>
  <c r="HS50" i="10"/>
  <c r="I51" i="7"/>
  <c r="HT52" i="7"/>
  <c r="HU52" i="7" s="1"/>
  <c r="HQ52" i="7"/>
  <c r="HS52" i="7"/>
  <c r="HV52" i="7" s="1"/>
  <c r="HW51" i="7"/>
  <c r="J51" i="7" s="1"/>
  <c r="GF43" i="9" l="1"/>
  <c r="HW43" i="11"/>
  <c r="G40" i="7"/>
  <c r="FQ41" i="7"/>
  <c r="G42" i="12"/>
  <c r="FU42" i="12"/>
  <c r="H42" i="12" s="1"/>
  <c r="HS44" i="11"/>
  <c r="FR39" i="11"/>
  <c r="FS39" i="11" s="1"/>
  <c r="FO39" i="11"/>
  <c r="I43" i="11"/>
  <c r="EJ40" i="11"/>
  <c r="EL40" i="11"/>
  <c r="J43" i="11"/>
  <c r="FL43" i="12"/>
  <c r="FN43" i="12" s="1"/>
  <c r="FT43" i="12" s="1"/>
  <c r="FQ44" i="12" s="1"/>
  <c r="HV42" i="9"/>
  <c r="HS43" i="9" s="1"/>
  <c r="HN45" i="12"/>
  <c r="HP45" i="12" s="1"/>
  <c r="HT45" i="12" s="1"/>
  <c r="HU45" i="12" s="1"/>
  <c r="HW47" i="8"/>
  <c r="J47" i="8" s="1"/>
  <c r="HT44" i="11"/>
  <c r="HU44" i="11" s="1"/>
  <c r="HQ44" i="11"/>
  <c r="HV44" i="11"/>
  <c r="G39" i="5"/>
  <c r="GG45" i="11"/>
  <c r="GB45" i="11" s="1"/>
  <c r="GE45" i="11"/>
  <c r="HE45" i="11" s="1"/>
  <c r="I44" i="12"/>
  <c r="FO40" i="5"/>
  <c r="HW44" i="12"/>
  <c r="J44" i="12" s="1"/>
  <c r="HS45" i="12"/>
  <c r="I41" i="6"/>
  <c r="HW41" i="6"/>
  <c r="J41" i="6" s="1"/>
  <c r="HS42" i="6"/>
  <c r="FU39" i="5"/>
  <c r="H39" i="5" s="1"/>
  <c r="GC45" i="12"/>
  <c r="HN43" i="9"/>
  <c r="HP43" i="9" s="1"/>
  <c r="HT43" i="9" s="1"/>
  <c r="HU43" i="9" s="1"/>
  <c r="GC43" i="9"/>
  <c r="GE44" i="9" s="1"/>
  <c r="HE44" i="9" s="1"/>
  <c r="I47" i="8"/>
  <c r="HT50" i="10"/>
  <c r="HU50" i="10" s="1"/>
  <c r="HV50" i="10"/>
  <c r="I50" i="10" s="1"/>
  <c r="GE44" i="5"/>
  <c r="HE44" i="5" s="1"/>
  <c r="GG44" i="5"/>
  <c r="GB44" i="5" s="1"/>
  <c r="HQ43" i="5"/>
  <c r="HT43" i="5"/>
  <c r="HU43" i="5" s="1"/>
  <c r="HV43" i="5"/>
  <c r="G44" i="9"/>
  <c r="GG51" i="10"/>
  <c r="GB51" i="10" s="1"/>
  <c r="GC51" i="10" s="1"/>
  <c r="HQ42" i="6"/>
  <c r="HT42" i="6"/>
  <c r="HU42" i="6" s="1"/>
  <c r="GG44" i="6"/>
  <c r="GB44" i="6" s="1"/>
  <c r="GE44" i="6"/>
  <c r="HE44" i="6" s="1"/>
  <c r="HN43" i="6"/>
  <c r="HP43" i="6" s="1"/>
  <c r="EG41" i="5"/>
  <c r="EH41" i="5" s="1"/>
  <c r="EJ42" i="5" s="1"/>
  <c r="EG43" i="6"/>
  <c r="EH43" i="6" s="1"/>
  <c r="EJ44" i="6" s="1"/>
  <c r="FO37" i="8"/>
  <c r="FR37" i="8"/>
  <c r="FS37" i="8" s="1"/>
  <c r="EI52" i="12"/>
  <c r="EI49" i="11"/>
  <c r="FU44" i="9"/>
  <c r="H44" i="9" s="1"/>
  <c r="FQ45" i="9"/>
  <c r="EI38" i="8"/>
  <c r="EI39" i="8" s="1"/>
  <c r="EK37" i="8"/>
  <c r="FO42" i="6"/>
  <c r="FT42" i="6"/>
  <c r="FR42" i="6"/>
  <c r="FS42" i="6" s="1"/>
  <c r="EI46" i="5"/>
  <c r="FR41" i="7"/>
  <c r="FS41" i="7" s="1"/>
  <c r="FO41" i="7"/>
  <c r="FT40" i="5"/>
  <c r="FU40" i="5" s="1"/>
  <c r="EL38" i="8"/>
  <c r="EG38" i="8" s="1"/>
  <c r="EH38" i="8" s="1"/>
  <c r="EG42" i="7"/>
  <c r="EL41" i="10"/>
  <c r="FR40" i="10"/>
  <c r="FS40" i="10" s="1"/>
  <c r="FO40" i="10"/>
  <c r="GG49" i="8"/>
  <c r="GB49" i="8" s="1"/>
  <c r="GE49" i="8"/>
  <c r="HE49" i="8" s="1"/>
  <c r="HQ48" i="8"/>
  <c r="HT48" i="8"/>
  <c r="HU48" i="8" s="1"/>
  <c r="FL45" i="9"/>
  <c r="FN45" i="9" s="1"/>
  <c r="EL44" i="12"/>
  <c r="EG44" i="12" s="1"/>
  <c r="EH44" i="12" s="1"/>
  <c r="HW52" i="7"/>
  <c r="J52" i="7" s="1"/>
  <c r="I52" i="7"/>
  <c r="HP7" i="3"/>
  <c r="GF44" i="9" l="1"/>
  <c r="FT39" i="11"/>
  <c r="G39" i="11" s="1"/>
  <c r="EG40" i="11"/>
  <c r="EH40" i="11" s="1"/>
  <c r="I42" i="9"/>
  <c r="FO43" i="12"/>
  <c r="G43" i="12" s="1"/>
  <c r="FR43" i="12"/>
  <c r="FS43" i="12" s="1"/>
  <c r="FU43" i="12" s="1"/>
  <c r="HV45" i="12"/>
  <c r="HW45" i="12" s="1"/>
  <c r="HW42" i="9"/>
  <c r="J42" i="9" s="1"/>
  <c r="H40" i="5"/>
  <c r="HN45" i="11"/>
  <c r="HP45" i="11" s="1"/>
  <c r="HT45" i="11" s="1"/>
  <c r="HU45" i="11" s="1"/>
  <c r="GG44" i="9"/>
  <c r="GB44" i="9" s="1"/>
  <c r="HN44" i="9" s="1"/>
  <c r="HP44" i="9" s="1"/>
  <c r="I44" i="11"/>
  <c r="HW44" i="11"/>
  <c r="J44" i="11" s="1"/>
  <c r="HS45" i="11"/>
  <c r="HQ45" i="12"/>
  <c r="GC45" i="11"/>
  <c r="FT41" i="7"/>
  <c r="FQ42" i="7" s="1"/>
  <c r="GE46" i="12"/>
  <c r="HE46" i="12" s="1"/>
  <c r="GG46" i="12"/>
  <c r="GB46" i="12" s="1"/>
  <c r="FT40" i="10"/>
  <c r="G40" i="10" s="1"/>
  <c r="HN44" i="5"/>
  <c r="HP44" i="5" s="1"/>
  <c r="HT44" i="5" s="1"/>
  <c r="HU44" i="5" s="1"/>
  <c r="HV43" i="9"/>
  <c r="HW43" i="9" s="1"/>
  <c r="HS51" i="10"/>
  <c r="HQ43" i="9"/>
  <c r="HW50" i="10"/>
  <c r="J50" i="10" s="1"/>
  <c r="HW43" i="5"/>
  <c r="J43" i="5" s="1"/>
  <c r="HS44" i="5"/>
  <c r="I43" i="5"/>
  <c r="GC44" i="5"/>
  <c r="HV48" i="8"/>
  <c r="HS49" i="8" s="1"/>
  <c r="HV42" i="6"/>
  <c r="HS43" i="6" s="1"/>
  <c r="HN51" i="10"/>
  <c r="HP51" i="10" s="1"/>
  <c r="HV51" i="10" s="1"/>
  <c r="HN44" i="6"/>
  <c r="HP44" i="6" s="1"/>
  <c r="HT43" i="6"/>
  <c r="HU43" i="6" s="1"/>
  <c r="GC44" i="6"/>
  <c r="FT37" i="8"/>
  <c r="FQ38" i="8" s="1"/>
  <c r="EJ45" i="12"/>
  <c r="EI50" i="11"/>
  <c r="EG41" i="10"/>
  <c r="EH41" i="10" s="1"/>
  <c r="EJ39" i="8"/>
  <c r="EI40" i="8"/>
  <c r="G42" i="6"/>
  <c r="FQ43" i="6"/>
  <c r="FU42" i="6"/>
  <c r="H42" i="6" s="1"/>
  <c r="G40" i="5"/>
  <c r="FQ41" i="5"/>
  <c r="EI47" i="5"/>
  <c r="FL41" i="5"/>
  <c r="FN41" i="5" s="1"/>
  <c r="FL38" i="8"/>
  <c r="FN38" i="8" s="1"/>
  <c r="FL43" i="6"/>
  <c r="FN43" i="6" s="1"/>
  <c r="EL42" i="5"/>
  <c r="EG42" i="5" s="1"/>
  <c r="EH42" i="5" s="1"/>
  <c r="FL42" i="7"/>
  <c r="FN42" i="7" s="1"/>
  <c r="EH42" i="7"/>
  <c r="GC49" i="8"/>
  <c r="HN49" i="8"/>
  <c r="HP49" i="8" s="1"/>
  <c r="GE52" i="10"/>
  <c r="HE52" i="10" s="1"/>
  <c r="GG52" i="10"/>
  <c r="GB52" i="10" s="1"/>
  <c r="FL44" i="12"/>
  <c r="FN44" i="12" s="1"/>
  <c r="EL46" i="9"/>
  <c r="FR45" i="9"/>
  <c r="FS45" i="9" s="1"/>
  <c r="FO45" i="9"/>
  <c r="FT45" i="9"/>
  <c r="HQ7" i="3"/>
  <c r="HS46" i="12" l="1"/>
  <c r="FQ40" i="11"/>
  <c r="FU39" i="11"/>
  <c r="H39" i="11" s="1"/>
  <c r="FL40" i="11"/>
  <c r="FN40" i="11" s="1"/>
  <c r="FO40" i="11" s="1"/>
  <c r="H43" i="12"/>
  <c r="I45" i="12"/>
  <c r="FT44" i="12"/>
  <c r="FQ45" i="12" s="1"/>
  <c r="EL41" i="11"/>
  <c r="EJ41" i="11"/>
  <c r="GC44" i="9"/>
  <c r="GG45" i="9" s="1"/>
  <c r="HQ45" i="11"/>
  <c r="HV45" i="11"/>
  <c r="HS46" i="11" s="1"/>
  <c r="FU40" i="10"/>
  <c r="H40" i="10" s="1"/>
  <c r="I43" i="9"/>
  <c r="FU41" i="7"/>
  <c r="H41" i="7" s="1"/>
  <c r="FQ41" i="10"/>
  <c r="HQ44" i="5"/>
  <c r="GE46" i="11"/>
  <c r="HE46" i="11" s="1"/>
  <c r="GG46" i="11"/>
  <c r="GB46" i="11" s="1"/>
  <c r="J45" i="12"/>
  <c r="GC46" i="12"/>
  <c r="HN46" i="12"/>
  <c r="HP46" i="12" s="1"/>
  <c r="J43" i="9"/>
  <c r="I42" i="6"/>
  <c r="G41" i="7"/>
  <c r="HV44" i="5"/>
  <c r="HS44" i="9"/>
  <c r="HQ43" i="6"/>
  <c r="HT44" i="6" s="1"/>
  <c r="HU44" i="6" s="1"/>
  <c r="HT44" i="9"/>
  <c r="HU44" i="9" s="1"/>
  <c r="HQ44" i="9"/>
  <c r="HQ51" i="10"/>
  <c r="I51" i="10" s="1"/>
  <c r="HW42" i="6"/>
  <c r="J42" i="6" s="1"/>
  <c r="I48" i="8"/>
  <c r="HW48" i="8"/>
  <c r="J48" i="8" s="1"/>
  <c r="HT51" i="10"/>
  <c r="HU51" i="10" s="1"/>
  <c r="HW51" i="10" s="1"/>
  <c r="GG45" i="5"/>
  <c r="GB45" i="5" s="1"/>
  <c r="GE45" i="5"/>
  <c r="HE45" i="5" s="1"/>
  <c r="HV43" i="6"/>
  <c r="GE45" i="6"/>
  <c r="HE45" i="6" s="1"/>
  <c r="GG45" i="6"/>
  <c r="GB45" i="6" s="1"/>
  <c r="G37" i="8"/>
  <c r="FU37" i="8"/>
  <c r="H37" i="8" s="1"/>
  <c r="EI51" i="11"/>
  <c r="EJ42" i="10"/>
  <c r="FL41" i="10"/>
  <c r="FN41" i="10" s="1"/>
  <c r="EL42" i="10"/>
  <c r="EG46" i="9"/>
  <c r="EH46" i="9" s="1"/>
  <c r="EI41" i="8"/>
  <c r="EJ43" i="5"/>
  <c r="EI48" i="5"/>
  <c r="FR41" i="5"/>
  <c r="FS41" i="5" s="1"/>
  <c r="FO41" i="5"/>
  <c r="FT41" i="5"/>
  <c r="FO38" i="8"/>
  <c r="FR38" i="8"/>
  <c r="FS38" i="8" s="1"/>
  <c r="EL39" i="8"/>
  <c r="EG39" i="8" s="1"/>
  <c r="EH39" i="8" s="1"/>
  <c r="EL44" i="6"/>
  <c r="EG44" i="6" s="1"/>
  <c r="EH44" i="6" s="1"/>
  <c r="FR43" i="6"/>
  <c r="FS43" i="6" s="1"/>
  <c r="FT43" i="6"/>
  <c r="FO43" i="6"/>
  <c r="FL42" i="5"/>
  <c r="EL43" i="7"/>
  <c r="EJ43" i="7"/>
  <c r="FO42" i="7"/>
  <c r="FR42" i="7"/>
  <c r="FS42" i="7" s="1"/>
  <c r="FO44" i="12"/>
  <c r="FR44" i="12"/>
  <c r="FS44" i="12" s="1"/>
  <c r="HT49" i="8"/>
  <c r="HU49" i="8" s="1"/>
  <c r="HQ49" i="8"/>
  <c r="HV49" i="8"/>
  <c r="GG50" i="8"/>
  <c r="GB50" i="8" s="1"/>
  <c r="GE50" i="8"/>
  <c r="HE50" i="8" s="1"/>
  <c r="HN52" i="10"/>
  <c r="HP52" i="10" s="1"/>
  <c r="GC52" i="10"/>
  <c r="HS52" i="10"/>
  <c r="EL45" i="12"/>
  <c r="EG45" i="12" s="1"/>
  <c r="EH45" i="12" s="1"/>
  <c r="G45" i="9"/>
  <c r="FQ46" i="9"/>
  <c r="FU45" i="9"/>
  <c r="H45" i="9" s="1"/>
  <c r="HT7" i="3"/>
  <c r="FR40" i="11" l="1"/>
  <c r="FS40" i="11" s="1"/>
  <c r="FT40" i="11"/>
  <c r="G40" i="11" s="1"/>
  <c r="GE45" i="9"/>
  <c r="FT42" i="7"/>
  <c r="FQ43" i="7" s="1"/>
  <c r="FU44" i="12"/>
  <c r="H44" i="12" s="1"/>
  <c r="HW45" i="11"/>
  <c r="J45" i="11" s="1"/>
  <c r="I45" i="11"/>
  <c r="EG41" i="11"/>
  <c r="EH41" i="11" s="1"/>
  <c r="HV44" i="9"/>
  <c r="HW44" i="9" s="1"/>
  <c r="J44" i="9" s="1"/>
  <c r="GC46" i="11"/>
  <c r="HN46" i="11"/>
  <c r="HP46" i="11" s="1"/>
  <c r="HQ44" i="6"/>
  <c r="HS45" i="5"/>
  <c r="HW44" i="5"/>
  <c r="J44" i="5" s="1"/>
  <c r="I44" i="5"/>
  <c r="HQ46" i="12"/>
  <c r="HT46" i="12"/>
  <c r="HU46" i="12" s="1"/>
  <c r="GG47" i="12"/>
  <c r="GB47" i="12" s="1"/>
  <c r="GC47" i="12" s="1"/>
  <c r="GE47" i="12"/>
  <c r="HE47" i="12" s="1"/>
  <c r="FT38" i="8"/>
  <c r="G38" i="8" s="1"/>
  <c r="HN45" i="6"/>
  <c r="HP45" i="6" s="1"/>
  <c r="J51" i="10"/>
  <c r="GC45" i="6"/>
  <c r="GG46" i="6" s="1"/>
  <c r="GB46" i="6" s="1"/>
  <c r="GC46" i="6" s="1"/>
  <c r="GC45" i="5"/>
  <c r="HN45" i="5"/>
  <c r="HP45" i="5" s="1"/>
  <c r="I43" i="6"/>
  <c r="HS44" i="6"/>
  <c r="HV44" i="6" s="1"/>
  <c r="HW43" i="6"/>
  <c r="J43" i="6" s="1"/>
  <c r="EJ46" i="12"/>
  <c r="EI52" i="11"/>
  <c r="EG42" i="10"/>
  <c r="EH42" i="10" s="1"/>
  <c r="EL43" i="10" s="1"/>
  <c r="FT41" i="10"/>
  <c r="FR41" i="10"/>
  <c r="FS41" i="10" s="1"/>
  <c r="FO41" i="10"/>
  <c r="EJ47" i="9"/>
  <c r="FL46" i="9"/>
  <c r="FN46" i="9" s="1"/>
  <c r="EJ40" i="8"/>
  <c r="EI42" i="8"/>
  <c r="EJ45" i="6"/>
  <c r="EI49" i="5"/>
  <c r="EG43" i="7"/>
  <c r="FL43" i="7" s="1"/>
  <c r="FN43" i="7" s="1"/>
  <c r="G43" i="6"/>
  <c r="FQ42" i="5"/>
  <c r="FU41" i="5"/>
  <c r="H41" i="5" s="1"/>
  <c r="G41" i="5"/>
  <c r="FL39" i="8"/>
  <c r="FN39" i="8" s="1"/>
  <c r="FU43" i="6"/>
  <c r="H43" i="6" s="1"/>
  <c r="FQ44" i="6"/>
  <c r="FL44" i="6"/>
  <c r="FN44" i="6" s="1"/>
  <c r="G44" i="12"/>
  <c r="FN42" i="5"/>
  <c r="GC50" i="8"/>
  <c r="HN50" i="8"/>
  <c r="HP50" i="8" s="1"/>
  <c r="HS50" i="8"/>
  <c r="HW49" i="8"/>
  <c r="J49" i="8" s="1"/>
  <c r="I49" i="8"/>
  <c r="HQ52" i="10"/>
  <c r="HT52" i="10"/>
  <c r="HU52" i="10" s="1"/>
  <c r="HV52" i="10"/>
  <c r="EL47" i="9"/>
  <c r="HU7" i="3"/>
  <c r="HV7" i="3"/>
  <c r="I7" i="3" s="1"/>
  <c r="AI9" i="3"/>
  <c r="FU40" i="11" l="1"/>
  <c r="H40" i="11" s="1"/>
  <c r="FQ41" i="11"/>
  <c r="HE45" i="9"/>
  <c r="GF45" i="9"/>
  <c r="GB45" i="9"/>
  <c r="GC45" i="9" s="1"/>
  <c r="FO43" i="7"/>
  <c r="FL41" i="11"/>
  <c r="FN41" i="11" s="1"/>
  <c r="FO41" i="11" s="1"/>
  <c r="G42" i="7"/>
  <c r="FU42" i="7"/>
  <c r="H42" i="7" s="1"/>
  <c r="FT41" i="11"/>
  <c r="EJ42" i="11"/>
  <c r="EL42" i="11"/>
  <c r="HS45" i="9"/>
  <c r="I44" i="9"/>
  <c r="HQ45" i="6"/>
  <c r="FU38" i="8"/>
  <c r="H38" i="8" s="1"/>
  <c r="HT45" i="6"/>
  <c r="HU45" i="6" s="1"/>
  <c r="HV46" i="12"/>
  <c r="I46" i="12" s="1"/>
  <c r="FQ39" i="8"/>
  <c r="HT46" i="11"/>
  <c r="HU46" i="11" s="1"/>
  <c r="HQ46" i="11"/>
  <c r="GG47" i="11"/>
  <c r="GB47" i="11" s="1"/>
  <c r="GE47" i="11"/>
  <c r="HE47" i="11" s="1"/>
  <c r="HV46" i="11"/>
  <c r="HN47" i="12"/>
  <c r="HP47" i="12" s="1"/>
  <c r="GG48" i="12"/>
  <c r="GB48" i="12" s="1"/>
  <c r="GE48" i="12"/>
  <c r="HE48" i="12" s="1"/>
  <c r="GE46" i="6"/>
  <c r="HE46" i="6" s="1"/>
  <c r="GE46" i="5"/>
  <c r="HE46" i="5" s="1"/>
  <c r="GG46" i="5"/>
  <c r="GB46" i="5" s="1"/>
  <c r="HW52" i="10"/>
  <c r="J52" i="10" s="1"/>
  <c r="HQ45" i="5"/>
  <c r="HT45" i="5"/>
  <c r="HU45" i="5" s="1"/>
  <c r="EG47" i="9"/>
  <c r="EH47" i="9" s="1"/>
  <c r="EJ48" i="9" s="1"/>
  <c r="I44" i="6"/>
  <c r="HS45" i="6"/>
  <c r="HW44" i="6"/>
  <c r="J44" i="6" s="1"/>
  <c r="HV45" i="6"/>
  <c r="HS46" i="6" s="1"/>
  <c r="GE47" i="6"/>
  <c r="HE47" i="6" s="1"/>
  <c r="GG47" i="6"/>
  <c r="GB47" i="6" s="1"/>
  <c r="G41" i="10"/>
  <c r="EH43" i="7"/>
  <c r="EJ44" i="7" s="1"/>
  <c r="FR43" i="7"/>
  <c r="FS43" i="7" s="1"/>
  <c r="FQ42" i="10"/>
  <c r="FU41" i="10"/>
  <c r="H41" i="10" s="1"/>
  <c r="EJ43" i="10"/>
  <c r="EG43" i="10" s="1"/>
  <c r="EH43" i="10" s="1"/>
  <c r="FL42" i="10"/>
  <c r="FN42" i="10" s="1"/>
  <c r="FR46" i="9"/>
  <c r="FS46" i="9" s="1"/>
  <c r="FO46" i="9"/>
  <c r="FT46" i="9"/>
  <c r="EI43" i="8"/>
  <c r="EI50" i="5"/>
  <c r="FO39" i="8"/>
  <c r="FR39" i="8"/>
  <c r="FS39" i="8" s="1"/>
  <c r="EL40" i="8"/>
  <c r="EG40" i="8" s="1"/>
  <c r="EH40" i="8" s="1"/>
  <c r="FL45" i="12"/>
  <c r="FN45" i="12" s="1"/>
  <c r="FT45" i="12" s="1"/>
  <c r="FQ46" i="12" s="1"/>
  <c r="EL45" i="6"/>
  <c r="EG45" i="6" s="1"/>
  <c r="EH45" i="6" s="1"/>
  <c r="FO44" i="6"/>
  <c r="FR44" i="6"/>
  <c r="FS44" i="6" s="1"/>
  <c r="FT44" i="6"/>
  <c r="EL43" i="5"/>
  <c r="EG43" i="5" s="1"/>
  <c r="EH43" i="5" s="1"/>
  <c r="FO42" i="5"/>
  <c r="FR42" i="5"/>
  <c r="FS42" i="5" s="1"/>
  <c r="FT42" i="5"/>
  <c r="GE51" i="8"/>
  <c r="HE51" i="8" s="1"/>
  <c r="GG51" i="8"/>
  <c r="GB51" i="8" s="1"/>
  <c r="HT50" i="8"/>
  <c r="HU50" i="8" s="1"/>
  <c r="HQ50" i="8"/>
  <c r="HV50" i="8"/>
  <c r="I52" i="10"/>
  <c r="HS8" i="3"/>
  <c r="AJ9" i="3"/>
  <c r="AK9" i="3"/>
  <c r="E9" i="3" s="1"/>
  <c r="AI10" i="3"/>
  <c r="HW7" i="3"/>
  <c r="J7" i="3" s="1"/>
  <c r="FR41" i="11" l="1"/>
  <c r="FS41" i="11" s="1"/>
  <c r="FU41" i="11" s="1"/>
  <c r="H41" i="11" s="1"/>
  <c r="HN45" i="9"/>
  <c r="HP45" i="9" s="1"/>
  <c r="HV45" i="9" s="1"/>
  <c r="HS46" i="9" s="1"/>
  <c r="GG46" i="9"/>
  <c r="GB46" i="9" s="1"/>
  <c r="GE46" i="9"/>
  <c r="HE46" i="9" s="1"/>
  <c r="GF46" i="9"/>
  <c r="FT43" i="7"/>
  <c r="FQ44" i="7" s="1"/>
  <c r="G41" i="11"/>
  <c r="EG42" i="11"/>
  <c r="FL42" i="11" s="1"/>
  <c r="FN42" i="11" s="1"/>
  <c r="FQ42" i="11"/>
  <c r="HQ47" i="12"/>
  <c r="I46" i="11"/>
  <c r="HW46" i="12"/>
  <c r="J46" i="12" s="1"/>
  <c r="HT47" i="12"/>
  <c r="HU47" i="12" s="1"/>
  <c r="HS47" i="12"/>
  <c r="HV45" i="5"/>
  <c r="I45" i="5" s="1"/>
  <c r="HW46" i="11"/>
  <c r="J46" i="11" s="1"/>
  <c r="HS47" i="11"/>
  <c r="GC47" i="11"/>
  <c r="HN47" i="11"/>
  <c r="HP47" i="11" s="1"/>
  <c r="HV47" i="12"/>
  <c r="HN46" i="5"/>
  <c r="HP46" i="5" s="1"/>
  <c r="FT39" i="8"/>
  <c r="G39" i="8" s="1"/>
  <c r="GC48" i="12"/>
  <c r="HN48" i="12"/>
  <c r="HP48" i="12" s="1"/>
  <c r="HN46" i="6"/>
  <c r="HP46" i="6" s="1"/>
  <c r="HQ46" i="6" s="1"/>
  <c r="GC46" i="5"/>
  <c r="GE47" i="5" s="1"/>
  <c r="HE47" i="5" s="1"/>
  <c r="HN47" i="6"/>
  <c r="HP47" i="6" s="1"/>
  <c r="HT47" i="6" s="1"/>
  <c r="I45" i="6"/>
  <c r="GC47" i="6"/>
  <c r="GE48" i="6" s="1"/>
  <c r="HE48" i="6" s="1"/>
  <c r="HW45" i="6"/>
  <c r="J45" i="6" s="1"/>
  <c r="FL47" i="9"/>
  <c r="FN47" i="9" s="1"/>
  <c r="FO47" i="9" s="1"/>
  <c r="HN51" i="8"/>
  <c r="HP51" i="8" s="1"/>
  <c r="HQ51" i="8" s="1"/>
  <c r="I50" i="8"/>
  <c r="GC51" i="8"/>
  <c r="GG52" i="8" s="1"/>
  <c r="GB52" i="8" s="1"/>
  <c r="EL44" i="7"/>
  <c r="EG44" i="7" s="1"/>
  <c r="FL44" i="7" s="1"/>
  <c r="FN44" i="7" s="1"/>
  <c r="EJ44" i="10"/>
  <c r="FR42" i="10"/>
  <c r="FS42" i="10" s="1"/>
  <c r="FT42" i="10"/>
  <c r="FO42" i="10"/>
  <c r="G46" i="9"/>
  <c r="FQ47" i="9"/>
  <c r="FU46" i="9"/>
  <c r="H46" i="9" s="1"/>
  <c r="EJ41" i="8"/>
  <c r="EI44" i="8"/>
  <c r="EJ46" i="6"/>
  <c r="EI51" i="5"/>
  <c r="EJ44" i="5"/>
  <c r="FL45" i="6"/>
  <c r="FN45" i="6" s="1"/>
  <c r="FR45" i="6" s="1"/>
  <c r="FS45" i="6" s="1"/>
  <c r="FL40" i="8"/>
  <c r="FN40" i="8" s="1"/>
  <c r="FR45" i="12"/>
  <c r="FS45" i="12" s="1"/>
  <c r="FU45" i="12" s="1"/>
  <c r="FO45" i="12"/>
  <c r="G45" i="12" s="1"/>
  <c r="G44" i="6"/>
  <c r="EL44" i="5"/>
  <c r="FU44" i="6"/>
  <c r="H44" i="6" s="1"/>
  <c r="FQ45" i="6"/>
  <c r="FU42" i="5"/>
  <c r="H42" i="5" s="1"/>
  <c r="FQ43" i="5"/>
  <c r="FL43" i="10"/>
  <c r="FN43" i="10" s="1"/>
  <c r="EL46" i="12"/>
  <c r="EG46" i="12" s="1"/>
  <c r="EH46" i="12" s="1"/>
  <c r="G42" i="5"/>
  <c r="HS51" i="8"/>
  <c r="HW50" i="8"/>
  <c r="J50" i="8" s="1"/>
  <c r="EL48" i="9"/>
  <c r="EG48" i="9" s="1"/>
  <c r="EH48" i="9" s="1"/>
  <c r="EL46" i="6"/>
  <c r="AH10" i="3"/>
  <c r="AF10" i="3"/>
  <c r="AI11" i="3" s="1"/>
  <c r="AL9" i="3"/>
  <c r="F9" i="3" s="1"/>
  <c r="AJ10" i="3"/>
  <c r="FO44" i="7" l="1"/>
  <c r="FU43" i="7"/>
  <c r="H43" i="7" s="1"/>
  <c r="G43" i="7"/>
  <c r="HT45" i="9"/>
  <c r="HU45" i="9" s="1"/>
  <c r="HW45" i="9" s="1"/>
  <c r="HQ45" i="9"/>
  <c r="I45" i="9" s="1"/>
  <c r="GC46" i="9"/>
  <c r="HN46" i="9"/>
  <c r="HP46" i="9" s="1"/>
  <c r="HV46" i="9" s="1"/>
  <c r="J45" i="9"/>
  <c r="EH42" i="11"/>
  <c r="EJ43" i="11" s="1"/>
  <c r="HS46" i="5"/>
  <c r="I47" i="12"/>
  <c r="HQ46" i="5"/>
  <c r="HW45" i="5"/>
  <c r="J45" i="5" s="1"/>
  <c r="HT46" i="5"/>
  <c r="HU46" i="5" s="1"/>
  <c r="FR42" i="11"/>
  <c r="FS42" i="11" s="1"/>
  <c r="FO42" i="11"/>
  <c r="FT42" i="11"/>
  <c r="HV46" i="5"/>
  <c r="HS48" i="12"/>
  <c r="GE48" i="11"/>
  <c r="HE48" i="11" s="1"/>
  <c r="GG48" i="11"/>
  <c r="GB48" i="11" s="1"/>
  <c r="HW47" i="12"/>
  <c r="J47" i="12" s="1"/>
  <c r="HV47" i="11"/>
  <c r="HQ47" i="11"/>
  <c r="HT47" i="11"/>
  <c r="HU47" i="11" s="1"/>
  <c r="FU39" i="8"/>
  <c r="H39" i="8" s="1"/>
  <c r="FT47" i="9"/>
  <c r="G47" i="9" s="1"/>
  <c r="FQ40" i="8"/>
  <c r="FR47" i="9"/>
  <c r="FS47" i="9" s="1"/>
  <c r="HQ48" i="12"/>
  <c r="HT48" i="12"/>
  <c r="HU48" i="12" s="1"/>
  <c r="HV48" i="12"/>
  <c r="GG49" i="12"/>
  <c r="GB49" i="12" s="1"/>
  <c r="GC49" i="12" s="1"/>
  <c r="GE49" i="12"/>
  <c r="HE49" i="12" s="1"/>
  <c r="GG47" i="5"/>
  <c r="GB47" i="5" s="1"/>
  <c r="HN47" i="5" s="1"/>
  <c r="HP47" i="5" s="1"/>
  <c r="HT46" i="6"/>
  <c r="HU46" i="6" s="1"/>
  <c r="HU47" i="6" s="1"/>
  <c r="GG48" i="6"/>
  <c r="GB48" i="6" s="1"/>
  <c r="HN48" i="6" s="1"/>
  <c r="HP48" i="6" s="1"/>
  <c r="HT48" i="6" s="1"/>
  <c r="HT51" i="8"/>
  <c r="HU51" i="8" s="1"/>
  <c r="GE52" i="8"/>
  <c r="HE52" i="8" s="1"/>
  <c r="EH44" i="7"/>
  <c r="EL45" i="7" s="1"/>
  <c r="EG45" i="7" s="1"/>
  <c r="HV51" i="8"/>
  <c r="HS52" i="8" s="1"/>
  <c r="HV46" i="6"/>
  <c r="HQ47" i="6" s="1"/>
  <c r="G42" i="10"/>
  <c r="GC52" i="8"/>
  <c r="EG46" i="6"/>
  <c r="EH46" i="6" s="1"/>
  <c r="EJ47" i="6" s="1"/>
  <c r="H45" i="12"/>
  <c r="EG44" i="5"/>
  <c r="EH44" i="5" s="1"/>
  <c r="EJ45" i="5" s="1"/>
  <c r="FR44" i="7"/>
  <c r="FS44" i="7" s="1"/>
  <c r="EJ47" i="12"/>
  <c r="FQ43" i="10"/>
  <c r="FT43" i="10" s="1"/>
  <c r="FU42" i="10"/>
  <c r="H42" i="10" s="1"/>
  <c r="EJ49" i="9"/>
  <c r="EI45" i="8"/>
  <c r="FO45" i="6"/>
  <c r="FT45" i="6"/>
  <c r="FQ46" i="6" s="1"/>
  <c r="EI52" i="5"/>
  <c r="FL43" i="5"/>
  <c r="FN43" i="5" s="1"/>
  <c r="EL41" i="8"/>
  <c r="EG41" i="8" s="1"/>
  <c r="EH41" i="8" s="1"/>
  <c r="FT40" i="8"/>
  <c r="FO40" i="8"/>
  <c r="FR40" i="8"/>
  <c r="FS40" i="8" s="1"/>
  <c r="EL44" i="10"/>
  <c r="EG44" i="10" s="1"/>
  <c r="EH44" i="10" s="1"/>
  <c r="FO43" i="10"/>
  <c r="FR43" i="10"/>
  <c r="FS43" i="10" s="1"/>
  <c r="FL48" i="9"/>
  <c r="FN48" i="9" s="1"/>
  <c r="FL46" i="12"/>
  <c r="FN46" i="12" s="1"/>
  <c r="AJ11" i="3"/>
  <c r="AK10" i="3"/>
  <c r="HQ46" i="9" l="1"/>
  <c r="I46" i="9" s="1"/>
  <c r="HT46" i="9"/>
  <c r="HU46" i="9" s="1"/>
  <c r="HW46" i="9" s="1"/>
  <c r="J46" i="9" s="1"/>
  <c r="GE47" i="9"/>
  <c r="GG47" i="9"/>
  <c r="GB47" i="9" s="1"/>
  <c r="FT44" i="7"/>
  <c r="FQ45" i="7" s="1"/>
  <c r="EL43" i="11"/>
  <c r="EG43" i="11" s="1"/>
  <c r="EH43" i="11" s="1"/>
  <c r="HW46" i="5"/>
  <c r="J46" i="5" s="1"/>
  <c r="HS47" i="5"/>
  <c r="I46" i="5"/>
  <c r="HS47" i="9"/>
  <c r="FU42" i="11"/>
  <c r="H42" i="11" s="1"/>
  <c r="FQ43" i="11"/>
  <c r="G42" i="11"/>
  <c r="I47" i="11"/>
  <c r="I48" i="12"/>
  <c r="HW47" i="11"/>
  <c r="J47" i="11" s="1"/>
  <c r="HS48" i="11"/>
  <c r="GC48" i="11"/>
  <c r="HN48" i="11"/>
  <c r="HP48" i="11" s="1"/>
  <c r="FU47" i="9"/>
  <c r="H47" i="9" s="1"/>
  <c r="FT48" i="9"/>
  <c r="FQ49" i="9" s="1"/>
  <c r="FQ48" i="9"/>
  <c r="GE50" i="12"/>
  <c r="HE50" i="12" s="1"/>
  <c r="GG50" i="12"/>
  <c r="GB50" i="12" s="1"/>
  <c r="HN49" i="12"/>
  <c r="HP49" i="12" s="1"/>
  <c r="HW48" i="12"/>
  <c r="J48" i="12" s="1"/>
  <c r="HS49" i="12"/>
  <c r="GC47" i="5"/>
  <c r="GG48" i="5" s="1"/>
  <c r="GB48" i="5" s="1"/>
  <c r="GC48" i="6"/>
  <c r="GG49" i="6" s="1"/>
  <c r="GB49" i="6" s="1"/>
  <c r="GC49" i="6" s="1"/>
  <c r="I51" i="8"/>
  <c r="EJ45" i="7"/>
  <c r="FL45" i="7" s="1"/>
  <c r="FN45" i="7" s="1"/>
  <c r="FR45" i="7" s="1"/>
  <c r="FS45" i="7" s="1"/>
  <c r="HN52" i="8"/>
  <c r="HP52" i="8" s="1"/>
  <c r="HT52" i="8" s="1"/>
  <c r="HU52" i="8" s="1"/>
  <c r="HW46" i="6"/>
  <c r="J46" i="6" s="1"/>
  <c r="HU48" i="6"/>
  <c r="I46" i="6"/>
  <c r="HT47" i="5"/>
  <c r="HU47" i="5" s="1"/>
  <c r="HQ47" i="5"/>
  <c r="HV47" i="5"/>
  <c r="HW51" i="8"/>
  <c r="J51" i="8" s="1"/>
  <c r="FU44" i="7"/>
  <c r="H44" i="7" s="1"/>
  <c r="HS47" i="6"/>
  <c r="HV47" i="6" s="1"/>
  <c r="HQ48" i="6" s="1"/>
  <c r="FL44" i="5"/>
  <c r="FN44" i="5" s="1"/>
  <c r="FL46" i="6"/>
  <c r="FN46" i="6" s="1"/>
  <c r="FR46" i="6" s="1"/>
  <c r="FS46" i="6" s="1"/>
  <c r="FU45" i="6"/>
  <c r="H45" i="6" s="1"/>
  <c r="EJ45" i="10"/>
  <c r="EI46" i="8"/>
  <c r="EJ42" i="8"/>
  <c r="G45" i="6"/>
  <c r="FO43" i="5"/>
  <c r="FR43" i="5"/>
  <c r="FS43" i="5" s="1"/>
  <c r="FT43" i="5"/>
  <c r="FQ41" i="8"/>
  <c r="FU40" i="8"/>
  <c r="H40" i="8" s="1"/>
  <c r="G40" i="8"/>
  <c r="FR48" i="9"/>
  <c r="FS48" i="9" s="1"/>
  <c r="FL41" i="8"/>
  <c r="FN41" i="8" s="1"/>
  <c r="FO48" i="9"/>
  <c r="G43" i="10"/>
  <c r="FU43" i="10"/>
  <c r="H43" i="10" s="1"/>
  <c r="FQ44" i="10"/>
  <c r="EH45" i="7"/>
  <c r="EL49" i="9"/>
  <c r="EL47" i="6"/>
  <c r="EG47" i="6" s="1"/>
  <c r="EH47" i="6" s="1"/>
  <c r="EL47" i="12"/>
  <c r="EG47" i="12" s="1"/>
  <c r="EH47" i="12" s="1"/>
  <c r="FT46" i="12"/>
  <c r="FR46" i="12"/>
  <c r="FS46" i="12" s="1"/>
  <c r="FO46" i="12"/>
  <c r="AH11" i="3"/>
  <c r="AK11" i="3" s="1"/>
  <c r="E10" i="3"/>
  <c r="AF11" i="3"/>
  <c r="AI12" i="3" s="1"/>
  <c r="AJ12" i="3" s="1"/>
  <c r="AL10" i="3"/>
  <c r="F10" i="3" s="1"/>
  <c r="HE47" i="9" l="1"/>
  <c r="HN47" i="9" s="1"/>
  <c r="HP47" i="9" s="1"/>
  <c r="GF47" i="9"/>
  <c r="GC47" i="9"/>
  <c r="G44" i="7"/>
  <c r="FL43" i="11"/>
  <c r="FN43" i="11" s="1"/>
  <c r="FT43" i="11" s="1"/>
  <c r="FQ44" i="11" s="1"/>
  <c r="FU48" i="9"/>
  <c r="H48" i="9" s="1"/>
  <c r="G48" i="9"/>
  <c r="EJ44" i="11"/>
  <c r="EL44" i="11"/>
  <c r="HT48" i="11"/>
  <c r="HU48" i="11" s="1"/>
  <c r="HV48" i="11"/>
  <c r="HQ48" i="11"/>
  <c r="GG49" i="11"/>
  <c r="GB49" i="11" s="1"/>
  <c r="GE49" i="11"/>
  <c r="HE49" i="11" s="1"/>
  <c r="GE49" i="6"/>
  <c r="HE49" i="6" s="1"/>
  <c r="GE48" i="5"/>
  <c r="HE48" i="5" s="1"/>
  <c r="HT49" i="12"/>
  <c r="HU49" i="12" s="1"/>
  <c r="HQ49" i="12"/>
  <c r="HV49" i="12"/>
  <c r="GC50" i="12"/>
  <c r="HN50" i="12"/>
  <c r="HP50" i="12" s="1"/>
  <c r="HQ52" i="8"/>
  <c r="I47" i="5"/>
  <c r="HV52" i="8"/>
  <c r="HW52" i="8" s="1"/>
  <c r="GC48" i="5"/>
  <c r="HS48" i="5"/>
  <c r="HW47" i="5"/>
  <c r="J47" i="5" s="1"/>
  <c r="FO45" i="7"/>
  <c r="HS48" i="6"/>
  <c r="HW47" i="6"/>
  <c r="J47" i="6" s="1"/>
  <c r="I47" i="6"/>
  <c r="HV48" i="6"/>
  <c r="I48" i="6" s="1"/>
  <c r="FT46" i="6"/>
  <c r="FU46" i="6" s="1"/>
  <c r="GG50" i="6"/>
  <c r="GB50" i="6" s="1"/>
  <c r="GC50" i="6" s="1"/>
  <c r="GG51" i="6" s="1"/>
  <c r="GB51" i="6" s="1"/>
  <c r="GE50" i="6"/>
  <c r="HE50" i="6" s="1"/>
  <c r="FO46" i="6"/>
  <c r="FT45" i="7"/>
  <c r="EJ48" i="12"/>
  <c r="EG49" i="9"/>
  <c r="EH49" i="9" s="1"/>
  <c r="EI47" i="8"/>
  <c r="EJ48" i="6"/>
  <c r="FU43" i="5"/>
  <c r="H43" i="5" s="1"/>
  <c r="FQ44" i="5"/>
  <c r="FT44" i="5" s="1"/>
  <c r="G43" i="5"/>
  <c r="FT41" i="8"/>
  <c r="FO41" i="8"/>
  <c r="FR41" i="8"/>
  <c r="FS41" i="8" s="1"/>
  <c r="EL42" i="8"/>
  <c r="EG42" i="8" s="1"/>
  <c r="EH42" i="8" s="1"/>
  <c r="FR44" i="5"/>
  <c r="FS44" i="5" s="1"/>
  <c r="FO44" i="5"/>
  <c r="EL45" i="5"/>
  <c r="EG45" i="5" s="1"/>
  <c r="EH45" i="5" s="1"/>
  <c r="EL46" i="7"/>
  <c r="EJ46" i="7"/>
  <c r="FL44" i="10"/>
  <c r="FN44" i="10" s="1"/>
  <c r="FL47" i="12"/>
  <c r="FN47" i="12" s="1"/>
  <c r="FT47" i="12" s="1"/>
  <c r="FU46" i="12"/>
  <c r="H46" i="12" s="1"/>
  <c r="FQ47" i="12"/>
  <c r="G46" i="12"/>
  <c r="AH12" i="3"/>
  <c r="AK12" i="3" s="1"/>
  <c r="E11" i="3"/>
  <c r="AF12" i="3"/>
  <c r="AI13" i="3" s="1"/>
  <c r="AJ13" i="3" s="1"/>
  <c r="AL11" i="3"/>
  <c r="F11" i="3" s="1"/>
  <c r="FR43" i="11" l="1"/>
  <c r="FS43" i="11" s="1"/>
  <c r="FU43" i="11" s="1"/>
  <c r="FO43" i="11"/>
  <c r="G43" i="11" s="1"/>
  <c r="HT47" i="9"/>
  <c r="HU47" i="9" s="1"/>
  <c r="HQ47" i="9"/>
  <c r="HV47" i="9"/>
  <c r="GE48" i="9"/>
  <c r="HE48" i="9" s="1"/>
  <c r="GG48" i="9"/>
  <c r="GB48" i="9" s="1"/>
  <c r="GF48" i="9"/>
  <c r="EG44" i="11"/>
  <c r="FL44" i="11" s="1"/>
  <c r="FN44" i="11" s="1"/>
  <c r="I48" i="11"/>
  <c r="HN49" i="6"/>
  <c r="HP49" i="6" s="1"/>
  <c r="HT49" i="6" s="1"/>
  <c r="HU49" i="6" s="1"/>
  <c r="GC49" i="11"/>
  <c r="HN49" i="11"/>
  <c r="HP49" i="11" s="1"/>
  <c r="HS49" i="11"/>
  <c r="HW48" i="11"/>
  <c r="J48" i="11" s="1"/>
  <c r="HN48" i="5"/>
  <c r="HP48" i="5" s="1"/>
  <c r="HQ48" i="5" s="1"/>
  <c r="HQ50" i="12"/>
  <c r="HT50" i="12"/>
  <c r="HU50" i="12" s="1"/>
  <c r="GG51" i="12"/>
  <c r="GB51" i="12" s="1"/>
  <c r="GC51" i="12" s="1"/>
  <c r="GE51" i="12"/>
  <c r="HE51" i="12" s="1"/>
  <c r="HS50" i="12"/>
  <c r="HV50" i="12" s="1"/>
  <c r="HW49" i="12"/>
  <c r="J49" i="12" s="1"/>
  <c r="I49" i="12"/>
  <c r="J52" i="8"/>
  <c r="G46" i="6"/>
  <c r="G45" i="7"/>
  <c r="I52" i="8"/>
  <c r="FU45" i="7"/>
  <c r="H45" i="7" s="1"/>
  <c r="HS49" i="6"/>
  <c r="HW48" i="6"/>
  <c r="J48" i="6" s="1"/>
  <c r="GE49" i="5"/>
  <c r="HE49" i="5" s="1"/>
  <c r="GG49" i="5"/>
  <c r="GB49" i="5" s="1"/>
  <c r="FQ47" i="6"/>
  <c r="H46" i="6"/>
  <c r="FQ46" i="7"/>
  <c r="HN50" i="6"/>
  <c r="HP50" i="6" s="1"/>
  <c r="GC51" i="6"/>
  <c r="GG52" i="6" s="1"/>
  <c r="GB52" i="6" s="1"/>
  <c r="GE51" i="6"/>
  <c r="HE51" i="6" s="1"/>
  <c r="G41" i="8"/>
  <c r="EJ50" i="9"/>
  <c r="FL49" i="9"/>
  <c r="FN49" i="9" s="1"/>
  <c r="EJ43" i="8"/>
  <c r="EI48" i="8"/>
  <c r="EJ46" i="5"/>
  <c r="FU41" i="8"/>
  <c r="H41" i="8" s="1"/>
  <c r="FQ42" i="8"/>
  <c r="FR44" i="10"/>
  <c r="FS44" i="10" s="1"/>
  <c r="FT44" i="10"/>
  <c r="FO44" i="10"/>
  <c r="FR47" i="12"/>
  <c r="FS47" i="12" s="1"/>
  <c r="FU47" i="12" s="1"/>
  <c r="FU44" i="5"/>
  <c r="H44" i="5" s="1"/>
  <c r="FQ45" i="5"/>
  <c r="EL45" i="10"/>
  <c r="EG45" i="10" s="1"/>
  <c r="EH45" i="10" s="1"/>
  <c r="EG46" i="7"/>
  <c r="G44" i="5"/>
  <c r="FO47" i="12"/>
  <c r="EL50" i="9"/>
  <c r="EL48" i="12"/>
  <c r="EG48" i="12" s="1"/>
  <c r="EH48" i="12" s="1"/>
  <c r="FQ48" i="12"/>
  <c r="AH13" i="3"/>
  <c r="AK13" i="3" s="1"/>
  <c r="E12" i="3"/>
  <c r="AF13" i="3"/>
  <c r="AI14" i="3" s="1"/>
  <c r="AJ14" i="3" s="1"/>
  <c r="AL12" i="3"/>
  <c r="F12" i="3" s="1"/>
  <c r="H43" i="11" l="1"/>
  <c r="EH44" i="11"/>
  <c r="GC48" i="9"/>
  <c r="HN48" i="9"/>
  <c r="HP48" i="9" s="1"/>
  <c r="HW47" i="9"/>
  <c r="J47" i="9" s="1"/>
  <c r="HS48" i="9"/>
  <c r="I47" i="9"/>
  <c r="FO44" i="11"/>
  <c r="FR44" i="11"/>
  <c r="FS44" i="11" s="1"/>
  <c r="FT44" i="11"/>
  <c r="EJ45" i="11"/>
  <c r="EL45" i="11"/>
  <c r="EG45" i="11" s="1"/>
  <c r="EH45" i="11" s="1"/>
  <c r="EJ46" i="11" s="1"/>
  <c r="HQ49" i="6"/>
  <c r="HV48" i="5"/>
  <c r="I48" i="5" s="1"/>
  <c r="HT48" i="5"/>
  <c r="HU48" i="5" s="1"/>
  <c r="HV49" i="6"/>
  <c r="HS50" i="6" s="1"/>
  <c r="I50" i="12"/>
  <c r="HT49" i="11"/>
  <c r="HU49" i="11" s="1"/>
  <c r="HQ49" i="11"/>
  <c r="HV49" i="11"/>
  <c r="GE50" i="11"/>
  <c r="HE50" i="11" s="1"/>
  <c r="GG50" i="11"/>
  <c r="GB50" i="11" s="1"/>
  <c r="GG52" i="12"/>
  <c r="GB52" i="12" s="1"/>
  <c r="GC52" i="12" s="1"/>
  <c r="GE52" i="12"/>
  <c r="HE52" i="12" s="1"/>
  <c r="HN49" i="5"/>
  <c r="HP49" i="5" s="1"/>
  <c r="HT49" i="5" s="1"/>
  <c r="HN51" i="12"/>
  <c r="HP51" i="12" s="1"/>
  <c r="HW50" i="12"/>
  <c r="J50" i="12" s="1"/>
  <c r="HS51" i="12"/>
  <c r="GC49" i="5"/>
  <c r="GE50" i="5" s="1"/>
  <c r="HE50" i="5" s="1"/>
  <c r="EG50" i="9"/>
  <c r="EH50" i="9" s="1"/>
  <c r="EJ51" i="9" s="1"/>
  <c r="GE52" i="6"/>
  <c r="HE52" i="6" s="1"/>
  <c r="HT50" i="6"/>
  <c r="HU50" i="6" s="1"/>
  <c r="HN51" i="6"/>
  <c r="HP51" i="6" s="1"/>
  <c r="G44" i="10"/>
  <c r="EJ49" i="12"/>
  <c r="EJ46" i="10"/>
  <c r="FO49" i="9"/>
  <c r="FR49" i="9"/>
  <c r="FS49" i="9" s="1"/>
  <c r="FT49" i="9"/>
  <c r="EI49" i="8"/>
  <c r="FL45" i="5"/>
  <c r="FN45" i="5" s="1"/>
  <c r="FL42" i="8"/>
  <c r="FN42" i="8" s="1"/>
  <c r="FU44" i="10"/>
  <c r="H44" i="10" s="1"/>
  <c r="FQ45" i="10"/>
  <c r="FL46" i="7"/>
  <c r="FN46" i="7" s="1"/>
  <c r="EH46" i="7"/>
  <c r="EL46" i="5"/>
  <c r="EG46" i="5" s="1"/>
  <c r="EH46" i="5" s="1"/>
  <c r="GC52" i="6"/>
  <c r="FL47" i="6"/>
  <c r="FN47" i="6" s="1"/>
  <c r="H47" i="12"/>
  <c r="G47" i="12"/>
  <c r="AH14" i="3"/>
  <c r="E13" i="3"/>
  <c r="AF14" i="3"/>
  <c r="AI15" i="3" s="1"/>
  <c r="AJ15" i="3" s="1"/>
  <c r="AL13" i="3"/>
  <c r="F13" i="3" s="1"/>
  <c r="HV48" i="9" l="1"/>
  <c r="HQ48" i="9"/>
  <c r="HT48" i="9"/>
  <c r="HU48" i="9" s="1"/>
  <c r="GG49" i="9"/>
  <c r="GE49" i="9"/>
  <c r="I48" i="9"/>
  <c r="HW48" i="5"/>
  <c r="J48" i="5" s="1"/>
  <c r="HS49" i="5"/>
  <c r="FQ45" i="11"/>
  <c r="FU44" i="11"/>
  <c r="H44" i="11" s="1"/>
  <c r="G44" i="11"/>
  <c r="HV50" i="6"/>
  <c r="HS51" i="6" s="1"/>
  <c r="HQ50" i="6"/>
  <c r="HU49" i="5"/>
  <c r="I49" i="6"/>
  <c r="HW49" i="6"/>
  <c r="J49" i="6" s="1"/>
  <c r="I49" i="11"/>
  <c r="HQ49" i="5"/>
  <c r="HV49" i="5"/>
  <c r="HS50" i="5" s="1"/>
  <c r="GC50" i="11"/>
  <c r="HN50" i="11"/>
  <c r="HP50" i="11" s="1"/>
  <c r="HS50" i="11"/>
  <c r="HW49" i="11"/>
  <c r="J49" i="11" s="1"/>
  <c r="HV51" i="12"/>
  <c r="HT51" i="12"/>
  <c r="HU51" i="12" s="1"/>
  <c r="HQ51" i="12"/>
  <c r="HN52" i="12"/>
  <c r="HP52" i="12" s="1"/>
  <c r="GG50" i="5"/>
  <c r="GB50" i="5" s="1"/>
  <c r="GC50" i="5" s="1"/>
  <c r="GG51" i="5" s="1"/>
  <c r="GB51" i="5" s="1"/>
  <c r="FL50" i="9"/>
  <c r="FN50" i="9" s="1"/>
  <c r="FO50" i="9" s="1"/>
  <c r="HT51" i="6"/>
  <c r="HU51" i="6" s="1"/>
  <c r="HN52" i="6"/>
  <c r="HP52" i="6" s="1"/>
  <c r="FQ50" i="9"/>
  <c r="FU49" i="9"/>
  <c r="H49" i="9" s="1"/>
  <c r="G49" i="9"/>
  <c r="EI50" i="8"/>
  <c r="EJ47" i="5"/>
  <c r="FO45" i="5"/>
  <c r="FR45" i="5"/>
  <c r="FS45" i="5" s="1"/>
  <c r="FT45" i="5"/>
  <c r="FL46" i="5"/>
  <c r="FR42" i="8"/>
  <c r="FS42" i="8" s="1"/>
  <c r="FT42" i="8"/>
  <c r="FO42" i="8"/>
  <c r="EL43" i="8"/>
  <c r="EG43" i="8" s="1"/>
  <c r="EH43" i="8" s="1"/>
  <c r="FL45" i="11"/>
  <c r="FN45" i="11" s="1"/>
  <c r="FT45" i="11" s="1"/>
  <c r="FQ46" i="11" s="1"/>
  <c r="EJ47" i="7"/>
  <c r="EL47" i="7"/>
  <c r="EG47" i="7" s="1"/>
  <c r="FO46" i="7"/>
  <c r="FT46" i="7"/>
  <c r="FR46" i="7"/>
  <c r="FS46" i="7" s="1"/>
  <c r="FL45" i="10"/>
  <c r="FN45" i="10" s="1"/>
  <c r="EL48" i="6"/>
  <c r="EG48" i="6" s="1"/>
  <c r="EH48" i="6" s="1"/>
  <c r="FT47" i="6"/>
  <c r="FQ48" i="6" s="1"/>
  <c r="FO47" i="6"/>
  <c r="FR47" i="6"/>
  <c r="FS47" i="6" s="1"/>
  <c r="FL48" i="12"/>
  <c r="FN48" i="12" s="1"/>
  <c r="EL51" i="9"/>
  <c r="EG51" i="9" s="1"/>
  <c r="EH51" i="9" s="1"/>
  <c r="AK14" i="3"/>
  <c r="HE49" i="9" l="1"/>
  <c r="GF49" i="9"/>
  <c r="GB49" i="9"/>
  <c r="HS49" i="9"/>
  <c r="HW48" i="9"/>
  <c r="J48" i="9" s="1"/>
  <c r="I50" i="6"/>
  <c r="HV51" i="6"/>
  <c r="HW51" i="6" s="1"/>
  <c r="I49" i="5"/>
  <c r="HQ51" i="6"/>
  <c r="HQ52" i="6" s="1"/>
  <c r="HW50" i="6"/>
  <c r="J50" i="6" s="1"/>
  <c r="HW49" i="5"/>
  <c r="J49" i="5" s="1"/>
  <c r="FT50" i="9"/>
  <c r="FQ51" i="9" s="1"/>
  <c r="I51" i="12"/>
  <c r="FR50" i="9"/>
  <c r="FS50" i="9" s="1"/>
  <c r="HV50" i="11"/>
  <c r="HS51" i="11" s="1"/>
  <c r="HQ50" i="11"/>
  <c r="HT50" i="11"/>
  <c r="HU50" i="11" s="1"/>
  <c r="GG51" i="11"/>
  <c r="GB51" i="11" s="1"/>
  <c r="GE51" i="11"/>
  <c r="HE51" i="11" s="1"/>
  <c r="HQ52" i="12"/>
  <c r="HT52" i="12"/>
  <c r="HU52" i="12" s="1"/>
  <c r="GC51" i="5"/>
  <c r="GG52" i="5" s="1"/>
  <c r="GB52" i="5" s="1"/>
  <c r="GE51" i="5"/>
  <c r="HE51" i="5" s="1"/>
  <c r="HS52" i="12"/>
  <c r="HV52" i="12" s="1"/>
  <c r="HW51" i="12"/>
  <c r="J51" i="12" s="1"/>
  <c r="HN50" i="5"/>
  <c r="HP50" i="5" s="1"/>
  <c r="HQ50" i="5" s="1"/>
  <c r="G42" i="8"/>
  <c r="HT52" i="6"/>
  <c r="HU52" i="6" s="1"/>
  <c r="FL47" i="7"/>
  <c r="FN47" i="7" s="1"/>
  <c r="FO47" i="7" s="1"/>
  <c r="EJ52" i="9"/>
  <c r="EI51" i="8"/>
  <c r="EJ44" i="8"/>
  <c r="EJ49" i="6"/>
  <c r="G46" i="7"/>
  <c r="FU45" i="5"/>
  <c r="H45" i="5" s="1"/>
  <c r="FQ46" i="5"/>
  <c r="G45" i="5"/>
  <c r="FL43" i="8"/>
  <c r="FN43" i="8" s="1"/>
  <c r="FU42" i="8"/>
  <c r="H42" i="8" s="1"/>
  <c r="FQ43" i="8"/>
  <c r="FN46" i="5"/>
  <c r="FU47" i="6"/>
  <c r="H47" i="6" s="1"/>
  <c r="FL48" i="6"/>
  <c r="FN48" i="6" s="1"/>
  <c r="FO48" i="6" s="1"/>
  <c r="EL46" i="11"/>
  <c r="EG46" i="11" s="1"/>
  <c r="EH46" i="11" s="1"/>
  <c r="FR45" i="11"/>
  <c r="FS45" i="11" s="1"/>
  <c r="FU45" i="11" s="1"/>
  <c r="FO45" i="11"/>
  <c r="G45" i="11" s="1"/>
  <c r="EL46" i="10"/>
  <c r="EG46" i="10" s="1"/>
  <c r="EH46" i="10" s="1"/>
  <c r="FO45" i="10"/>
  <c r="FR45" i="10"/>
  <c r="FS45" i="10" s="1"/>
  <c r="FT45" i="10"/>
  <c r="FU46" i="7"/>
  <c r="H46" i="7" s="1"/>
  <c r="FQ47" i="7"/>
  <c r="EH47" i="7"/>
  <c r="G47" i="6"/>
  <c r="EL49" i="12"/>
  <c r="EG49" i="12" s="1"/>
  <c r="EH49" i="12" s="1"/>
  <c r="FL51" i="9"/>
  <c r="FN51" i="9" s="1"/>
  <c r="FR48" i="12"/>
  <c r="FS48" i="12" s="1"/>
  <c r="FO48" i="12"/>
  <c r="FT48" i="12"/>
  <c r="AF15" i="3"/>
  <c r="AI16" i="3" s="1"/>
  <c r="AJ16" i="3" s="1"/>
  <c r="E14" i="3"/>
  <c r="AL14" i="3"/>
  <c r="F14" i="3" s="1"/>
  <c r="AH15" i="3"/>
  <c r="AK15" i="3" s="1"/>
  <c r="GC49" i="9" l="1"/>
  <c r="HN49" i="9"/>
  <c r="HP49" i="9" s="1"/>
  <c r="J51" i="6"/>
  <c r="I51" i="6"/>
  <c r="HV52" i="6"/>
  <c r="I52" i="6" s="1"/>
  <c r="HS52" i="6"/>
  <c r="FT51" i="9"/>
  <c r="FQ52" i="9" s="1"/>
  <c r="G50" i="9"/>
  <c r="FU50" i="9"/>
  <c r="H50" i="9" s="1"/>
  <c r="HW50" i="11"/>
  <c r="J50" i="11" s="1"/>
  <c r="I50" i="11"/>
  <c r="HW52" i="12"/>
  <c r="J52" i="12" s="1"/>
  <c r="GC51" i="11"/>
  <c r="HN51" i="11"/>
  <c r="HP51" i="11" s="1"/>
  <c r="HV51" i="11" s="1"/>
  <c r="HN51" i="5"/>
  <c r="HP51" i="5" s="1"/>
  <c r="HT51" i="5" s="1"/>
  <c r="GE52" i="5"/>
  <c r="HE52" i="5" s="1"/>
  <c r="I52" i="12"/>
  <c r="HT50" i="5"/>
  <c r="HU50" i="5" s="1"/>
  <c r="HV50" i="5"/>
  <c r="GC52" i="5"/>
  <c r="FR47" i="7"/>
  <c r="FS47" i="7" s="1"/>
  <c r="FT47" i="7"/>
  <c r="FQ48" i="7" s="1"/>
  <c r="FT48" i="6"/>
  <c r="FQ49" i="6" s="1"/>
  <c r="H45" i="11"/>
  <c r="EJ50" i="12"/>
  <c r="EJ47" i="11"/>
  <c r="EJ47" i="10"/>
  <c r="EI52" i="8"/>
  <c r="EL49" i="6"/>
  <c r="EG49" i="6" s="1"/>
  <c r="EH49" i="6" s="1"/>
  <c r="FR48" i="6"/>
  <c r="FS48" i="6" s="1"/>
  <c r="EL47" i="5"/>
  <c r="FR46" i="5"/>
  <c r="FS46" i="5" s="1"/>
  <c r="FO46" i="5"/>
  <c r="FT46" i="5"/>
  <c r="FL46" i="11"/>
  <c r="FN46" i="11" s="1"/>
  <c r="FR46" i="11" s="1"/>
  <c r="FS46" i="11" s="1"/>
  <c r="EL44" i="8"/>
  <c r="EG44" i="8" s="1"/>
  <c r="EH44" i="8" s="1"/>
  <c r="FO43" i="8"/>
  <c r="FT43" i="8"/>
  <c r="FR43" i="8"/>
  <c r="FS43" i="8" s="1"/>
  <c r="G45" i="10"/>
  <c r="FU45" i="10"/>
  <c r="H45" i="10" s="1"/>
  <c r="FQ46" i="10"/>
  <c r="FO51" i="9"/>
  <c r="FR51" i="9"/>
  <c r="FS51" i="9" s="1"/>
  <c r="EL48" i="7"/>
  <c r="EG48" i="7" s="1"/>
  <c r="EH48" i="7" s="1"/>
  <c r="EJ48" i="7"/>
  <c r="G48" i="12"/>
  <c r="FQ49" i="12"/>
  <c r="FU48" i="12"/>
  <c r="H48" i="12" s="1"/>
  <c r="EL47" i="11"/>
  <c r="AH16" i="3"/>
  <c r="AK16" i="3" s="1"/>
  <c r="E15" i="3"/>
  <c r="AF16" i="3"/>
  <c r="AI17" i="3" s="1"/>
  <c r="AJ17" i="3" s="1"/>
  <c r="AL15" i="3"/>
  <c r="F15" i="3" s="1"/>
  <c r="HW52" i="6" l="1"/>
  <c r="J52" i="6" s="1"/>
  <c r="HT49" i="9"/>
  <c r="HU49" i="9" s="1"/>
  <c r="HV49" i="9"/>
  <c r="HQ49" i="9"/>
  <c r="GG50" i="9"/>
  <c r="GE50" i="9"/>
  <c r="FU51" i="9"/>
  <c r="H51" i="9" s="1"/>
  <c r="HN52" i="5"/>
  <c r="HP52" i="5" s="1"/>
  <c r="HT52" i="5" s="1"/>
  <c r="HS52" i="11"/>
  <c r="HQ51" i="11"/>
  <c r="I51" i="11" s="1"/>
  <c r="HT51" i="11"/>
  <c r="HU51" i="11" s="1"/>
  <c r="GE52" i="11"/>
  <c r="HE52" i="11" s="1"/>
  <c r="GG52" i="11"/>
  <c r="GB52" i="11" s="1"/>
  <c r="HW50" i="5"/>
  <c r="J50" i="5" s="1"/>
  <c r="HS51" i="5"/>
  <c r="HV51" i="5" s="1"/>
  <c r="HS52" i="5" s="1"/>
  <c r="HU51" i="5"/>
  <c r="HQ51" i="5"/>
  <c r="I50" i="5"/>
  <c r="G47" i="7"/>
  <c r="FU47" i="7"/>
  <c r="H47" i="7" s="1"/>
  <c r="G48" i="6"/>
  <c r="FU48" i="6"/>
  <c r="H48" i="6" s="1"/>
  <c r="G43" i="8"/>
  <c r="EG47" i="11"/>
  <c r="EH47" i="11" s="1"/>
  <c r="EJ48" i="11" s="1"/>
  <c r="FL48" i="7"/>
  <c r="FN48" i="7" s="1"/>
  <c r="FT48" i="7" s="1"/>
  <c r="EJ45" i="8"/>
  <c r="EJ50" i="6"/>
  <c r="EG47" i="5"/>
  <c r="EH47" i="5" s="1"/>
  <c r="FO46" i="11"/>
  <c r="FQ44" i="8"/>
  <c r="FU43" i="8"/>
  <c r="H43" i="8" s="1"/>
  <c r="FU46" i="5"/>
  <c r="H46" i="5" s="1"/>
  <c r="FQ47" i="5"/>
  <c r="FL44" i="8"/>
  <c r="FN44" i="8" s="1"/>
  <c r="G46" i="5"/>
  <c r="G51" i="9"/>
  <c r="EL52" i="9"/>
  <c r="EG52" i="9" s="1"/>
  <c r="EH52" i="9" s="1"/>
  <c r="FL46" i="10"/>
  <c r="FN46" i="10" s="1"/>
  <c r="EL49" i="7"/>
  <c r="EJ49" i="7"/>
  <c r="FT46" i="11"/>
  <c r="FQ47" i="11" s="1"/>
  <c r="FL49" i="6"/>
  <c r="FN49" i="6" s="1"/>
  <c r="AH17" i="3"/>
  <c r="AK17" i="3" s="1"/>
  <c r="E16" i="3"/>
  <c r="AF17" i="3"/>
  <c r="AL16" i="3"/>
  <c r="F16" i="3" s="1"/>
  <c r="I49" i="9" l="1"/>
  <c r="HE50" i="9"/>
  <c r="GF50" i="9"/>
  <c r="GB50" i="9"/>
  <c r="HS50" i="9"/>
  <c r="HW49" i="9"/>
  <c r="J49" i="9" s="1"/>
  <c r="HN52" i="11"/>
  <c r="HP52" i="11" s="1"/>
  <c r="HT52" i="11" s="1"/>
  <c r="HU52" i="11" s="1"/>
  <c r="HU52" i="5"/>
  <c r="GC52" i="11"/>
  <c r="HW51" i="11"/>
  <c r="J51" i="11" s="1"/>
  <c r="HV52" i="5"/>
  <c r="HW51" i="5"/>
  <c r="J51" i="5" s="1"/>
  <c r="I51" i="5"/>
  <c r="HQ52" i="5"/>
  <c r="FO48" i="7"/>
  <c r="G48" i="7" s="1"/>
  <c r="FR48" i="7"/>
  <c r="FS48" i="7" s="1"/>
  <c r="FU48" i="7" s="1"/>
  <c r="EJ48" i="5"/>
  <c r="FL47" i="5"/>
  <c r="FN47" i="5" s="1"/>
  <c r="FO47" i="5" s="1"/>
  <c r="EL48" i="5"/>
  <c r="EL45" i="8"/>
  <c r="EG45" i="8" s="1"/>
  <c r="EH45" i="8" s="1"/>
  <c r="EG49" i="7"/>
  <c r="FL49" i="7" s="1"/>
  <c r="FN49" i="7" s="1"/>
  <c r="FO44" i="8"/>
  <c r="FT44" i="8"/>
  <c r="FR44" i="8"/>
  <c r="FS44" i="8" s="1"/>
  <c r="EL47" i="10"/>
  <c r="EG47" i="10" s="1"/>
  <c r="EH47" i="10" s="1"/>
  <c r="FO46" i="10"/>
  <c r="FR46" i="10"/>
  <c r="FS46" i="10" s="1"/>
  <c r="FT46" i="10"/>
  <c r="FQ49" i="7"/>
  <c r="FL49" i="12"/>
  <c r="FN49" i="12" s="1"/>
  <c r="G46" i="11"/>
  <c r="FU46" i="11"/>
  <c r="H46" i="11" s="1"/>
  <c r="FL47" i="11"/>
  <c r="FN47" i="11" s="1"/>
  <c r="FL52" i="9"/>
  <c r="FN52" i="9" s="1"/>
  <c r="EL50" i="6"/>
  <c r="EG50" i="6" s="1"/>
  <c r="EH50" i="6" s="1"/>
  <c r="FO49" i="6"/>
  <c r="FR49" i="6"/>
  <c r="FS49" i="6" s="1"/>
  <c r="FT49" i="6"/>
  <c r="AH18" i="3"/>
  <c r="E17" i="3"/>
  <c r="AF18" i="3"/>
  <c r="AI19" i="3" s="1"/>
  <c r="AL17" i="3"/>
  <c r="F17" i="3" s="1"/>
  <c r="AI18" i="3"/>
  <c r="GC50" i="9" l="1"/>
  <c r="HN50" i="9"/>
  <c r="HP50" i="9" s="1"/>
  <c r="HQ52" i="11"/>
  <c r="HV52" i="11"/>
  <c r="HW52" i="11" s="1"/>
  <c r="J52" i="11" s="1"/>
  <c r="HW52" i="5"/>
  <c r="J52" i="5" s="1"/>
  <c r="EG48" i="5"/>
  <c r="EH48" i="5" s="1"/>
  <c r="EJ49" i="5" s="1"/>
  <c r="I52" i="5"/>
  <c r="FR47" i="5"/>
  <c r="FS47" i="5" s="1"/>
  <c r="H48" i="7"/>
  <c r="EJ48" i="10"/>
  <c r="EJ46" i="8"/>
  <c r="EJ51" i="6"/>
  <c r="EH49" i="7"/>
  <c r="EJ50" i="7" s="1"/>
  <c r="FT47" i="5"/>
  <c r="G47" i="5" s="1"/>
  <c r="G44" i="8"/>
  <c r="FQ45" i="8"/>
  <c r="FU44" i="8"/>
  <c r="H44" i="8" s="1"/>
  <c r="FL45" i="8"/>
  <c r="FN45" i="8" s="1"/>
  <c r="G46" i="10"/>
  <c r="FQ47" i="10"/>
  <c r="FU46" i="10"/>
  <c r="H46" i="10" s="1"/>
  <c r="FO49" i="7"/>
  <c r="FT49" i="7"/>
  <c r="FR49" i="7"/>
  <c r="FS49" i="7" s="1"/>
  <c r="EL50" i="12"/>
  <c r="EG50" i="12" s="1"/>
  <c r="EH50" i="12" s="1"/>
  <c r="FO49" i="12"/>
  <c r="FT49" i="12"/>
  <c r="FR49" i="12"/>
  <c r="FS49" i="12" s="1"/>
  <c r="EL48" i="11"/>
  <c r="EG48" i="11" s="1"/>
  <c r="EH48" i="11" s="1"/>
  <c r="FO47" i="11"/>
  <c r="FR47" i="11"/>
  <c r="FS47" i="11" s="1"/>
  <c r="FT52" i="9"/>
  <c r="FO52" i="9"/>
  <c r="FR52" i="9"/>
  <c r="FS52" i="9" s="1"/>
  <c r="FQ50" i="6"/>
  <c r="FU49" i="6"/>
  <c r="H49" i="6" s="1"/>
  <c r="G49" i="6"/>
  <c r="AK18" i="3"/>
  <c r="AJ18" i="3"/>
  <c r="AJ19" i="3" s="1"/>
  <c r="HT50" i="9" l="1"/>
  <c r="HU50" i="9" s="1"/>
  <c r="HQ50" i="9"/>
  <c r="HV50" i="9"/>
  <c r="GE51" i="9"/>
  <c r="HE51" i="9" s="1"/>
  <c r="GG51" i="9"/>
  <c r="I52" i="11"/>
  <c r="FL48" i="5"/>
  <c r="FN48" i="5" s="1"/>
  <c r="FQ48" i="5"/>
  <c r="G52" i="9"/>
  <c r="FU47" i="5"/>
  <c r="H47" i="5" s="1"/>
  <c r="EL50" i="7"/>
  <c r="EG50" i="7" s="1"/>
  <c r="FL50" i="7" s="1"/>
  <c r="FN50" i="7" s="1"/>
  <c r="FR50" i="7" s="1"/>
  <c r="FS50" i="7" s="1"/>
  <c r="EJ51" i="12"/>
  <c r="EJ49" i="11"/>
  <c r="G49" i="7"/>
  <c r="FR45" i="8"/>
  <c r="FS45" i="8" s="1"/>
  <c r="FO45" i="8"/>
  <c r="FT45" i="8"/>
  <c r="EL46" i="8"/>
  <c r="EG46" i="8" s="1"/>
  <c r="EH46" i="8" s="1"/>
  <c r="FL47" i="10"/>
  <c r="FN47" i="10" s="1"/>
  <c r="FQ50" i="7"/>
  <c r="FU49" i="7"/>
  <c r="H49" i="7" s="1"/>
  <c r="G49" i="12"/>
  <c r="FQ50" i="12"/>
  <c r="FU49" i="12"/>
  <c r="H49" i="12" s="1"/>
  <c r="FT47" i="11"/>
  <c r="G47" i="11" s="1"/>
  <c r="FU52" i="9"/>
  <c r="H52" i="9" s="1"/>
  <c r="FL50" i="6"/>
  <c r="FN50" i="6" s="1"/>
  <c r="AH19" i="3"/>
  <c r="AK19" i="3" s="1"/>
  <c r="E18" i="3"/>
  <c r="AF19" i="3"/>
  <c r="AI20" i="3" s="1"/>
  <c r="AJ20" i="3" s="1"/>
  <c r="AL18" i="3"/>
  <c r="F18" i="3" s="1"/>
  <c r="I50" i="9" l="1"/>
  <c r="HW50" i="9"/>
  <c r="J50" i="9" s="1"/>
  <c r="HS51" i="9"/>
  <c r="GB51" i="9"/>
  <c r="EH50" i="7"/>
  <c r="EL51" i="7" s="1"/>
  <c r="EG51" i="7" s="1"/>
  <c r="G45" i="8"/>
  <c r="FT50" i="7"/>
  <c r="FQ51" i="7" s="1"/>
  <c r="FO50" i="7"/>
  <c r="EJ47" i="8"/>
  <c r="FL46" i="8"/>
  <c r="FN46" i="8" s="1"/>
  <c r="EL47" i="8"/>
  <c r="EL49" i="5"/>
  <c r="EG49" i="5" s="1"/>
  <c r="EH49" i="5" s="1"/>
  <c r="FQ46" i="8"/>
  <c r="FU45" i="8"/>
  <c r="H45" i="8" s="1"/>
  <c r="FO48" i="5"/>
  <c r="FR48" i="5"/>
  <c r="FS48" i="5" s="1"/>
  <c r="FT48" i="5"/>
  <c r="FT47" i="10"/>
  <c r="FO47" i="10"/>
  <c r="FR47" i="10"/>
  <c r="FS47" i="10" s="1"/>
  <c r="EL48" i="10"/>
  <c r="EG48" i="10" s="1"/>
  <c r="EH48" i="10" s="1"/>
  <c r="FL50" i="12"/>
  <c r="FN50" i="12" s="1"/>
  <c r="FT50" i="12" s="1"/>
  <c r="EL51" i="12"/>
  <c r="EG51" i="12" s="1"/>
  <c r="EH51" i="12" s="1"/>
  <c r="FQ48" i="11"/>
  <c r="FU47" i="11"/>
  <c r="H47" i="11" s="1"/>
  <c r="FL48" i="11"/>
  <c r="FN48" i="11" s="1"/>
  <c r="EL51" i="6"/>
  <c r="EG51" i="6" s="1"/>
  <c r="EH51" i="6" s="1"/>
  <c r="FR50" i="6"/>
  <c r="FS50" i="6" s="1"/>
  <c r="FO50" i="6"/>
  <c r="FT50" i="6"/>
  <c r="E19" i="3"/>
  <c r="AF20" i="3"/>
  <c r="AH20" i="3"/>
  <c r="AK20" i="3" s="1"/>
  <c r="AL19" i="3"/>
  <c r="F19" i="3" s="1"/>
  <c r="GC51" i="9" l="1"/>
  <c r="HN51" i="9"/>
  <c r="HP51" i="9" s="1"/>
  <c r="EJ51" i="7"/>
  <c r="FL51" i="7" s="1"/>
  <c r="FN51" i="7" s="1"/>
  <c r="G50" i="7"/>
  <c r="FU50" i="7"/>
  <c r="H50" i="7" s="1"/>
  <c r="EG47" i="8"/>
  <c r="EH47" i="8" s="1"/>
  <c r="EJ48" i="8" s="1"/>
  <c r="G47" i="10"/>
  <c r="EJ52" i="12"/>
  <c r="EJ49" i="10"/>
  <c r="EJ52" i="6"/>
  <c r="EJ50" i="5"/>
  <c r="FT46" i="8"/>
  <c r="FR46" i="8"/>
  <c r="FS46" i="8" s="1"/>
  <c r="FO46" i="8"/>
  <c r="G48" i="5"/>
  <c r="FU48" i="5"/>
  <c r="H48" i="5" s="1"/>
  <c r="FQ49" i="5"/>
  <c r="FL49" i="5"/>
  <c r="FL48" i="10"/>
  <c r="FN48" i="10" s="1"/>
  <c r="FR50" i="12"/>
  <c r="FS50" i="12" s="1"/>
  <c r="FU50" i="12" s="1"/>
  <c r="FO50" i="12"/>
  <c r="G50" i="12" s="1"/>
  <c r="FU47" i="10"/>
  <c r="H47" i="10" s="1"/>
  <c r="FQ48" i="10"/>
  <c r="FQ51" i="12"/>
  <c r="EL49" i="11"/>
  <c r="EG49" i="11" s="1"/>
  <c r="EH49" i="11" s="1"/>
  <c r="FR48" i="11"/>
  <c r="FS48" i="11" s="1"/>
  <c r="FO48" i="11"/>
  <c r="EH51" i="7"/>
  <c r="G50" i="6"/>
  <c r="FQ51" i="6"/>
  <c r="FU50" i="6"/>
  <c r="H50" i="6" s="1"/>
  <c r="AH21" i="3"/>
  <c r="E20" i="3"/>
  <c r="AF21" i="3"/>
  <c r="AI22" i="3" s="1"/>
  <c r="AI21" i="3"/>
  <c r="AJ21" i="3" s="1"/>
  <c r="AL20" i="3"/>
  <c r="F20" i="3" s="1"/>
  <c r="HT51" i="9" l="1"/>
  <c r="HU51" i="9" s="1"/>
  <c r="HV51" i="9"/>
  <c r="HQ51" i="9"/>
  <c r="GG52" i="9"/>
  <c r="GE52" i="9"/>
  <c r="HE52" i="9" s="1"/>
  <c r="I51" i="9"/>
  <c r="FL47" i="8"/>
  <c r="FN47" i="8" s="1"/>
  <c r="FT47" i="8" s="1"/>
  <c r="G46" i="8"/>
  <c r="EJ50" i="11"/>
  <c r="FU46" i="8"/>
  <c r="H46" i="8" s="1"/>
  <c r="FQ47" i="8"/>
  <c r="H50" i="12"/>
  <c r="FN49" i="5"/>
  <c r="EL49" i="10"/>
  <c r="FT48" i="10"/>
  <c r="FR48" i="10"/>
  <c r="FS48" i="10" s="1"/>
  <c r="FO48" i="10"/>
  <c r="FL51" i="12"/>
  <c r="FN51" i="12" s="1"/>
  <c r="FT48" i="11"/>
  <c r="G48" i="11" s="1"/>
  <c r="EL48" i="8"/>
  <c r="EG48" i="8" s="1"/>
  <c r="EH48" i="8" s="1"/>
  <c r="EL52" i="7"/>
  <c r="EJ52" i="7"/>
  <c r="FT51" i="7"/>
  <c r="FO51" i="7"/>
  <c r="FR51" i="7"/>
  <c r="FS51" i="7" s="1"/>
  <c r="FL51" i="6"/>
  <c r="FN51" i="6" s="1"/>
  <c r="AJ22" i="3"/>
  <c r="AK21" i="3"/>
  <c r="AF22" i="3"/>
  <c r="HW51" i="9" l="1"/>
  <c r="J51" i="9" s="1"/>
  <c r="HS52" i="9"/>
  <c r="GB52" i="9"/>
  <c r="FR47" i="8"/>
  <c r="FS47" i="8" s="1"/>
  <c r="FU47" i="8" s="1"/>
  <c r="FO47" i="8"/>
  <c r="G47" i="8" s="1"/>
  <c r="EG49" i="10"/>
  <c r="EH49" i="10" s="1"/>
  <c r="EJ49" i="8"/>
  <c r="FR49" i="5"/>
  <c r="FS49" i="5" s="1"/>
  <c r="FO49" i="5"/>
  <c r="EL50" i="5"/>
  <c r="EG50" i="5" s="1"/>
  <c r="EH50" i="5" s="1"/>
  <c r="G48" i="10"/>
  <c r="FU48" i="10"/>
  <c r="H48" i="10" s="1"/>
  <c r="FQ49" i="10"/>
  <c r="EL52" i="12"/>
  <c r="EG52" i="12" s="1"/>
  <c r="EH52" i="12" s="1"/>
  <c r="FT51" i="12"/>
  <c r="FR51" i="12"/>
  <c r="FS51" i="12" s="1"/>
  <c r="FO51" i="12"/>
  <c r="FQ49" i="11"/>
  <c r="FU48" i="11"/>
  <c r="H48" i="11" s="1"/>
  <c r="FL49" i="11"/>
  <c r="FN49" i="11" s="1"/>
  <c r="FQ48" i="8"/>
  <c r="G51" i="7"/>
  <c r="FQ52" i="7"/>
  <c r="FU51" i="7"/>
  <c r="H51" i="7" s="1"/>
  <c r="EG52" i="7"/>
  <c r="EL52" i="6"/>
  <c r="EG52" i="6" s="1"/>
  <c r="EH52" i="6" s="1"/>
  <c r="FT51" i="6"/>
  <c r="FR51" i="6"/>
  <c r="FS51" i="6" s="1"/>
  <c r="FO51" i="6"/>
  <c r="AH22" i="3"/>
  <c r="AK22" i="3" s="1"/>
  <c r="E21" i="3"/>
  <c r="AL21" i="3"/>
  <c r="F21" i="3" s="1"/>
  <c r="AF23" i="3"/>
  <c r="AI23" i="3"/>
  <c r="GC52" i="9" l="1"/>
  <c r="HN52" i="9"/>
  <c r="HP52" i="9" s="1"/>
  <c r="H47" i="8"/>
  <c r="EJ50" i="10"/>
  <c r="FL49" i="10"/>
  <c r="FN49" i="10" s="1"/>
  <c r="EJ51" i="5"/>
  <c r="G51" i="6"/>
  <c r="FT49" i="5"/>
  <c r="G49" i="5" s="1"/>
  <c r="EL50" i="10"/>
  <c r="G51" i="12"/>
  <c r="FU51" i="12"/>
  <c r="H51" i="12" s="1"/>
  <c r="FQ52" i="12"/>
  <c r="EL50" i="11"/>
  <c r="EG50" i="11" s="1"/>
  <c r="EH50" i="11" s="1"/>
  <c r="FO49" i="11"/>
  <c r="FR49" i="11"/>
  <c r="FS49" i="11" s="1"/>
  <c r="FL48" i="8"/>
  <c r="FN48" i="8" s="1"/>
  <c r="FL52" i="7"/>
  <c r="FN52" i="7" s="1"/>
  <c r="EH52" i="7"/>
  <c r="FQ52" i="6"/>
  <c r="FU51" i="6"/>
  <c r="H51" i="6" s="1"/>
  <c r="AH23" i="3"/>
  <c r="AK23" i="3" s="1"/>
  <c r="E23" i="3" s="1"/>
  <c r="E22" i="3"/>
  <c r="AL22" i="3"/>
  <c r="F22" i="3" s="1"/>
  <c r="AJ23" i="3"/>
  <c r="AI24" i="3"/>
  <c r="HT52" i="9" l="1"/>
  <c r="HU52" i="9" s="1"/>
  <c r="HQ52" i="9"/>
  <c r="HV52" i="9"/>
  <c r="HW52" i="9" s="1"/>
  <c r="J52" i="9" s="1"/>
  <c r="EG50" i="10"/>
  <c r="EH50" i="10" s="1"/>
  <c r="EJ51" i="10" s="1"/>
  <c r="EJ51" i="11"/>
  <c r="FT49" i="10"/>
  <c r="FR49" i="10"/>
  <c r="FS49" i="10" s="1"/>
  <c r="FO49" i="10"/>
  <c r="FQ50" i="5"/>
  <c r="FU49" i="5"/>
  <c r="H49" i="5" s="1"/>
  <c r="FL50" i="5"/>
  <c r="FN50" i="5" s="1"/>
  <c r="FL52" i="12"/>
  <c r="FN52" i="12" s="1"/>
  <c r="FT49" i="11"/>
  <c r="FU49" i="11" s="1"/>
  <c r="H49" i="11" s="1"/>
  <c r="EL49" i="8"/>
  <c r="EG49" i="8" s="1"/>
  <c r="EH49" i="8" s="1"/>
  <c r="FO48" i="8"/>
  <c r="FR48" i="8"/>
  <c r="FS48" i="8" s="1"/>
  <c r="FT48" i="8"/>
  <c r="FT52" i="7"/>
  <c r="FR52" i="7"/>
  <c r="FS52" i="7" s="1"/>
  <c r="FO52" i="7"/>
  <c r="FL52" i="6"/>
  <c r="FN52" i="6" s="1"/>
  <c r="AF24" i="3"/>
  <c r="AI25" i="3" s="1"/>
  <c r="AH24" i="3"/>
  <c r="AK24" i="3" s="1"/>
  <c r="AJ24" i="3"/>
  <c r="AL23" i="3"/>
  <c r="F23" i="3" s="1"/>
  <c r="I52" i="9" l="1"/>
  <c r="FL50" i="10"/>
  <c r="FN50" i="10" s="1"/>
  <c r="FO50" i="10" s="1"/>
  <c r="G49" i="10"/>
  <c r="FQ50" i="10"/>
  <c r="FU49" i="10"/>
  <c r="H49" i="10" s="1"/>
  <c r="EJ50" i="8"/>
  <c r="G52" i="7"/>
  <c r="FO50" i="5"/>
  <c r="FR50" i="5"/>
  <c r="FS50" i="5" s="1"/>
  <c r="FT50" i="5"/>
  <c r="EL51" i="5"/>
  <c r="EG51" i="5" s="1"/>
  <c r="EH51" i="5" s="1"/>
  <c r="EL51" i="10"/>
  <c r="EG51" i="10" s="1"/>
  <c r="EH51" i="10" s="1"/>
  <c r="FR52" i="12"/>
  <c r="FS52" i="12" s="1"/>
  <c r="FO52" i="12"/>
  <c r="FT52" i="12"/>
  <c r="G49" i="11"/>
  <c r="FQ50" i="11"/>
  <c r="G48" i="8"/>
  <c r="FL50" i="11"/>
  <c r="FN50" i="11" s="1"/>
  <c r="FQ49" i="8"/>
  <c r="FU48" i="8"/>
  <c r="H48" i="8" s="1"/>
  <c r="FU52" i="7"/>
  <c r="H52" i="7" s="1"/>
  <c r="FT52" i="6"/>
  <c r="FR52" i="6"/>
  <c r="FS52" i="6" s="1"/>
  <c r="FO52" i="6"/>
  <c r="E24" i="3"/>
  <c r="AF25" i="3"/>
  <c r="AI26" i="3" s="1"/>
  <c r="AH25" i="3"/>
  <c r="AK25" i="3" s="1"/>
  <c r="AJ25" i="3"/>
  <c r="AL24" i="3"/>
  <c r="F24" i="3" s="1"/>
  <c r="FR50" i="10" l="1"/>
  <c r="FS50" i="10" s="1"/>
  <c r="FT50" i="10"/>
  <c r="G50" i="10" s="1"/>
  <c r="E25" i="3"/>
  <c r="FU52" i="12"/>
  <c r="H52" i="12" s="1"/>
  <c r="EJ52" i="10"/>
  <c r="EJ52" i="5"/>
  <c r="FL51" i="5"/>
  <c r="FN51" i="5" s="1"/>
  <c r="FU50" i="5"/>
  <c r="H50" i="5" s="1"/>
  <c r="FQ51" i="5"/>
  <c r="G50" i="5"/>
  <c r="G52" i="12"/>
  <c r="G52" i="6"/>
  <c r="EL51" i="11"/>
  <c r="EG51" i="11" s="1"/>
  <c r="EH51" i="11" s="1"/>
  <c r="FR50" i="11"/>
  <c r="FS50" i="11" s="1"/>
  <c r="FT50" i="11"/>
  <c r="FO50" i="11"/>
  <c r="FL49" i="8"/>
  <c r="FN49" i="8" s="1"/>
  <c r="FU52" i="6"/>
  <c r="H52" i="6" s="1"/>
  <c r="AF26" i="3"/>
  <c r="AI27" i="3" s="1"/>
  <c r="AH26" i="3"/>
  <c r="AK26" i="3" s="1"/>
  <c r="AJ26" i="3"/>
  <c r="AL25" i="3"/>
  <c r="F25" i="3" s="1"/>
  <c r="FQ51" i="10" l="1"/>
  <c r="FU50" i="10"/>
  <c r="H50" i="10" s="1"/>
  <c r="EJ52" i="11"/>
  <c r="FR51" i="5"/>
  <c r="FS51" i="5" s="1"/>
  <c r="FO51" i="5"/>
  <c r="EL52" i="5"/>
  <c r="EG52" i="5" s="1"/>
  <c r="EH52" i="5" s="1"/>
  <c r="FT51" i="5"/>
  <c r="FL51" i="10"/>
  <c r="FN51" i="10" s="1"/>
  <c r="FQ51" i="11"/>
  <c r="FU50" i="11"/>
  <c r="H50" i="11" s="1"/>
  <c r="G50" i="11"/>
  <c r="EL50" i="8"/>
  <c r="EG50" i="8" s="1"/>
  <c r="EH50" i="8" s="1"/>
  <c r="FO49" i="8"/>
  <c r="FR49" i="8"/>
  <c r="FS49" i="8" s="1"/>
  <c r="FT49" i="8"/>
  <c r="E26" i="3"/>
  <c r="AF27" i="3"/>
  <c r="AI28" i="3" s="1"/>
  <c r="AH27" i="3"/>
  <c r="AK27" i="3" s="1"/>
  <c r="AJ27" i="3"/>
  <c r="AL26" i="3"/>
  <c r="F26" i="3" s="1"/>
  <c r="EJ51" i="8" l="1"/>
  <c r="FL52" i="5"/>
  <c r="FN52" i="5" s="1"/>
  <c r="FU51" i="5"/>
  <c r="H51" i="5" s="1"/>
  <c r="FQ52" i="5"/>
  <c r="G51" i="5"/>
  <c r="EL52" i="10"/>
  <c r="FO51" i="10"/>
  <c r="FT51" i="10"/>
  <c r="FR51" i="10"/>
  <c r="FS51" i="10" s="1"/>
  <c r="E27" i="3"/>
  <c r="G49" i="8"/>
  <c r="FL51" i="11"/>
  <c r="FN51" i="11" s="1"/>
  <c r="FQ50" i="8"/>
  <c r="FU49" i="8"/>
  <c r="H49" i="8" s="1"/>
  <c r="AF28" i="3"/>
  <c r="AI29" i="3" s="1"/>
  <c r="AH28" i="3"/>
  <c r="AK28" i="3" s="1"/>
  <c r="AJ28" i="3"/>
  <c r="AL27" i="3"/>
  <c r="F27" i="3" s="1"/>
  <c r="EG52" i="10" l="1"/>
  <c r="EH52" i="10" s="1"/>
  <c r="FR52" i="5"/>
  <c r="FS52" i="5" s="1"/>
  <c r="FO52" i="5"/>
  <c r="FT52" i="5"/>
  <c r="G51" i="10"/>
  <c r="FQ52" i="10"/>
  <c r="FU51" i="10"/>
  <c r="H51" i="10" s="1"/>
  <c r="EL52" i="11"/>
  <c r="EG52" i="11" s="1"/>
  <c r="EH52" i="11" s="1"/>
  <c r="FT51" i="11"/>
  <c r="FR51" i="11"/>
  <c r="FS51" i="11" s="1"/>
  <c r="FO51" i="11"/>
  <c r="FL50" i="8"/>
  <c r="FN50" i="8" s="1"/>
  <c r="E28" i="3"/>
  <c r="AF29" i="3"/>
  <c r="AI30" i="3" s="1"/>
  <c r="AH29" i="3"/>
  <c r="AK29" i="3" s="1"/>
  <c r="AJ29" i="3"/>
  <c r="AL28" i="3"/>
  <c r="F28" i="3" s="1"/>
  <c r="FU52" i="5" l="1"/>
  <c r="H52" i="5" s="1"/>
  <c r="G52" i="5"/>
  <c r="FL52" i="10"/>
  <c r="FN52" i="10" s="1"/>
  <c r="FQ52" i="11"/>
  <c r="FU51" i="11"/>
  <c r="H51" i="11" s="1"/>
  <c r="G51" i="11"/>
  <c r="EL51" i="8"/>
  <c r="EG51" i="8" s="1"/>
  <c r="EH51" i="8" s="1"/>
  <c r="FR50" i="8"/>
  <c r="FS50" i="8" s="1"/>
  <c r="FO50" i="8"/>
  <c r="FT50" i="8"/>
  <c r="E29" i="3"/>
  <c r="AF30" i="3"/>
  <c r="AI31" i="3" s="1"/>
  <c r="AH30" i="3"/>
  <c r="AK30" i="3" s="1"/>
  <c r="AJ30" i="3"/>
  <c r="AL29" i="3"/>
  <c r="F29" i="3" s="1"/>
  <c r="FR52" i="10" l="1"/>
  <c r="FS52" i="10" s="1"/>
  <c r="FO52" i="10"/>
  <c r="FT52" i="10"/>
  <c r="EJ52" i="8"/>
  <c r="FL51" i="8"/>
  <c r="FN51" i="8" s="1"/>
  <c r="FT51" i="8" s="1"/>
  <c r="G50" i="8"/>
  <c r="FL52" i="11"/>
  <c r="FN52" i="11" s="1"/>
  <c r="FQ51" i="8"/>
  <c r="FU50" i="8"/>
  <c r="H50" i="8" s="1"/>
  <c r="E30" i="3"/>
  <c r="AF31" i="3"/>
  <c r="AI32" i="3" s="1"/>
  <c r="AH31" i="3"/>
  <c r="AK31" i="3" s="1"/>
  <c r="AJ31" i="3"/>
  <c r="AL30" i="3"/>
  <c r="F30" i="3" s="1"/>
  <c r="FU52" i="10" l="1"/>
  <c r="H52" i="10"/>
  <c r="G52" i="10"/>
  <c r="FO51" i="8"/>
  <c r="EL52" i="8"/>
  <c r="EG52" i="8" s="1"/>
  <c r="EH52" i="8" s="1"/>
  <c r="FR51" i="8"/>
  <c r="FS51" i="8" s="1"/>
  <c r="FU51" i="8" s="1"/>
  <c r="FT52" i="11"/>
  <c r="FR52" i="11"/>
  <c r="FS52" i="11" s="1"/>
  <c r="FO52" i="11"/>
  <c r="FQ52" i="8"/>
  <c r="E31" i="3"/>
  <c r="AF32" i="3"/>
  <c r="AI33" i="3" s="1"/>
  <c r="AH32" i="3"/>
  <c r="AK32" i="3" s="1"/>
  <c r="AJ32" i="3"/>
  <c r="AL31" i="3"/>
  <c r="F31" i="3" s="1"/>
  <c r="H51" i="8" l="1"/>
  <c r="G52" i="11"/>
  <c r="G51" i="8"/>
  <c r="FU52" i="11"/>
  <c r="H52" i="11" s="1"/>
  <c r="E32" i="3"/>
  <c r="AF33" i="3"/>
  <c r="AI34" i="3" s="1"/>
  <c r="AH33" i="3"/>
  <c r="AK33" i="3" s="1"/>
  <c r="AJ33" i="3"/>
  <c r="AL32" i="3"/>
  <c r="F32" i="3" s="1"/>
  <c r="FL52" i="8" l="1"/>
  <c r="FN52" i="8" s="1"/>
  <c r="E33" i="3"/>
  <c r="AF34" i="3"/>
  <c r="AI35" i="3" s="1"/>
  <c r="AH34" i="3"/>
  <c r="AK34" i="3" s="1"/>
  <c r="AJ34" i="3"/>
  <c r="AL33" i="3"/>
  <c r="F33" i="3" s="1"/>
  <c r="FT52" i="8" l="1"/>
  <c r="FR52" i="8"/>
  <c r="FS52" i="8" s="1"/>
  <c r="FO52" i="8"/>
  <c r="E34" i="3"/>
  <c r="AF35" i="3"/>
  <c r="AI36" i="3" s="1"/>
  <c r="AH35" i="3"/>
  <c r="AK35" i="3" s="1"/>
  <c r="AJ35" i="3"/>
  <c r="AL34" i="3"/>
  <c r="F34" i="3" s="1"/>
  <c r="G52" i="8" l="1"/>
  <c r="FU52" i="8"/>
  <c r="H52" i="8" s="1"/>
  <c r="E35" i="3"/>
  <c r="AF36" i="3"/>
  <c r="AI37" i="3" s="1"/>
  <c r="AH36" i="3"/>
  <c r="AK36" i="3" s="1"/>
  <c r="AJ36" i="3"/>
  <c r="AL35" i="3"/>
  <c r="F35" i="3" s="1"/>
  <c r="E36" i="3" l="1"/>
  <c r="AF37" i="3"/>
  <c r="AI38" i="3" s="1"/>
  <c r="AH37" i="3"/>
  <c r="AK37" i="3" s="1"/>
  <c r="AJ37" i="3"/>
  <c r="AL36" i="3"/>
  <c r="F36" i="3" s="1"/>
  <c r="E37" i="3" l="1"/>
  <c r="AJ38" i="3"/>
  <c r="AH38" i="3"/>
  <c r="AK38" i="3" s="1"/>
  <c r="AL37" i="3"/>
  <c r="F37" i="3" s="1"/>
  <c r="AF38" i="3"/>
  <c r="AI39" i="3" s="1"/>
  <c r="AH39" i="3" l="1"/>
  <c r="E38" i="3"/>
  <c r="AJ39" i="3"/>
  <c r="AK39" i="3"/>
  <c r="AF39" i="3"/>
  <c r="AI40" i="3" s="1"/>
  <c r="AL38" i="3"/>
  <c r="F38" i="3" s="1"/>
  <c r="AH40" i="3" l="1"/>
  <c r="E39" i="3"/>
  <c r="AJ40" i="3"/>
  <c r="AK40" i="3"/>
  <c r="AL39" i="3"/>
  <c r="F39" i="3" s="1"/>
  <c r="AF40" i="3"/>
  <c r="AI41" i="3" s="1"/>
  <c r="AH41" i="3" l="1"/>
  <c r="E40" i="3"/>
  <c r="AJ41" i="3"/>
  <c r="AK41" i="3"/>
  <c r="AL40" i="3"/>
  <c r="F40" i="3" s="1"/>
  <c r="AF41" i="3"/>
  <c r="AI42" i="3" s="1"/>
  <c r="AH42" i="3" l="1"/>
  <c r="E41" i="3"/>
  <c r="AJ42" i="3"/>
  <c r="AK42" i="3"/>
  <c r="AF42" i="3"/>
  <c r="AI43" i="3" s="1"/>
  <c r="AL41" i="3"/>
  <c r="F41" i="3" s="1"/>
  <c r="AH43" i="3" l="1"/>
  <c r="E42" i="3"/>
  <c r="AJ43" i="3"/>
  <c r="AK43" i="3"/>
  <c r="AL42" i="3"/>
  <c r="F42" i="3" s="1"/>
  <c r="AF43" i="3"/>
  <c r="AI44" i="3" s="1"/>
  <c r="AH44" i="3" l="1"/>
  <c r="E43" i="3"/>
  <c r="AJ44" i="3"/>
  <c r="AK44" i="3"/>
  <c r="AL43" i="3"/>
  <c r="F43" i="3" s="1"/>
  <c r="AF44" i="3"/>
  <c r="AI45" i="3" s="1"/>
  <c r="AH45" i="3" l="1"/>
  <c r="E44" i="3"/>
  <c r="AJ45" i="3"/>
  <c r="AK45" i="3"/>
  <c r="AL44" i="3"/>
  <c r="F44" i="3" s="1"/>
  <c r="AF45" i="3"/>
  <c r="AI46" i="3" s="1"/>
  <c r="AH46" i="3" l="1"/>
  <c r="E45" i="3"/>
  <c r="AJ46" i="3"/>
  <c r="AK46" i="3"/>
  <c r="AF46" i="3"/>
  <c r="AL45" i="3"/>
  <c r="F45" i="3" s="1"/>
  <c r="AH47" i="3" l="1"/>
  <c r="E46" i="3"/>
  <c r="AI47" i="3"/>
  <c r="AK47" i="3" s="1"/>
  <c r="AL46" i="3"/>
  <c r="F46" i="3" s="1"/>
  <c r="AF47" i="3"/>
  <c r="AH48" i="3" l="1"/>
  <c r="E47" i="3"/>
  <c r="AJ47" i="3"/>
  <c r="AL47" i="3" s="1"/>
  <c r="F47" i="3" s="1"/>
  <c r="AI48" i="3"/>
  <c r="AK48" i="3" s="1"/>
  <c r="AF48" i="3"/>
  <c r="AH49" i="3" l="1"/>
  <c r="E48" i="3"/>
  <c r="AJ48" i="3"/>
  <c r="AL48" i="3" s="1"/>
  <c r="F48" i="3" s="1"/>
  <c r="AI49" i="3"/>
  <c r="AK49" i="3" s="1"/>
  <c r="AF49" i="3"/>
  <c r="AH50" i="3" l="1"/>
  <c r="E49" i="3"/>
  <c r="AJ49" i="3"/>
  <c r="AL49" i="3" s="1"/>
  <c r="F49" i="3" s="1"/>
  <c r="AI50" i="3"/>
  <c r="AK50" i="3" s="1"/>
  <c r="AF50" i="3"/>
  <c r="AH51" i="3" l="1"/>
  <c r="E50" i="3"/>
  <c r="AJ50" i="3"/>
  <c r="AL50" i="3" s="1"/>
  <c r="F50" i="3" s="1"/>
  <c r="AI51" i="3"/>
  <c r="AK51" i="3" s="1"/>
  <c r="AF51" i="3"/>
  <c r="AH52" i="3" l="1"/>
  <c r="E51" i="3"/>
  <c r="AJ51" i="3"/>
  <c r="AL51" i="3" s="1"/>
  <c r="F51" i="3" s="1"/>
  <c r="AI52" i="3"/>
  <c r="AK52" i="3" s="1"/>
  <c r="AF52" i="3"/>
  <c r="E52" i="3" l="1"/>
  <c r="AJ52" i="3"/>
  <c r="AL52" i="3" s="1"/>
  <c r="F52" i="3" s="1"/>
  <c r="HO17" i="3" l="1"/>
  <c r="HO27" i="3"/>
  <c r="HO34" i="3"/>
  <c r="HO22" i="3"/>
  <c r="HO35" i="3"/>
  <c r="HO14" i="3"/>
  <c r="HO21" i="3"/>
  <c r="HO30" i="3"/>
  <c r="HO20" i="3"/>
  <c r="HO19" i="3"/>
  <c r="HO25" i="3"/>
  <c r="HO28" i="3"/>
  <c r="HO23" i="3"/>
  <c r="HO31" i="3"/>
  <c r="HO36" i="3"/>
  <c r="HO29" i="3"/>
  <c r="HO18" i="3"/>
  <c r="HO32" i="3"/>
  <c r="HO12" i="3"/>
  <c r="HO15" i="3"/>
  <c r="HO33" i="3"/>
  <c r="HO13" i="3"/>
  <c r="HO26" i="3"/>
  <c r="HO24" i="3"/>
  <c r="HO16" i="3"/>
  <c r="HO9" i="3" l="1"/>
  <c r="HP9" i="3" s="1"/>
  <c r="HO8" i="3"/>
  <c r="HP8" i="3" s="1"/>
  <c r="HO10" i="3"/>
  <c r="HO11" i="3"/>
  <c r="HQ8" i="3" l="1"/>
  <c r="HT8" i="3"/>
  <c r="HU8" i="3" s="1"/>
  <c r="HT9" i="3" l="1"/>
  <c r="HU9" i="3" s="1"/>
  <c r="HV8" i="3"/>
  <c r="HS9" i="3" s="1"/>
  <c r="I8" i="3" l="1"/>
  <c r="HV9" i="3"/>
  <c r="HS10" i="3" s="1"/>
  <c r="HQ9" i="3"/>
  <c r="HW8" i="3"/>
  <c r="J8" i="3" s="1"/>
  <c r="HW9" i="3" l="1"/>
  <c r="J9" i="3" s="1"/>
  <c r="I9" i="3"/>
  <c r="AT3" i="3" l="1"/>
  <c r="C3" i="3" l="1"/>
  <c r="D3" i="3"/>
  <c r="AV4" i="3"/>
  <c r="AW4" i="3" s="1"/>
  <c r="AX4" i="3"/>
  <c r="AS4" i="3" l="1"/>
  <c r="AT4" i="3" s="1"/>
  <c r="BX4" i="3" l="1"/>
  <c r="BZ4" i="3" s="1"/>
  <c r="CA4" i="3" s="1"/>
  <c r="CD4" i="3" l="1"/>
  <c r="CE4" i="3" s="1"/>
  <c r="CF4" i="3" l="1"/>
  <c r="AP5" i="3"/>
  <c r="C4" i="3" l="1"/>
  <c r="CC5" i="3"/>
  <c r="CG4" i="3"/>
  <c r="D4" i="3" s="1"/>
  <c r="AV5" i="3"/>
  <c r="CR5" i="3"/>
  <c r="CS5" i="3" l="1"/>
  <c r="CP5" i="3" s="1"/>
  <c r="FL5" i="3" s="1"/>
  <c r="DS5" i="3"/>
  <c r="CQ5" i="3" l="1"/>
  <c r="CS6" i="3" s="1"/>
  <c r="CR6" i="3" l="1"/>
  <c r="DS6" i="3" s="1"/>
  <c r="AU6" i="3"/>
  <c r="AU7" i="3" s="1"/>
  <c r="AZ7" i="3" s="1"/>
  <c r="BB7" i="3" s="1"/>
  <c r="AZ27" i="3"/>
  <c r="CP6" i="3" l="1"/>
  <c r="FL6" i="3" s="1"/>
  <c r="BC7" i="3"/>
  <c r="BB8" i="3"/>
  <c r="BB9" i="3" s="1"/>
  <c r="BB10" i="3" s="1"/>
  <c r="BB11" i="3" s="1"/>
  <c r="BC8" i="3" l="1"/>
  <c r="BC9" i="3" s="1"/>
  <c r="BC10" i="3" s="1"/>
  <c r="BC11" i="3" s="1"/>
  <c r="BC34" i="3"/>
  <c r="BC35" i="3" s="1"/>
  <c r="BC36" i="3" s="1"/>
  <c r="BC37" i="3" s="1"/>
  <c r="BC38" i="3" s="1"/>
  <c r="BC39" i="3" s="1"/>
  <c r="BC40" i="3" s="1"/>
  <c r="BC41" i="3" s="1"/>
  <c r="BC42" i="3" s="1"/>
  <c r="BC43" i="3" s="1"/>
  <c r="BC44" i="3" s="1"/>
  <c r="BC45" i="3" s="1"/>
  <c r="BC46" i="3" s="1"/>
  <c r="GE10" i="3" l="1"/>
  <c r="HE10" i="3" s="1"/>
  <c r="AP7" i="3" l="1"/>
  <c r="GG10" i="3"/>
  <c r="GB10" i="3" s="1"/>
  <c r="GC10" i="3" s="1"/>
  <c r="HN10" i="3" l="1"/>
  <c r="HP10" i="3" s="1"/>
  <c r="GE11" i="3"/>
  <c r="HE11" i="3" s="1"/>
  <c r="GG11" i="3"/>
  <c r="FZ10" i="3"/>
  <c r="HQ10" i="3" l="1"/>
  <c r="HT10" i="3"/>
  <c r="HU10" i="3" s="1"/>
  <c r="GD42" i="3"/>
  <c r="GD11" i="3"/>
  <c r="GF38" i="3"/>
  <c r="GF41" i="3"/>
  <c r="GD41" i="3"/>
  <c r="GF39" i="3"/>
  <c r="GF10" i="3"/>
  <c r="GF40" i="3"/>
  <c r="GD40" i="3"/>
  <c r="GD39" i="3"/>
  <c r="GB11" i="3"/>
  <c r="GI42" i="3" l="1"/>
  <c r="GK42" i="3" s="1"/>
  <c r="HV10" i="3"/>
  <c r="HS11" i="3" s="1"/>
  <c r="GC11" i="3"/>
  <c r="HN11" i="3"/>
  <c r="HP11" i="3" s="1"/>
  <c r="HQ11" i="3" s="1"/>
  <c r="GF11" i="3"/>
  <c r="GD12" i="3"/>
  <c r="GL42" i="3" l="1"/>
  <c r="GK43" i="3"/>
  <c r="GK44" i="3" s="1"/>
  <c r="GK45" i="3" s="1"/>
  <c r="GK46" i="3" s="1"/>
  <c r="GK47" i="3" s="1"/>
  <c r="GK48" i="3" s="1"/>
  <c r="GK49" i="3" s="1"/>
  <c r="GK50" i="3" s="1"/>
  <c r="GK51" i="3" s="1"/>
  <c r="HW10" i="3"/>
  <c r="J10" i="3" s="1"/>
  <c r="I10" i="3"/>
  <c r="HT11" i="3"/>
  <c r="HU11" i="3" s="1"/>
  <c r="GG12" i="3"/>
  <c r="GE12" i="3"/>
  <c r="HE12" i="3" s="1"/>
  <c r="GF12" i="3"/>
  <c r="GD13" i="3"/>
  <c r="GL43" i="3" l="1"/>
  <c r="GL44" i="3" s="1"/>
  <c r="GL45" i="3" s="1"/>
  <c r="GL46" i="3" s="1"/>
  <c r="GL47" i="3" s="1"/>
  <c r="GL48" i="3" s="1"/>
  <c r="GL49" i="3" s="1"/>
  <c r="GL50" i="3" s="1"/>
  <c r="GL51" i="3" s="1"/>
  <c r="HV11" i="3"/>
  <c r="I11" i="3" s="1"/>
  <c r="GB12" i="3"/>
  <c r="GC12" i="3" s="1"/>
  <c r="GD14" i="3"/>
  <c r="HN12" i="3" l="1"/>
  <c r="HP12" i="3" s="1"/>
  <c r="HQ12" i="3" s="1"/>
  <c r="HS12" i="3"/>
  <c r="HW11" i="3"/>
  <c r="J11" i="3" s="1"/>
  <c r="GG13" i="3"/>
  <c r="GE13" i="3"/>
  <c r="GD15" i="3"/>
  <c r="GB13" i="3" l="1"/>
  <c r="GC13" i="3" s="1"/>
  <c r="HT12" i="3"/>
  <c r="HU12" i="3" s="1"/>
  <c r="HE13" i="3"/>
  <c r="GF13" i="3"/>
  <c r="GD16" i="3"/>
  <c r="HV12" i="3" l="1"/>
  <c r="I12" i="3" s="1"/>
  <c r="HS13" i="3"/>
  <c r="HW12" i="3"/>
  <c r="J12" i="3" s="1"/>
  <c r="HN13" i="3"/>
  <c r="HP13" i="3" s="1"/>
  <c r="HT13" i="3" s="1"/>
  <c r="GG14" i="3"/>
  <c r="GE14" i="3"/>
  <c r="GD17" i="3"/>
  <c r="GD18" i="3" s="1"/>
  <c r="GB14" i="3" l="1"/>
  <c r="GC14" i="3" s="1"/>
  <c r="HQ13" i="3"/>
  <c r="HE14" i="3"/>
  <c r="GF14" i="3"/>
  <c r="HU13" i="3"/>
  <c r="HV13" i="3"/>
  <c r="GD19" i="3"/>
  <c r="HN14" i="3" l="1"/>
  <c r="HP14" i="3" s="1"/>
  <c r="HQ14" i="3" s="1"/>
  <c r="I13" i="3"/>
  <c r="HW13" i="3"/>
  <c r="J13" i="3" s="1"/>
  <c r="HS14" i="3"/>
  <c r="GE15" i="3"/>
  <c r="GG15" i="3"/>
  <c r="GB15" i="3" s="1"/>
  <c r="GD20" i="3"/>
  <c r="HT14" i="3" l="1"/>
  <c r="HU14" i="3" s="1"/>
  <c r="GC15" i="3"/>
  <c r="HE15" i="3"/>
  <c r="HN15" i="3" s="1"/>
  <c r="HP15" i="3" s="1"/>
  <c r="GF15" i="3"/>
  <c r="GD21" i="3"/>
  <c r="HV14" i="3" l="1"/>
  <c r="I14" i="3" s="1"/>
  <c r="HQ15" i="3"/>
  <c r="HT15" i="3"/>
  <c r="HU15" i="3" s="1"/>
  <c r="GG16" i="3"/>
  <c r="GE16" i="3"/>
  <c r="GD22" i="3"/>
  <c r="HW14" i="3" l="1"/>
  <c r="J14" i="3" s="1"/>
  <c r="HS15" i="3"/>
  <c r="HV15" i="3" s="1"/>
  <c r="I15" i="3" s="1"/>
  <c r="GB16" i="3"/>
  <c r="GC16" i="3" s="1"/>
  <c r="HE16" i="3"/>
  <c r="GF16" i="3"/>
  <c r="GD23" i="3"/>
  <c r="HN16" i="3" l="1"/>
  <c r="HP16" i="3" s="1"/>
  <c r="HQ16" i="3" s="1"/>
  <c r="HW15" i="3"/>
  <c r="J15" i="3" s="1"/>
  <c r="HS16" i="3"/>
  <c r="GG17" i="3"/>
  <c r="GE17" i="3"/>
  <c r="GD24" i="3"/>
  <c r="HT16" i="3" l="1"/>
  <c r="HU16" i="3" s="1"/>
  <c r="HV16" i="3"/>
  <c r="HE17" i="3"/>
  <c r="GF17" i="3"/>
  <c r="GB17" i="3"/>
  <c r="GD25" i="3"/>
  <c r="HS17" i="3" l="1"/>
  <c r="HW16" i="3"/>
  <c r="J16" i="3" s="1"/>
  <c r="I16" i="3"/>
  <c r="GC17" i="3"/>
  <c r="HN17" i="3"/>
  <c r="HP17" i="3" s="1"/>
  <c r="GD26" i="3"/>
  <c r="HQ17" i="3" l="1"/>
  <c r="HT17" i="3"/>
  <c r="HU17" i="3" s="1"/>
  <c r="GE18" i="3"/>
  <c r="GG18" i="3"/>
  <c r="GD27" i="3"/>
  <c r="GB18" i="3" l="1"/>
  <c r="HV17" i="3"/>
  <c r="I17" i="3" s="1"/>
  <c r="GC18" i="3"/>
  <c r="HE18" i="3"/>
  <c r="GF18" i="3"/>
  <c r="GD28" i="3"/>
  <c r="HN18" i="3" l="1"/>
  <c r="HP18" i="3" s="1"/>
  <c r="HT18" i="3" s="1"/>
  <c r="HU18" i="3" s="1"/>
  <c r="HS18" i="3"/>
  <c r="HW17" i="3"/>
  <c r="J17" i="3" s="1"/>
  <c r="GE19" i="3"/>
  <c r="HE19" i="3" s="1"/>
  <c r="GG19" i="3"/>
  <c r="GB19" i="3" s="1"/>
  <c r="GD29" i="3"/>
  <c r="HQ18" i="3" l="1"/>
  <c r="GC19" i="3"/>
  <c r="HN19" i="3"/>
  <c r="HP19" i="3" s="1"/>
  <c r="GF19" i="3"/>
  <c r="HV18" i="3"/>
  <c r="GD30" i="3"/>
  <c r="I18" i="3" l="1"/>
  <c r="HS19" i="3"/>
  <c r="HW18" i="3"/>
  <c r="J18" i="3" s="1"/>
  <c r="HQ19" i="3"/>
  <c r="HT19" i="3"/>
  <c r="HU19" i="3" s="1"/>
  <c r="GE20" i="3"/>
  <c r="HE20" i="3" s="1"/>
  <c r="GG20" i="3"/>
  <c r="GD31" i="3"/>
  <c r="GB20" i="3" l="1"/>
  <c r="HN20" i="3" s="1"/>
  <c r="HP20" i="3" s="1"/>
  <c r="HV19" i="3"/>
  <c r="I19" i="3" s="1"/>
  <c r="GC20" i="3"/>
  <c r="GF20" i="3"/>
  <c r="GD32" i="3"/>
  <c r="HS20" i="3" l="1"/>
  <c r="HW19" i="3"/>
  <c r="J19" i="3" s="1"/>
  <c r="HQ20" i="3"/>
  <c r="HT20" i="3"/>
  <c r="HU20" i="3" s="1"/>
  <c r="GE21" i="3"/>
  <c r="HE21" i="3" s="1"/>
  <c r="GG21" i="3"/>
  <c r="GD33" i="3"/>
  <c r="GB21" i="3" l="1"/>
  <c r="GC21" i="3" s="1"/>
  <c r="HV20" i="3"/>
  <c r="I20" i="3" s="1"/>
  <c r="GF21" i="3"/>
  <c r="GD34" i="3"/>
  <c r="HN21" i="3" l="1"/>
  <c r="HP21" i="3" s="1"/>
  <c r="HT21" i="3" s="1"/>
  <c r="HU21" i="3" s="1"/>
  <c r="HS21" i="3"/>
  <c r="HW20" i="3"/>
  <c r="J20" i="3" s="1"/>
  <c r="GE22" i="3"/>
  <c r="GG22" i="3"/>
  <c r="GD35" i="3"/>
  <c r="HQ21" i="3" l="1"/>
  <c r="GB22" i="3"/>
  <c r="GC22" i="3" s="1"/>
  <c r="HV21" i="3"/>
  <c r="I21" i="3" s="1"/>
  <c r="GF22" i="3"/>
  <c r="HE22" i="3"/>
  <c r="GD36" i="3"/>
  <c r="HN22" i="3" l="1"/>
  <c r="HP22" i="3" s="1"/>
  <c r="HT22" i="3" s="1"/>
  <c r="HU22" i="3" s="1"/>
  <c r="HS22" i="3"/>
  <c r="HW21" i="3"/>
  <c r="J21" i="3" s="1"/>
  <c r="GG23" i="3"/>
  <c r="GE23" i="3"/>
  <c r="HE23" i="3" s="1"/>
  <c r="GD37" i="3"/>
  <c r="HQ22" i="3" l="1"/>
  <c r="HV22" i="3"/>
  <c r="GB23" i="3"/>
  <c r="GF23" i="3"/>
  <c r="GD38" i="3"/>
  <c r="I22" i="3" l="1"/>
  <c r="HS23" i="3"/>
  <c r="HW22" i="3"/>
  <c r="J22" i="3" s="1"/>
  <c r="GC23" i="3"/>
  <c r="HN23" i="3"/>
  <c r="HP23" i="3" s="1"/>
  <c r="HT23" i="3" l="1"/>
  <c r="HU23" i="3" s="1"/>
  <c r="HQ23" i="3"/>
  <c r="GG24" i="3"/>
  <c r="GE24" i="3"/>
  <c r="HV23" i="3" l="1"/>
  <c r="I23" i="3" s="1"/>
  <c r="GB24" i="3"/>
  <c r="GC24" i="3" s="1"/>
  <c r="GF24" i="3"/>
  <c r="HE24" i="3"/>
  <c r="HN24" i="3" l="1"/>
  <c r="HP24" i="3" s="1"/>
  <c r="HT24" i="3" s="1"/>
  <c r="HU24" i="3" s="1"/>
  <c r="HW23" i="3"/>
  <c r="J23" i="3" s="1"/>
  <c r="HS24" i="3"/>
  <c r="GE25" i="3"/>
  <c r="HE25" i="3" s="1"/>
  <c r="GG25" i="3"/>
  <c r="GB25" i="3" s="1"/>
  <c r="HQ24" i="3" l="1"/>
  <c r="GF25" i="3"/>
  <c r="HV24" i="3"/>
  <c r="HW24" i="3" s="1"/>
  <c r="GC25" i="3"/>
  <c r="HN25" i="3"/>
  <c r="HP25" i="3" s="1"/>
  <c r="I24" i="3" l="1"/>
  <c r="J24" i="3"/>
  <c r="HS25" i="3"/>
  <c r="AP27" i="3"/>
  <c r="GE26" i="3"/>
  <c r="GG26" i="3"/>
  <c r="HQ25" i="3"/>
  <c r="HT25" i="3"/>
  <c r="HU25" i="3" s="1"/>
  <c r="GB26" i="3" l="1"/>
  <c r="GC26" i="3" s="1"/>
  <c r="HV25" i="3"/>
  <c r="I25" i="3" s="1"/>
  <c r="HE26" i="3"/>
  <c r="GF26" i="3"/>
  <c r="HN26" i="3" l="1"/>
  <c r="HP26" i="3" s="1"/>
  <c r="HT26" i="3" s="1"/>
  <c r="HU26" i="3" s="1"/>
  <c r="HW25" i="3"/>
  <c r="J25" i="3" s="1"/>
  <c r="HS26" i="3"/>
  <c r="GG27" i="3"/>
  <c r="GE27" i="3"/>
  <c r="HE27" i="3" s="1"/>
  <c r="HQ26" i="3" l="1"/>
  <c r="AQ27" i="3"/>
  <c r="HV26" i="3"/>
  <c r="GB27" i="3"/>
  <c r="GC27" i="3" s="1"/>
  <c r="GF27" i="3"/>
  <c r="I26" i="3" l="1"/>
  <c r="HN27" i="3"/>
  <c r="HP27" i="3" s="1"/>
  <c r="HQ27" i="3" s="1"/>
  <c r="HW26" i="3"/>
  <c r="J26" i="3" s="1"/>
  <c r="HS27" i="3"/>
  <c r="GG28" i="3"/>
  <c r="GE28" i="3"/>
  <c r="HT27" i="3" l="1"/>
  <c r="HU27" i="3" s="1"/>
  <c r="HV27" i="3"/>
  <c r="GB28" i="3"/>
  <c r="HE28" i="3"/>
  <c r="GF28" i="3"/>
  <c r="GC28" i="3"/>
  <c r="HN28" i="3" l="1"/>
  <c r="HP28" i="3" s="1"/>
  <c r="HW27" i="3"/>
  <c r="J27" i="3" s="1"/>
  <c r="I27" i="3"/>
  <c r="HS28" i="3"/>
  <c r="HQ28" i="3"/>
  <c r="HT28" i="3"/>
  <c r="HU28" i="3" s="1"/>
  <c r="GG29" i="3"/>
  <c r="GE29" i="3"/>
  <c r="HE29" i="3" s="1"/>
  <c r="GF29" i="3" l="1"/>
  <c r="GB29" i="3"/>
  <c r="GC29" i="3" s="1"/>
  <c r="HV28" i="3"/>
  <c r="I28" i="3" s="1"/>
  <c r="HN29" i="3" l="1"/>
  <c r="HP29" i="3" s="1"/>
  <c r="HT29" i="3" s="1"/>
  <c r="HU29" i="3" s="1"/>
  <c r="HS29" i="3"/>
  <c r="HW28" i="3"/>
  <c r="J28" i="3" s="1"/>
  <c r="GE30" i="3"/>
  <c r="GG30" i="3"/>
  <c r="GB30" i="3" s="1"/>
  <c r="HQ29" i="3" l="1"/>
  <c r="HV29" i="3"/>
  <c r="HW29" i="3" s="1"/>
  <c r="GC30" i="3"/>
  <c r="HE30" i="3"/>
  <c r="HN30" i="3" s="1"/>
  <c r="HP30" i="3" s="1"/>
  <c r="GF30" i="3"/>
  <c r="HS30" i="3"/>
  <c r="J29" i="3" l="1"/>
  <c r="I29" i="3"/>
  <c r="HT30" i="3"/>
  <c r="HU30" i="3" s="1"/>
  <c r="HQ30" i="3"/>
  <c r="GE31" i="3"/>
  <c r="HE31" i="3" s="1"/>
  <c r="GG31" i="3"/>
  <c r="GB31" i="3" l="1"/>
  <c r="GC31" i="3" s="1"/>
  <c r="GF31" i="3"/>
  <c r="HV30" i="3"/>
  <c r="I30" i="3" s="1"/>
  <c r="HN31" i="3" l="1"/>
  <c r="HP31" i="3" s="1"/>
  <c r="HT31" i="3" s="1"/>
  <c r="HU31" i="3" s="1"/>
  <c r="HW30" i="3"/>
  <c r="J30" i="3" s="1"/>
  <c r="HS31" i="3"/>
  <c r="GG32" i="3"/>
  <c r="GE32" i="3"/>
  <c r="HQ31" i="3" l="1"/>
  <c r="HV31" i="3"/>
  <c r="GB32" i="3"/>
  <c r="HE32" i="3"/>
  <c r="GF32" i="3"/>
  <c r="I31" i="3" l="1"/>
  <c r="HW31" i="3"/>
  <c r="J31" i="3" s="1"/>
  <c r="HS32" i="3"/>
  <c r="GC32" i="3"/>
  <c r="HN32" i="3"/>
  <c r="HP32" i="3" s="1"/>
  <c r="HQ32" i="3" l="1"/>
  <c r="HT32" i="3"/>
  <c r="HU32" i="3" s="1"/>
  <c r="GG33" i="3"/>
  <c r="GE33" i="3"/>
  <c r="GB33" i="3" l="1"/>
  <c r="GC33" i="3" s="1"/>
  <c r="HV32" i="3"/>
  <c r="HS33" i="3" s="1"/>
  <c r="HE33" i="3"/>
  <c r="GF33" i="3"/>
  <c r="HN33" i="3" l="1"/>
  <c r="HP33" i="3" s="1"/>
  <c r="HQ33" i="3" s="1"/>
  <c r="I32" i="3"/>
  <c r="HW32" i="3"/>
  <c r="J32" i="3" s="1"/>
  <c r="GE34" i="3"/>
  <c r="HE34" i="3" s="1"/>
  <c r="GG34" i="3"/>
  <c r="GF34" i="3"/>
  <c r="HT33" i="3" l="1"/>
  <c r="HU33" i="3" s="1"/>
  <c r="GB34" i="3"/>
  <c r="GC34" i="3" s="1"/>
  <c r="HV33" i="3"/>
  <c r="HS34" i="3" s="1"/>
  <c r="HN34" i="3" l="1"/>
  <c r="HP34" i="3" s="1"/>
  <c r="HQ34" i="3" s="1"/>
  <c r="I33" i="3"/>
  <c r="HW33" i="3"/>
  <c r="J33" i="3" s="1"/>
  <c r="GE35" i="3"/>
  <c r="GG35" i="3"/>
  <c r="HT34" i="3" l="1"/>
  <c r="HU34" i="3" s="1"/>
  <c r="GB35" i="3"/>
  <c r="GC35" i="3" s="1"/>
  <c r="HE35" i="3"/>
  <c r="GF35" i="3"/>
  <c r="HN35" i="3" l="1"/>
  <c r="HP35" i="3" s="1"/>
  <c r="HV34" i="3"/>
  <c r="I34" i="3" s="1"/>
  <c r="HT35" i="3"/>
  <c r="HU35" i="3" s="1"/>
  <c r="HQ35" i="3"/>
  <c r="GG36" i="3"/>
  <c r="GB36" i="3" s="1"/>
  <c r="GE36" i="3"/>
  <c r="HE36" i="3" s="1"/>
  <c r="HS35" i="3" l="1"/>
  <c r="HV35" i="3" s="1"/>
  <c r="I35" i="3" s="1"/>
  <c r="HW34" i="3"/>
  <c r="J34" i="3" s="1"/>
  <c r="GC36" i="3"/>
  <c r="HN36" i="3"/>
  <c r="HP36" i="3" s="1"/>
  <c r="GF36" i="3"/>
  <c r="HW35" i="3" l="1"/>
  <c r="J35" i="3" s="1"/>
  <c r="HS36" i="3"/>
  <c r="HQ36" i="3"/>
  <c r="HT36" i="3"/>
  <c r="HU36" i="3" s="1"/>
  <c r="GG37" i="3"/>
  <c r="GE37" i="3"/>
  <c r="HE37" i="3" s="1"/>
  <c r="HV36" i="3" l="1"/>
  <c r="I36" i="3" s="1"/>
  <c r="GB37" i="3"/>
  <c r="GC37" i="3" s="1"/>
  <c r="GF37" i="3"/>
  <c r="HS37" i="3" l="1"/>
  <c r="HW36" i="3"/>
  <c r="J36" i="3" s="1"/>
  <c r="HN37" i="3"/>
  <c r="HP37" i="3" s="1"/>
  <c r="HT37" i="3" s="1"/>
  <c r="HU37" i="3" s="1"/>
  <c r="GG38" i="3"/>
  <c r="GE38" i="3"/>
  <c r="HE38" i="3" s="1"/>
  <c r="GB38" i="3" l="1"/>
  <c r="HQ37" i="3"/>
  <c r="HV37" i="3"/>
  <c r="HW37" i="3" s="1"/>
  <c r="GC38" i="3"/>
  <c r="HN38" i="3"/>
  <c r="HP38" i="3" s="1"/>
  <c r="I37" i="3" l="1"/>
  <c r="J37" i="3"/>
  <c r="HS38" i="3"/>
  <c r="HT38" i="3"/>
  <c r="HU38" i="3" s="1"/>
  <c r="HQ38" i="3"/>
  <c r="GG39" i="3"/>
  <c r="GE39" i="3"/>
  <c r="HE39" i="3" s="1"/>
  <c r="HV38" i="3" l="1"/>
  <c r="I38" i="3"/>
  <c r="GB39" i="3"/>
  <c r="GC39" i="3" s="1"/>
  <c r="HS39" i="3"/>
  <c r="HW38" i="3"/>
  <c r="J38" i="3" s="1"/>
  <c r="HN39" i="3" l="1"/>
  <c r="HP39" i="3" s="1"/>
  <c r="GE40" i="3"/>
  <c r="HE40" i="3" s="1"/>
  <c r="GG40" i="3"/>
  <c r="GB40" i="3" s="1"/>
  <c r="HQ39" i="3" l="1"/>
  <c r="HT39" i="3"/>
  <c r="HU39" i="3" s="1"/>
  <c r="GC40" i="3"/>
  <c r="HN40" i="3"/>
  <c r="HP40" i="3" s="1"/>
  <c r="HV39" i="3" l="1"/>
  <c r="HS40" i="3" s="1"/>
  <c r="HT40" i="3"/>
  <c r="HU40" i="3" s="1"/>
  <c r="HQ40" i="3"/>
  <c r="HV40" i="3"/>
  <c r="GG41" i="3"/>
  <c r="GB41" i="3" s="1"/>
  <c r="GE41" i="3"/>
  <c r="HE41" i="3" s="1"/>
  <c r="I39" i="3" l="1"/>
  <c r="HW39" i="3"/>
  <c r="J39" i="3" s="1"/>
  <c r="I40" i="3"/>
  <c r="GC41" i="3"/>
  <c r="HN41" i="3"/>
  <c r="HP41" i="3" s="1"/>
  <c r="HS41" i="3"/>
  <c r="HW40" i="3"/>
  <c r="J40" i="3" s="1"/>
  <c r="HQ41" i="3" l="1"/>
  <c r="HT41" i="3"/>
  <c r="HU41" i="3" s="1"/>
  <c r="HV41" i="3"/>
  <c r="GE42" i="3"/>
  <c r="HE42" i="3" s="1"/>
  <c r="I41" i="3" l="1"/>
  <c r="HS42" i="3"/>
  <c r="HW41" i="3"/>
  <c r="J41" i="3" s="1"/>
  <c r="CT5" i="3" l="1"/>
  <c r="FN5" i="3"/>
  <c r="FO5" i="3" l="1"/>
  <c r="FR5" i="3"/>
  <c r="FS5" i="3" s="1"/>
  <c r="CU5" i="3"/>
  <c r="CW12" i="3" l="1"/>
  <c r="CY12" i="3" s="1"/>
  <c r="FT5" i="3"/>
  <c r="FU5" i="3" s="1"/>
  <c r="H5" i="3" s="1"/>
  <c r="CU6" i="3"/>
  <c r="CQ6" i="3"/>
  <c r="CY13" i="3" l="1"/>
  <c r="CY14" i="3" s="1"/>
  <c r="CY15" i="3" s="1"/>
  <c r="CY16" i="3" s="1"/>
  <c r="CY17" i="3" s="1"/>
  <c r="CY18" i="3" s="1"/>
  <c r="CY19" i="3" s="1"/>
  <c r="CY20" i="3" s="1"/>
  <c r="CY21" i="3" s="1"/>
  <c r="CZ12" i="3"/>
  <c r="G5" i="3"/>
  <c r="FQ6" i="3"/>
  <c r="FN6" i="3"/>
  <c r="FO6" i="3" s="1"/>
  <c r="CR7" i="3"/>
  <c r="CS7" i="3"/>
  <c r="CP7" i="3" l="1"/>
  <c r="CZ13" i="3"/>
  <c r="CZ14" i="3" s="1"/>
  <c r="CZ15" i="3" s="1"/>
  <c r="CZ16" i="3" s="1"/>
  <c r="CZ17" i="3" s="1"/>
  <c r="CZ18" i="3" s="1"/>
  <c r="CZ19" i="3" s="1"/>
  <c r="CZ20" i="3" s="1"/>
  <c r="CZ21" i="3" s="1"/>
  <c r="FR6" i="3"/>
  <c r="FS6" i="3" s="1"/>
  <c r="CU7" i="3"/>
  <c r="DS7" i="3"/>
  <c r="FL7" i="3" l="1"/>
  <c r="FT6" i="3"/>
  <c r="G6" i="3" s="1"/>
  <c r="CQ7" i="3"/>
  <c r="FU6" i="3" l="1"/>
  <c r="H6" i="3" s="1"/>
  <c r="FQ7" i="3"/>
  <c r="CR8" i="3"/>
  <c r="CS8" i="3"/>
  <c r="CP8" i="3" s="1"/>
  <c r="FN7" i="3"/>
  <c r="FR7" i="3" l="1"/>
  <c r="FS7" i="3" s="1"/>
  <c r="FO7" i="3"/>
  <c r="CU8" i="3"/>
  <c r="DS8" i="3"/>
  <c r="FL8" i="3" s="1"/>
  <c r="FT7" i="3" l="1"/>
  <c r="G7" i="3" s="1"/>
  <c r="CQ8" i="3"/>
  <c r="CR9" i="3" l="1"/>
  <c r="DS9" i="3" s="1"/>
  <c r="FQ8" i="3"/>
  <c r="FU7" i="3"/>
  <c r="H7" i="3" s="1"/>
  <c r="CS9" i="3"/>
  <c r="FN8" i="3"/>
  <c r="FO8" i="3" s="1"/>
  <c r="CP9" i="3" l="1"/>
  <c r="FL9" i="3" s="1"/>
  <c r="CU9" i="3"/>
  <c r="FR8" i="3"/>
  <c r="FS8" i="3" s="1"/>
  <c r="FN9" i="3" l="1"/>
  <c r="CQ9" i="3"/>
  <c r="CS10" i="3" s="1"/>
  <c r="FT8" i="3"/>
  <c r="G8" i="3" s="1"/>
  <c r="FO9" i="3" l="1"/>
  <c r="FR9" i="3"/>
  <c r="FS9" i="3" s="1"/>
  <c r="FQ9" i="3"/>
  <c r="FU8" i="3"/>
  <c r="H8" i="3" s="1"/>
  <c r="CR10" i="3"/>
  <c r="FT9" i="3" l="1"/>
  <c r="G9" i="3" s="1"/>
  <c r="CP10" i="3"/>
  <c r="CU10" i="3"/>
  <c r="DS10" i="3"/>
  <c r="FU9" i="3"/>
  <c r="H9" i="3" s="1"/>
  <c r="FQ10" i="3"/>
  <c r="FL10" i="3" l="1"/>
  <c r="CQ10" i="3"/>
  <c r="CS11" i="3" s="1"/>
  <c r="FN10" i="3"/>
  <c r="FO10" i="3" s="1"/>
  <c r="CR11" i="3" l="1"/>
  <c r="DS11" i="3" s="1"/>
  <c r="CU11" i="3"/>
  <c r="FR10" i="3"/>
  <c r="FS10" i="3" s="1"/>
  <c r="CP11" i="3"/>
  <c r="FL11" i="3" s="1"/>
  <c r="FT10" i="3" l="1"/>
  <c r="FU10" i="3" s="1"/>
  <c r="H10" i="3" s="1"/>
  <c r="FN11" i="3"/>
  <c r="CQ11" i="3"/>
  <c r="FQ11" i="3" l="1"/>
  <c r="G10" i="3"/>
  <c r="FR11" i="3"/>
  <c r="FS11" i="3" s="1"/>
  <c r="FO11" i="3"/>
  <c r="FT11" i="3" l="1"/>
  <c r="CM12" i="3"/>
  <c r="G11" i="3" l="1"/>
  <c r="FQ12" i="3"/>
  <c r="FU11" i="3"/>
  <c r="H11" i="3" s="1"/>
  <c r="CR12" i="3"/>
  <c r="DS12" i="3" s="1"/>
  <c r="CS12" i="3" l="1"/>
  <c r="CP12" i="3" s="1"/>
  <c r="FL12" i="3" s="1"/>
  <c r="CT12" i="3" l="1"/>
  <c r="CU12" i="3"/>
  <c r="CQ12" i="3" l="1"/>
  <c r="FN12" i="3"/>
  <c r="FO12" i="3" l="1"/>
  <c r="FR12" i="3"/>
  <c r="FS12" i="3" s="1"/>
  <c r="CR13" i="3"/>
  <c r="CS13" i="3"/>
  <c r="CP13" i="3" l="1"/>
  <c r="FT12" i="3"/>
  <c r="FU12" i="3" s="1"/>
  <c r="H12" i="3" s="1"/>
  <c r="DS13" i="3"/>
  <c r="CU13" i="3"/>
  <c r="G12" i="3"/>
  <c r="FL13" i="3" l="1"/>
  <c r="CQ13" i="3"/>
  <c r="FN13" i="3"/>
  <c r="FO13" i="3" s="1"/>
  <c r="FQ13" i="3"/>
  <c r="CR14" i="3"/>
  <c r="CS14" i="3"/>
  <c r="CP14" i="3" s="1"/>
  <c r="CQ14" i="3" l="1"/>
  <c r="CS15" i="3" s="1"/>
  <c r="FR13" i="3"/>
  <c r="FS13" i="3" s="1"/>
  <c r="DS14" i="3"/>
  <c r="FL14" i="3" s="1"/>
  <c r="CU14" i="3"/>
  <c r="FN14" i="3" l="1"/>
  <c r="FT13" i="3"/>
  <c r="G13" i="3" s="1"/>
  <c r="CR15" i="3"/>
  <c r="DS15" i="3" s="1"/>
  <c r="FR14" i="3" l="1"/>
  <c r="FS14" i="3" s="1"/>
  <c r="FO14" i="3"/>
  <c r="FU13" i="3"/>
  <c r="H13" i="3" s="1"/>
  <c r="FQ14" i="3"/>
  <c r="CP15" i="3"/>
  <c r="FL15" i="3" s="1"/>
  <c r="CU15" i="3"/>
  <c r="FT14" i="3"/>
  <c r="G14" i="3" s="1"/>
  <c r="FN15" i="3" l="1"/>
  <c r="CQ15" i="3"/>
  <c r="CS16" i="3" s="1"/>
  <c r="FU14" i="3"/>
  <c r="H14" i="3" s="1"/>
  <c r="FQ15" i="3"/>
  <c r="FO15" i="3" l="1"/>
  <c r="FR15" i="3"/>
  <c r="CR16" i="3"/>
  <c r="CP16" i="3" s="1"/>
  <c r="FS15" i="3"/>
  <c r="FT15" i="3"/>
  <c r="CQ16" i="3" l="1"/>
  <c r="CU16" i="3"/>
  <c r="DS16" i="3"/>
  <c r="FL16" i="3" s="1"/>
  <c r="CR17" i="3"/>
  <c r="CS17" i="3"/>
  <c r="FU15" i="3"/>
  <c r="H15" i="3" s="1"/>
  <c r="FQ16" i="3"/>
  <c r="G15" i="3"/>
  <c r="DS17" i="3"/>
  <c r="CP17" i="3" l="1"/>
  <c r="FL17" i="3" s="1"/>
  <c r="CQ17" i="3"/>
  <c r="CR18" i="3" s="1"/>
  <c r="DS18" i="3" s="1"/>
  <c r="FN16" i="3"/>
  <c r="CU17" i="3"/>
  <c r="CU18" i="3" s="1"/>
  <c r="CS18" i="3"/>
  <c r="CP18" i="3" s="1"/>
  <c r="FL18" i="3" s="1"/>
  <c r="FO16" i="3" l="1"/>
  <c r="FR16" i="3"/>
  <c r="FS16" i="3" s="1"/>
  <c r="CQ18" i="3"/>
  <c r="CR19" i="3" s="1"/>
  <c r="FT16" i="3" l="1"/>
  <c r="CS19" i="3"/>
  <c r="CP19" i="3" s="1"/>
  <c r="DS19" i="3"/>
  <c r="CU19" i="3"/>
  <c r="FL19" i="3" l="1"/>
  <c r="CQ19" i="3"/>
  <c r="CR20" i="3" s="1"/>
  <c r="DS20" i="3" s="1"/>
  <c r="G16" i="3"/>
  <c r="FQ17" i="3"/>
  <c r="FU16" i="3"/>
  <c r="H16" i="3" s="1"/>
  <c r="CS20" i="3"/>
  <c r="CP20" i="3" s="1"/>
  <c r="FL20" i="3" s="1"/>
  <c r="CU20" i="3"/>
  <c r="EL17" i="3"/>
  <c r="FN17" i="3"/>
  <c r="CQ20" i="3" l="1"/>
  <c r="CS21" i="3" s="1"/>
  <c r="FO17" i="3"/>
  <c r="FR17" i="3"/>
  <c r="FS17" i="3" s="1"/>
  <c r="EL18" i="3"/>
  <c r="CR21" i="3" l="1"/>
  <c r="DS21" i="3" s="1"/>
  <c r="FT17" i="3"/>
  <c r="G17" i="3" s="1"/>
  <c r="CU21" i="3" l="1"/>
  <c r="CP21" i="3"/>
  <c r="FL21" i="3" s="1"/>
  <c r="FU17" i="3"/>
  <c r="H17" i="3" s="1"/>
  <c r="FQ18" i="3"/>
  <c r="FN18" i="3"/>
  <c r="CQ21" i="3" l="1"/>
  <c r="CS22" i="3" s="1"/>
  <c r="CR22" i="3"/>
  <c r="DS22" i="3" s="1"/>
  <c r="EL19" i="3"/>
  <c r="FR18" i="3"/>
  <c r="FS18" i="3" s="1"/>
  <c r="FO18" i="3"/>
  <c r="CP22" i="3" l="1"/>
  <c r="FL22" i="3" s="1"/>
  <c r="CU22" i="3"/>
  <c r="FT18" i="3"/>
  <c r="FU18" i="3" s="1"/>
  <c r="H18" i="3" s="1"/>
  <c r="CQ22" i="3" l="1"/>
  <c r="CS23" i="3" s="1"/>
  <c r="CR23" i="3"/>
  <c r="CU23" i="3" s="1"/>
  <c r="FQ19" i="3"/>
  <c r="G18" i="3"/>
  <c r="FN19" i="3"/>
  <c r="CP23" i="3" l="1"/>
  <c r="DS23" i="3"/>
  <c r="FL23" i="3" s="1"/>
  <c r="EL20" i="3"/>
  <c r="FO19" i="3"/>
  <c r="FR19" i="3"/>
  <c r="FS19" i="3" s="1"/>
  <c r="CQ23" i="3"/>
  <c r="FT19" i="3" l="1"/>
  <c r="FQ20" i="3" s="1"/>
  <c r="FN20" i="3"/>
  <c r="FO20" i="3" s="1"/>
  <c r="CS24" i="3"/>
  <c r="CR24" i="3"/>
  <c r="CP24" i="3" l="1"/>
  <c r="FU19" i="3"/>
  <c r="H19" i="3" s="1"/>
  <c r="G19" i="3"/>
  <c r="FR20" i="3"/>
  <c r="FS20" i="3" s="1"/>
  <c r="EL21" i="3"/>
  <c r="DS24" i="3"/>
  <c r="CU24" i="3"/>
  <c r="FL24" i="3" l="1"/>
  <c r="CQ24" i="3"/>
  <c r="CS25" i="3" s="1"/>
  <c r="FT20" i="3"/>
  <c r="G20" i="3" s="1"/>
  <c r="CR25" i="3" l="1"/>
  <c r="DS25" i="3" s="1"/>
  <c r="FQ21" i="3"/>
  <c r="FU20" i="3"/>
  <c r="H20" i="3" s="1"/>
  <c r="FN21" i="3"/>
  <c r="CU25" i="3" l="1"/>
  <c r="CP25" i="3"/>
  <c r="FL25" i="3" s="1"/>
  <c r="EL22" i="3"/>
  <c r="FR21" i="3"/>
  <c r="FS21" i="3" s="1"/>
  <c r="FO21" i="3"/>
  <c r="CQ25" i="3" l="1"/>
  <c r="FT21" i="3"/>
  <c r="FQ22" i="3" s="1"/>
  <c r="FN22" i="3"/>
  <c r="FO22" i="3" s="1"/>
  <c r="CR26" i="3" l="1"/>
  <c r="CS26" i="3"/>
  <c r="CP26" i="3" s="1"/>
  <c r="FR22" i="3"/>
  <c r="FS22" i="3" s="1"/>
  <c r="FU21" i="3"/>
  <c r="H21" i="3" s="1"/>
  <c r="G21" i="3"/>
  <c r="EL23" i="3"/>
  <c r="CQ26" i="3" l="1"/>
  <c r="DS26" i="3"/>
  <c r="FL26" i="3" s="1"/>
  <c r="CU26" i="3"/>
  <c r="FT22" i="3"/>
  <c r="G22" i="3" s="1"/>
  <c r="FN23" i="3"/>
  <c r="FO23" i="3" s="1"/>
  <c r="FM27" i="3" l="1"/>
  <c r="CS27" i="3"/>
  <c r="CP27" i="3" s="1"/>
  <c r="CQ27" i="3" s="1"/>
  <c r="CR27" i="3"/>
  <c r="FU22" i="3"/>
  <c r="H22" i="3" s="1"/>
  <c r="FQ23" i="3"/>
  <c r="FR23" i="3"/>
  <c r="FS23" i="3" s="1"/>
  <c r="EL24" i="3"/>
  <c r="CS28" i="3" l="1"/>
  <c r="CR28" i="3"/>
  <c r="DS28" i="3" s="1"/>
  <c r="CU27" i="3"/>
  <c r="DS27" i="3"/>
  <c r="FL27" i="3" s="1"/>
  <c r="CP28" i="3"/>
  <c r="FL28" i="3" s="1"/>
  <c r="FT23" i="3"/>
  <c r="G23" i="3" s="1"/>
  <c r="EN37" i="3"/>
  <c r="EP37" i="3" s="1"/>
  <c r="EQ37" i="3" s="1"/>
  <c r="CU28" i="3"/>
  <c r="FU23" i="3" l="1"/>
  <c r="H23" i="3" s="1"/>
  <c r="FQ24" i="3"/>
  <c r="FN24" i="3"/>
  <c r="CQ28" i="3"/>
  <c r="CS29" i="3" s="1"/>
  <c r="EL25" i="3" l="1"/>
  <c r="FR24" i="3"/>
  <c r="FS24" i="3" s="1"/>
  <c r="FO24" i="3"/>
  <c r="CR29" i="3"/>
  <c r="DS29" i="3" s="1"/>
  <c r="FT24" i="3" l="1"/>
  <c r="G24" i="3" s="1"/>
  <c r="CP29" i="3"/>
  <c r="FL29" i="3" s="1"/>
  <c r="CU29" i="3"/>
  <c r="CQ29" i="3" l="1"/>
  <c r="CS30" i="3" s="1"/>
  <c r="FQ25" i="3"/>
  <c r="FU24" i="3"/>
  <c r="H24" i="3" s="1"/>
  <c r="FN25" i="3"/>
  <c r="CU30" i="3"/>
  <c r="CR30" i="3" l="1"/>
  <c r="DS30" i="3" s="1"/>
  <c r="EL26" i="3"/>
  <c r="FN26" i="3" s="1"/>
  <c r="FR25" i="3"/>
  <c r="FO25" i="3"/>
  <c r="CP30" i="3" l="1"/>
  <c r="FL30" i="3" s="1"/>
  <c r="FS25" i="3"/>
  <c r="FT25" i="3"/>
  <c r="FQ26" i="3" s="1"/>
  <c r="EL27" i="3"/>
  <c r="FO26" i="3"/>
  <c r="FR26" i="3"/>
  <c r="CU31" i="3"/>
  <c r="CQ30" i="3" l="1"/>
  <c r="CS31" i="3" s="1"/>
  <c r="CR31" i="3"/>
  <c r="DS31" i="3" s="1"/>
  <c r="FS26" i="3"/>
  <c r="CP31" i="3"/>
  <c r="FL31" i="3" s="1"/>
  <c r="FT26" i="3"/>
  <c r="FU25" i="3"/>
  <c r="H25" i="3" s="1"/>
  <c r="G25" i="3"/>
  <c r="CQ31" i="3" l="1"/>
  <c r="CR32" i="3" s="1"/>
  <c r="DS32" i="3" s="1"/>
  <c r="FU26" i="3"/>
  <c r="H26" i="3" s="1"/>
  <c r="FM32" i="3"/>
  <c r="G26" i="3"/>
  <c r="FQ27" i="3"/>
  <c r="FN27" i="3"/>
  <c r="EL28" i="3" l="1"/>
  <c r="FR27" i="3"/>
  <c r="FS27" i="3" s="1"/>
  <c r="FO27" i="3"/>
  <c r="FT27" i="3" l="1"/>
  <c r="FU27" i="3" s="1"/>
  <c r="H27" i="3" s="1"/>
  <c r="G27" i="3" l="1"/>
  <c r="FQ28" i="3"/>
  <c r="FN28" i="3"/>
  <c r="FR28" i="3" l="1"/>
  <c r="FS28" i="3" s="1"/>
  <c r="FO28" i="3"/>
  <c r="EL29" i="3"/>
  <c r="FT28" i="3" l="1"/>
  <c r="FU28" i="3" s="1"/>
  <c r="H28" i="3" s="1"/>
  <c r="FN29" i="3"/>
  <c r="FR29" i="3" s="1"/>
  <c r="FS29" i="3" s="1"/>
  <c r="G28" i="3" l="1"/>
  <c r="FQ29" i="3"/>
  <c r="FT29" i="3" s="1"/>
  <c r="FO29" i="3"/>
  <c r="EL30" i="3"/>
  <c r="G29" i="3" l="1"/>
  <c r="FU29" i="3"/>
  <c r="H29" i="3" s="1"/>
  <c r="FQ30" i="3"/>
  <c r="FN30" i="3"/>
  <c r="FR30" i="3" s="1"/>
  <c r="CS32" i="3"/>
  <c r="CP32" i="3" s="1"/>
  <c r="FL32" i="3" s="1"/>
  <c r="CT32" i="3"/>
  <c r="CU32" i="3"/>
  <c r="GG42" i="3"/>
  <c r="GB42" i="3" s="1"/>
  <c r="FZ42" i="3"/>
  <c r="GD43" i="3"/>
  <c r="GD44" i="3"/>
  <c r="GD45" i="3"/>
  <c r="GD46" i="3"/>
  <c r="GD47" i="3"/>
  <c r="GD48" i="3"/>
  <c r="GD49" i="3"/>
  <c r="GD50" i="3"/>
  <c r="GD51" i="3"/>
  <c r="GF42" i="3"/>
  <c r="GF43" i="3"/>
  <c r="GF44" i="3"/>
  <c r="GF45" i="3"/>
  <c r="GF46" i="3"/>
  <c r="GF47" i="3"/>
  <c r="GF48" i="3"/>
  <c r="GF49" i="3"/>
  <c r="GF50" i="3"/>
  <c r="GF51" i="3"/>
  <c r="GF52" i="3"/>
  <c r="GD52" i="3"/>
  <c r="FO30" i="3" l="1"/>
  <c r="FS30" i="3"/>
  <c r="FT30" i="3"/>
  <c r="EL31" i="3"/>
  <c r="GC42" i="3"/>
  <c r="GE43" i="3" s="1"/>
  <c r="HE43" i="3" s="1"/>
  <c r="HN42" i="3"/>
  <c r="HP42" i="3" s="1"/>
  <c r="HT42" i="3" s="1"/>
  <c r="HU42" i="3" s="1"/>
  <c r="CQ32" i="3"/>
  <c r="G30" i="3" l="1"/>
  <c r="FU30" i="3"/>
  <c r="H30" i="3" s="1"/>
  <c r="FQ31" i="3"/>
  <c r="HQ42" i="3"/>
  <c r="HV42" i="3"/>
  <c r="HW42" i="3" s="1"/>
  <c r="J42" i="3" s="1"/>
  <c r="GG43" i="3"/>
  <c r="GB43" i="3" s="1"/>
  <c r="GC43" i="3" s="1"/>
  <c r="CS33" i="3"/>
  <c r="CP33" i="3" s="1"/>
  <c r="CR33" i="3"/>
  <c r="CQ33" i="3" l="1"/>
  <c r="CS34" i="3" s="1"/>
  <c r="CP34" i="3" s="1"/>
  <c r="HS43" i="3"/>
  <c r="FN31" i="3"/>
  <c r="DS33" i="3"/>
  <c r="FL33" i="3" s="1"/>
  <c r="CU33" i="3"/>
  <c r="I42" i="3"/>
  <c r="GE44" i="3"/>
  <c r="HE44" i="3" s="1"/>
  <c r="GG44" i="3"/>
  <c r="GB44" i="3" s="1"/>
  <c r="GC44" i="3" s="1"/>
  <c r="HN43" i="3"/>
  <c r="HP43" i="3" s="1"/>
  <c r="HQ43" i="3" s="1"/>
  <c r="HT43" i="3" l="1"/>
  <c r="HU43" i="3" s="1"/>
  <c r="EL32" i="3"/>
  <c r="FO31" i="3"/>
  <c r="FR31" i="3"/>
  <c r="FS31" i="3" s="1"/>
  <c r="CU34" i="3"/>
  <c r="GE45" i="3"/>
  <c r="HE45" i="3" s="1"/>
  <c r="GG45" i="3"/>
  <c r="GB45" i="3" s="1"/>
  <c r="HN44" i="3"/>
  <c r="HP44" i="3" s="1"/>
  <c r="CR34" i="3"/>
  <c r="DS34" i="3" s="1"/>
  <c r="FL34" i="3" l="1"/>
  <c r="HN45" i="3"/>
  <c r="HP45" i="3" s="1"/>
  <c r="HV43" i="3"/>
  <c r="HS44" i="3" s="1"/>
  <c r="GC45" i="3"/>
  <c r="HT44" i="3"/>
  <c r="HU44" i="3" s="1"/>
  <c r="FT31" i="3"/>
  <c r="FU31" i="3" s="1"/>
  <c r="H31" i="3" s="1"/>
  <c r="HT45" i="3"/>
  <c r="GG46" i="3"/>
  <c r="GB46" i="3" s="1"/>
  <c r="GC46" i="3" s="1"/>
  <c r="GE46" i="3"/>
  <c r="HE46" i="3" s="1"/>
  <c r="HU45" i="3"/>
  <c r="HW43" i="3" l="1"/>
  <c r="J43" i="3" s="1"/>
  <c r="HQ44" i="3"/>
  <c r="I43" i="3"/>
  <c r="G31" i="3"/>
  <c r="FQ32" i="3"/>
  <c r="HV44" i="3"/>
  <c r="HW44" i="3" s="1"/>
  <c r="J44" i="3" s="1"/>
  <c r="FN32" i="3"/>
  <c r="CQ34" i="3"/>
  <c r="GG47" i="3"/>
  <c r="GB47" i="3" s="1"/>
  <c r="GE47" i="3"/>
  <c r="HE47" i="3" s="1"/>
  <c r="HN46" i="3"/>
  <c r="HP46" i="3" s="1"/>
  <c r="HQ45" i="3" l="1"/>
  <c r="HV45" i="3"/>
  <c r="HS46" i="3" s="1"/>
  <c r="HS45" i="3"/>
  <c r="I44" i="3"/>
  <c r="EL33" i="3"/>
  <c r="FO32" i="3"/>
  <c r="FR32" i="3"/>
  <c r="FS32" i="3" s="1"/>
  <c r="CS35" i="3"/>
  <c r="CP35" i="3" s="1"/>
  <c r="CR35" i="3"/>
  <c r="CS37" i="3"/>
  <c r="CQ37" i="3"/>
  <c r="CR37" i="3"/>
  <c r="HN47" i="3"/>
  <c r="HP47" i="3" s="1"/>
  <c r="HT47" i="3" s="1"/>
  <c r="GC47" i="3"/>
  <c r="HT46" i="3"/>
  <c r="HU46" i="3" s="1"/>
  <c r="DS37" i="3" l="1"/>
  <c r="HQ46" i="3"/>
  <c r="HW45" i="3"/>
  <c r="J45" i="3" s="1"/>
  <c r="I45" i="3"/>
  <c r="HV46" i="3"/>
  <c r="HQ47" i="3" s="1"/>
  <c r="FT32" i="3"/>
  <c r="FQ33" i="3" s="1"/>
  <c r="DS35" i="3"/>
  <c r="FL35" i="3" s="1"/>
  <c r="CU35" i="3"/>
  <c r="CS38" i="3"/>
  <c r="CQ38" i="3" s="1"/>
  <c r="CR38" i="3"/>
  <c r="GE48" i="3"/>
  <c r="HE48" i="3" s="1"/>
  <c r="GG48" i="3"/>
  <c r="GB48" i="3" s="1"/>
  <c r="HU47" i="3"/>
  <c r="HW46" i="3"/>
  <c r="J46" i="3" s="1"/>
  <c r="HS47" i="3"/>
  <c r="HV47" i="3" s="1"/>
  <c r="HS48" i="3" s="1"/>
  <c r="I46" i="3"/>
  <c r="DS38" i="3" l="1"/>
  <c r="G32" i="3"/>
  <c r="FU32" i="3"/>
  <c r="H32" i="3" s="1"/>
  <c r="FN33" i="3"/>
  <c r="CQ35" i="3"/>
  <c r="CS39" i="3"/>
  <c r="CQ39" i="3" s="1"/>
  <c r="CR39" i="3"/>
  <c r="I47" i="3"/>
  <c r="HN48" i="3"/>
  <c r="HP48" i="3" s="1"/>
  <c r="HT48" i="3" s="1"/>
  <c r="HU48" i="3" s="1"/>
  <c r="GC48" i="3"/>
  <c r="HW47" i="3"/>
  <c r="J47" i="3" s="1"/>
  <c r="DS39" i="3" l="1"/>
  <c r="EL34" i="3"/>
  <c r="FR33" i="3"/>
  <c r="FS33" i="3" s="1"/>
  <c r="FO33" i="3"/>
  <c r="CR36" i="3"/>
  <c r="CS36" i="3"/>
  <c r="CP36" i="3" s="1"/>
  <c r="CS40" i="3"/>
  <c r="CQ40" i="3" s="1"/>
  <c r="CR40" i="3"/>
  <c r="HQ48" i="3"/>
  <c r="HV48" i="3"/>
  <c r="GG49" i="3"/>
  <c r="GB49" i="3" s="1"/>
  <c r="GC49" i="3" s="1"/>
  <c r="GE49" i="3"/>
  <c r="HE49" i="3" s="1"/>
  <c r="DS40" i="3" l="1"/>
  <c r="I48" i="3"/>
  <c r="HS49" i="3"/>
  <c r="HW48" i="3"/>
  <c r="J48" i="3" s="1"/>
  <c r="FT33" i="3"/>
  <c r="G33" i="3" s="1"/>
  <c r="CQ36" i="3"/>
  <c r="DS36" i="3"/>
  <c r="FL36" i="3" s="1"/>
  <c r="CU36" i="3"/>
  <c r="CS41" i="3"/>
  <c r="CQ41" i="3"/>
  <c r="CR41" i="3"/>
  <c r="HN49" i="3"/>
  <c r="HP49" i="3" s="1"/>
  <c r="HV49" i="3" s="1"/>
  <c r="GG50" i="3"/>
  <c r="GB50" i="3" s="1"/>
  <c r="GC50" i="3" s="1"/>
  <c r="GE50" i="3"/>
  <c r="HE50" i="3" s="1"/>
  <c r="DS41" i="3" l="1"/>
  <c r="FU33" i="3"/>
  <c r="H33" i="3" s="1"/>
  <c r="FQ34" i="3"/>
  <c r="FM37" i="3"/>
  <c r="FN34" i="3"/>
  <c r="CS42" i="3"/>
  <c r="CQ42" i="3" s="1"/>
  <c r="CR42" i="3"/>
  <c r="HQ49" i="3"/>
  <c r="HT49" i="3"/>
  <c r="HU49" i="3" s="1"/>
  <c r="HW49" i="3" s="1"/>
  <c r="HS50" i="3"/>
  <c r="GG51" i="3"/>
  <c r="GB51" i="3" s="1"/>
  <c r="GE51" i="3"/>
  <c r="HE51" i="3" s="1"/>
  <c r="HN50" i="3"/>
  <c r="HP50" i="3" s="1"/>
  <c r="I49" i="3"/>
  <c r="DS42" i="3" l="1"/>
  <c r="EL35" i="3"/>
  <c r="FR34" i="3"/>
  <c r="FS34" i="3" s="1"/>
  <c r="FO34" i="3"/>
  <c r="J49" i="3"/>
  <c r="CS43" i="3"/>
  <c r="CQ43" i="3" s="1"/>
  <c r="CR43" i="3"/>
  <c r="HN51" i="3"/>
  <c r="HP51" i="3" s="1"/>
  <c r="HT51" i="3" s="1"/>
  <c r="HQ50" i="3"/>
  <c r="HV50" i="3"/>
  <c r="HT50" i="3"/>
  <c r="HU50" i="3" s="1"/>
  <c r="GC51" i="3"/>
  <c r="DS43" i="3" l="1"/>
  <c r="FT34" i="3"/>
  <c r="G34" i="3" s="1"/>
  <c r="CS44" i="3"/>
  <c r="CQ44" i="3" s="1"/>
  <c r="CR44" i="3"/>
  <c r="HU51" i="3"/>
  <c r="GG52" i="3"/>
  <c r="GB52" i="3" s="1"/>
  <c r="GC52" i="3" s="1"/>
  <c r="GE52" i="3"/>
  <c r="HE52" i="3" s="1"/>
  <c r="HW50" i="3"/>
  <c r="J50" i="3" s="1"/>
  <c r="HS51" i="3"/>
  <c r="I50" i="3"/>
  <c r="HV51" i="3"/>
  <c r="HQ51" i="3"/>
  <c r="DS44" i="3" l="1"/>
  <c r="FU34" i="3"/>
  <c r="H34" i="3" s="1"/>
  <c r="FQ35" i="3"/>
  <c r="FN35" i="3"/>
  <c r="CS45" i="3"/>
  <c r="CQ45" i="3" s="1"/>
  <c r="CR45" i="3"/>
  <c r="EN38" i="3"/>
  <c r="EP38" i="3" s="1"/>
  <c r="HN52" i="3"/>
  <c r="HP52" i="3" s="1"/>
  <c r="I51" i="3"/>
  <c r="HW51" i="3"/>
  <c r="J51" i="3" s="1"/>
  <c r="HS52" i="3"/>
  <c r="DS45" i="3" l="1"/>
  <c r="EL36" i="3"/>
  <c r="FR35" i="3"/>
  <c r="FS35" i="3" s="1"/>
  <c r="FO35" i="3"/>
  <c r="CS46" i="3"/>
  <c r="CQ46" i="3" s="1"/>
  <c r="CR46" i="3"/>
  <c r="EP39" i="3"/>
  <c r="EP40" i="3" s="1"/>
  <c r="EP41" i="3" s="1"/>
  <c r="EP42" i="3" s="1"/>
  <c r="EP43" i="3" s="1"/>
  <c r="EP44" i="3" s="1"/>
  <c r="EP45" i="3" s="1"/>
  <c r="EP46" i="3" s="1"/>
  <c r="EP47" i="3" s="1"/>
  <c r="EQ38" i="3"/>
  <c r="HQ52" i="3"/>
  <c r="HV52" i="3"/>
  <c r="HT52" i="3"/>
  <c r="HU52" i="3" s="1"/>
  <c r="DS46" i="3" l="1"/>
  <c r="FT35" i="3"/>
  <c r="G35" i="3" s="1"/>
  <c r="EQ39" i="3"/>
  <c r="EQ40" i="3" s="1"/>
  <c r="EQ41" i="3" s="1"/>
  <c r="EQ42" i="3" s="1"/>
  <c r="EQ43" i="3" s="1"/>
  <c r="EQ44" i="3" s="1"/>
  <c r="EQ45" i="3" s="1"/>
  <c r="EQ46" i="3" s="1"/>
  <c r="EQ47" i="3" s="1"/>
  <c r="CS47" i="3"/>
  <c r="CQ47" i="3" s="1"/>
  <c r="CR47" i="3"/>
  <c r="HW52" i="3"/>
  <c r="J52" i="3" s="1"/>
  <c r="I52" i="3"/>
  <c r="DS47" i="3" l="1"/>
  <c r="FU35" i="3"/>
  <c r="H35" i="3" s="1"/>
  <c r="FQ36" i="3"/>
  <c r="FN36" i="3"/>
  <c r="CS48" i="3"/>
  <c r="CQ48" i="3" s="1"/>
  <c r="CR48" i="3"/>
  <c r="DS48" i="3" l="1"/>
  <c r="FR36" i="3"/>
  <c r="FS36" i="3" s="1"/>
  <c r="FO36" i="3"/>
  <c r="CS49" i="3"/>
  <c r="CQ49" i="3"/>
  <c r="CR49" i="3"/>
  <c r="DS49" i="3" l="1"/>
  <c r="FT36" i="3"/>
  <c r="FU36" i="3" s="1"/>
  <c r="ED37" i="3" s="1"/>
  <c r="CS50" i="3"/>
  <c r="CQ50" i="3" s="1"/>
  <c r="CR50" i="3"/>
  <c r="DS50" i="3" l="1"/>
  <c r="FQ37" i="3"/>
  <c r="G36" i="3"/>
  <c r="EG37" i="3"/>
  <c r="CS51" i="3"/>
  <c r="CQ51" i="3" s="1"/>
  <c r="CR51" i="3"/>
  <c r="DS51" i="3" l="1"/>
  <c r="EH37" i="3"/>
  <c r="EJ38" i="3" s="1"/>
  <c r="H36" i="3"/>
  <c r="EJ37" i="3"/>
  <c r="FL37" i="3" s="1"/>
  <c r="CS52" i="3"/>
  <c r="CQ52" i="3" s="1"/>
  <c r="CR52" i="3"/>
  <c r="DS52" i="3" l="1"/>
  <c r="EL37" i="3"/>
  <c r="EE37" i="3" s="1"/>
  <c r="FN37" i="3"/>
  <c r="FO37" i="3" l="1"/>
  <c r="FR37" i="3"/>
  <c r="FS37" i="3" s="1"/>
  <c r="FT37" i="3"/>
  <c r="EI38" i="3"/>
  <c r="EI39" i="3" s="1"/>
  <c r="EK37" i="3"/>
  <c r="G37" i="3" l="1"/>
  <c r="FQ38" i="3"/>
  <c r="FU37" i="3"/>
  <c r="H37" i="3" s="1"/>
  <c r="EI40" i="3"/>
  <c r="EL38" i="3"/>
  <c r="EG38" i="3" s="1"/>
  <c r="EH38" i="3" l="1"/>
  <c r="FL38" i="3"/>
  <c r="FN38" i="3" s="1"/>
  <c r="FO38" i="3" s="1"/>
  <c r="EI41" i="3"/>
  <c r="EJ39" i="3"/>
  <c r="FR38" i="3" l="1"/>
  <c r="FS38" i="3" s="1"/>
  <c r="FT38" i="3"/>
  <c r="FQ39" i="3" s="1"/>
  <c r="EI42" i="3"/>
  <c r="EL39" i="3"/>
  <c r="EG39" i="3" s="1"/>
  <c r="EH39" i="3" l="1"/>
  <c r="FL39" i="3"/>
  <c r="G38" i="3"/>
  <c r="FU38" i="3"/>
  <c r="H38" i="3" s="1"/>
  <c r="EJ40" i="3"/>
  <c r="EI43" i="3"/>
  <c r="FN39" i="3"/>
  <c r="EI44" i="3" l="1"/>
  <c r="FR39" i="3"/>
  <c r="FS39" i="3" s="1"/>
  <c r="FO39" i="3"/>
  <c r="FT39" i="3"/>
  <c r="EL40" i="3"/>
  <c r="EG40" i="3" s="1"/>
  <c r="EH40" i="3" l="1"/>
  <c r="FL40" i="3"/>
  <c r="G39" i="3"/>
  <c r="EJ41" i="3"/>
  <c r="EI45" i="3"/>
  <c r="FN40" i="3"/>
  <c r="FR40" i="3" s="1"/>
  <c r="FS40" i="3" s="1"/>
  <c r="FU39" i="3"/>
  <c r="H39" i="3" s="1"/>
  <c r="FQ40" i="3"/>
  <c r="FT40" i="3" l="1"/>
  <c r="FU40" i="3" s="1"/>
  <c r="FO40" i="3"/>
  <c r="EI46" i="3"/>
  <c r="EL41" i="3"/>
  <c r="EG41" i="3" s="1"/>
  <c r="EH41" i="3" l="1"/>
  <c r="FL41" i="3"/>
  <c r="FQ41" i="3"/>
  <c r="G40" i="3"/>
  <c r="H40" i="3"/>
  <c r="EJ42" i="3"/>
  <c r="EI47" i="3"/>
  <c r="FN41" i="3"/>
  <c r="EI48" i="3" l="1"/>
  <c r="EL42" i="3"/>
  <c r="EG42" i="3" s="1"/>
  <c r="FT41" i="3"/>
  <c r="FO41" i="3"/>
  <c r="FR41" i="3"/>
  <c r="FS41" i="3" s="1"/>
  <c r="EH42" i="3" l="1"/>
  <c r="FL42" i="3"/>
  <c r="G41" i="3"/>
  <c r="EJ43" i="3"/>
  <c r="EI49" i="3"/>
  <c r="FU41" i="3"/>
  <c r="H41" i="3" s="1"/>
  <c r="FQ42" i="3"/>
  <c r="EI50" i="3" l="1"/>
  <c r="FN42" i="3"/>
  <c r="EI51" i="3" l="1"/>
  <c r="FT42" i="3"/>
  <c r="FR42" i="3"/>
  <c r="FS42" i="3" s="1"/>
  <c r="FO42" i="3"/>
  <c r="G42" i="3" s="1"/>
  <c r="EL43" i="3"/>
  <c r="EG43" i="3" s="1"/>
  <c r="EH43" i="3" l="1"/>
  <c r="FL43" i="3"/>
  <c r="EJ44" i="3"/>
  <c r="EI52" i="3"/>
  <c r="FU42" i="3"/>
  <c r="H42" i="3" s="1"/>
  <c r="FQ43" i="3"/>
  <c r="FN43" i="3" l="1"/>
  <c r="FO43" i="3" l="1"/>
  <c r="FT43" i="3"/>
  <c r="FR43" i="3"/>
  <c r="FS43" i="3" s="1"/>
  <c r="EL44" i="3"/>
  <c r="EG44" i="3" s="1"/>
  <c r="EH44" i="3" l="1"/>
  <c r="FL44" i="3"/>
  <c r="FN44" i="3" s="1"/>
  <c r="EJ45" i="3"/>
  <c r="FQ44" i="3"/>
  <c r="FU43" i="3"/>
  <c r="H43" i="3" s="1"/>
  <c r="G43" i="3"/>
  <c r="EL45" i="3" l="1"/>
  <c r="EG45" i="3" s="1"/>
  <c r="FO44" i="3"/>
  <c r="FR44" i="3"/>
  <c r="FS44" i="3" s="1"/>
  <c r="FT44" i="3"/>
  <c r="EH45" i="3" l="1"/>
  <c r="FL45" i="3"/>
  <c r="EJ46" i="3"/>
  <c r="G44" i="3"/>
  <c r="FQ45" i="3"/>
  <c r="FU44" i="3"/>
  <c r="H44" i="3" s="1"/>
  <c r="FN45" i="3" l="1"/>
  <c r="FR45" i="3" l="1"/>
  <c r="FS45" i="3" s="1"/>
  <c r="FT45" i="3"/>
  <c r="FO45" i="3"/>
  <c r="EL46" i="3"/>
  <c r="EG46" i="3" s="1"/>
  <c r="EH46" i="3" l="1"/>
  <c r="FL46" i="3"/>
  <c r="EJ47" i="3"/>
  <c r="G45" i="3"/>
  <c r="FQ46" i="3"/>
  <c r="FU45" i="3"/>
  <c r="H45" i="3" s="1"/>
  <c r="FN46" i="3"/>
  <c r="EL47" i="3" l="1"/>
  <c r="EG47" i="3" s="1"/>
  <c r="FR46" i="3"/>
  <c r="FS46" i="3" s="1"/>
  <c r="FO46" i="3"/>
  <c r="FT46" i="3"/>
  <c r="EH47" i="3" l="1"/>
  <c r="FL47" i="3"/>
  <c r="EJ48" i="3"/>
  <c r="G46" i="3"/>
  <c r="FU46" i="3"/>
  <c r="H46" i="3" s="1"/>
  <c r="FQ47" i="3"/>
  <c r="FN47" i="3" l="1"/>
  <c r="EL48" i="3" l="1"/>
  <c r="FT47" i="3"/>
  <c r="FO47" i="3"/>
  <c r="FR47" i="3"/>
  <c r="FS47" i="3" s="1"/>
  <c r="EG48" i="3" l="1"/>
  <c r="G47" i="3"/>
  <c r="FU47" i="3"/>
  <c r="H47" i="3" s="1"/>
  <c r="FQ48" i="3"/>
  <c r="EH48" i="3" l="1"/>
  <c r="FL48" i="3"/>
  <c r="FN48" i="3" s="1"/>
  <c r="EJ49" i="3"/>
  <c r="EL49" i="3"/>
  <c r="EG49" i="3" s="1"/>
  <c r="EH49" i="3" l="1"/>
  <c r="FL49" i="3"/>
  <c r="EJ50" i="3"/>
  <c r="FO48" i="3"/>
  <c r="FT48" i="3"/>
  <c r="FR48" i="3"/>
  <c r="FS48" i="3" s="1"/>
  <c r="FN49" i="3"/>
  <c r="FT49" i="3" l="1"/>
  <c r="FR49" i="3"/>
  <c r="FS49" i="3" s="1"/>
  <c r="FU49" i="3" s="1"/>
  <c r="FO49" i="3"/>
  <c r="FQ49" i="3"/>
  <c r="FU48" i="3"/>
  <c r="H48" i="3" s="1"/>
  <c r="G48" i="3"/>
  <c r="EL50" i="3"/>
  <c r="EG50" i="3" s="1"/>
  <c r="G49" i="3"/>
  <c r="FQ50" i="3"/>
  <c r="EH50" i="3" l="1"/>
  <c r="FL50" i="3"/>
  <c r="FN50" i="3" s="1"/>
  <c r="H49" i="3"/>
  <c r="EJ51" i="3"/>
  <c r="EL51" i="3" l="1"/>
  <c r="EG51" i="3" s="1"/>
  <c r="FO50" i="3"/>
  <c r="FT50" i="3"/>
  <c r="FR50" i="3"/>
  <c r="FS50" i="3" s="1"/>
  <c r="EH51" i="3" l="1"/>
  <c r="FL51" i="3"/>
  <c r="EJ52" i="3"/>
  <c r="FQ51" i="3"/>
  <c r="FU50" i="3"/>
  <c r="G50" i="3"/>
  <c r="H50" i="3"/>
  <c r="FN51" i="3" l="1"/>
  <c r="EL52" i="3" l="1"/>
  <c r="EG52" i="3" s="1"/>
  <c r="FO51" i="3"/>
  <c r="FT51" i="3"/>
  <c r="FR51" i="3"/>
  <c r="FS51" i="3" s="1"/>
  <c r="EH52" i="3" l="1"/>
  <c r="FL52" i="3"/>
  <c r="FN52" i="3" s="1"/>
  <c r="FQ52" i="3"/>
  <c r="FU51" i="3"/>
  <c r="H51" i="3" s="1"/>
  <c r="G51" i="3"/>
  <c r="FT52" i="3"/>
  <c r="FO52" i="3"/>
  <c r="FR52" i="3"/>
  <c r="FS52" i="3" s="1"/>
  <c r="G52" i="3" l="1"/>
  <c r="FU52" i="3"/>
  <c r="H52" i="3" s="1"/>
  <c r="AU8" i="3" l="1"/>
  <c r="AU9" i="3" s="1"/>
  <c r="AU10" i="3" s="1"/>
  <c r="AU11" i="3" l="1"/>
  <c r="AU12" i="3" l="1"/>
  <c r="AZ12" i="3" l="1"/>
  <c r="BB12" i="3" s="1"/>
  <c r="BB13" i="3" l="1"/>
  <c r="BB14" i="3" s="1"/>
  <c r="BB15" i="3" s="1"/>
  <c r="BB16" i="3" s="1"/>
  <c r="BC12" i="3"/>
  <c r="BC13" i="3" l="1"/>
  <c r="BC14" i="3" s="1"/>
  <c r="BC15" i="3" s="1"/>
  <c r="BC16" i="3" s="1"/>
  <c r="AZ17" i="3" l="1"/>
  <c r="BB17" i="3" s="1"/>
  <c r="BB18" i="3" l="1"/>
  <c r="BB19" i="3" s="1"/>
  <c r="BB20" i="3" s="1"/>
  <c r="BB21" i="3" s="1"/>
  <c r="BC17" i="3"/>
  <c r="BC18" i="3" l="1"/>
  <c r="BC19" i="3"/>
  <c r="BC20" i="3" s="1"/>
  <c r="BC21" i="3" s="1"/>
  <c r="AP12" i="3" l="1"/>
  <c r="AQ12" i="3" l="1"/>
  <c r="AU13" i="3"/>
  <c r="AU14" i="3" s="1"/>
  <c r="AU15" i="3" s="1"/>
  <c r="AU16" i="3" s="1"/>
  <c r="AU17" i="3" s="1"/>
  <c r="AP17" i="3" l="1"/>
  <c r="AQ17" i="3" l="1"/>
  <c r="AU18" i="3"/>
  <c r="AU19" i="3" s="1"/>
  <c r="AU20" i="3" s="1"/>
  <c r="AU21" i="3" s="1"/>
  <c r="AU22" i="3" s="1"/>
  <c r="AZ22" i="3" l="1"/>
  <c r="BB22" i="3" s="1"/>
  <c r="BB23" i="3" l="1"/>
  <c r="BB24" i="3" s="1"/>
  <c r="BB25" i="3" s="1"/>
  <c r="BB26" i="3" s="1"/>
  <c r="BB27" i="3" s="1"/>
  <c r="BB28" i="3" s="1"/>
  <c r="BB29" i="3" s="1"/>
  <c r="BB30" i="3" s="1"/>
  <c r="BB31" i="3" s="1"/>
  <c r="BB32" i="3" s="1"/>
  <c r="BB33" i="3" s="1"/>
  <c r="BB34" i="3" s="1"/>
  <c r="BB35" i="3" s="1"/>
  <c r="BB36" i="3" s="1"/>
  <c r="BC22" i="3"/>
  <c r="BC23" i="3" s="1"/>
  <c r="BC24" i="3" s="1"/>
  <c r="BC25" i="3" s="1"/>
  <c r="BC26" i="3" l="1"/>
  <c r="BC27" i="3"/>
  <c r="BC28" i="3" s="1"/>
  <c r="BC29" i="3" s="1"/>
  <c r="BC30" i="3" s="1"/>
  <c r="BC31" i="3" s="1"/>
  <c r="BC32" i="3" s="1"/>
  <c r="BC33" i="3" s="1"/>
  <c r="AP22" i="3" l="1"/>
  <c r="AX5" i="5" l="1"/>
  <c r="AS5" i="5" s="1"/>
  <c r="AQ5" i="5"/>
  <c r="AU6" i="5"/>
  <c r="AX5" i="12"/>
  <c r="AS5" i="12" s="1"/>
  <c r="AQ5" i="12"/>
  <c r="AS5" i="9"/>
  <c r="AT5" i="9" s="1"/>
  <c r="AV6" i="9" s="1"/>
  <c r="AX5" i="9"/>
  <c r="AW5" i="5"/>
  <c r="AW5" i="12"/>
  <c r="AU7" i="5" l="1"/>
  <c r="AT5" i="12"/>
  <c r="BX5" i="12"/>
  <c r="BZ5" i="12" s="1"/>
  <c r="AT5" i="5"/>
  <c r="BX5" i="5"/>
  <c r="BZ5" i="5" s="1"/>
  <c r="CD5" i="5" s="1"/>
  <c r="CE5" i="5" s="1"/>
  <c r="BX5" i="9"/>
  <c r="BZ5" i="9" s="1"/>
  <c r="CA5" i="9" s="1"/>
  <c r="AZ7" i="5"/>
  <c r="BB7" i="5" s="1"/>
  <c r="CA5" i="12"/>
  <c r="CD5" i="12"/>
  <c r="CE5" i="12" s="1"/>
  <c r="CA5" i="5"/>
  <c r="CF5" i="5"/>
  <c r="CD5" i="9"/>
  <c r="CE5" i="9" s="1"/>
  <c r="AX6" i="12"/>
  <c r="AV6" i="12"/>
  <c r="AW6" i="12" s="1"/>
  <c r="AX6" i="9"/>
  <c r="AS6" i="9" s="1"/>
  <c r="BX6" i="9" s="1"/>
  <c r="BZ6" i="9" s="1"/>
  <c r="AQ5" i="9"/>
  <c r="AU6" i="12"/>
  <c r="AX6" i="5" l="1"/>
  <c r="AV6" i="5"/>
  <c r="AW6" i="5" s="1"/>
  <c r="CF5" i="9"/>
  <c r="CA6" i="9" s="1"/>
  <c r="CC6" i="9"/>
  <c r="CC6" i="5"/>
  <c r="CG5" i="5"/>
  <c r="D5" i="5" s="1"/>
  <c r="CF5" i="12"/>
  <c r="C5" i="5"/>
  <c r="BB8" i="5"/>
  <c r="BB9" i="5" s="1"/>
  <c r="BB10" i="5" s="1"/>
  <c r="BB11" i="5" s="1"/>
  <c r="BC7" i="5"/>
  <c r="AT6" i="9"/>
  <c r="AS6" i="12"/>
  <c r="AU6" i="9"/>
  <c r="AW5" i="9"/>
  <c r="AW6" i="9" s="1"/>
  <c r="AU7" i="12"/>
  <c r="CD6" i="9"/>
  <c r="CE6" i="9" s="1"/>
  <c r="CG5" i="9" l="1"/>
  <c r="AS6" i="5"/>
  <c r="BX6" i="5" s="1"/>
  <c r="BZ6" i="5" s="1"/>
  <c r="CD6" i="5" s="1"/>
  <c r="CE6" i="5" s="1"/>
  <c r="BC8" i="5"/>
  <c r="BC9" i="5"/>
  <c r="BC10" i="5" s="1"/>
  <c r="BC11" i="5" s="1"/>
  <c r="AZ7" i="12"/>
  <c r="BB7" i="12" s="1"/>
  <c r="CC6" i="12"/>
  <c r="CG5" i="12"/>
  <c r="D5" i="12" s="1"/>
  <c r="C5" i="12"/>
  <c r="CF6" i="9"/>
  <c r="CC7" i="9" s="1"/>
  <c r="BX6" i="12"/>
  <c r="BZ6" i="12" s="1"/>
  <c r="AT6" i="12"/>
  <c r="D5" i="9"/>
  <c r="C5" i="9"/>
  <c r="AU7" i="9"/>
  <c r="CF6" i="5" l="1"/>
  <c r="AT6" i="5"/>
  <c r="C6" i="5" s="1"/>
  <c r="CA6" i="5"/>
  <c r="C6" i="9"/>
  <c r="AZ7" i="9"/>
  <c r="BB7" i="9" s="1"/>
  <c r="CG6" i="9"/>
  <c r="BC7" i="12"/>
  <c r="BB8" i="12"/>
  <c r="BB9" i="12" s="1"/>
  <c r="BB10" i="12" s="1"/>
  <c r="BB11" i="12" s="1"/>
  <c r="AP7" i="5"/>
  <c r="CD6" i="12"/>
  <c r="CE6" i="12" s="1"/>
  <c r="CA6" i="12"/>
  <c r="CG6" i="5" l="1"/>
  <c r="D6" i="5" s="1"/>
  <c r="CC7" i="5"/>
  <c r="D6" i="9"/>
  <c r="AP7" i="9"/>
  <c r="BC8" i="12"/>
  <c r="BC9" i="12" s="1"/>
  <c r="BC10" i="12" s="1"/>
  <c r="BC11" i="12" s="1"/>
  <c r="CF6" i="12"/>
  <c r="AV7" i="5"/>
  <c r="BB8" i="9"/>
  <c r="BB9" i="9" s="1"/>
  <c r="BB10" i="9" s="1"/>
  <c r="BB11" i="9" s="1"/>
  <c r="BC7" i="9"/>
  <c r="CG6" i="12"/>
  <c r="CC7" i="12"/>
  <c r="C6" i="12"/>
  <c r="BC8" i="9" l="1"/>
  <c r="BC9" i="9" s="1"/>
  <c r="BC10" i="9" s="1"/>
  <c r="BC11" i="9" s="1"/>
  <c r="AV7" i="9"/>
  <c r="D6" i="12"/>
  <c r="AP7" i="12"/>
  <c r="AV7" i="12" l="1"/>
  <c r="AX7" i="5" l="1"/>
  <c r="AW7" i="5"/>
  <c r="AU8" i="11"/>
  <c r="AU8" i="9"/>
  <c r="AX7" i="12"/>
  <c r="AQ7" i="12" l="1"/>
  <c r="AS7" i="12"/>
  <c r="AQ7" i="5"/>
  <c r="AU8" i="5" s="1"/>
  <c r="AU9" i="5" s="1"/>
  <c r="AU10" i="5" s="1"/>
  <c r="AS7" i="5"/>
  <c r="AU8" i="7"/>
  <c r="AU9" i="7" s="1"/>
  <c r="AU8" i="6"/>
  <c r="AU9" i="6" s="1"/>
  <c r="AU8" i="10"/>
  <c r="AU9" i="11"/>
  <c r="AU8" i="12"/>
  <c r="AW7" i="12"/>
  <c r="AU9" i="9"/>
  <c r="AU11" i="5"/>
  <c r="AU8" i="8"/>
  <c r="AU10" i="7"/>
  <c r="AT7" i="5" l="1"/>
  <c r="BX7" i="5"/>
  <c r="BZ7" i="5" s="1"/>
  <c r="AT7" i="12"/>
  <c r="BX7" i="12"/>
  <c r="BZ7" i="12" s="1"/>
  <c r="AU10" i="6"/>
  <c r="AU11" i="7"/>
  <c r="AU9" i="12"/>
  <c r="AU9" i="10"/>
  <c r="AU10" i="9"/>
  <c r="AU12" i="5"/>
  <c r="AU10" i="11"/>
  <c r="AU9" i="8"/>
  <c r="CD7" i="12" l="1"/>
  <c r="CE7" i="12" s="1"/>
  <c r="CF7" i="12"/>
  <c r="CA7" i="12"/>
  <c r="AV8" i="12"/>
  <c r="AW8" i="12" s="1"/>
  <c r="AX8" i="12"/>
  <c r="AS8" i="12" s="1"/>
  <c r="AV8" i="5"/>
  <c r="AW8" i="5" s="1"/>
  <c r="AX8" i="5"/>
  <c r="AS8" i="5" s="1"/>
  <c r="BX8" i="5" s="1"/>
  <c r="BZ8" i="5" s="1"/>
  <c r="CD8" i="5" s="1"/>
  <c r="CD7" i="5"/>
  <c r="CE7" i="5" s="1"/>
  <c r="CA7" i="5"/>
  <c r="CF7" i="5"/>
  <c r="AZ12" i="5"/>
  <c r="BB12" i="5" s="1"/>
  <c r="AU10" i="12"/>
  <c r="AU10" i="8"/>
  <c r="AU11" i="6"/>
  <c r="AU11" i="11"/>
  <c r="AU11" i="9"/>
  <c r="AU10" i="10"/>
  <c r="AU12" i="7"/>
  <c r="CE8" i="5" l="1"/>
  <c r="CA8" i="5"/>
  <c r="CG7" i="5"/>
  <c r="D7" i="5" s="1"/>
  <c r="C7" i="5"/>
  <c r="CC8" i="5"/>
  <c r="CF8" i="5" s="1"/>
  <c r="AT8" i="5"/>
  <c r="BX8" i="12"/>
  <c r="BZ8" i="12" s="1"/>
  <c r="AT8" i="12"/>
  <c r="CG7" i="12"/>
  <c r="D7" i="12" s="1"/>
  <c r="CC8" i="12"/>
  <c r="C7" i="12"/>
  <c r="AZ12" i="7"/>
  <c r="BB12" i="7" s="1"/>
  <c r="BB13" i="5"/>
  <c r="BB14" i="5" s="1"/>
  <c r="BB15" i="5" s="1"/>
  <c r="BB16" i="5" s="1"/>
  <c r="BC12" i="5"/>
  <c r="BC13" i="5" s="1"/>
  <c r="CF8" i="12"/>
  <c r="AU12" i="11"/>
  <c r="AU12" i="9"/>
  <c r="AU11" i="12"/>
  <c r="AU12" i="6"/>
  <c r="AU11" i="8"/>
  <c r="AU11" i="10"/>
  <c r="AX9" i="5" l="1"/>
  <c r="AS9" i="5" s="1"/>
  <c r="BX9" i="5" s="1"/>
  <c r="BZ9" i="5" s="1"/>
  <c r="AV9" i="5"/>
  <c r="AW9" i="5" s="1"/>
  <c r="AT9" i="5"/>
  <c r="AX9" i="12"/>
  <c r="AV9" i="12"/>
  <c r="AW9" i="12" s="1"/>
  <c r="C8" i="5"/>
  <c r="CC9" i="5"/>
  <c r="CG8" i="5"/>
  <c r="D8" i="5" s="1"/>
  <c r="CA8" i="12"/>
  <c r="C8" i="12" s="1"/>
  <c r="CD8" i="12"/>
  <c r="CE8" i="12" s="1"/>
  <c r="CG8" i="12" s="1"/>
  <c r="D8" i="12" s="1"/>
  <c r="AZ12" i="11"/>
  <c r="BB12" i="11" s="1"/>
  <c r="BC14" i="5"/>
  <c r="BC15" i="5" s="1"/>
  <c r="BC16" i="5" s="1"/>
  <c r="AZ12" i="9"/>
  <c r="BB12" i="9" s="1"/>
  <c r="AZ12" i="6"/>
  <c r="BB12" i="6" s="1"/>
  <c r="BB13" i="7"/>
  <c r="BB14" i="7" s="1"/>
  <c r="BB15" i="7" s="1"/>
  <c r="BB16" i="7" s="1"/>
  <c r="BC12" i="7"/>
  <c r="CC9" i="12"/>
  <c r="AU12" i="8"/>
  <c r="AU12" i="12"/>
  <c r="AU12" i="10"/>
  <c r="AS9" i="12" l="1"/>
  <c r="AX10" i="5"/>
  <c r="AV10" i="5"/>
  <c r="AW10" i="5" s="1"/>
  <c r="CD9" i="5"/>
  <c r="CE9" i="5" s="1"/>
  <c r="CA9" i="5"/>
  <c r="CF9" i="5"/>
  <c r="BC13" i="7"/>
  <c r="BC14" i="7"/>
  <c r="BC15" i="7" s="1"/>
  <c r="BC16" i="7" s="1"/>
  <c r="BB13" i="9"/>
  <c r="BB14" i="9" s="1"/>
  <c r="BB15" i="9" s="1"/>
  <c r="BB16" i="9" s="1"/>
  <c r="BC12" i="9"/>
  <c r="BB13" i="6"/>
  <c r="BB14" i="6" s="1"/>
  <c r="BB15" i="6" s="1"/>
  <c r="BB16" i="6" s="1"/>
  <c r="BC12" i="6"/>
  <c r="AZ12" i="8"/>
  <c r="BB12" i="8" s="1"/>
  <c r="AZ12" i="12"/>
  <c r="BB12" i="12" s="1"/>
  <c r="AZ12" i="10"/>
  <c r="BB12" i="10" s="1"/>
  <c r="BB13" i="11"/>
  <c r="BB14" i="11" s="1"/>
  <c r="BB15" i="11" s="1"/>
  <c r="BB16" i="11" s="1"/>
  <c r="BC12" i="11"/>
  <c r="AS10" i="5" l="1"/>
  <c r="CG9" i="5"/>
  <c r="D9" i="5" s="1"/>
  <c r="CC10" i="5"/>
  <c r="C9" i="5"/>
  <c r="AT9" i="12"/>
  <c r="BX9" i="12"/>
  <c r="BZ9" i="12" s="1"/>
  <c r="BC13" i="6"/>
  <c r="BC14" i="6" s="1"/>
  <c r="BC15" i="6" s="1"/>
  <c r="BC16" i="6" s="1"/>
  <c r="BC13" i="11"/>
  <c r="BC13" i="9"/>
  <c r="BC14" i="9" s="1"/>
  <c r="BC14" i="11"/>
  <c r="BC15" i="11" s="1"/>
  <c r="BC16" i="11" s="1"/>
  <c r="BB13" i="8"/>
  <c r="BB14" i="8" s="1"/>
  <c r="BB15" i="8" s="1"/>
  <c r="BB16" i="8" s="1"/>
  <c r="BC12" i="8"/>
  <c r="BB13" i="12"/>
  <c r="BB14" i="12" s="1"/>
  <c r="BB15" i="12" s="1"/>
  <c r="BB16" i="12" s="1"/>
  <c r="BC12" i="12"/>
  <c r="BC15" i="9"/>
  <c r="BC16" i="9" s="1"/>
  <c r="BB13" i="10"/>
  <c r="BB14" i="10" s="1"/>
  <c r="BB15" i="10" s="1"/>
  <c r="BB16" i="10" s="1"/>
  <c r="BC12" i="10"/>
  <c r="BC13" i="10" s="1"/>
  <c r="BX10" i="5" l="1"/>
  <c r="BZ10" i="5" s="1"/>
  <c r="AT10" i="5"/>
  <c r="CF9" i="12"/>
  <c r="CD9" i="12"/>
  <c r="CE9" i="12" s="1"/>
  <c r="CA9" i="12"/>
  <c r="AX10" i="12"/>
  <c r="AV10" i="12"/>
  <c r="AW10" i="12" s="1"/>
  <c r="BC13" i="8"/>
  <c r="BC14" i="8" s="1"/>
  <c r="BC15" i="8" s="1"/>
  <c r="BC16" i="8" s="1"/>
  <c r="BC14" i="10"/>
  <c r="BC15" i="10" s="1"/>
  <c r="BC16" i="10" s="1"/>
  <c r="BC13" i="12"/>
  <c r="BC14" i="12"/>
  <c r="BC15" i="12" s="1"/>
  <c r="BC16" i="12" s="1"/>
  <c r="CF10" i="5"/>
  <c r="CC11" i="5" s="1"/>
  <c r="AZ17" i="5"/>
  <c r="BB17" i="5" s="1"/>
  <c r="AV11" i="5" l="1"/>
  <c r="AW11" i="5" s="1"/>
  <c r="AX11" i="5"/>
  <c r="AS11" i="5" s="1"/>
  <c r="AS10" i="12"/>
  <c r="CA10" i="5"/>
  <c r="C10" i="5" s="1"/>
  <c r="CD10" i="5"/>
  <c r="CE10" i="5" s="1"/>
  <c r="CG10" i="5" s="1"/>
  <c r="D10" i="5" s="1"/>
  <c r="C9" i="12"/>
  <c r="CC10" i="12"/>
  <c r="CG9" i="12"/>
  <c r="D9" i="12" s="1"/>
  <c r="BX11" i="5"/>
  <c r="BZ11" i="5" s="1"/>
  <c r="AT11" i="5"/>
  <c r="AZ17" i="7"/>
  <c r="BB17" i="7" s="1"/>
  <c r="BC17" i="5"/>
  <c r="BB18" i="5"/>
  <c r="BB19" i="5" s="1"/>
  <c r="BB20" i="5" s="1"/>
  <c r="BB21" i="5" s="1"/>
  <c r="AT10" i="12" l="1"/>
  <c r="BX10" i="12"/>
  <c r="BZ10" i="12" s="1"/>
  <c r="CA11" i="5"/>
  <c r="CD11" i="5"/>
  <c r="CE11" i="5" s="1"/>
  <c r="AZ17" i="9"/>
  <c r="BB17" i="9" s="1"/>
  <c r="AZ17" i="6"/>
  <c r="BB17" i="6" s="1"/>
  <c r="BC18" i="5"/>
  <c r="BC19" i="5" s="1"/>
  <c r="BC20" i="5" s="1"/>
  <c r="BC21" i="5" s="1"/>
  <c r="BC17" i="7"/>
  <c r="BB18" i="7"/>
  <c r="BB19" i="7" s="1"/>
  <c r="BB20" i="7" s="1"/>
  <c r="BB21" i="7" s="1"/>
  <c r="AZ17" i="11"/>
  <c r="BB17" i="11" s="1"/>
  <c r="CA10" i="12" l="1"/>
  <c r="CF10" i="12"/>
  <c r="CD10" i="12"/>
  <c r="CE10" i="12" s="1"/>
  <c r="AX11" i="12"/>
  <c r="AS11" i="12" s="1"/>
  <c r="BX11" i="12" s="1"/>
  <c r="BZ11" i="12" s="1"/>
  <c r="AV11" i="12"/>
  <c r="AW11" i="12" s="1"/>
  <c r="AP12" i="6"/>
  <c r="AP12" i="11"/>
  <c r="CF11" i="5"/>
  <c r="C11" i="5" s="1"/>
  <c r="BC18" i="7"/>
  <c r="BC19" i="7" s="1"/>
  <c r="AZ17" i="10"/>
  <c r="BB17" i="10" s="1"/>
  <c r="BC20" i="7"/>
  <c r="BC21" i="7" s="1"/>
  <c r="BC17" i="6"/>
  <c r="BB18" i="6"/>
  <c r="BB19" i="6" s="1"/>
  <c r="BB20" i="6" s="1"/>
  <c r="BB21" i="6" s="1"/>
  <c r="AZ17" i="12"/>
  <c r="BB17" i="12" s="1"/>
  <c r="BB18" i="11"/>
  <c r="BB19" i="11" s="1"/>
  <c r="BB20" i="11" s="1"/>
  <c r="BB21" i="11" s="1"/>
  <c r="BC17" i="11"/>
  <c r="BC18" i="11" s="1"/>
  <c r="AZ17" i="8"/>
  <c r="BB17" i="8" s="1"/>
  <c r="BC17" i="9"/>
  <c r="BB18" i="9"/>
  <c r="BB19" i="9" s="1"/>
  <c r="BB20" i="9" s="1"/>
  <c r="BB21" i="9" s="1"/>
  <c r="AT11" i="12" l="1"/>
  <c r="C10" i="12"/>
  <c r="CC11" i="12"/>
  <c r="CG10" i="12"/>
  <c r="D10" i="12" s="1"/>
  <c r="CG11" i="5"/>
  <c r="D11" i="5" s="1"/>
  <c r="AP12" i="5"/>
  <c r="CC12" i="5"/>
  <c r="AP12" i="7"/>
  <c r="BC19" i="11"/>
  <c r="BC20" i="11" s="1"/>
  <c r="BC21" i="11" s="1"/>
  <c r="BC18" i="9"/>
  <c r="BC19" i="9" s="1"/>
  <c r="BC20" i="9" s="1"/>
  <c r="BC21" i="9" s="1"/>
  <c r="BC17" i="12"/>
  <c r="BB18" i="12"/>
  <c r="BB19" i="12" s="1"/>
  <c r="BB20" i="12" s="1"/>
  <c r="BB21" i="12" s="1"/>
  <c r="BC18" i="6"/>
  <c r="BC19" i="6" s="1"/>
  <c r="BC20" i="6" s="1"/>
  <c r="BC21" i="6" s="1"/>
  <c r="BC17" i="8"/>
  <c r="BB18" i="8"/>
  <c r="BB19" i="8" s="1"/>
  <c r="BB20" i="8" s="1"/>
  <c r="BB21" i="8" s="1"/>
  <c r="BC17" i="10"/>
  <c r="BB18" i="10"/>
  <c r="BB19" i="10" s="1"/>
  <c r="BB20" i="10" s="1"/>
  <c r="BB21" i="10" s="1"/>
  <c r="CD11" i="12"/>
  <c r="CE11" i="12" s="1"/>
  <c r="CA11" i="12"/>
  <c r="AP12" i="9" l="1"/>
  <c r="AV12" i="5"/>
  <c r="AP12" i="10"/>
  <c r="BC18" i="8"/>
  <c r="BC19" i="8" s="1"/>
  <c r="BC20" i="8" s="1"/>
  <c r="BC21" i="8" s="1"/>
  <c r="CF11" i="12"/>
  <c r="C11" i="12" s="1"/>
  <c r="BC18" i="12"/>
  <c r="BC19" i="12" s="1"/>
  <c r="BC20" i="12" s="1"/>
  <c r="BC21" i="12" s="1"/>
  <c r="BC18" i="10"/>
  <c r="BC19" i="10" s="1"/>
  <c r="BC20" i="10" s="1"/>
  <c r="BC21" i="10" s="1"/>
  <c r="CC12" i="12" l="1"/>
  <c r="CG11" i="12"/>
  <c r="AQ12" i="11"/>
  <c r="AQ12" i="6"/>
  <c r="AU13" i="11"/>
  <c r="AU14" i="11" s="1"/>
  <c r="AU15" i="11" s="1"/>
  <c r="AU16" i="11" s="1"/>
  <c r="AU17" i="11" s="1"/>
  <c r="D11" i="12"/>
  <c r="AP12" i="12"/>
  <c r="AU13" i="6"/>
  <c r="AU14" i="6" s="1"/>
  <c r="AU15" i="6" s="1"/>
  <c r="AU16" i="6" s="1"/>
  <c r="AU17" i="6" s="1"/>
  <c r="AP12" i="8"/>
  <c r="AQ12" i="7" l="1"/>
  <c r="AU13" i="7"/>
  <c r="AU14" i="7" s="1"/>
  <c r="AU15" i="7" s="1"/>
  <c r="AU16" i="7" s="1"/>
  <c r="AU17" i="7" s="1"/>
  <c r="AV12" i="12"/>
  <c r="AQ12" i="9" l="1"/>
  <c r="AU13" i="9"/>
  <c r="AU14" i="9" s="1"/>
  <c r="AU15" i="9" s="1"/>
  <c r="AU16" i="9" s="1"/>
  <c r="AU17" i="9" s="1"/>
  <c r="AW12" i="12"/>
  <c r="AX12" i="12"/>
  <c r="AQ12" i="8" l="1"/>
  <c r="AQ12" i="12"/>
  <c r="AS12" i="12"/>
  <c r="AU13" i="8"/>
  <c r="AU14" i="8" s="1"/>
  <c r="AU15" i="8" s="1"/>
  <c r="AU16" i="8" s="1"/>
  <c r="AU17" i="8" s="1"/>
  <c r="AU13" i="12"/>
  <c r="AT12" i="12" l="1"/>
  <c r="BX12" i="12"/>
  <c r="BZ12" i="12" s="1"/>
  <c r="AU14" i="12"/>
  <c r="AU15" i="12" s="1"/>
  <c r="AU16" i="12" s="1"/>
  <c r="AU17" i="12" s="1"/>
  <c r="AX13" i="12" l="1"/>
  <c r="AV13" i="12"/>
  <c r="AW13" i="12" s="1"/>
  <c r="CF12" i="12"/>
  <c r="CC13" i="12" s="1"/>
  <c r="CA12" i="12"/>
  <c r="C12" i="12" s="1"/>
  <c r="CD12" i="12"/>
  <c r="CE12" i="12" s="1"/>
  <c r="CG12" i="12" s="1"/>
  <c r="AP17" i="5"/>
  <c r="D12" i="12" l="1"/>
  <c r="AS13" i="12"/>
  <c r="AP17" i="10"/>
  <c r="AT13" i="12" l="1"/>
  <c r="BX13" i="12"/>
  <c r="BZ13" i="12" s="1"/>
  <c r="CD13" i="12" l="1"/>
  <c r="CE13" i="12" s="1"/>
  <c r="CF13" i="12"/>
  <c r="CA13" i="12"/>
  <c r="AX14" i="12"/>
  <c r="AV14" i="12"/>
  <c r="AW14" i="12" s="1"/>
  <c r="AQ17" i="5"/>
  <c r="AU18" i="11"/>
  <c r="AU19" i="11" s="1"/>
  <c r="AU20" i="11" s="1"/>
  <c r="AU21" i="11" s="1"/>
  <c r="AU22" i="11" s="1"/>
  <c r="AS14" i="12" l="1"/>
  <c r="BX14" i="12" s="1"/>
  <c r="BZ14" i="12" s="1"/>
  <c r="CF14" i="12" s="1"/>
  <c r="C13" i="12"/>
  <c r="CG13" i="12"/>
  <c r="D13" i="12" s="1"/>
  <c r="CC14" i="12"/>
  <c r="AQ17" i="10"/>
  <c r="AZ22" i="11"/>
  <c r="BB22" i="11" s="1"/>
  <c r="AZ22" i="5"/>
  <c r="BB22" i="5" s="1"/>
  <c r="CD14" i="12" l="1"/>
  <c r="CE14" i="12" s="1"/>
  <c r="CG14" i="12" s="1"/>
  <c r="CA14" i="12"/>
  <c r="AT14" i="12"/>
  <c r="AV15" i="12" s="1"/>
  <c r="AW15" i="12" s="1"/>
  <c r="CC15" i="12"/>
  <c r="BB23" i="11"/>
  <c r="BB24" i="11" s="1"/>
  <c r="BB25" i="11" s="1"/>
  <c r="BB26" i="11" s="1"/>
  <c r="BB27" i="11" s="1"/>
  <c r="BB28" i="11" s="1"/>
  <c r="BB29" i="11" s="1"/>
  <c r="BB30" i="11" s="1"/>
  <c r="BB31" i="11" s="1"/>
  <c r="BC22" i="11"/>
  <c r="BC23" i="11" s="1"/>
  <c r="BC24" i="11" s="1"/>
  <c r="BC25" i="11" s="1"/>
  <c r="BC26" i="11" s="1"/>
  <c r="BC27" i="11" s="1"/>
  <c r="BC28" i="11" s="1"/>
  <c r="BC29" i="11" s="1"/>
  <c r="BC30" i="11" s="1"/>
  <c r="BB23" i="5"/>
  <c r="BB24" i="5" s="1"/>
  <c r="BB25" i="5" s="1"/>
  <c r="BB26" i="5" s="1"/>
  <c r="BB27" i="5" s="1"/>
  <c r="BB28" i="5" s="1"/>
  <c r="BB29" i="5" s="1"/>
  <c r="BB30" i="5" s="1"/>
  <c r="BB31" i="5" s="1"/>
  <c r="BC22" i="5"/>
  <c r="BC23" i="5" s="1"/>
  <c r="AZ22" i="10"/>
  <c r="BB22" i="10" s="1"/>
  <c r="AP17" i="8"/>
  <c r="AP17" i="12"/>
  <c r="AP17" i="6"/>
  <c r="AP17" i="9"/>
  <c r="D14" i="12" l="1"/>
  <c r="AX15" i="12"/>
  <c r="AS15" i="12" s="1"/>
  <c r="BX15" i="12" s="1"/>
  <c r="BZ15" i="12" s="1"/>
  <c r="C14" i="12"/>
  <c r="AP17" i="11"/>
  <c r="BB23" i="10"/>
  <c r="BB24" i="10" s="1"/>
  <c r="BB25" i="10" s="1"/>
  <c r="BB26" i="10" s="1"/>
  <c r="BB27" i="10" s="1"/>
  <c r="BB28" i="10" s="1"/>
  <c r="BB29" i="10" s="1"/>
  <c r="BB30" i="10" s="1"/>
  <c r="BB31" i="10" s="1"/>
  <c r="BC22" i="10"/>
  <c r="BC23" i="10" s="1"/>
  <c r="BC24" i="10" s="1"/>
  <c r="BC31" i="11"/>
  <c r="BC24" i="5"/>
  <c r="BC25" i="5" s="1"/>
  <c r="BC26" i="5" s="1"/>
  <c r="BC27" i="5" s="1"/>
  <c r="BC28" i="5" s="1"/>
  <c r="BC29" i="5" s="1"/>
  <c r="BC30" i="5" s="1"/>
  <c r="BC31" i="5" s="1"/>
  <c r="AT15" i="12" l="1"/>
  <c r="AV16" i="12"/>
  <c r="AW16" i="12" s="1"/>
  <c r="AX16" i="12"/>
  <c r="AS16" i="12" s="1"/>
  <c r="CD15" i="12"/>
  <c r="CE15" i="12" s="1"/>
  <c r="CA15" i="12"/>
  <c r="CF15" i="12"/>
  <c r="AP17" i="7"/>
  <c r="BC25" i="10"/>
  <c r="BC26" i="10" s="1"/>
  <c r="BC27" i="10" s="1"/>
  <c r="BC28" i="10" s="1"/>
  <c r="BC29" i="10" s="1"/>
  <c r="BC30" i="10" s="1"/>
  <c r="BC31" i="10" s="1"/>
  <c r="C15" i="12" l="1"/>
  <c r="CC16" i="12"/>
  <c r="CG15" i="12"/>
  <c r="D15" i="12" s="1"/>
  <c r="BX16" i="12"/>
  <c r="BZ16" i="12" s="1"/>
  <c r="AT16" i="12"/>
  <c r="AQ17" i="6"/>
  <c r="AQ17" i="8"/>
  <c r="AQ17" i="12"/>
  <c r="AQ17" i="9"/>
  <c r="AU18" i="12"/>
  <c r="AU19" i="12" s="1"/>
  <c r="AU20" i="12" s="1"/>
  <c r="AU21" i="12" s="1"/>
  <c r="AU22" i="12" s="1"/>
  <c r="AU18" i="8"/>
  <c r="AU19" i="8" s="1"/>
  <c r="AU20" i="8" s="1"/>
  <c r="AU21" i="8" s="1"/>
  <c r="AU22" i="8" s="1"/>
  <c r="AU18" i="6"/>
  <c r="AU19" i="6" s="1"/>
  <c r="AU20" i="6" s="1"/>
  <c r="AU21" i="6" s="1"/>
  <c r="AU22" i="6" s="1"/>
  <c r="AU18" i="9"/>
  <c r="AU19" i="9" s="1"/>
  <c r="AU20" i="9" s="1"/>
  <c r="AU21" i="9" s="1"/>
  <c r="AU22" i="9" s="1"/>
  <c r="AV17" i="12" l="1"/>
  <c r="AW17" i="12" s="1"/>
  <c r="AX17" i="12"/>
  <c r="AS17" i="12" s="1"/>
  <c r="AT17" i="12" s="1"/>
  <c r="CD16" i="12"/>
  <c r="CE16" i="12" s="1"/>
  <c r="CA16" i="12"/>
  <c r="CF16" i="12"/>
  <c r="AZ22" i="8"/>
  <c r="BB22" i="8" s="1"/>
  <c r="AZ22" i="12"/>
  <c r="BB22" i="12" s="1"/>
  <c r="AZ22" i="9"/>
  <c r="BB22" i="9" s="1"/>
  <c r="AZ22" i="6"/>
  <c r="BB22" i="6" s="1"/>
  <c r="BX17" i="12" l="1"/>
  <c r="BZ17" i="12" s="1"/>
  <c r="C16" i="12"/>
  <c r="CG16" i="12"/>
  <c r="D16" i="12" s="1"/>
  <c r="CC17" i="12"/>
  <c r="CA17" i="12"/>
  <c r="CD17" i="12"/>
  <c r="CE17" i="12" s="1"/>
  <c r="AV18" i="12"/>
  <c r="AW18" i="12" s="1"/>
  <c r="AX18" i="12"/>
  <c r="AS18" i="12" s="1"/>
  <c r="CF17" i="12"/>
  <c r="CC18" i="12" s="1"/>
  <c r="BB23" i="12"/>
  <c r="BB24" i="12" s="1"/>
  <c r="BB25" i="12" s="1"/>
  <c r="BB26" i="12" s="1"/>
  <c r="BB27" i="12" s="1"/>
  <c r="BB28" i="12" s="1"/>
  <c r="BB29" i="12" s="1"/>
  <c r="BB30" i="12" s="1"/>
  <c r="BB31" i="12" s="1"/>
  <c r="BC22" i="12"/>
  <c r="BB23" i="8"/>
  <c r="BB24" i="8" s="1"/>
  <c r="BB25" i="8" s="1"/>
  <c r="BB26" i="8" s="1"/>
  <c r="BB27" i="8" s="1"/>
  <c r="BB28" i="8" s="1"/>
  <c r="BB29" i="8" s="1"/>
  <c r="BB30" i="8" s="1"/>
  <c r="BB31" i="8" s="1"/>
  <c r="BC22" i="8"/>
  <c r="BC23" i="8" s="1"/>
  <c r="BB23" i="9"/>
  <c r="BB24" i="9" s="1"/>
  <c r="BB25" i="9" s="1"/>
  <c r="BB26" i="9" s="1"/>
  <c r="BB27" i="9" s="1"/>
  <c r="BB28" i="9" s="1"/>
  <c r="BB29" i="9" s="1"/>
  <c r="BB30" i="9" s="1"/>
  <c r="BB31" i="9" s="1"/>
  <c r="BC22" i="9"/>
  <c r="BB23" i="6"/>
  <c r="BB24" i="6" s="1"/>
  <c r="BB25" i="6" s="1"/>
  <c r="BB26" i="6" s="1"/>
  <c r="BB27" i="6" s="1"/>
  <c r="BB28" i="6" s="1"/>
  <c r="BB29" i="6" s="1"/>
  <c r="BB30" i="6" s="1"/>
  <c r="BB31" i="6" s="1"/>
  <c r="BC22" i="6"/>
  <c r="BX18" i="12" l="1"/>
  <c r="BZ18" i="12" s="1"/>
  <c r="AT18" i="12"/>
  <c r="CG17" i="12"/>
  <c r="D17" i="12" s="1"/>
  <c r="C17" i="12"/>
  <c r="BC23" i="6"/>
  <c r="BC24" i="6" s="1"/>
  <c r="BC25" i="6" s="1"/>
  <c r="BC26" i="6"/>
  <c r="BC27" i="6" s="1"/>
  <c r="BC28" i="6" s="1"/>
  <c r="BC29" i="6" s="1"/>
  <c r="BC30" i="6" s="1"/>
  <c r="BC31" i="6" s="1"/>
  <c r="BC23" i="12"/>
  <c r="BC24" i="12" s="1"/>
  <c r="BC25" i="12" s="1"/>
  <c r="BC26" i="12" s="1"/>
  <c r="BC27" i="12" s="1"/>
  <c r="BC28" i="12" s="1"/>
  <c r="BC29" i="12" s="1"/>
  <c r="BC30" i="12" s="1"/>
  <c r="BC31" i="12" s="1"/>
  <c r="BC24" i="8"/>
  <c r="BC25" i="8" s="1"/>
  <c r="BC26" i="8" s="1"/>
  <c r="BC27" i="8" s="1"/>
  <c r="BC28" i="8" s="1"/>
  <c r="BC29" i="8" s="1"/>
  <c r="BC30" i="8" s="1"/>
  <c r="BC31" i="8" s="1"/>
  <c r="BC23" i="9"/>
  <c r="BC24" i="9" s="1"/>
  <c r="BC25" i="9" s="1"/>
  <c r="BC26" i="9" s="1"/>
  <c r="BC27" i="9" s="1"/>
  <c r="BC28" i="9" s="1"/>
  <c r="BC29" i="9" s="1"/>
  <c r="BC30" i="9" s="1"/>
  <c r="BC31" i="9" s="1"/>
  <c r="AX19" i="12" l="1"/>
  <c r="AV19" i="12"/>
  <c r="AW19" i="12" s="1"/>
  <c r="CD18" i="12"/>
  <c r="CE18" i="12" s="1"/>
  <c r="CA18" i="12"/>
  <c r="CF18" i="12"/>
  <c r="C18" i="12" l="1"/>
  <c r="CC19" i="12"/>
  <c r="CG18" i="12"/>
  <c r="D18" i="12" s="1"/>
  <c r="AS19" i="12"/>
  <c r="AT19" i="12" l="1"/>
  <c r="BX19" i="12"/>
  <c r="BZ19" i="12" s="1"/>
  <c r="CF19" i="12"/>
  <c r="CC20" i="12" l="1"/>
  <c r="CD19" i="12"/>
  <c r="CE19" i="12" s="1"/>
  <c r="CG19" i="12" s="1"/>
  <c r="CA19" i="12"/>
  <c r="C19" i="12" s="1"/>
  <c r="AV20" i="12"/>
  <c r="AW20" i="12" s="1"/>
  <c r="AX20" i="12"/>
  <c r="AP22" i="5"/>
  <c r="AS20" i="12" l="1"/>
  <c r="AT20" i="12" s="1"/>
  <c r="D19" i="12"/>
  <c r="BX20" i="12"/>
  <c r="BZ20" i="12" s="1"/>
  <c r="CD20" i="12" s="1"/>
  <c r="CE20" i="12" s="1"/>
  <c r="AX21" i="12"/>
  <c r="AV21" i="12"/>
  <c r="AW21" i="12" s="1"/>
  <c r="CA20" i="12" l="1"/>
  <c r="CF20" i="12"/>
  <c r="AS21" i="12"/>
  <c r="C20" i="12" l="1"/>
  <c r="CG20" i="12"/>
  <c r="D20" i="12" s="1"/>
  <c r="CC21" i="12"/>
  <c r="AQ22" i="5"/>
  <c r="AP22" i="10"/>
  <c r="AP22" i="11"/>
  <c r="AP22" i="9"/>
  <c r="AT21" i="12"/>
  <c r="BX21" i="12"/>
  <c r="BZ21" i="12" s="1"/>
  <c r="AP22" i="8" l="1"/>
  <c r="CD21" i="12"/>
  <c r="CE21" i="12" s="1"/>
  <c r="CF21" i="12"/>
  <c r="CA21" i="12"/>
  <c r="C21" i="12" l="1"/>
  <c r="AP22" i="6"/>
  <c r="CC22" i="12"/>
  <c r="CG21" i="12"/>
  <c r="AQ22" i="9" l="1"/>
  <c r="D21" i="12"/>
  <c r="AP22" i="12"/>
  <c r="AU51" i="9"/>
  <c r="AW50" i="9"/>
  <c r="AW52" i="9"/>
  <c r="AU52" i="9"/>
  <c r="AW51" i="9"/>
  <c r="AU23" i="9"/>
  <c r="AU24" i="9" s="1"/>
  <c r="AU25" i="9" s="1"/>
  <c r="AU26" i="9" s="1"/>
  <c r="AU27" i="9" s="1"/>
  <c r="AU28" i="9" s="1"/>
  <c r="AU29" i="9" s="1"/>
  <c r="AU30" i="9" s="1"/>
  <c r="AU31" i="9" s="1"/>
  <c r="AU32" i="9" s="1"/>
  <c r="AU33" i="9" s="1"/>
  <c r="AU34" i="9" s="1"/>
  <c r="AU35" i="9" s="1"/>
  <c r="AU36" i="9" s="1"/>
  <c r="AU37" i="9" s="1"/>
  <c r="AU38" i="9" s="1"/>
  <c r="AU39" i="9" s="1"/>
  <c r="AU40" i="9" s="1"/>
  <c r="AU41" i="9" s="1"/>
  <c r="AU42" i="9" s="1"/>
  <c r="AU43" i="9" s="1"/>
  <c r="AU44" i="9" s="1"/>
  <c r="AU45" i="9" s="1"/>
  <c r="AU46" i="9" s="1"/>
  <c r="AU47" i="9" s="1"/>
  <c r="AU48" i="9" s="1"/>
  <c r="AU49" i="9" s="1"/>
  <c r="AU50" i="9" s="1"/>
  <c r="AV22" i="12" l="1"/>
  <c r="AQ17" i="7" l="1"/>
  <c r="AU18" i="7"/>
  <c r="AU19" i="7" s="1"/>
  <c r="AU20" i="7" l="1"/>
  <c r="AZ22" i="7"/>
  <c r="BB22" i="7" s="1"/>
  <c r="AU21" i="7" l="1"/>
  <c r="AU22" i="7" s="1"/>
  <c r="BB23" i="7"/>
  <c r="BB24" i="7" s="1"/>
  <c r="BB25" i="7" s="1"/>
  <c r="BB26" i="7" s="1"/>
  <c r="BB27" i="7" s="1"/>
  <c r="BB28" i="7" s="1"/>
  <c r="BB29" i="7" s="1"/>
  <c r="BB30" i="7" s="1"/>
  <c r="BB31" i="7" s="1"/>
  <c r="BC22" i="7"/>
  <c r="BC23" i="7" l="1"/>
  <c r="BC24" i="7" s="1"/>
  <c r="BC25" i="7" s="1"/>
  <c r="BC26" i="7" s="1"/>
  <c r="BC27" i="7" s="1"/>
  <c r="BC28" i="7" s="1"/>
  <c r="BC29" i="7" s="1"/>
  <c r="BC30" i="7" s="1"/>
  <c r="BC31" i="7" s="1"/>
  <c r="AP22" i="7" l="1"/>
  <c r="AQ22" i="7" l="1"/>
  <c r="AU23" i="7"/>
  <c r="AU24" i="7" s="1"/>
  <c r="AW50" i="7"/>
  <c r="AW52" i="7"/>
  <c r="AU52" i="7"/>
  <c r="AU51" i="7"/>
  <c r="AW51" i="7"/>
  <c r="AU25" i="7" l="1"/>
  <c r="AU26" i="7" l="1"/>
  <c r="AU27" i="7" l="1"/>
  <c r="AU28" i="7" l="1"/>
  <c r="AU29" i="7" l="1"/>
  <c r="AU30" i="7" l="1"/>
  <c r="AU31" i="7" l="1"/>
  <c r="AU32" i="7" l="1"/>
  <c r="AU33" i="7" l="1"/>
  <c r="AU34" i="7" l="1"/>
  <c r="AU35" i="7" l="1"/>
  <c r="AU36" i="7" l="1"/>
  <c r="AU37" i="7" l="1"/>
  <c r="AU38" i="7" l="1"/>
  <c r="AU39" i="7" l="1"/>
  <c r="AU40" i="7" l="1"/>
  <c r="AU41" i="7" l="1"/>
  <c r="AU42" i="7" l="1"/>
  <c r="AU43" i="7" l="1"/>
  <c r="AU44" i="7" l="1"/>
  <c r="AU45" i="7" l="1"/>
  <c r="AU46" i="7" l="1"/>
  <c r="AU47" i="7" l="1"/>
  <c r="AU48" i="7" l="1"/>
  <c r="AU49" i="7" l="1"/>
  <c r="AU50" i="7" l="1"/>
  <c r="AX22" i="12" l="1"/>
  <c r="AS22" i="12" s="1"/>
  <c r="AQ22" i="12"/>
  <c r="AU23" i="12"/>
  <c r="AU24" i="12" s="1"/>
  <c r="AU46" i="12"/>
  <c r="AU47" i="12"/>
  <c r="AU48" i="12"/>
  <c r="AU49" i="12"/>
  <c r="AU50" i="12"/>
  <c r="AU51" i="12"/>
  <c r="AW52" i="12"/>
  <c r="AW51" i="12"/>
  <c r="AW50" i="12"/>
  <c r="AW22" i="12"/>
  <c r="AW45" i="12"/>
  <c r="AW46" i="12"/>
  <c r="AW47" i="12"/>
  <c r="AW48" i="12"/>
  <c r="AW49" i="12"/>
  <c r="AQ22" i="8"/>
  <c r="AU23" i="8"/>
  <c r="AU24" i="8" s="1"/>
  <c r="AU46" i="8"/>
  <c r="AU47" i="8"/>
  <c r="AU48" i="8"/>
  <c r="AU49" i="8"/>
  <c r="AW52" i="8"/>
  <c r="AU51" i="8"/>
  <c r="AU50" i="8"/>
  <c r="AW51" i="8"/>
  <c r="AW50" i="8"/>
  <c r="AW45" i="8"/>
  <c r="AW46" i="8"/>
  <c r="AW47" i="8"/>
  <c r="AW48" i="8"/>
  <c r="AQ22" i="11"/>
  <c r="AU23" i="11"/>
  <c r="AU24" i="11" s="1"/>
  <c r="AU25" i="11" s="1"/>
  <c r="AU26" i="11" s="1"/>
  <c r="AU46" i="11"/>
  <c r="AU47" i="11"/>
  <c r="AU48" i="11"/>
  <c r="AU49" i="11"/>
  <c r="AW52" i="11"/>
  <c r="AU51" i="11"/>
  <c r="AU50" i="11"/>
  <c r="AW49" i="8"/>
  <c r="AW51" i="11"/>
  <c r="AQ22" i="6"/>
  <c r="AU23" i="6"/>
  <c r="AU24" i="6" s="1"/>
  <c r="AU46" i="6"/>
  <c r="AU47" i="6"/>
  <c r="AU48" i="6"/>
  <c r="AU49" i="6"/>
  <c r="AW52" i="6"/>
  <c r="AU51" i="6"/>
  <c r="AU50" i="6"/>
  <c r="AW50" i="11"/>
  <c r="AW51" i="6"/>
  <c r="AW45" i="11"/>
  <c r="AW46" i="11"/>
  <c r="AW47" i="11"/>
  <c r="AW48" i="11"/>
  <c r="AW49" i="11"/>
  <c r="AW50" i="6"/>
  <c r="AQ22" i="10"/>
  <c r="AW45" i="6"/>
  <c r="AW46" i="6"/>
  <c r="AW47" i="6"/>
  <c r="AW48" i="6"/>
  <c r="AW49" i="6"/>
  <c r="AU52" i="6"/>
  <c r="AU52" i="8"/>
  <c r="AU52" i="12"/>
  <c r="AU52" i="11"/>
  <c r="AQ22" i="3"/>
  <c r="AU23" i="3"/>
  <c r="AU24" i="3" s="1"/>
  <c r="AU25" i="3" l="1"/>
  <c r="AU25" i="8"/>
  <c r="AU27" i="11"/>
  <c r="AU25" i="6"/>
  <c r="AU25" i="12"/>
  <c r="AT22" i="12"/>
  <c r="BX22" i="12"/>
  <c r="BZ22" i="12" s="1"/>
  <c r="CA22" i="12" l="1"/>
  <c r="CD22" i="12"/>
  <c r="CE22" i="12" s="1"/>
  <c r="AX23" i="12"/>
  <c r="AV23" i="12"/>
  <c r="AW23" i="12" s="1"/>
  <c r="AU26" i="3"/>
  <c r="AU26" i="8"/>
  <c r="AU28" i="11"/>
  <c r="AU26" i="12"/>
  <c r="AU26" i="6"/>
  <c r="AS23" i="12" l="1"/>
  <c r="AU27" i="8"/>
  <c r="AU27" i="3"/>
  <c r="AU29" i="11"/>
  <c r="AU27" i="12"/>
  <c r="CF22" i="12"/>
  <c r="AU27" i="6"/>
  <c r="BX23" i="12" l="1"/>
  <c r="BZ23" i="12" s="1"/>
  <c r="CD23" i="12" s="1"/>
  <c r="CE23" i="12" s="1"/>
  <c r="AT23" i="12"/>
  <c r="AU28" i="12"/>
  <c r="AU30" i="11"/>
  <c r="AU28" i="8"/>
  <c r="AU28" i="6"/>
  <c r="CC23" i="12"/>
  <c r="CG22" i="12"/>
  <c r="D22" i="12" s="1"/>
  <c r="C22" i="12"/>
  <c r="AU28" i="3"/>
  <c r="CF23" i="12" l="1"/>
  <c r="CG23" i="12" s="1"/>
  <c r="D23" i="12" s="1"/>
  <c r="AX24" i="12"/>
  <c r="AV24" i="12"/>
  <c r="AW24" i="12" s="1"/>
  <c r="CA23" i="12"/>
  <c r="AU29" i="12"/>
  <c r="AU29" i="8"/>
  <c r="AU29" i="3"/>
  <c r="AU31" i="11"/>
  <c r="AU29" i="6"/>
  <c r="C23" i="12" l="1"/>
  <c r="CC24" i="12"/>
  <c r="AS24" i="12"/>
  <c r="AU30" i="3"/>
  <c r="AU30" i="6"/>
  <c r="AU30" i="12"/>
  <c r="AU32" i="11"/>
  <c r="AU30" i="8"/>
  <c r="AT24" i="12" l="1"/>
  <c r="BX24" i="12"/>
  <c r="BZ24" i="12" s="1"/>
  <c r="AU31" i="3"/>
  <c r="AU31" i="8"/>
  <c r="AU31" i="12"/>
  <c r="AU31" i="6"/>
  <c r="AU33" i="11"/>
  <c r="CA24" i="12" l="1"/>
  <c r="CF24" i="12"/>
  <c r="CD24" i="12"/>
  <c r="CE24" i="12" s="1"/>
  <c r="AV25" i="12"/>
  <c r="AW25" i="12" s="1"/>
  <c r="AX25" i="12"/>
  <c r="AU32" i="8"/>
  <c r="AU34" i="11"/>
  <c r="AU32" i="6"/>
  <c r="AU32" i="3"/>
  <c r="AU32" i="12"/>
  <c r="AS25" i="12" l="1"/>
  <c r="BX25" i="12" s="1"/>
  <c r="BZ25" i="12" s="1"/>
  <c r="CG24" i="12"/>
  <c r="D24" i="12" s="1"/>
  <c r="CC25" i="12"/>
  <c r="C24" i="12"/>
  <c r="AU35" i="11"/>
  <c r="AU33" i="6"/>
  <c r="AU33" i="8"/>
  <c r="AU33" i="12"/>
  <c r="AU33" i="3"/>
  <c r="AT25" i="12" l="1"/>
  <c r="AV26" i="12" s="1"/>
  <c r="AW26" i="12" s="1"/>
  <c r="CA25" i="12"/>
  <c r="CF25" i="12"/>
  <c r="CD25" i="12"/>
  <c r="CE25" i="12" s="1"/>
  <c r="AU34" i="3"/>
  <c r="AU34" i="12"/>
  <c r="AU34" i="6"/>
  <c r="AU34" i="8"/>
  <c r="AU36" i="11"/>
  <c r="AT26" i="12" l="1"/>
  <c r="AX27" i="12" s="1"/>
  <c r="AX26" i="12"/>
  <c r="AS26" i="12" s="1"/>
  <c r="BX26" i="12" s="1"/>
  <c r="BZ26" i="12" s="1"/>
  <c r="CG25" i="12"/>
  <c r="D25" i="12" s="1"/>
  <c r="CC26" i="12"/>
  <c r="C25" i="12"/>
  <c r="AU35" i="8"/>
  <c r="AU35" i="6"/>
  <c r="CA26" i="12"/>
  <c r="CF26" i="12"/>
  <c r="CD26" i="12"/>
  <c r="CE26" i="12" s="1"/>
  <c r="AU35" i="3"/>
  <c r="AU35" i="12"/>
  <c r="AU37" i="11"/>
  <c r="AV27" i="12" l="1"/>
  <c r="AW27" i="12" s="1"/>
  <c r="CC27" i="12"/>
  <c r="CG26" i="12"/>
  <c r="D26" i="12" s="1"/>
  <c r="AU38" i="11"/>
  <c r="AU36" i="8"/>
  <c r="AU36" i="12"/>
  <c r="C26" i="12"/>
  <c r="AS27" i="12"/>
  <c r="AU36" i="3"/>
  <c r="AU36" i="6"/>
  <c r="BX27" i="12" l="1"/>
  <c r="BZ27" i="12" s="1"/>
  <c r="AT27" i="12"/>
  <c r="AU39" i="11"/>
  <c r="AU37" i="8"/>
  <c r="AU37" i="3"/>
  <c r="AU37" i="6"/>
  <c r="AU37" i="12"/>
  <c r="AU40" i="11" l="1"/>
  <c r="CA27" i="12"/>
  <c r="CF27" i="12"/>
  <c r="CD27" i="12"/>
  <c r="CE27" i="12" s="1"/>
  <c r="AU38" i="12"/>
  <c r="AX28" i="12"/>
  <c r="AV28" i="12"/>
  <c r="AW28" i="12" s="1"/>
  <c r="AU38" i="3"/>
  <c r="AU38" i="6"/>
  <c r="AU38" i="8"/>
  <c r="AU39" i="12" l="1"/>
  <c r="CG27" i="12"/>
  <c r="D27" i="12" s="1"/>
  <c r="CC28" i="12"/>
  <c r="AU39" i="3"/>
  <c r="C27" i="12"/>
  <c r="AU39" i="6"/>
  <c r="AU39" i="8"/>
  <c r="AU41" i="11"/>
  <c r="AS28" i="12"/>
  <c r="AU40" i="8" l="1"/>
  <c r="AU40" i="12"/>
  <c r="AU42" i="11"/>
  <c r="AU40" i="6"/>
  <c r="BX28" i="12"/>
  <c r="BZ28" i="12" s="1"/>
  <c r="AT28" i="12"/>
  <c r="AU40" i="3"/>
  <c r="AU41" i="12" l="1"/>
  <c r="CD28" i="12"/>
  <c r="CE28" i="12" s="1"/>
  <c r="CA28" i="12"/>
  <c r="CF28" i="12"/>
  <c r="AU41" i="8"/>
  <c r="AX29" i="12"/>
  <c r="AV29" i="12"/>
  <c r="AW29" i="12" s="1"/>
  <c r="AU41" i="6"/>
  <c r="AU43" i="11"/>
  <c r="AU41" i="3"/>
  <c r="AU42" i="3" l="1"/>
  <c r="AU44" i="11"/>
  <c r="AU42" i="12"/>
  <c r="CG28" i="12"/>
  <c r="D28" i="12" s="1"/>
  <c r="CC29" i="12"/>
  <c r="AS29" i="12"/>
  <c r="AU42" i="8"/>
  <c r="AU42" i="6"/>
  <c r="C28" i="12"/>
  <c r="AU43" i="12" l="1"/>
  <c r="AU43" i="8"/>
  <c r="BX29" i="12"/>
  <c r="BZ29" i="12" s="1"/>
  <c r="AT29" i="12"/>
  <c r="AU45" i="11"/>
  <c r="AU43" i="3"/>
  <c r="AU43" i="6"/>
  <c r="CD29" i="12" l="1"/>
  <c r="CE29" i="12" s="1"/>
  <c r="CA29" i="12"/>
  <c r="CF29" i="12"/>
  <c r="AU44" i="6"/>
  <c r="AX30" i="12"/>
  <c r="C29" i="12"/>
  <c r="AV30" i="12"/>
  <c r="AW30" i="12" s="1"/>
  <c r="AU44" i="12"/>
  <c r="AU44" i="8"/>
  <c r="AU44" i="3"/>
  <c r="AS30" i="12" l="1"/>
  <c r="BX30" i="12" s="1"/>
  <c r="BZ30" i="12" s="1"/>
  <c r="AT30" i="12"/>
  <c r="AU45" i="12"/>
  <c r="AU45" i="3"/>
  <c r="AU46" i="3" s="1"/>
  <c r="AU47" i="3" s="1"/>
  <c r="AU48" i="3" s="1"/>
  <c r="AU49" i="3" s="1"/>
  <c r="AU50" i="3" s="1"/>
  <c r="AU51" i="3" s="1"/>
  <c r="AU52" i="3" s="1"/>
  <c r="AU45" i="8"/>
  <c r="CC30" i="12"/>
  <c r="CG29" i="12"/>
  <c r="D29" i="12" s="1"/>
  <c r="CD30" i="12"/>
  <c r="CE30" i="12" s="1"/>
  <c r="CA30" i="12"/>
  <c r="AU45" i="6"/>
  <c r="CF30" i="12" l="1"/>
  <c r="AX31" i="12"/>
  <c r="C30" i="12"/>
  <c r="AV31" i="12"/>
  <c r="AW31" i="12" s="1"/>
  <c r="CG30" i="12"/>
  <c r="D30" i="12" s="1"/>
  <c r="CC31" i="12"/>
  <c r="AS31" i="12" l="1"/>
  <c r="BX31" i="12" l="1"/>
  <c r="BZ31" i="12" s="1"/>
  <c r="AT31" i="12"/>
  <c r="AX32" i="12" l="1"/>
  <c r="AV32" i="12"/>
  <c r="AW32" i="12" s="1"/>
  <c r="CD31" i="12"/>
  <c r="CE31" i="12" s="1"/>
  <c r="CA31" i="12"/>
  <c r="CF31" i="12"/>
  <c r="C31" i="12" l="1"/>
  <c r="AS32" i="12"/>
  <c r="CG31" i="12"/>
  <c r="D31" i="12" s="1"/>
  <c r="CC32" i="12"/>
  <c r="BX32" i="12" l="1"/>
  <c r="BZ32" i="12" s="1"/>
  <c r="AT32" i="12"/>
  <c r="CD32" i="12" l="1"/>
  <c r="CE32" i="12" s="1"/>
  <c r="CA32" i="12"/>
  <c r="AX33" i="12"/>
  <c r="AV33" i="12"/>
  <c r="AW33" i="12" s="1"/>
  <c r="CF32" i="12" l="1"/>
  <c r="C32" i="12" s="1"/>
  <c r="CC33" i="12"/>
  <c r="CG32" i="12"/>
  <c r="D32" i="12" s="1"/>
  <c r="AS33" i="12"/>
  <c r="BX33" i="12" l="1"/>
  <c r="BZ33" i="12" s="1"/>
  <c r="AT33" i="12"/>
  <c r="AX34" i="12" l="1"/>
  <c r="AV34" i="12"/>
  <c r="AW34" i="12" s="1"/>
  <c r="CD33" i="12"/>
  <c r="CE33" i="12" s="1"/>
  <c r="CA33" i="12"/>
  <c r="CF33" i="12" l="1"/>
  <c r="C33" i="12" s="1"/>
  <c r="AS34" i="12"/>
  <c r="CC34" i="12"/>
  <c r="CG33" i="12" l="1"/>
  <c r="D33" i="12" s="1"/>
  <c r="BX34" i="12"/>
  <c r="BZ34" i="12" s="1"/>
  <c r="AT34" i="12"/>
  <c r="AX35" i="12" l="1"/>
  <c r="AV35" i="12"/>
  <c r="AW35" i="12" s="1"/>
  <c r="CA34" i="12"/>
  <c r="CD34" i="12"/>
  <c r="CE34" i="12" s="1"/>
  <c r="CF34" i="12" l="1"/>
  <c r="CG34" i="12" s="1"/>
  <c r="D34" i="12" s="1"/>
  <c r="AS35" i="12"/>
  <c r="BX35" i="12" s="1"/>
  <c r="BZ35" i="12" s="1"/>
  <c r="CD35" i="12" s="1"/>
  <c r="CE35" i="12" s="1"/>
  <c r="CA35" i="12" l="1"/>
  <c r="AT35" i="12"/>
  <c r="C34" i="12"/>
  <c r="CC35" i="12"/>
  <c r="CF35" i="12"/>
  <c r="CC36" i="12" s="1"/>
  <c r="AX36" i="12"/>
  <c r="C35" i="12"/>
  <c r="AV36" i="12"/>
  <c r="AW36" i="12" s="1"/>
  <c r="CG35" i="12"/>
  <c r="D35" i="12" s="1"/>
  <c r="AS36" i="12" l="1"/>
  <c r="BX36" i="12" l="1"/>
  <c r="BZ36" i="12" s="1"/>
  <c r="AT36" i="12"/>
  <c r="AX37" i="12" l="1"/>
  <c r="AV37" i="12"/>
  <c r="AW37" i="12" s="1"/>
  <c r="CD36" i="12"/>
  <c r="CE36" i="12" s="1"/>
  <c r="CA36" i="12"/>
  <c r="CF36" i="12" l="1"/>
  <c r="C36" i="12" s="1"/>
  <c r="AS37" i="12"/>
  <c r="CG36" i="12"/>
  <c r="D36" i="12" s="1"/>
  <c r="CC37" i="12" l="1"/>
  <c r="BX37" i="12"/>
  <c r="BZ37" i="12" s="1"/>
  <c r="AT37" i="12"/>
  <c r="CD37" i="12" l="1"/>
  <c r="CE37" i="12" s="1"/>
  <c r="CA37" i="12"/>
  <c r="CF37" i="12"/>
  <c r="AX38" i="12"/>
  <c r="AV38" i="12"/>
  <c r="AW38" i="12" s="1"/>
  <c r="CG37" i="12" l="1"/>
  <c r="D37" i="12" s="1"/>
  <c r="CC38" i="12"/>
  <c r="AS38" i="12"/>
  <c r="C37" i="12"/>
  <c r="BX38" i="12" l="1"/>
  <c r="BZ38" i="12" s="1"/>
  <c r="AT38" i="12"/>
  <c r="AX39" i="12" l="1"/>
  <c r="AV39" i="12"/>
  <c r="AW39" i="12" s="1"/>
  <c r="CD38" i="12"/>
  <c r="CE38" i="12" s="1"/>
  <c r="CA38" i="12"/>
  <c r="CF38" i="12"/>
  <c r="AS39" i="12" l="1"/>
  <c r="BX39" i="12"/>
  <c r="BZ39" i="12" s="1"/>
  <c r="CD39" i="12" s="1"/>
  <c r="CE39" i="12" s="1"/>
  <c r="CA39" i="12"/>
  <c r="CF39" i="12"/>
  <c r="CC39" i="12"/>
  <c r="CG38" i="12"/>
  <c r="D38" i="12" s="1"/>
  <c r="C38" i="12"/>
  <c r="AT39" i="12"/>
  <c r="AX40" i="12" l="1"/>
  <c r="C39" i="12"/>
  <c r="AV40" i="12"/>
  <c r="AW40" i="12" s="1"/>
  <c r="CC40" i="12"/>
  <c r="CG39" i="12"/>
  <c r="D39" i="12" s="1"/>
  <c r="AS40" i="12" l="1"/>
  <c r="BX40" i="12" l="1"/>
  <c r="BZ40" i="12" s="1"/>
  <c r="AT40" i="12"/>
  <c r="AW43" i="11"/>
  <c r="AX41" i="12" l="1"/>
  <c r="AS41" i="12" s="1"/>
  <c r="AV41" i="12"/>
  <c r="AW41" i="12" s="1"/>
  <c r="CD40" i="12"/>
  <c r="CE40" i="12" s="1"/>
  <c r="CA40" i="12"/>
  <c r="CF40" i="12"/>
  <c r="AW43" i="8"/>
  <c r="BX41" i="12" l="1"/>
  <c r="BZ41" i="12" s="1"/>
  <c r="CD41" i="12" s="1"/>
  <c r="CE41" i="12" s="1"/>
  <c r="CG40" i="12"/>
  <c r="D40" i="12" s="1"/>
  <c r="CC41" i="12"/>
  <c r="C40" i="12"/>
  <c r="AW44" i="8"/>
  <c r="AT41" i="12"/>
  <c r="CF41" i="12" l="1"/>
  <c r="CA41" i="12"/>
  <c r="AX42" i="12"/>
  <c r="AS42" i="12" s="1"/>
  <c r="AV42" i="12"/>
  <c r="AW42" i="12" s="1"/>
  <c r="CG41" i="12"/>
  <c r="D41" i="12" s="1"/>
  <c r="CC42" i="12"/>
  <c r="C41" i="12" l="1"/>
  <c r="BX42" i="12"/>
  <c r="BZ42" i="12" s="1"/>
  <c r="CD42" i="12" s="1"/>
  <c r="CE42" i="12" s="1"/>
  <c r="AT42" i="12"/>
  <c r="CA42" i="12"/>
  <c r="CF42" i="12"/>
  <c r="AX43" i="12" l="1"/>
  <c r="C42" i="12"/>
  <c r="AV43" i="12"/>
  <c r="AW43" i="12" s="1"/>
  <c r="CG42" i="12"/>
  <c r="D42" i="12" s="1"/>
  <c r="CC43" i="12"/>
  <c r="AS43" i="12" l="1"/>
  <c r="BX43" i="12" l="1"/>
  <c r="BZ43" i="12" s="1"/>
  <c r="AT43" i="12"/>
  <c r="AX44" i="12" l="1"/>
  <c r="AV44" i="12"/>
  <c r="AW44" i="12" s="1"/>
  <c r="CA43" i="12"/>
  <c r="CF43" i="12"/>
  <c r="CD43" i="12"/>
  <c r="CE43" i="12" s="1"/>
  <c r="C43" i="12" l="1"/>
  <c r="AS44" i="12"/>
  <c r="CG43" i="12"/>
  <c r="D43" i="12" s="1"/>
  <c r="CC44" i="12"/>
  <c r="BX44" i="12" l="1"/>
  <c r="BZ44" i="12" s="1"/>
  <c r="AT44" i="12"/>
  <c r="AX45" i="12" l="1"/>
  <c r="AV45" i="12"/>
  <c r="CD44" i="12"/>
  <c r="CE44" i="12" s="1"/>
  <c r="CA44" i="12"/>
  <c r="CF44" i="12"/>
  <c r="CG44" i="12" l="1"/>
  <c r="D44" i="12" s="1"/>
  <c r="CC45" i="12"/>
  <c r="C44" i="12"/>
  <c r="AS45" i="12"/>
  <c r="BX45" i="12" l="1"/>
  <c r="BZ45" i="12" s="1"/>
  <c r="AT45" i="12"/>
  <c r="AX46" i="12" l="1"/>
  <c r="AV46" i="12"/>
  <c r="CD45" i="12"/>
  <c r="CE45" i="12" s="1"/>
  <c r="CA45" i="12"/>
  <c r="CF45" i="12"/>
  <c r="C45" i="12" l="1"/>
  <c r="CC46" i="12"/>
  <c r="CG45" i="12"/>
  <c r="D45" i="12" s="1"/>
  <c r="AS46" i="12"/>
  <c r="BX46" i="12" l="1"/>
  <c r="BZ46" i="12" s="1"/>
  <c r="AT46" i="12"/>
  <c r="CD46" i="12" l="1"/>
  <c r="CE46" i="12" s="1"/>
  <c r="CA46" i="12"/>
  <c r="CF46" i="12"/>
  <c r="AX47" i="12"/>
  <c r="AS47" i="12" s="1"/>
  <c r="AV47" i="12"/>
  <c r="BX47" i="12" l="1"/>
  <c r="BZ47" i="12" s="1"/>
  <c r="CD47" i="12"/>
  <c r="CE47" i="12" s="1"/>
  <c r="CA47" i="12"/>
  <c r="CF47" i="12"/>
  <c r="CC47" i="12"/>
  <c r="CG46" i="12"/>
  <c r="D46" i="12" s="1"/>
  <c r="C46" i="12"/>
  <c r="AT47" i="12"/>
  <c r="AX48" i="12" l="1"/>
  <c r="AS48" i="12" s="1"/>
  <c r="AT48" i="12" s="1"/>
  <c r="AV48" i="12"/>
  <c r="C47" i="12"/>
  <c r="CC48" i="12"/>
  <c r="CG47" i="12"/>
  <c r="D47" i="12" s="1"/>
  <c r="AX49" i="12" l="1"/>
  <c r="AS49" i="12" s="1"/>
  <c r="AT49" i="12" s="1"/>
  <c r="AV49" i="12"/>
  <c r="BX48" i="12"/>
  <c r="BZ48" i="12" s="1"/>
  <c r="BX49" i="12" l="1"/>
  <c r="BZ49" i="12" s="1"/>
  <c r="AX50" i="12"/>
  <c r="AS50" i="12" s="1"/>
  <c r="AT50" i="12" s="1"/>
  <c r="AV50" i="12"/>
  <c r="CD48" i="12"/>
  <c r="CE48" i="12" s="1"/>
  <c r="CA48" i="12"/>
  <c r="CF48" i="12"/>
  <c r="AX51" i="12" l="1"/>
  <c r="AS51" i="12" s="1"/>
  <c r="AV51" i="12"/>
  <c r="AT51" i="12"/>
  <c r="CC49" i="12"/>
  <c r="CG48" i="12"/>
  <c r="D48" i="12" s="1"/>
  <c r="C48" i="12"/>
  <c r="CF49" i="12"/>
  <c r="CD49" i="12"/>
  <c r="CE49" i="12" s="1"/>
  <c r="CA49" i="12"/>
  <c r="BX50" i="12"/>
  <c r="BZ50" i="12" s="1"/>
  <c r="CC50" i="12" l="1"/>
  <c r="CG49" i="12"/>
  <c r="D49" i="12" s="1"/>
  <c r="C49" i="12"/>
  <c r="CA50" i="12"/>
  <c r="CF50" i="12"/>
  <c r="CD50" i="12"/>
  <c r="CE50" i="12" s="1"/>
  <c r="AX52" i="12"/>
  <c r="AS52" i="12" s="1"/>
  <c r="AT52" i="12" s="1"/>
  <c r="AV52" i="12"/>
  <c r="BX51" i="12"/>
  <c r="BZ51" i="12" s="1"/>
  <c r="BX52" i="12" l="1"/>
  <c r="BZ52" i="12" s="1"/>
  <c r="CD52" i="12"/>
  <c r="CC51" i="12"/>
  <c r="CG50" i="12"/>
  <c r="D50" i="12" s="1"/>
  <c r="C50" i="12"/>
  <c r="CA51" i="12"/>
  <c r="CF51" i="12"/>
  <c r="CD51" i="12"/>
  <c r="CE51" i="12" s="1"/>
  <c r="CE52" i="12" s="1"/>
  <c r="CA52" i="12" l="1"/>
  <c r="CC52" i="12"/>
  <c r="CG51" i="12"/>
  <c r="D51" i="12" s="1"/>
  <c r="C51" i="12"/>
  <c r="CF52" i="12"/>
  <c r="CG52" i="12" l="1"/>
  <c r="D52" i="12" s="1"/>
  <c r="C52" i="12"/>
  <c r="AW44" i="11"/>
  <c r="AW42" i="11"/>
  <c r="AW41" i="11"/>
  <c r="AW40" i="11"/>
  <c r="AQ17" i="11"/>
  <c r="AW39" i="11" l="1"/>
  <c r="AQ12" i="10" l="1"/>
  <c r="AU13" i="10"/>
  <c r="AU14" i="10" s="1"/>
  <c r="AU36" i="10"/>
  <c r="AU37" i="10"/>
  <c r="AU38" i="10"/>
  <c r="AU39" i="10"/>
  <c r="AU40" i="10"/>
  <c r="AU41" i="10"/>
  <c r="AW52" i="10"/>
  <c r="AU51" i="10"/>
  <c r="AU50" i="10"/>
  <c r="AU49" i="10"/>
  <c r="AU48" i="10"/>
  <c r="AU47" i="10"/>
  <c r="AU46" i="10"/>
  <c r="AU45" i="10"/>
  <c r="AU44" i="10"/>
  <c r="AU43" i="10"/>
  <c r="AU42" i="10"/>
  <c r="AW50" i="10"/>
  <c r="AW51" i="10"/>
  <c r="AW49" i="10"/>
  <c r="AW48" i="10"/>
  <c r="AW47" i="10"/>
  <c r="AW46" i="10"/>
  <c r="AW45" i="10"/>
  <c r="AW44" i="10"/>
  <c r="AW43" i="10"/>
  <c r="AW42" i="10"/>
  <c r="AW41" i="10"/>
  <c r="AW40" i="10"/>
  <c r="AW35" i="10"/>
  <c r="AW36" i="10"/>
  <c r="AW37" i="10"/>
  <c r="AW38" i="10"/>
  <c r="AW39" i="10"/>
  <c r="AX12" i="5"/>
  <c r="AS12" i="5" s="1"/>
  <c r="AQ12" i="5"/>
  <c r="AU13" i="5"/>
  <c r="AU14" i="5" s="1"/>
  <c r="AU15" i="5" s="1"/>
  <c r="AU16" i="5" s="1"/>
  <c r="AU36" i="5"/>
  <c r="AU37" i="5"/>
  <c r="AU38" i="5"/>
  <c r="AU39" i="5"/>
  <c r="AW52" i="5"/>
  <c r="AU51" i="5"/>
  <c r="AU50" i="5"/>
  <c r="AU49" i="5"/>
  <c r="AU48" i="5"/>
  <c r="AU47" i="5"/>
  <c r="AU46" i="5"/>
  <c r="AU45" i="5"/>
  <c r="AU44" i="5"/>
  <c r="AU43" i="5"/>
  <c r="AU42" i="5"/>
  <c r="AU41" i="5"/>
  <c r="AU40" i="5"/>
  <c r="AW51" i="5"/>
  <c r="AW50" i="5"/>
  <c r="AW49" i="5"/>
  <c r="AW48" i="5"/>
  <c r="AW47" i="5"/>
  <c r="AW46" i="5"/>
  <c r="AW45" i="5"/>
  <c r="AW44" i="5"/>
  <c r="AW43" i="5"/>
  <c r="AW42" i="5"/>
  <c r="AW41" i="5"/>
  <c r="AW40" i="5"/>
  <c r="AW12" i="5"/>
  <c r="AW35" i="5"/>
  <c r="AW36" i="5"/>
  <c r="AW37" i="5"/>
  <c r="AW38" i="5"/>
  <c r="AW39" i="5"/>
  <c r="AU52" i="10"/>
  <c r="AU52" i="5"/>
  <c r="AU17" i="5" l="1"/>
  <c r="BX12" i="5"/>
  <c r="BZ12" i="5" s="1"/>
  <c r="AT12" i="5"/>
  <c r="AU15" i="10"/>
  <c r="CD12" i="5" l="1"/>
  <c r="CE12" i="5" s="1"/>
  <c r="CA12" i="5"/>
  <c r="AU18" i="5"/>
  <c r="AX13" i="5"/>
  <c r="AV13" i="5"/>
  <c r="AW13" i="5" s="1"/>
  <c r="AU16" i="10"/>
  <c r="CF12" i="5" l="1"/>
  <c r="C12" i="5" s="1"/>
  <c r="AU17" i="10"/>
  <c r="AU19" i="5"/>
  <c r="AS13" i="5"/>
  <c r="CC13" i="5"/>
  <c r="CG12" i="5"/>
  <c r="D12" i="5" s="1"/>
  <c r="BX13" i="5" l="1"/>
  <c r="BZ13" i="5" s="1"/>
  <c r="AT13" i="5"/>
  <c r="AU20" i="5"/>
  <c r="AU18" i="10"/>
  <c r="AU19" i="10" l="1"/>
  <c r="AX14" i="5"/>
  <c r="AV14" i="5"/>
  <c r="AW14" i="5" s="1"/>
  <c r="AU21" i="5"/>
  <c r="CD13" i="5"/>
  <c r="CE13" i="5" s="1"/>
  <c r="CA13" i="5"/>
  <c r="CF13" i="5" l="1"/>
  <c r="AS14" i="5"/>
  <c r="BX14" i="5" s="1"/>
  <c r="BZ14" i="5" s="1"/>
  <c r="CA14" i="5" s="1"/>
  <c r="CC14" i="5"/>
  <c r="CG13" i="5"/>
  <c r="D13" i="5" s="1"/>
  <c r="AU22" i="5"/>
  <c r="C13" i="5"/>
  <c r="AU20" i="10"/>
  <c r="CD14" i="5" l="1"/>
  <c r="CE14" i="5" s="1"/>
  <c r="CF14" i="5"/>
  <c r="AT14" i="5"/>
  <c r="AU21" i="10"/>
  <c r="CC15" i="5"/>
  <c r="C14" i="5"/>
  <c r="AX15" i="5"/>
  <c r="AV15" i="5"/>
  <c r="AW15" i="5" s="1"/>
  <c r="AU23" i="5"/>
  <c r="CG14" i="5" l="1"/>
  <c r="D14" i="5" s="1"/>
  <c r="AS15" i="5"/>
  <c r="BX15" i="5" s="1"/>
  <c r="BZ15" i="5" s="1"/>
  <c r="AU22" i="10"/>
  <c r="AU24" i="5"/>
  <c r="AT15" i="5" l="1"/>
  <c r="AX16" i="5" s="1"/>
  <c r="CA15" i="5"/>
  <c r="CD15" i="5"/>
  <c r="CE15" i="5" s="1"/>
  <c r="AU25" i="5"/>
  <c r="AU23" i="10"/>
  <c r="CF15" i="5" l="1"/>
  <c r="CC16" i="5" s="1"/>
  <c r="AV16" i="5"/>
  <c r="AW16" i="5" s="1"/>
  <c r="C15" i="5"/>
  <c r="AU24" i="10"/>
  <c r="AU26" i="5"/>
  <c r="CG15" i="5" l="1"/>
  <c r="D15" i="5" s="1"/>
  <c r="AS16" i="5"/>
  <c r="BX16" i="5" s="1"/>
  <c r="BZ16" i="5" s="1"/>
  <c r="AU25" i="10"/>
  <c r="AU27" i="5"/>
  <c r="AT16" i="5" l="1"/>
  <c r="AU28" i="5"/>
  <c r="CA16" i="5"/>
  <c r="CD16" i="5"/>
  <c r="CE16" i="5" s="1"/>
  <c r="AU26" i="10"/>
  <c r="AX17" i="5"/>
  <c r="AV17" i="5"/>
  <c r="AW17" i="5" s="1"/>
  <c r="CF16" i="5" l="1"/>
  <c r="C16" i="5" s="1"/>
  <c r="AS17" i="5"/>
  <c r="AU27" i="10"/>
  <c r="CG16" i="5"/>
  <c r="D16" i="5" s="1"/>
  <c r="CC17" i="5"/>
  <c r="AU29" i="5"/>
  <c r="AU28" i="10" l="1"/>
  <c r="AU30" i="5"/>
  <c r="BX17" i="5"/>
  <c r="BZ17" i="5" s="1"/>
  <c r="AT17" i="5"/>
  <c r="AU31" i="5" l="1"/>
  <c r="AX18" i="5"/>
  <c r="AV18" i="5"/>
  <c r="AW18" i="5" s="1"/>
  <c r="CA17" i="5"/>
  <c r="CD17" i="5"/>
  <c r="CE17" i="5" s="1"/>
  <c r="AU29" i="10"/>
  <c r="CF17" i="5" l="1"/>
  <c r="AU30" i="10"/>
  <c r="CG17" i="5"/>
  <c r="D17" i="5" s="1"/>
  <c r="CC18" i="5"/>
  <c r="C17" i="5"/>
  <c r="AS18" i="5"/>
  <c r="AU32" i="5"/>
  <c r="BX18" i="5" l="1"/>
  <c r="BZ18" i="5" s="1"/>
  <c r="AT18" i="5"/>
  <c r="AU33" i="5"/>
  <c r="AU31" i="10"/>
  <c r="AU34" i="5" l="1"/>
  <c r="AX19" i="5"/>
  <c r="AV19" i="5"/>
  <c r="AW19" i="5" s="1"/>
  <c r="AU32" i="10"/>
  <c r="CA18" i="5"/>
  <c r="CD18" i="5"/>
  <c r="CE18" i="5" s="1"/>
  <c r="AS19" i="5" l="1"/>
  <c r="BX19" i="5" s="1"/>
  <c r="BZ19" i="5" s="1"/>
  <c r="CF18" i="5"/>
  <c r="C18" i="5" s="1"/>
  <c r="AU33" i="10"/>
  <c r="AU35" i="5"/>
  <c r="CC19" i="5"/>
  <c r="CG18" i="5"/>
  <c r="D18" i="5" s="1"/>
  <c r="CD19" i="5"/>
  <c r="CE19" i="5" s="1"/>
  <c r="CA19" i="5"/>
  <c r="AT19" i="5"/>
  <c r="CF19" i="5" l="1"/>
  <c r="AX20" i="5"/>
  <c r="C19" i="5"/>
  <c r="AV20" i="5"/>
  <c r="AW20" i="5" s="1"/>
  <c r="CG19" i="5"/>
  <c r="D19" i="5" s="1"/>
  <c r="CC20" i="5"/>
  <c r="AU34" i="10"/>
  <c r="AU35" i="10" l="1"/>
  <c r="AS20" i="5"/>
  <c r="BX20" i="5" l="1"/>
  <c r="BZ20" i="5" s="1"/>
  <c r="AT20" i="5"/>
  <c r="CD20" i="5" l="1"/>
  <c r="CE20" i="5" s="1"/>
  <c r="CA20" i="5"/>
  <c r="CF20" i="5"/>
  <c r="AX21" i="5"/>
  <c r="AV21" i="5"/>
  <c r="AW21" i="5" s="1"/>
  <c r="CC21" i="5" l="1"/>
  <c r="CG20" i="5"/>
  <c r="D20" i="5" s="1"/>
  <c r="C20" i="5"/>
  <c r="AS21" i="5"/>
  <c r="BX21" i="5" l="1"/>
  <c r="BZ21" i="5" s="1"/>
  <c r="AT21" i="5"/>
  <c r="AX22" i="5" l="1"/>
  <c r="AV22" i="5"/>
  <c r="AW22" i="5" s="1"/>
  <c r="CD21" i="5"/>
  <c r="CE21" i="5" s="1"/>
  <c r="CA21" i="5"/>
  <c r="AS22" i="5" l="1"/>
  <c r="BX22" i="5" s="1"/>
  <c r="BZ22" i="5" s="1"/>
  <c r="CF21" i="5"/>
  <c r="AT22" i="5"/>
  <c r="AX23" i="5" s="1"/>
  <c r="CC22" i="5"/>
  <c r="CG21" i="5"/>
  <c r="D21" i="5" s="1"/>
  <c r="AV23" i="5"/>
  <c r="AW23" i="5" s="1"/>
  <c r="CD22" i="5"/>
  <c r="CE22" i="5" s="1"/>
  <c r="CA22" i="5"/>
  <c r="C21" i="5"/>
  <c r="AS23" i="5" l="1"/>
  <c r="BX23" i="5" s="1"/>
  <c r="BZ23" i="5" s="1"/>
  <c r="CF22" i="5"/>
  <c r="CC23" i="5" s="1"/>
  <c r="AT23" i="5"/>
  <c r="C22" i="5"/>
  <c r="CD23" i="5"/>
  <c r="CE23" i="5" s="1"/>
  <c r="CA23" i="5"/>
  <c r="CF23" i="5" l="1"/>
  <c r="CG22" i="5"/>
  <c r="D22" i="5" s="1"/>
  <c r="CC24" i="5"/>
  <c r="CG23" i="5"/>
  <c r="D23" i="5" s="1"/>
  <c r="AX24" i="5"/>
  <c r="C23" i="5"/>
  <c r="AV24" i="5"/>
  <c r="AW24" i="5" s="1"/>
  <c r="AS24" i="5" l="1"/>
  <c r="BX24" i="5" l="1"/>
  <c r="BZ24" i="5" s="1"/>
  <c r="AT24" i="5"/>
  <c r="AX25" i="5" l="1"/>
  <c r="AV25" i="5"/>
  <c r="AW25" i="5" s="1"/>
  <c r="CD24" i="5"/>
  <c r="CE24" i="5" s="1"/>
  <c r="CA24" i="5"/>
  <c r="CF24" i="5" l="1"/>
  <c r="AS25" i="5"/>
  <c r="BX25" i="5" s="1"/>
  <c r="BZ25" i="5" s="1"/>
  <c r="CA25" i="5" s="1"/>
  <c r="CC25" i="5"/>
  <c r="CG24" i="5"/>
  <c r="D24" i="5" s="1"/>
  <c r="AT25" i="5"/>
  <c r="C24" i="5"/>
  <c r="CD25" i="5" l="1"/>
  <c r="CE25" i="5" s="1"/>
  <c r="AX26" i="5"/>
  <c r="AV26" i="5"/>
  <c r="AW26" i="5" s="1"/>
  <c r="CF25" i="5" l="1"/>
  <c r="AS26" i="5"/>
  <c r="BX26" i="5" s="1"/>
  <c r="BZ26" i="5" s="1"/>
  <c r="AT26" i="5" l="1"/>
  <c r="CG25" i="5"/>
  <c r="D25" i="5" s="1"/>
  <c r="CC26" i="5"/>
  <c r="C25" i="5"/>
  <c r="CA26" i="5"/>
  <c r="CD26" i="5"/>
  <c r="CE26" i="5" s="1"/>
  <c r="AX27" i="5"/>
  <c r="AV27" i="5"/>
  <c r="AW27" i="5" s="1"/>
  <c r="CF26" i="5" l="1"/>
  <c r="AS27" i="5"/>
  <c r="CG26" i="5" l="1"/>
  <c r="D26" i="5" s="1"/>
  <c r="C26" i="5"/>
  <c r="CC27" i="5"/>
  <c r="BX27" i="5"/>
  <c r="BZ27" i="5" s="1"/>
  <c r="AT27" i="5"/>
  <c r="AX28" i="5" l="1"/>
  <c r="AV28" i="5"/>
  <c r="AW28" i="5" s="1"/>
  <c r="CA27" i="5"/>
  <c r="CD27" i="5"/>
  <c r="CE27" i="5" s="1"/>
  <c r="CF27" i="5" l="1"/>
  <c r="CC28" i="5" s="1"/>
  <c r="C27" i="5"/>
  <c r="AS28" i="5"/>
  <c r="CG27" i="5" l="1"/>
  <c r="D27" i="5" s="1"/>
  <c r="BX28" i="5"/>
  <c r="BZ28" i="5" s="1"/>
  <c r="AT28" i="5"/>
  <c r="AX29" i="5" l="1"/>
  <c r="AV29" i="5"/>
  <c r="AW29" i="5" s="1"/>
  <c r="CD28" i="5"/>
  <c r="CE28" i="5" s="1"/>
  <c r="CA28" i="5"/>
  <c r="AS29" i="5" l="1"/>
  <c r="BX29" i="5" s="1"/>
  <c r="BZ29" i="5" s="1"/>
  <c r="CD29" i="5" s="1"/>
  <c r="CE29" i="5" s="1"/>
  <c r="CF28" i="5"/>
  <c r="CG28" i="5"/>
  <c r="D28" i="5" s="1"/>
  <c r="CC29" i="5"/>
  <c r="C28" i="5"/>
  <c r="AT29" i="5"/>
  <c r="CA29" i="5" l="1"/>
  <c r="CF29" i="5"/>
  <c r="CG29" i="5"/>
  <c r="CC30" i="5"/>
  <c r="AX30" i="5"/>
  <c r="D29" i="5"/>
  <c r="C29" i="5"/>
  <c r="AV30" i="5"/>
  <c r="AW30" i="5" s="1"/>
  <c r="AS30" i="5" l="1"/>
  <c r="BX30" i="5" s="1"/>
  <c r="BZ30" i="5" s="1"/>
  <c r="AT30" i="5"/>
  <c r="CD30" i="5"/>
  <c r="CE30" i="5" s="1"/>
  <c r="CA30" i="5"/>
  <c r="CF30" i="5" l="1"/>
  <c r="CC31" i="5" s="1"/>
  <c r="C30" i="5"/>
  <c r="AX31" i="5"/>
  <c r="AV31" i="5"/>
  <c r="AW31" i="5" s="1"/>
  <c r="CG30" i="5" l="1"/>
  <c r="D30" i="5" s="1"/>
  <c r="AS31" i="5"/>
  <c r="BX31" i="5" s="1"/>
  <c r="BZ31" i="5" s="1"/>
  <c r="CA31" i="5"/>
  <c r="CD31" i="5"/>
  <c r="CE31" i="5" s="1"/>
  <c r="AT31" i="5"/>
  <c r="AX32" i="5" l="1"/>
  <c r="AV32" i="5"/>
  <c r="AW32" i="5" s="1"/>
  <c r="CF31" i="5"/>
  <c r="AS32" i="5" l="1"/>
  <c r="BX32" i="5" s="1"/>
  <c r="BZ32" i="5" s="1"/>
  <c r="CG31" i="5"/>
  <c r="D31" i="5" s="1"/>
  <c r="CC32" i="5"/>
  <c r="CA32" i="5"/>
  <c r="CD32" i="5"/>
  <c r="CE32" i="5" s="1"/>
  <c r="C31" i="5"/>
  <c r="AT32" i="5"/>
  <c r="CF32" i="5" l="1"/>
  <c r="CC33" i="5"/>
  <c r="CG32" i="5"/>
  <c r="AX33" i="5"/>
  <c r="D32" i="5"/>
  <c r="C32" i="5"/>
  <c r="AV33" i="5"/>
  <c r="AW33" i="5" s="1"/>
  <c r="AS33" i="5" l="1"/>
  <c r="BX33" i="5" l="1"/>
  <c r="BZ33" i="5" s="1"/>
  <c r="AT33" i="5"/>
  <c r="AX34" i="5" l="1"/>
  <c r="AV34" i="5"/>
  <c r="AW34" i="5" s="1"/>
  <c r="CA33" i="5"/>
  <c r="CD33" i="5"/>
  <c r="CE33" i="5" s="1"/>
  <c r="AS34" i="5" l="1"/>
  <c r="BX34" i="5" s="1"/>
  <c r="BZ34" i="5" s="1"/>
  <c r="CF33" i="5"/>
  <c r="CC34" i="5" s="1"/>
  <c r="CA34" i="5"/>
  <c r="CD34" i="5"/>
  <c r="CE34" i="5" s="1"/>
  <c r="AT34" i="5"/>
  <c r="C33" i="5" l="1"/>
  <c r="CG33" i="5"/>
  <c r="D33" i="5" s="1"/>
  <c r="CF34" i="5"/>
  <c r="CG34" i="5" s="1"/>
  <c r="D34" i="5" s="1"/>
  <c r="AX35" i="5"/>
  <c r="AS35" i="5" s="1"/>
  <c r="BX35" i="5" s="1"/>
  <c r="BZ35" i="5" s="1"/>
  <c r="AV35" i="5"/>
  <c r="C34" i="5" l="1"/>
  <c r="CC35" i="5"/>
  <c r="CA35" i="5"/>
  <c r="CD35" i="5"/>
  <c r="CE35" i="5" s="1"/>
  <c r="AT35" i="5"/>
  <c r="CF35" i="5" l="1"/>
  <c r="AX36" i="5"/>
  <c r="C35" i="5"/>
  <c r="AV36" i="5"/>
  <c r="CC36" i="5"/>
  <c r="CG35" i="5"/>
  <c r="D35" i="5" s="1"/>
  <c r="AS36" i="5" l="1"/>
  <c r="AT36" i="5" s="1"/>
  <c r="AX37" i="5" s="1"/>
  <c r="BX36" i="5"/>
  <c r="BZ36" i="5" s="1"/>
  <c r="AV37" i="5" l="1"/>
  <c r="AS37" i="5"/>
  <c r="AT37" i="5" s="1"/>
  <c r="CA36" i="5"/>
  <c r="CD36" i="5"/>
  <c r="CE36" i="5" s="1"/>
  <c r="AX38" i="5"/>
  <c r="AS38" i="5" s="1"/>
  <c r="AT38" i="5" s="1"/>
  <c r="AV38" i="5"/>
  <c r="BX37" i="5"/>
  <c r="BZ37" i="5" s="1"/>
  <c r="BX38" i="5" l="1"/>
  <c r="BZ38" i="5" s="1"/>
  <c r="CD37" i="5"/>
  <c r="CE37" i="5" s="1"/>
  <c r="AX39" i="5"/>
  <c r="AS39" i="5" s="1"/>
  <c r="AT39" i="5" s="1"/>
  <c r="AV39" i="5"/>
  <c r="CF36" i="5"/>
  <c r="CA37" i="5" s="1"/>
  <c r="AX40" i="5" l="1"/>
  <c r="AS40" i="5" s="1"/>
  <c r="AV40" i="5"/>
  <c r="AT40" i="5"/>
  <c r="BX39" i="5"/>
  <c r="BZ39" i="5" s="1"/>
  <c r="CD38" i="5"/>
  <c r="CE38" i="5" s="1"/>
  <c r="CG36" i="5"/>
  <c r="D36" i="5" s="1"/>
  <c r="CC37" i="5"/>
  <c r="CF37" i="5" s="1"/>
  <c r="CA38" i="5" s="1"/>
  <c r="C36" i="5"/>
  <c r="BX40" i="5" l="1"/>
  <c r="BZ40" i="5" s="1"/>
  <c r="CD39" i="5"/>
  <c r="CE39" i="5" s="1"/>
  <c r="CD40" i="5"/>
  <c r="CG37" i="5"/>
  <c r="D37" i="5" s="1"/>
  <c r="CC38" i="5"/>
  <c r="CF38" i="5" s="1"/>
  <c r="CA39" i="5" s="1"/>
  <c r="C37" i="5"/>
  <c r="AX41" i="5"/>
  <c r="AS41" i="5" s="1"/>
  <c r="AT41" i="5" s="1"/>
  <c r="AV41" i="5"/>
  <c r="CE40" i="5" l="1"/>
  <c r="CC39" i="5"/>
  <c r="CG38" i="5"/>
  <c r="D38" i="5" s="1"/>
  <c r="C38" i="5"/>
  <c r="CF39" i="5"/>
  <c r="AV42" i="5"/>
  <c r="AX42" i="5"/>
  <c r="AS42" i="5" s="1"/>
  <c r="BX41" i="5"/>
  <c r="BZ41" i="5" s="1"/>
  <c r="BX42" i="5" l="1"/>
  <c r="BZ42" i="5" s="1"/>
  <c r="CD41" i="5"/>
  <c r="CE41" i="5" s="1"/>
  <c r="AT42" i="5"/>
  <c r="CG39" i="5"/>
  <c r="D39" i="5" s="1"/>
  <c r="CC40" i="5"/>
  <c r="CF40" i="5" s="1"/>
  <c r="C39" i="5"/>
  <c r="CA40" i="5"/>
  <c r="CD42" i="5"/>
  <c r="CA41" i="5" l="1"/>
  <c r="CE42" i="5"/>
  <c r="CC41" i="5"/>
  <c r="CG40" i="5"/>
  <c r="D40" i="5" s="1"/>
  <c r="C40" i="5"/>
  <c r="AX43" i="5"/>
  <c r="AS43" i="5" s="1"/>
  <c r="AT43" i="5" s="1"/>
  <c r="AV43" i="5"/>
  <c r="CF41" i="5"/>
  <c r="CC42" i="5" l="1"/>
  <c r="CG41" i="5"/>
  <c r="D41" i="5" s="1"/>
  <c r="C41" i="5"/>
  <c r="AX44" i="5"/>
  <c r="AS44" i="5" s="1"/>
  <c r="AV44" i="5"/>
  <c r="BX43" i="5"/>
  <c r="BZ43" i="5" s="1"/>
  <c r="CF42" i="5"/>
  <c r="CA42" i="5"/>
  <c r="BX44" i="5" l="1"/>
  <c r="BZ44" i="5" s="1"/>
  <c r="AT44" i="5"/>
  <c r="CD44" i="5"/>
  <c r="CG42" i="5"/>
  <c r="D42" i="5" s="1"/>
  <c r="CC43" i="5"/>
  <c r="C42" i="5"/>
  <c r="CD43" i="5"/>
  <c r="CE43" i="5" s="1"/>
  <c r="CE44" i="5" s="1"/>
  <c r="CA43" i="5"/>
  <c r="CF43" i="5"/>
  <c r="CF44" i="5" l="1"/>
  <c r="CG44" i="5" s="1"/>
  <c r="CG43" i="5"/>
  <c r="D43" i="5" s="1"/>
  <c r="CC44" i="5"/>
  <c r="C43" i="5"/>
  <c r="CA44" i="5"/>
  <c r="C44" i="5" s="1"/>
  <c r="AX45" i="5"/>
  <c r="AS45" i="5" s="1"/>
  <c r="AV45" i="5"/>
  <c r="CC45" i="5" l="1"/>
  <c r="D44" i="5"/>
  <c r="BX45" i="5"/>
  <c r="BZ45" i="5" s="1"/>
  <c r="AT45" i="5"/>
  <c r="CA45" i="5" l="1"/>
  <c r="CF45" i="5"/>
  <c r="CD45" i="5"/>
  <c r="CE45" i="5" s="1"/>
  <c r="AV46" i="5"/>
  <c r="AX46" i="5"/>
  <c r="AS46" i="5" s="1"/>
  <c r="BX46" i="5" l="1"/>
  <c r="BZ46" i="5" s="1"/>
  <c r="CC46" i="5"/>
  <c r="CG45" i="5"/>
  <c r="D45" i="5" s="1"/>
  <c r="C45" i="5"/>
  <c r="AT46" i="5"/>
  <c r="AV47" i="5" l="1"/>
  <c r="AX47" i="5"/>
  <c r="AS47" i="5" s="1"/>
  <c r="BX47" i="5" s="1"/>
  <c r="BZ47" i="5" s="1"/>
  <c r="CA46" i="5"/>
  <c r="CF46" i="5"/>
  <c r="CD46" i="5"/>
  <c r="CE46" i="5" s="1"/>
  <c r="C46" i="5" l="1"/>
  <c r="AT47" i="5"/>
  <c r="CA47" i="5"/>
  <c r="CF47" i="5"/>
  <c r="CD47" i="5"/>
  <c r="CE47" i="5" s="1"/>
  <c r="CG46" i="5"/>
  <c r="D46" i="5" s="1"/>
  <c r="CC47" i="5"/>
  <c r="C47" i="5"/>
  <c r="AX48" i="5"/>
  <c r="AS48" i="5" s="1"/>
  <c r="AV48" i="5"/>
  <c r="BX48" i="5" l="1"/>
  <c r="BZ48" i="5" s="1"/>
  <c r="CD48" i="5"/>
  <c r="CE48" i="5" s="1"/>
  <c r="CA48" i="5"/>
  <c r="CF48" i="5"/>
  <c r="AT48" i="5"/>
  <c r="CC48" i="5"/>
  <c r="CG47" i="5"/>
  <c r="D47" i="5" s="1"/>
  <c r="CG48" i="5" l="1"/>
  <c r="CC49" i="5"/>
  <c r="AX49" i="5"/>
  <c r="AS49" i="5" s="1"/>
  <c r="AT49" i="5" s="1"/>
  <c r="AV49" i="5"/>
  <c r="D48" i="5"/>
  <c r="C48" i="5"/>
  <c r="AX50" i="5" l="1"/>
  <c r="AS50" i="5" s="1"/>
  <c r="AV50" i="5"/>
  <c r="BX49" i="5"/>
  <c r="BZ49" i="5" s="1"/>
  <c r="CD49" i="5" l="1"/>
  <c r="CE49" i="5" s="1"/>
  <c r="CA49" i="5"/>
  <c r="CF49" i="5"/>
  <c r="BX50" i="5"/>
  <c r="BZ50" i="5" s="1"/>
  <c r="AT50" i="5"/>
  <c r="AV51" i="5" l="1"/>
  <c r="AX51" i="5"/>
  <c r="AS51" i="5" s="1"/>
  <c r="BX51" i="5" s="1"/>
  <c r="BZ51" i="5" s="1"/>
  <c r="CD50" i="5"/>
  <c r="CE50" i="5" s="1"/>
  <c r="CA50" i="5"/>
  <c r="CF50" i="5"/>
  <c r="CC50" i="5"/>
  <c r="CG49" i="5"/>
  <c r="D49" i="5" s="1"/>
  <c r="C49" i="5"/>
  <c r="CG50" i="5" l="1"/>
  <c r="D50" i="5" s="1"/>
  <c r="CC51" i="5"/>
  <c r="AT51" i="5"/>
  <c r="CD51" i="5"/>
  <c r="CE51" i="5" s="1"/>
  <c r="CA51" i="5"/>
  <c r="CF51" i="5"/>
  <c r="C50" i="5"/>
  <c r="CC52" i="5" l="1"/>
  <c r="CG51" i="5"/>
  <c r="AX52" i="5"/>
  <c r="AS52" i="5" s="1"/>
  <c r="AT52" i="5" s="1"/>
  <c r="D51" i="5"/>
  <c r="C51" i="5"/>
  <c r="AV52" i="5"/>
  <c r="BX52" i="5" l="1"/>
  <c r="BZ52" i="5" s="1"/>
  <c r="CF52" i="5" l="1"/>
  <c r="CA52" i="5"/>
  <c r="CD52" i="5"/>
  <c r="CE52" i="5" s="1"/>
  <c r="CG52" i="5" l="1"/>
  <c r="D52" i="5" s="1"/>
  <c r="C52" i="5"/>
  <c r="AX5" i="10"/>
  <c r="AS5" i="10"/>
  <c r="AT5" i="10"/>
  <c r="AX6" i="10"/>
  <c r="AV6" i="10"/>
  <c r="AS6" i="10"/>
  <c r="AT6" i="10"/>
  <c r="AX7" i="10"/>
  <c r="AV7" i="10"/>
  <c r="AS7" i="10"/>
  <c r="AT7" i="10"/>
  <c r="BX7" i="10"/>
  <c r="BZ7" i="10"/>
  <c r="BX6" i="10"/>
  <c r="BZ6" i="10" s="1"/>
  <c r="BX5" i="10"/>
  <c r="BZ5" i="10" s="1"/>
  <c r="AW34" i="10"/>
  <c r="AW33" i="10"/>
  <c r="AW32" i="10"/>
  <c r="AW31" i="10"/>
  <c r="AW30" i="10"/>
  <c r="AW29" i="10"/>
  <c r="AW28" i="10"/>
  <c r="AW5" i="10"/>
  <c r="AW6" i="10" s="1"/>
  <c r="AW7" i="10"/>
  <c r="AX5" i="11"/>
  <c r="AS5" i="11" s="1"/>
  <c r="AT5" i="11" s="1"/>
  <c r="BX5" i="11"/>
  <c r="BZ5" i="11" s="1"/>
  <c r="AW38" i="11"/>
  <c r="AW37" i="11"/>
  <c r="AW36" i="11"/>
  <c r="AW35" i="11"/>
  <c r="AW34" i="11"/>
  <c r="AW33" i="11"/>
  <c r="AW32" i="11"/>
  <c r="AW31" i="11"/>
  <c r="AW30" i="11"/>
  <c r="AW5" i="11"/>
  <c r="AX5" i="3"/>
  <c r="AS5" i="3" s="1"/>
  <c r="AX5" i="6"/>
  <c r="AS5" i="6" s="1"/>
  <c r="BX5" i="6" s="1"/>
  <c r="BZ5" i="6" s="1"/>
  <c r="AT5" i="6"/>
  <c r="AX5" i="8"/>
  <c r="AS5" i="8" s="1"/>
  <c r="AT5" i="8" s="1"/>
  <c r="AW44" i="6"/>
  <c r="AW43" i="6"/>
  <c r="AW42" i="6"/>
  <c r="AW41" i="6"/>
  <c r="AW42" i="8"/>
  <c r="AW41" i="8"/>
  <c r="AW40" i="6"/>
  <c r="AW39" i="6"/>
  <c r="AW40" i="8"/>
  <c r="AW38" i="6"/>
  <c r="AW39" i="8"/>
  <c r="AW37" i="6"/>
  <c r="AW38" i="8"/>
  <c r="AW36" i="6"/>
  <c r="AW37" i="8"/>
  <c r="AW35" i="6"/>
  <c r="AW36" i="8"/>
  <c r="AW34" i="6"/>
  <c r="AW33" i="6"/>
  <c r="AW35" i="8"/>
  <c r="AW34" i="8"/>
  <c r="AW32" i="6"/>
  <c r="AW33" i="8"/>
  <c r="AW32" i="8"/>
  <c r="AW31" i="6"/>
  <c r="AW31" i="8"/>
  <c r="AW30" i="6"/>
  <c r="AW30" i="8"/>
  <c r="AW5" i="6"/>
  <c r="AW5" i="8"/>
  <c r="AW5" i="3"/>
  <c r="AX5" i="7"/>
  <c r="AS5" i="7"/>
  <c r="BX5" i="7" s="1"/>
  <c r="BZ5" i="7" s="1"/>
  <c r="AT5" i="7"/>
  <c r="AX6" i="7" s="1"/>
  <c r="AW49" i="7"/>
  <c r="AW48" i="7"/>
  <c r="AW47" i="7"/>
  <c r="AW46" i="7"/>
  <c r="AW45" i="7"/>
  <c r="AW44" i="7"/>
  <c r="AW43" i="7"/>
  <c r="AW42" i="7"/>
  <c r="AW41" i="7"/>
  <c r="AW40" i="7"/>
  <c r="AW39" i="7"/>
  <c r="AW38" i="7"/>
  <c r="AW37" i="7"/>
  <c r="AW36" i="7"/>
  <c r="AW35" i="7"/>
  <c r="AW34" i="7"/>
  <c r="AW33" i="7"/>
  <c r="AW32" i="7"/>
  <c r="AW31" i="7"/>
  <c r="AW30" i="7"/>
  <c r="AW5" i="7"/>
  <c r="AX7" i="9"/>
  <c r="AS7" i="9"/>
  <c r="AT7" i="9"/>
  <c r="AX8" i="9"/>
  <c r="AS8" i="9" s="1"/>
  <c r="AV8" i="9"/>
  <c r="BX7" i="9"/>
  <c r="BZ7" i="9" s="1"/>
  <c r="AW49" i="9"/>
  <c r="AW48" i="9"/>
  <c r="AW47" i="9"/>
  <c r="AW46" i="9"/>
  <c r="AW45" i="9"/>
  <c r="AW44" i="9"/>
  <c r="AW43" i="9"/>
  <c r="AW42" i="9"/>
  <c r="AW41" i="9"/>
  <c r="AW40" i="9"/>
  <c r="AW39" i="9"/>
  <c r="AW38" i="9"/>
  <c r="AW37" i="9"/>
  <c r="AW36" i="9"/>
  <c r="AW35" i="9"/>
  <c r="AW34" i="9"/>
  <c r="AW33" i="9"/>
  <c r="AW7" i="9"/>
  <c r="AW8" i="9"/>
  <c r="AQ7" i="7"/>
  <c r="AQ7" i="8"/>
  <c r="AQ7" i="11"/>
  <c r="AQ7" i="6"/>
  <c r="AQ7" i="10"/>
  <c r="AQ7" i="9"/>
  <c r="AQ7" i="3"/>
  <c r="AQ5" i="3"/>
  <c r="AQ5" i="7"/>
  <c r="AQ5" i="6"/>
  <c r="AQ5" i="10"/>
  <c r="AQ5" i="8"/>
  <c r="AT5" i="3" l="1"/>
  <c r="BX5" i="3"/>
  <c r="BZ5" i="3" s="1"/>
  <c r="CD5" i="3" s="1"/>
  <c r="CE5" i="3" s="1"/>
  <c r="CF5" i="7"/>
  <c r="CA5" i="7"/>
  <c r="CD5" i="7"/>
  <c r="CE5" i="7" s="1"/>
  <c r="CA7" i="9"/>
  <c r="CD7" i="9"/>
  <c r="CE7" i="9" s="1"/>
  <c r="CF7" i="9"/>
  <c r="BX8" i="9"/>
  <c r="BZ8" i="9" s="1"/>
  <c r="AT8" i="9"/>
  <c r="AV6" i="7"/>
  <c r="AW6" i="7" s="1"/>
  <c r="AX6" i="8"/>
  <c r="AS6" i="8" s="1"/>
  <c r="BX6" i="8" s="1"/>
  <c r="BZ6" i="8" s="1"/>
  <c r="AV6" i="8"/>
  <c r="AW6" i="8" s="1"/>
  <c r="AX6" i="6"/>
  <c r="AV6" i="6"/>
  <c r="AW6" i="6" s="1"/>
  <c r="CD5" i="6"/>
  <c r="CE5" i="6" s="1"/>
  <c r="CA5" i="6"/>
  <c r="CF5" i="6"/>
  <c r="BX5" i="8"/>
  <c r="BZ5" i="8" s="1"/>
  <c r="AW8" i="10"/>
  <c r="CA5" i="11"/>
  <c r="CD5" i="11"/>
  <c r="CE5" i="11" s="1"/>
  <c r="AX6" i="3"/>
  <c r="AV6" i="3"/>
  <c r="AW6" i="3" s="1"/>
  <c r="AX6" i="11"/>
  <c r="AV6" i="11"/>
  <c r="AW6" i="11" s="1"/>
  <c r="CA5" i="10"/>
  <c r="CF5" i="10"/>
  <c r="CD5" i="10"/>
  <c r="CE5" i="10" s="1"/>
  <c r="CE6" i="10" s="1"/>
  <c r="CA6" i="10"/>
  <c r="CF6" i="10"/>
  <c r="CF7" i="10" s="1"/>
  <c r="CD6" i="10"/>
  <c r="AV8" i="10"/>
  <c r="AX8" i="10"/>
  <c r="AS8" i="10" s="1"/>
  <c r="BX8" i="10" s="1"/>
  <c r="BZ8" i="10" s="1"/>
  <c r="CD7" i="10"/>
  <c r="CA5" i="3" l="1"/>
  <c r="CF5" i="3"/>
  <c r="CG5" i="3" s="1"/>
  <c r="D5" i="3" s="1"/>
  <c r="CC8" i="10"/>
  <c r="CD6" i="8"/>
  <c r="CA5" i="8"/>
  <c r="CA6" i="8" s="1"/>
  <c r="CF5" i="8"/>
  <c r="CD5" i="8"/>
  <c r="CE5" i="8" s="1"/>
  <c r="CE6" i="8" s="1"/>
  <c r="CE7" i="10"/>
  <c r="CE8" i="10" s="1"/>
  <c r="CE8" i="9"/>
  <c r="CA8" i="9"/>
  <c r="CF8" i="9"/>
  <c r="CD8" i="9"/>
  <c r="CG6" i="10"/>
  <c r="D6" i="10" s="1"/>
  <c r="C6" i="10"/>
  <c r="CC7" i="10"/>
  <c r="CD8" i="10"/>
  <c r="CA7" i="10"/>
  <c r="C7" i="10" s="1"/>
  <c r="AT8" i="10"/>
  <c r="CC8" i="9"/>
  <c r="C7" i="9"/>
  <c r="CG7" i="9"/>
  <c r="D7" i="9" s="1"/>
  <c r="AX9" i="9"/>
  <c r="AV9" i="9"/>
  <c r="AW9" i="9" s="1"/>
  <c r="AS6" i="6"/>
  <c r="CC6" i="3"/>
  <c r="C5" i="3"/>
  <c r="CC6" i="7"/>
  <c r="C5" i="7"/>
  <c r="CG5" i="7"/>
  <c r="D5" i="7" s="1"/>
  <c r="CG5" i="10"/>
  <c r="D5" i="10" s="1"/>
  <c r="CC6" i="10"/>
  <c r="C5" i="10"/>
  <c r="CF5" i="11"/>
  <c r="CG5" i="6"/>
  <c r="D5" i="6" s="1"/>
  <c r="CC6" i="6"/>
  <c r="C5" i="6"/>
  <c r="AS6" i="11"/>
  <c r="AS6" i="3"/>
  <c r="AT6" i="8"/>
  <c r="AS6" i="7"/>
  <c r="CC9" i="9" l="1"/>
  <c r="CG8" i="9"/>
  <c r="D8" i="9" s="1"/>
  <c r="AS9" i="9"/>
  <c r="AX9" i="10"/>
  <c r="AS9" i="10" s="1"/>
  <c r="BX9" i="10" s="1"/>
  <c r="BZ9" i="10" s="1"/>
  <c r="AV9" i="10"/>
  <c r="AW9" i="10" s="1"/>
  <c r="AT9" i="10"/>
  <c r="BX6" i="7"/>
  <c r="BZ6" i="7" s="1"/>
  <c r="AT6" i="7"/>
  <c r="CC6" i="8"/>
  <c r="CG5" i="8"/>
  <c r="D5" i="8" s="1"/>
  <c r="C5" i="8"/>
  <c r="CF6" i="8"/>
  <c r="BX6" i="11"/>
  <c r="BZ6" i="11" s="1"/>
  <c r="AT6" i="11"/>
  <c r="CA8" i="10"/>
  <c r="CG7" i="10"/>
  <c r="D7" i="10" s="1"/>
  <c r="AX7" i="8"/>
  <c r="AV7" i="8"/>
  <c r="AW7" i="8" s="1"/>
  <c r="BX6" i="3"/>
  <c r="BZ6" i="3" s="1"/>
  <c r="AT6" i="3"/>
  <c r="C8" i="9"/>
  <c r="CF8" i="10"/>
  <c r="C8" i="10" s="1"/>
  <c r="BX6" i="6"/>
  <c r="BZ6" i="6" s="1"/>
  <c r="AT6" i="6"/>
  <c r="CC6" i="11"/>
  <c r="C5" i="11"/>
  <c r="CG5" i="11"/>
  <c r="D5" i="11" s="1"/>
  <c r="CD6" i="7" l="1"/>
  <c r="CE6" i="7" s="1"/>
  <c r="CA6" i="7"/>
  <c r="CF6" i="7"/>
  <c r="AX7" i="7"/>
  <c r="AV7" i="7"/>
  <c r="AW7" i="7" s="1"/>
  <c r="C6" i="7"/>
  <c r="AX7" i="3"/>
  <c r="AV7" i="3"/>
  <c r="AW7" i="3" s="1"/>
  <c r="CC7" i="8"/>
  <c r="CG6" i="8"/>
  <c r="D6" i="8" s="1"/>
  <c r="AX10" i="10"/>
  <c r="AV10" i="10"/>
  <c r="BX9" i="9"/>
  <c r="BZ9" i="9" s="1"/>
  <c r="AT9" i="9"/>
  <c r="CG8" i="10"/>
  <c r="D8" i="10" s="1"/>
  <c r="CC9" i="10"/>
  <c r="AS7" i="8"/>
  <c r="CA6" i="3"/>
  <c r="CD6" i="3"/>
  <c r="CE6" i="3" s="1"/>
  <c r="C6" i="8"/>
  <c r="AW10" i="10"/>
  <c r="AX7" i="11"/>
  <c r="AS7" i="11" s="1"/>
  <c r="BX7" i="11" s="1"/>
  <c r="BZ7" i="11" s="1"/>
  <c r="AV7" i="11"/>
  <c r="AW7" i="11" s="1"/>
  <c r="CD6" i="6"/>
  <c r="CE6" i="6" s="1"/>
  <c r="CA6" i="6"/>
  <c r="CF6" i="6"/>
  <c r="CA9" i="10"/>
  <c r="CF9" i="10"/>
  <c r="CD9" i="10"/>
  <c r="CE9" i="10" s="1"/>
  <c r="AX7" i="6"/>
  <c r="AS7" i="6" s="1"/>
  <c r="BX7" i="6" s="1"/>
  <c r="BZ7" i="6" s="1"/>
  <c r="AV7" i="6"/>
  <c r="AW7" i="6" s="1"/>
  <c r="C6" i="6"/>
  <c r="CA6" i="11"/>
  <c r="C6" i="11" s="1"/>
  <c r="CD6" i="11"/>
  <c r="CE6" i="11" s="1"/>
  <c r="CF6" i="11"/>
  <c r="CF6" i="3" l="1"/>
  <c r="C6" i="3" s="1"/>
  <c r="CA7" i="6"/>
  <c r="CF7" i="6"/>
  <c r="CD7" i="6"/>
  <c r="AV10" i="9"/>
  <c r="AW10" i="9" s="1"/>
  <c r="AX10" i="9"/>
  <c r="AS10" i="9" s="1"/>
  <c r="BX10" i="9" s="1"/>
  <c r="BZ10" i="9" s="1"/>
  <c r="CD9" i="9"/>
  <c r="CE9" i="9" s="1"/>
  <c r="CF9" i="9"/>
  <c r="CA9" i="9"/>
  <c r="CG6" i="3"/>
  <c r="D6" i="3" s="1"/>
  <c r="CC7" i="3"/>
  <c r="AS7" i="3"/>
  <c r="AT7" i="6"/>
  <c r="AS7" i="7"/>
  <c r="BX7" i="8"/>
  <c r="BZ7" i="8" s="1"/>
  <c r="AT7" i="8"/>
  <c r="CG9" i="10"/>
  <c r="D9" i="10" s="1"/>
  <c r="CC10" i="10"/>
  <c r="CG6" i="6"/>
  <c r="D6" i="6" s="1"/>
  <c r="CC7" i="6"/>
  <c r="CE7" i="6"/>
  <c r="C9" i="10"/>
  <c r="CC7" i="7"/>
  <c r="CG6" i="7"/>
  <c r="D6" i="7" s="1"/>
  <c r="AT7" i="11"/>
  <c r="CA7" i="11"/>
  <c r="CD7" i="11"/>
  <c r="CF7" i="11" s="1"/>
  <c r="CC7" i="11"/>
  <c r="CG6" i="11"/>
  <c r="D6" i="11" s="1"/>
  <c r="CE7" i="11"/>
  <c r="AS10" i="10"/>
  <c r="CC8" i="11" l="1"/>
  <c r="CG7" i="11"/>
  <c r="CC10" i="9"/>
  <c r="CG9" i="9"/>
  <c r="D9" i="9" s="1"/>
  <c r="CE10" i="9"/>
  <c r="BX10" i="10"/>
  <c r="BZ10" i="10" s="1"/>
  <c r="AT10" i="10"/>
  <c r="C9" i="9"/>
  <c r="CA7" i="8"/>
  <c r="CF7" i="8"/>
  <c r="CD7" i="8"/>
  <c r="CE7" i="8" s="1"/>
  <c r="AT10" i="9"/>
  <c r="CC8" i="6"/>
  <c r="CG7" i="6"/>
  <c r="D7" i="6" s="1"/>
  <c r="CA10" i="9"/>
  <c r="CD10" i="9"/>
  <c r="CF10" i="9"/>
  <c r="AX8" i="8"/>
  <c r="AS8" i="8" s="1"/>
  <c r="BX8" i="8" s="1"/>
  <c r="BZ8" i="8" s="1"/>
  <c r="AV8" i="8"/>
  <c r="AW8" i="8" s="1"/>
  <c r="BX7" i="7"/>
  <c r="BZ7" i="7" s="1"/>
  <c r="AT7" i="7"/>
  <c r="AX8" i="6"/>
  <c r="AS8" i="6" s="1"/>
  <c r="BX8" i="6" s="1"/>
  <c r="BZ8" i="6" s="1"/>
  <c r="AV8" i="6"/>
  <c r="AW8" i="6" s="1"/>
  <c r="C7" i="6"/>
  <c r="BX7" i="3"/>
  <c r="BZ7" i="3" s="1"/>
  <c r="AT7" i="3"/>
  <c r="AX8" i="11"/>
  <c r="AV8" i="11"/>
  <c r="AW8" i="11" s="1"/>
  <c r="C7" i="11"/>
  <c r="D7" i="11"/>
  <c r="CC8" i="8" l="1"/>
  <c r="CG7" i="8"/>
  <c r="D7" i="8" s="1"/>
  <c r="AX11" i="9"/>
  <c r="AV11" i="9"/>
  <c r="AW11" i="9" s="1"/>
  <c r="C10" i="9"/>
  <c r="AT8" i="6"/>
  <c r="CA8" i="8"/>
  <c r="CF8" i="8"/>
  <c r="CD8" i="8"/>
  <c r="CE8" i="8" s="1"/>
  <c r="AX8" i="7"/>
  <c r="AV8" i="7"/>
  <c r="AW8" i="7" s="1"/>
  <c r="CA10" i="10"/>
  <c r="CF10" i="10"/>
  <c r="CD10" i="10"/>
  <c r="CE10" i="10" s="1"/>
  <c r="AT8" i="8"/>
  <c r="CA8" i="6"/>
  <c r="CF8" i="6"/>
  <c r="CD8" i="6"/>
  <c r="CE8" i="6" s="1"/>
  <c r="CF7" i="7"/>
  <c r="CD7" i="7"/>
  <c r="CE7" i="7" s="1"/>
  <c r="CA7" i="7"/>
  <c r="C7" i="8"/>
  <c r="AX11" i="10"/>
  <c r="AV11" i="10"/>
  <c r="AW11" i="10" s="1"/>
  <c r="AS8" i="11"/>
  <c r="CC11" i="9"/>
  <c r="CG10" i="9"/>
  <c r="D10" i="9" s="1"/>
  <c r="AX8" i="3"/>
  <c r="AV8" i="3"/>
  <c r="AW8" i="3" s="1"/>
  <c r="CA7" i="3"/>
  <c r="CD7" i="3"/>
  <c r="CE7" i="3" s="1"/>
  <c r="AS8" i="3" l="1"/>
  <c r="BX8" i="3" s="1"/>
  <c r="BZ8" i="3" s="1"/>
  <c r="CF7" i="3"/>
  <c r="C7" i="3" s="1"/>
  <c r="CG8" i="8"/>
  <c r="CC9" i="8"/>
  <c r="CC9" i="6"/>
  <c r="CG8" i="6"/>
  <c r="AX9" i="6"/>
  <c r="AV9" i="6"/>
  <c r="AW9" i="6" s="1"/>
  <c r="C8" i="6"/>
  <c r="D8" i="6"/>
  <c r="CC8" i="7"/>
  <c r="CG7" i="7"/>
  <c r="D7" i="7" s="1"/>
  <c r="AX9" i="8"/>
  <c r="AV9" i="8"/>
  <c r="AW9" i="8" s="1"/>
  <c r="C8" i="8"/>
  <c r="D8" i="8"/>
  <c r="AS8" i="7"/>
  <c r="CD8" i="3"/>
  <c r="CE8" i="3" s="1"/>
  <c r="CC11" i="10"/>
  <c r="CG10" i="10"/>
  <c r="D10" i="10" s="1"/>
  <c r="AS11" i="9"/>
  <c r="BX8" i="11"/>
  <c r="BZ8" i="11" s="1"/>
  <c r="AT8" i="11"/>
  <c r="C10" i="10"/>
  <c r="C7" i="7"/>
  <c r="AT8" i="3"/>
  <c r="AS11" i="10"/>
  <c r="CC8" i="3" l="1"/>
  <c r="CG7" i="3"/>
  <c r="D7" i="3" s="1"/>
  <c r="CA8" i="3"/>
  <c r="CF8" i="3"/>
  <c r="CG8" i="3" s="1"/>
  <c r="AX9" i="11"/>
  <c r="AS9" i="11" s="1"/>
  <c r="BX9" i="11" s="1"/>
  <c r="BZ9" i="11" s="1"/>
  <c r="AV9" i="11"/>
  <c r="AW9" i="11" s="1"/>
  <c r="AT9" i="11"/>
  <c r="BX11" i="10"/>
  <c r="BZ11" i="10" s="1"/>
  <c r="AT11" i="10"/>
  <c r="CA8" i="11"/>
  <c r="CD8" i="11"/>
  <c r="CE8" i="11" s="1"/>
  <c r="AS9" i="6"/>
  <c r="AX9" i="3"/>
  <c r="AV9" i="3"/>
  <c r="AW9" i="3" s="1"/>
  <c r="BX11" i="9"/>
  <c r="BZ11" i="9" s="1"/>
  <c r="AT11" i="9"/>
  <c r="BX8" i="7"/>
  <c r="BZ8" i="7" s="1"/>
  <c r="AT8" i="7"/>
  <c r="AS9" i="8"/>
  <c r="D8" i="3" l="1"/>
  <c r="C8" i="3"/>
  <c r="CC9" i="3"/>
  <c r="AS9" i="3"/>
  <c r="BX9" i="3" s="1"/>
  <c r="BZ9" i="3" s="1"/>
  <c r="CA9" i="3" s="1"/>
  <c r="BX9" i="8"/>
  <c r="BZ9" i="8" s="1"/>
  <c r="AT9" i="8"/>
  <c r="AX12" i="10"/>
  <c r="AS12" i="10" s="1"/>
  <c r="BX12" i="10" s="1"/>
  <c r="BZ12" i="10" s="1"/>
  <c r="AV12" i="10"/>
  <c r="AW12" i="10" s="1"/>
  <c r="AX12" i="9"/>
  <c r="AV12" i="9"/>
  <c r="AW12" i="9" s="1"/>
  <c r="CA8" i="7"/>
  <c r="CD8" i="7"/>
  <c r="CE8" i="7" s="1"/>
  <c r="CF8" i="7"/>
  <c r="CA11" i="9"/>
  <c r="CD11" i="9"/>
  <c r="CE11" i="9" s="1"/>
  <c r="BX9" i="6"/>
  <c r="BZ9" i="6" s="1"/>
  <c r="AT9" i="6"/>
  <c r="AV9" i="7"/>
  <c r="AW9" i="7" s="1"/>
  <c r="AT9" i="7"/>
  <c r="AX9" i="7"/>
  <c r="AS9" i="7" s="1"/>
  <c r="BX9" i="7" s="1"/>
  <c r="BZ9" i="7" s="1"/>
  <c r="C8" i="7"/>
  <c r="AX10" i="11"/>
  <c r="AS10" i="11" s="1"/>
  <c r="BX10" i="11" s="1"/>
  <c r="BZ10" i="11" s="1"/>
  <c r="AV10" i="11"/>
  <c r="AW10" i="11" s="1"/>
  <c r="CD9" i="11"/>
  <c r="CA9" i="11"/>
  <c r="CE9" i="11"/>
  <c r="CF8" i="11"/>
  <c r="CD11" i="10"/>
  <c r="CE11" i="10" s="1"/>
  <c r="CA11" i="10"/>
  <c r="CF11" i="10"/>
  <c r="CD9" i="3" l="1"/>
  <c r="CE9" i="3" s="1"/>
  <c r="AT9" i="3"/>
  <c r="AX10" i="3" s="1"/>
  <c r="AV10" i="7"/>
  <c r="AX10" i="7"/>
  <c r="AS10" i="7" s="1"/>
  <c r="BX10" i="7" s="1"/>
  <c r="BZ10" i="7" s="1"/>
  <c r="C9" i="7"/>
  <c r="CC12" i="10"/>
  <c r="CG11" i="10"/>
  <c r="D11" i="10" s="1"/>
  <c r="CD10" i="11"/>
  <c r="CE10" i="11" s="1"/>
  <c r="CA10" i="11"/>
  <c r="AW10" i="7"/>
  <c r="AX10" i="6"/>
  <c r="AS10" i="6" s="1"/>
  <c r="BX10" i="6" s="1"/>
  <c r="BZ10" i="6" s="1"/>
  <c r="AV10" i="6"/>
  <c r="AW10" i="6" s="1"/>
  <c r="CC9" i="11"/>
  <c r="CF9" i="11" s="1"/>
  <c r="CG8" i="11"/>
  <c r="D8" i="11" s="1"/>
  <c r="C8" i="11"/>
  <c r="CF12" i="10"/>
  <c r="CD12" i="10"/>
  <c r="CE12" i="10" s="1"/>
  <c r="CA12" i="10"/>
  <c r="AS12" i="9"/>
  <c r="CF11" i="9"/>
  <c r="AT12" i="10"/>
  <c r="CA9" i="6"/>
  <c r="CF9" i="6"/>
  <c r="CD9" i="6"/>
  <c r="CE9" i="6" s="1"/>
  <c r="CG8" i="7"/>
  <c r="D8" i="7" s="1"/>
  <c r="CC9" i="7"/>
  <c r="AX10" i="8"/>
  <c r="AV10" i="8"/>
  <c r="AW10" i="8" s="1"/>
  <c r="CF9" i="7"/>
  <c r="CA9" i="7"/>
  <c r="CD9" i="7"/>
  <c r="C11" i="10"/>
  <c r="AT10" i="11"/>
  <c r="CE9" i="7"/>
  <c r="CA9" i="8"/>
  <c r="CF9" i="8"/>
  <c r="CD9" i="8"/>
  <c r="CE9" i="8" s="1"/>
  <c r="AV10" i="3" l="1"/>
  <c r="AW10" i="3" s="1"/>
  <c r="CF9" i="3"/>
  <c r="CC10" i="11"/>
  <c r="CG9" i="11"/>
  <c r="D9" i="11" s="1"/>
  <c r="C9" i="11"/>
  <c r="CF10" i="11"/>
  <c r="CC13" i="10"/>
  <c r="CG12" i="10"/>
  <c r="CE10" i="6"/>
  <c r="CC10" i="6"/>
  <c r="CG9" i="6"/>
  <c r="D9" i="6" s="1"/>
  <c r="AS10" i="3"/>
  <c r="CG11" i="9"/>
  <c r="D11" i="9" s="1"/>
  <c r="CC12" i="9"/>
  <c r="C11" i="9"/>
  <c r="CD10" i="7"/>
  <c r="CE10" i="7" s="1"/>
  <c r="CF10" i="7"/>
  <c r="CA10" i="7"/>
  <c r="CC10" i="8"/>
  <c r="CG9" i="8"/>
  <c r="D9" i="8" s="1"/>
  <c r="AX13" i="10"/>
  <c r="AS13" i="10" s="1"/>
  <c r="BX13" i="10" s="1"/>
  <c r="BZ13" i="10" s="1"/>
  <c r="C12" i="10"/>
  <c r="AV13" i="10"/>
  <c r="AW13" i="10" s="1"/>
  <c r="AT13" i="10"/>
  <c r="D12" i="10"/>
  <c r="AT10" i="7"/>
  <c r="AS10" i="8"/>
  <c r="BX12" i="9"/>
  <c r="BZ12" i="9" s="1"/>
  <c r="AT12" i="9"/>
  <c r="C9" i="6"/>
  <c r="CA10" i="6"/>
  <c r="CF10" i="6"/>
  <c r="CD10" i="6"/>
  <c r="AX11" i="11"/>
  <c r="AV11" i="11"/>
  <c r="AW11" i="11" s="1"/>
  <c r="C10" i="11"/>
  <c r="CC10" i="7"/>
  <c r="CG9" i="7"/>
  <c r="D9" i="7" s="1"/>
  <c r="C9" i="8"/>
  <c r="AT10" i="6"/>
  <c r="CC10" i="3" l="1"/>
  <c r="CG9" i="3"/>
  <c r="D9" i="3" s="1"/>
  <c r="C9" i="3"/>
  <c r="BX10" i="3"/>
  <c r="BZ10" i="3" s="1"/>
  <c r="AT10" i="3"/>
  <c r="CA13" i="10"/>
  <c r="CF13" i="10"/>
  <c r="CD13" i="10"/>
  <c r="CE13" i="10" s="1"/>
  <c r="AX11" i="6"/>
  <c r="AV11" i="6"/>
  <c r="AW11" i="6" s="1"/>
  <c r="C10" i="6"/>
  <c r="AX14" i="10"/>
  <c r="AV14" i="10"/>
  <c r="AW14" i="10" s="1"/>
  <c r="AX11" i="7"/>
  <c r="AS11" i="7" s="1"/>
  <c r="BX11" i="7" s="1"/>
  <c r="BZ11" i="7" s="1"/>
  <c r="AV11" i="7"/>
  <c r="AW11" i="7" s="1"/>
  <c r="AT11" i="7"/>
  <c r="C10" i="7"/>
  <c r="AS11" i="11"/>
  <c r="CC11" i="11"/>
  <c r="CG10" i="11"/>
  <c r="D10" i="11" s="1"/>
  <c r="CC11" i="6"/>
  <c r="CG10" i="6"/>
  <c r="D10" i="6" s="1"/>
  <c r="CC11" i="7"/>
  <c r="CG10" i="7"/>
  <c r="D10" i="7" s="1"/>
  <c r="AX13" i="9"/>
  <c r="AV13" i="9"/>
  <c r="AW13" i="9" s="1"/>
  <c r="CA12" i="9"/>
  <c r="CD12" i="9"/>
  <c r="CE12" i="9" s="1"/>
  <c r="BX10" i="8"/>
  <c r="BZ10" i="8" s="1"/>
  <c r="AT10" i="8"/>
  <c r="BX11" i="11" l="1"/>
  <c r="BZ11" i="11" s="1"/>
  <c r="AT11" i="11"/>
  <c r="CC14" i="10"/>
  <c r="CG13" i="10"/>
  <c r="D13" i="10" s="1"/>
  <c r="AW12" i="7"/>
  <c r="AX11" i="3"/>
  <c r="AV11" i="3"/>
  <c r="AW11" i="3" s="1"/>
  <c r="AS14" i="10"/>
  <c r="CF10" i="8"/>
  <c r="CA10" i="8"/>
  <c r="CD10" i="8"/>
  <c r="CE10" i="8" s="1"/>
  <c r="AX12" i="7"/>
  <c r="AV12" i="7"/>
  <c r="CD11" i="7"/>
  <c r="CE11" i="7" s="1"/>
  <c r="CF11" i="7"/>
  <c r="CA11" i="7"/>
  <c r="CD10" i="3"/>
  <c r="CE10" i="3" s="1"/>
  <c r="CA10" i="3"/>
  <c r="CF10" i="3"/>
  <c r="AX11" i="8"/>
  <c r="AV11" i="8"/>
  <c r="AW11" i="8" s="1"/>
  <c r="AS11" i="6"/>
  <c r="CF12" i="9"/>
  <c r="AS13" i="9"/>
  <c r="C13" i="10"/>
  <c r="C10" i="3" l="1"/>
  <c r="CC11" i="8"/>
  <c r="CG10" i="8"/>
  <c r="D10" i="8" s="1"/>
  <c r="BX14" i="10"/>
  <c r="BZ14" i="10" s="1"/>
  <c r="AT14" i="10"/>
  <c r="BX13" i="9"/>
  <c r="BZ13" i="9" s="1"/>
  <c r="AT13" i="9"/>
  <c r="AS11" i="8"/>
  <c r="CC11" i="3"/>
  <c r="CG10" i="3"/>
  <c r="D10" i="3" s="1"/>
  <c r="AS11" i="3"/>
  <c r="AX12" i="11"/>
  <c r="AS12" i="11" s="1"/>
  <c r="BX12" i="11" s="1"/>
  <c r="BZ12" i="11" s="1"/>
  <c r="AV12" i="11"/>
  <c r="AW12" i="11" s="1"/>
  <c r="C11" i="11"/>
  <c r="CC12" i="7"/>
  <c r="CG11" i="7"/>
  <c r="D11" i="7" s="1"/>
  <c r="BX11" i="6"/>
  <c r="BZ11" i="6" s="1"/>
  <c r="AT11" i="6"/>
  <c r="CA11" i="11"/>
  <c r="CD11" i="11"/>
  <c r="CE11" i="11" s="1"/>
  <c r="CF11" i="11"/>
  <c r="CC13" i="9"/>
  <c r="CG12" i="9"/>
  <c r="D12" i="9" s="1"/>
  <c r="C12" i="9"/>
  <c r="C11" i="7"/>
  <c r="AS12" i="7"/>
  <c r="C10" i="8"/>
  <c r="CA12" i="11" l="1"/>
  <c r="CD12" i="11"/>
  <c r="CC12" i="11"/>
  <c r="CF12" i="11" s="1"/>
  <c r="CG11" i="11"/>
  <c r="D11" i="11" s="1"/>
  <c r="AT12" i="11"/>
  <c r="CD13" i="9"/>
  <c r="CE13" i="9" s="1"/>
  <c r="CF13" i="9"/>
  <c r="CA13" i="9"/>
  <c r="BX11" i="8"/>
  <c r="BZ11" i="8" s="1"/>
  <c r="AT11" i="8"/>
  <c r="AX14" i="9"/>
  <c r="AV14" i="9"/>
  <c r="AW14" i="9" s="1"/>
  <c r="C13" i="9"/>
  <c r="AX12" i="6"/>
  <c r="AV12" i="6"/>
  <c r="AW12" i="6" s="1"/>
  <c r="CA14" i="10"/>
  <c r="CF14" i="10"/>
  <c r="CD14" i="10"/>
  <c r="CE14" i="10" s="1"/>
  <c r="BX11" i="3"/>
  <c r="BZ11" i="3" s="1"/>
  <c r="AT11" i="3"/>
  <c r="AX15" i="10"/>
  <c r="AS15" i="10" s="1"/>
  <c r="BX15" i="10" s="1"/>
  <c r="BZ15" i="10" s="1"/>
  <c r="C14" i="10"/>
  <c r="AV15" i="10"/>
  <c r="AW15" i="10" s="1"/>
  <c r="CE12" i="11"/>
  <c r="CA11" i="6"/>
  <c r="CD11" i="6"/>
  <c r="CE11" i="6" s="1"/>
  <c r="CF11" i="6"/>
  <c r="BX12" i="7"/>
  <c r="BZ12" i="7" s="1"/>
  <c r="AT12" i="7"/>
  <c r="CC13" i="11" l="1"/>
  <c r="CG12" i="11"/>
  <c r="AS14" i="9"/>
  <c r="CD11" i="8"/>
  <c r="CE11" i="8" s="1"/>
  <c r="CF11" i="8"/>
  <c r="CA11" i="8"/>
  <c r="C11" i="8" s="1"/>
  <c r="CA15" i="10"/>
  <c r="CF15" i="10"/>
  <c r="CD15" i="10"/>
  <c r="CE15" i="10" s="1"/>
  <c r="AX12" i="3"/>
  <c r="AV12" i="3"/>
  <c r="AW12" i="3" s="1"/>
  <c r="CA12" i="7"/>
  <c r="CD12" i="7"/>
  <c r="CE12" i="7" s="1"/>
  <c r="CD11" i="3"/>
  <c r="CE11" i="3" s="1"/>
  <c r="CA11" i="3"/>
  <c r="CC12" i="6"/>
  <c r="CG11" i="6"/>
  <c r="D11" i="6" s="1"/>
  <c r="AT15" i="10"/>
  <c r="CC15" i="10"/>
  <c r="CG14" i="10"/>
  <c r="D14" i="10" s="1"/>
  <c r="AX13" i="11"/>
  <c r="AS13" i="11" s="1"/>
  <c r="BX13" i="11" s="1"/>
  <c r="BZ13" i="11" s="1"/>
  <c r="AV13" i="11"/>
  <c r="AW13" i="11" s="1"/>
  <c r="AT13" i="11"/>
  <c r="D12" i="11"/>
  <c r="C12" i="11"/>
  <c r="AV13" i="7"/>
  <c r="AW13" i="7" s="1"/>
  <c r="AX13" i="7"/>
  <c r="AS13" i="7" s="1"/>
  <c r="BX13" i="7" s="1"/>
  <c r="BZ13" i="7" s="1"/>
  <c r="AT13" i="7"/>
  <c r="AX12" i="8"/>
  <c r="AS12" i="8" s="1"/>
  <c r="BX12" i="8" s="1"/>
  <c r="BZ12" i="8" s="1"/>
  <c r="AV12" i="8"/>
  <c r="AW12" i="8" s="1"/>
  <c r="CG13" i="9"/>
  <c r="D13" i="9" s="1"/>
  <c r="CC14" i="9"/>
  <c r="C11" i="6"/>
  <c r="AS12" i="6"/>
  <c r="AS12" i="3" l="1"/>
  <c r="BX12" i="3" s="1"/>
  <c r="BZ12" i="3" s="1"/>
  <c r="CF11" i="3"/>
  <c r="C11" i="3" s="1"/>
  <c r="AX14" i="11"/>
  <c r="AS14" i="11" s="1"/>
  <c r="BX14" i="11" s="1"/>
  <c r="BZ14" i="11" s="1"/>
  <c r="AV14" i="11"/>
  <c r="AT14" i="11"/>
  <c r="AW14" i="11"/>
  <c r="CD12" i="8"/>
  <c r="CE12" i="8" s="1"/>
  <c r="CA12" i="8"/>
  <c r="AT12" i="3"/>
  <c r="CC16" i="10"/>
  <c r="CG15" i="10"/>
  <c r="D15" i="10" s="1"/>
  <c r="C15" i="10"/>
  <c r="AX16" i="10"/>
  <c r="AV16" i="10"/>
  <c r="AW16" i="10" s="1"/>
  <c r="CD12" i="3"/>
  <c r="CE12" i="3" s="1"/>
  <c r="CA12" i="3"/>
  <c r="AT12" i="8"/>
  <c r="CD13" i="7"/>
  <c r="CA13" i="7"/>
  <c r="BX14" i="9"/>
  <c r="BZ14" i="9" s="1"/>
  <c r="AT14" i="9"/>
  <c r="CA13" i="11"/>
  <c r="CD13" i="11"/>
  <c r="CE13" i="11" s="1"/>
  <c r="CF13" i="11"/>
  <c r="C13" i="11" s="1"/>
  <c r="AV14" i="7"/>
  <c r="AX14" i="7"/>
  <c r="AS14" i="7" s="1"/>
  <c r="BX14" i="7" s="1"/>
  <c r="BZ14" i="7" s="1"/>
  <c r="CC12" i="3"/>
  <c r="CG11" i="3"/>
  <c r="D11" i="3" s="1"/>
  <c r="BX12" i="6"/>
  <c r="BZ12" i="6" s="1"/>
  <c r="AT12" i="6"/>
  <c r="CC12" i="8"/>
  <c r="CF12" i="8" s="1"/>
  <c r="CG11" i="8"/>
  <c r="D11" i="8" s="1"/>
  <c r="AW14" i="7"/>
  <c r="CE13" i="7"/>
  <c r="CF12" i="7"/>
  <c r="CF12" i="3" l="1"/>
  <c r="CC13" i="3" s="1"/>
  <c r="CG12" i="8"/>
  <c r="CC13" i="8"/>
  <c r="CC13" i="7"/>
  <c r="CG12" i="7"/>
  <c r="D12" i="7" s="1"/>
  <c r="C12" i="7"/>
  <c r="CF13" i="7"/>
  <c r="AX13" i="3"/>
  <c r="AS13" i="3" s="1"/>
  <c r="BX13" i="3" s="1"/>
  <c r="BZ13" i="3" s="1"/>
  <c r="AV13" i="3"/>
  <c r="AW13" i="3" s="1"/>
  <c r="C12" i="3"/>
  <c r="AX15" i="9"/>
  <c r="AV15" i="9"/>
  <c r="AW15" i="9" s="1"/>
  <c r="AX13" i="6"/>
  <c r="AV13" i="6"/>
  <c r="AW13" i="6" s="1"/>
  <c r="CF12" i="6"/>
  <c r="C12" i="6" s="1"/>
  <c r="CA12" i="6"/>
  <c r="CD12" i="6"/>
  <c r="CE12" i="6" s="1"/>
  <c r="AX15" i="11"/>
  <c r="AS15" i="11" s="1"/>
  <c r="BX15" i="11" s="1"/>
  <c r="BZ15" i="11" s="1"/>
  <c r="AV15" i="11"/>
  <c r="AW15" i="11" s="1"/>
  <c r="C14" i="11"/>
  <c r="CC14" i="11"/>
  <c r="CG13" i="11"/>
  <c r="D13" i="11" s="1"/>
  <c r="CA14" i="7"/>
  <c r="CD14" i="7"/>
  <c r="AT14" i="7"/>
  <c r="CD14" i="11"/>
  <c r="CE14" i="11" s="1"/>
  <c r="CF14" i="11"/>
  <c r="CA14" i="11"/>
  <c r="CE14" i="7"/>
  <c r="CD14" i="9"/>
  <c r="CE14" i="9" s="1"/>
  <c r="CF14" i="9"/>
  <c r="C14" i="9" s="1"/>
  <c r="CA14" i="9"/>
  <c r="AX13" i="8"/>
  <c r="AV13" i="8"/>
  <c r="AW13" i="8" s="1"/>
  <c r="D12" i="8"/>
  <c r="C12" i="8"/>
  <c r="AS16" i="10"/>
  <c r="CG12" i="3" l="1"/>
  <c r="D12" i="3" s="1"/>
  <c r="CC15" i="11"/>
  <c r="CG14" i="11"/>
  <c r="D14" i="11" s="1"/>
  <c r="AT13" i="3"/>
  <c r="CG13" i="7"/>
  <c r="D13" i="7" s="1"/>
  <c r="CC14" i="7"/>
  <c r="CF14" i="7" s="1"/>
  <c r="C13" i="7"/>
  <c r="CD13" i="3"/>
  <c r="CE13" i="3" s="1"/>
  <c r="CA13" i="3"/>
  <c r="AX15" i="7"/>
  <c r="AS15" i="7" s="1"/>
  <c r="BX15" i="7" s="1"/>
  <c r="BZ15" i="7" s="1"/>
  <c r="AV15" i="7"/>
  <c r="AW15" i="7" s="1"/>
  <c r="AS13" i="6"/>
  <c r="CD15" i="11"/>
  <c r="CE15" i="11" s="1"/>
  <c r="CF15" i="11"/>
  <c r="CA15" i="11"/>
  <c r="CC13" i="6"/>
  <c r="CG12" i="6"/>
  <c r="D12" i="6" s="1"/>
  <c r="BX16" i="10"/>
  <c r="BZ16" i="10" s="1"/>
  <c r="AT16" i="10"/>
  <c r="CC15" i="9"/>
  <c r="CG14" i="9"/>
  <c r="D14" i="9" s="1"/>
  <c r="AS13" i="8"/>
  <c r="AT15" i="11"/>
  <c r="AS15" i="9"/>
  <c r="CF13" i="3" l="1"/>
  <c r="CC15" i="7"/>
  <c r="CG14" i="7"/>
  <c r="D14" i="7" s="1"/>
  <c r="C14" i="7"/>
  <c r="AX17" i="10"/>
  <c r="AV17" i="10"/>
  <c r="AW17" i="10" s="1"/>
  <c r="CC14" i="3"/>
  <c r="CG13" i="3"/>
  <c r="D13" i="3" s="1"/>
  <c r="BX13" i="6"/>
  <c r="BZ13" i="6" s="1"/>
  <c r="AT13" i="6"/>
  <c r="CA15" i="7"/>
  <c r="CD15" i="7"/>
  <c r="CE15" i="7" s="1"/>
  <c r="AX14" i="3"/>
  <c r="AV14" i="3"/>
  <c r="AW14" i="3" s="1"/>
  <c r="C13" i="3"/>
  <c r="CA16" i="10"/>
  <c r="CF16" i="10"/>
  <c r="CD16" i="10"/>
  <c r="CE16" i="10" s="1"/>
  <c r="BX13" i="8"/>
  <c r="BZ13" i="8" s="1"/>
  <c r="AT13" i="8"/>
  <c r="CC16" i="11"/>
  <c r="CG15" i="11"/>
  <c r="D15" i="11" s="1"/>
  <c r="BX15" i="9"/>
  <c r="BZ15" i="9" s="1"/>
  <c r="AT15" i="9"/>
  <c r="AX16" i="11"/>
  <c r="AV16" i="11"/>
  <c r="AW16" i="11" s="1"/>
  <c r="C15" i="11"/>
  <c r="AT15" i="7"/>
  <c r="AX16" i="9" l="1"/>
  <c r="AV16" i="9"/>
  <c r="AW16" i="9" s="1"/>
  <c r="CF15" i="7"/>
  <c r="CD13" i="8"/>
  <c r="CE13" i="8" s="1"/>
  <c r="CA13" i="8"/>
  <c r="CF13" i="8"/>
  <c r="AX16" i="7"/>
  <c r="AS16" i="7" s="1"/>
  <c r="BX16" i="7" s="1"/>
  <c r="BZ16" i="7" s="1"/>
  <c r="AV16" i="7"/>
  <c r="AW16" i="7" s="1"/>
  <c r="C15" i="7"/>
  <c r="CD13" i="6"/>
  <c r="CE13" i="6" s="1"/>
  <c r="CF13" i="6"/>
  <c r="CA13" i="6"/>
  <c r="AX14" i="8"/>
  <c r="AV14" i="8"/>
  <c r="AW14" i="8" s="1"/>
  <c r="AS17" i="10"/>
  <c r="AS14" i="3"/>
  <c r="CD15" i="9"/>
  <c r="CE15" i="9" s="1"/>
  <c r="CA15" i="9"/>
  <c r="CF15" i="9"/>
  <c r="AX14" i="6"/>
  <c r="AS14" i="6" s="1"/>
  <c r="BX14" i="6" s="1"/>
  <c r="BZ14" i="6" s="1"/>
  <c r="AV14" i="6"/>
  <c r="AW14" i="6" s="1"/>
  <c r="C13" i="6"/>
  <c r="CC17" i="10"/>
  <c r="CG16" i="10"/>
  <c r="D16" i="10" s="1"/>
  <c r="C16" i="10"/>
  <c r="AS16" i="11"/>
  <c r="CD14" i="6" l="1"/>
  <c r="CA14" i="6"/>
  <c r="CC16" i="9"/>
  <c r="CG15" i="9"/>
  <c r="D15" i="9" s="1"/>
  <c r="BX14" i="3"/>
  <c r="BZ14" i="3" s="1"/>
  <c r="AT14" i="3"/>
  <c r="CA16" i="7"/>
  <c r="CD16" i="7"/>
  <c r="CE16" i="7" s="1"/>
  <c r="BX16" i="11"/>
  <c r="BZ16" i="11" s="1"/>
  <c r="AT16" i="11"/>
  <c r="CC16" i="7"/>
  <c r="CG15" i="7"/>
  <c r="D15" i="7" s="1"/>
  <c r="BX17" i="10"/>
  <c r="BZ17" i="10" s="1"/>
  <c r="AT17" i="10"/>
  <c r="CC14" i="8"/>
  <c r="CG13" i="8"/>
  <c r="D13" i="8" s="1"/>
  <c r="C13" i="8"/>
  <c r="AS16" i="9"/>
  <c r="C15" i="9"/>
  <c r="AT16" i="7"/>
  <c r="AT14" i="6"/>
  <c r="CC14" i="6"/>
  <c r="CF14" i="6" s="1"/>
  <c r="CG13" i="6"/>
  <c r="D13" i="6" s="1"/>
  <c r="AS14" i="8"/>
  <c r="CE14" i="6"/>
  <c r="CG14" i="6" l="1"/>
  <c r="CC15" i="6"/>
  <c r="BX14" i="8"/>
  <c r="BZ14" i="8" s="1"/>
  <c r="AT14" i="8"/>
  <c r="CD16" i="11"/>
  <c r="CE16" i="11" s="1"/>
  <c r="CF16" i="11"/>
  <c r="CA16" i="11"/>
  <c r="CF16" i="7"/>
  <c r="AX17" i="11"/>
  <c r="AV17" i="11"/>
  <c r="AW17" i="11" s="1"/>
  <c r="C16" i="11"/>
  <c r="AV17" i="7"/>
  <c r="AW17" i="7" s="1"/>
  <c r="AX17" i="7"/>
  <c r="AS17" i="7" s="1"/>
  <c r="BX17" i="7" s="1"/>
  <c r="BZ17" i="7" s="1"/>
  <c r="CD14" i="3"/>
  <c r="CE14" i="3" s="1"/>
  <c r="CA14" i="3"/>
  <c r="AX15" i="6"/>
  <c r="AV15" i="6"/>
  <c r="AW15" i="6" s="1"/>
  <c r="D14" i="6"/>
  <c r="C14" i="6"/>
  <c r="AX15" i="3"/>
  <c r="AV15" i="3"/>
  <c r="AW15" i="3" s="1"/>
  <c r="AX18" i="10"/>
  <c r="AV18" i="10"/>
  <c r="AW18" i="10" s="1"/>
  <c r="BX16" i="9"/>
  <c r="BZ16" i="9" s="1"/>
  <c r="AT16" i="9"/>
  <c r="CA17" i="10"/>
  <c r="CF17" i="10"/>
  <c r="CD17" i="10"/>
  <c r="CE17" i="10" s="1"/>
  <c r="CF14" i="3" l="1"/>
  <c r="C14" i="3" s="1"/>
  <c r="CD17" i="7"/>
  <c r="CE17" i="7" s="1"/>
  <c r="CA17" i="7"/>
  <c r="AX17" i="9"/>
  <c r="AS17" i="9" s="1"/>
  <c r="BX17" i="9" s="1"/>
  <c r="BZ17" i="9" s="1"/>
  <c r="AV17" i="9"/>
  <c r="AW17" i="9" s="1"/>
  <c r="AT17" i="9"/>
  <c r="AT17" i="7"/>
  <c r="AS17" i="11"/>
  <c r="AS15" i="6"/>
  <c r="AX15" i="8"/>
  <c r="AV15" i="8"/>
  <c r="AW15" i="8" s="1"/>
  <c r="CC18" i="10"/>
  <c r="CG17" i="10"/>
  <c r="D17" i="10" s="1"/>
  <c r="CA16" i="9"/>
  <c r="CD16" i="9"/>
  <c r="CE16" i="9" s="1"/>
  <c r="C17" i="10"/>
  <c r="CA14" i="8"/>
  <c r="CD14" i="8"/>
  <c r="CE14" i="8" s="1"/>
  <c r="CF14" i="8"/>
  <c r="CC17" i="7"/>
  <c r="CG16" i="7"/>
  <c r="D16" i="7" s="1"/>
  <c r="CC17" i="11"/>
  <c r="CG16" i="11"/>
  <c r="D16" i="11" s="1"/>
  <c r="C16" i="7"/>
  <c r="AS15" i="3"/>
  <c r="CC15" i="3"/>
  <c r="CG14" i="3"/>
  <c r="D14" i="3" s="1"/>
  <c r="AS18" i="10"/>
  <c r="BX17" i="11" l="1"/>
  <c r="BZ17" i="11" s="1"/>
  <c r="AT17" i="11"/>
  <c r="CC15" i="8"/>
  <c r="CG14" i="8"/>
  <c r="D14" i="8" s="1"/>
  <c r="BX15" i="6"/>
  <c r="BZ15" i="6" s="1"/>
  <c r="AT15" i="6"/>
  <c r="AX18" i="9"/>
  <c r="AS18" i="9" s="1"/>
  <c r="BX18" i="9" s="1"/>
  <c r="BZ18" i="9" s="1"/>
  <c r="AV18" i="9"/>
  <c r="AW18" i="9" s="1"/>
  <c r="AV18" i="7"/>
  <c r="AW18" i="7" s="1"/>
  <c r="AX18" i="7"/>
  <c r="AS18" i="7" s="1"/>
  <c r="BX18" i="7" s="1"/>
  <c r="BZ18" i="7" s="1"/>
  <c r="CF16" i="9"/>
  <c r="CD17" i="9"/>
  <c r="CE17" i="9" s="1"/>
  <c r="CA17" i="9"/>
  <c r="BX15" i="3"/>
  <c r="BZ15" i="3" s="1"/>
  <c r="AT15" i="3"/>
  <c r="BX18" i="10"/>
  <c r="BZ18" i="10" s="1"/>
  <c r="AT18" i="10"/>
  <c r="C14" i="8"/>
  <c r="AS15" i="8"/>
  <c r="CF17" i="7"/>
  <c r="AX19" i="10" l="1"/>
  <c r="AV19" i="10"/>
  <c r="AW19" i="10" s="1"/>
  <c r="CG17" i="7"/>
  <c r="D17" i="7" s="1"/>
  <c r="CC18" i="7"/>
  <c r="AT18" i="7"/>
  <c r="CD18" i="9"/>
  <c r="CE18" i="9" s="1"/>
  <c r="CA18" i="9"/>
  <c r="BX15" i="8"/>
  <c r="BZ15" i="8" s="1"/>
  <c r="AT15" i="8"/>
  <c r="CA18" i="7"/>
  <c r="CD18" i="7"/>
  <c r="CE18" i="7" s="1"/>
  <c r="AX16" i="3"/>
  <c r="AV16" i="3"/>
  <c r="AW16" i="3" s="1"/>
  <c r="AX16" i="6"/>
  <c r="AS16" i="6" s="1"/>
  <c r="BX16" i="6" s="1"/>
  <c r="BZ16" i="6" s="1"/>
  <c r="AV16" i="6"/>
  <c r="AW16" i="6" s="1"/>
  <c r="AT16" i="6"/>
  <c r="CD15" i="6"/>
  <c r="CE15" i="6" s="1"/>
  <c r="CA15" i="6"/>
  <c r="AX18" i="11"/>
  <c r="AV18" i="11"/>
  <c r="AW18" i="11" s="1"/>
  <c r="C17" i="11"/>
  <c r="CA18" i="10"/>
  <c r="CD18" i="10"/>
  <c r="CE18" i="10" s="1"/>
  <c r="AT18" i="9"/>
  <c r="CD15" i="3"/>
  <c r="CE15" i="3" s="1"/>
  <c r="CA15" i="3"/>
  <c r="CG16" i="9"/>
  <c r="D16" i="9" s="1"/>
  <c r="CC17" i="9"/>
  <c r="CF17" i="9" s="1"/>
  <c r="C16" i="9"/>
  <c r="C17" i="7"/>
  <c r="CD17" i="11"/>
  <c r="CE17" i="11" s="1"/>
  <c r="CF17" i="11"/>
  <c r="CA17" i="11"/>
  <c r="CD15" i="8" l="1"/>
  <c r="CE15" i="8" s="1"/>
  <c r="CA15" i="8"/>
  <c r="CF15" i="8"/>
  <c r="AX16" i="8"/>
  <c r="AV16" i="8"/>
  <c r="AW16" i="8" s="1"/>
  <c r="C15" i="8"/>
  <c r="CF15" i="6"/>
  <c r="AX19" i="9"/>
  <c r="AV19" i="9"/>
  <c r="AW19" i="9" s="1"/>
  <c r="C18" i="9"/>
  <c r="CC18" i="9"/>
  <c r="CG17" i="9"/>
  <c r="D17" i="9" s="1"/>
  <c r="C17" i="9"/>
  <c r="CD16" i="6"/>
  <c r="CE16" i="6" s="1"/>
  <c r="CA16" i="6"/>
  <c r="AX19" i="7"/>
  <c r="C18" i="7"/>
  <c r="AV19" i="7"/>
  <c r="AW19" i="7" s="1"/>
  <c r="CF18" i="10"/>
  <c r="AS19" i="10"/>
  <c r="AS16" i="3"/>
  <c r="CF18" i="9"/>
  <c r="AX17" i="6"/>
  <c r="AS17" i="6" s="1"/>
  <c r="BX17" i="6" s="1"/>
  <c r="BZ17" i="6" s="1"/>
  <c r="AV17" i="6"/>
  <c r="AW17" i="6" s="1"/>
  <c r="AT17" i="6"/>
  <c r="CF15" i="3"/>
  <c r="CC18" i="11"/>
  <c r="CG17" i="11"/>
  <c r="D17" i="11" s="1"/>
  <c r="AS18" i="11"/>
  <c r="CF18" i="7"/>
  <c r="BX18" i="11" l="1"/>
  <c r="BZ18" i="11" s="1"/>
  <c r="AT18" i="11"/>
  <c r="CC19" i="10"/>
  <c r="CG18" i="10"/>
  <c r="D18" i="10" s="1"/>
  <c r="C18" i="10"/>
  <c r="CC16" i="3"/>
  <c r="CG15" i="3"/>
  <c r="D15" i="3" s="1"/>
  <c r="C15" i="3"/>
  <c r="AS16" i="8"/>
  <c r="CG15" i="8"/>
  <c r="D15" i="8" s="1"/>
  <c r="CC16" i="8"/>
  <c r="CC16" i="6"/>
  <c r="CF16" i="6" s="1"/>
  <c r="CG15" i="6"/>
  <c r="D15" i="6" s="1"/>
  <c r="C15" i="6"/>
  <c r="AX18" i="6"/>
  <c r="AV18" i="6"/>
  <c r="AW18" i="6" s="1"/>
  <c r="BX19" i="10"/>
  <c r="BZ19" i="10" s="1"/>
  <c r="AT19" i="10"/>
  <c r="AS19" i="9"/>
  <c r="CD17" i="6"/>
  <c r="CE17" i="6" s="1"/>
  <c r="CA17" i="6"/>
  <c r="CC19" i="9"/>
  <c r="CG18" i="9"/>
  <c r="D18" i="9" s="1"/>
  <c r="BX16" i="3"/>
  <c r="BZ16" i="3" s="1"/>
  <c r="AT16" i="3"/>
  <c r="AS19" i="7"/>
  <c r="CC19" i="7"/>
  <c r="CG18" i="7"/>
  <c r="D18" i="7" s="1"/>
  <c r="CC17" i="6" l="1"/>
  <c r="CG16" i="6"/>
  <c r="D16" i="6" s="1"/>
  <c r="C16" i="6"/>
  <c r="CF17" i="6"/>
  <c r="BX16" i="8"/>
  <c r="BZ16" i="8" s="1"/>
  <c r="AT16" i="8"/>
  <c r="CD19" i="10"/>
  <c r="CE19" i="10" s="1"/>
  <c r="CA19" i="10"/>
  <c r="CF19" i="10"/>
  <c r="BX19" i="9"/>
  <c r="BZ19" i="9" s="1"/>
  <c r="AT19" i="9"/>
  <c r="AX19" i="11"/>
  <c r="AS19" i="11" s="1"/>
  <c r="BX19" i="11" s="1"/>
  <c r="BZ19" i="11" s="1"/>
  <c r="AV19" i="11"/>
  <c r="AW19" i="11" s="1"/>
  <c r="AX20" i="10"/>
  <c r="AS20" i="10" s="1"/>
  <c r="BX20" i="10" s="1"/>
  <c r="BZ20" i="10" s="1"/>
  <c r="AV20" i="10"/>
  <c r="AW20" i="10" s="1"/>
  <c r="BX19" i="7"/>
  <c r="BZ19" i="7" s="1"/>
  <c r="AT19" i="7"/>
  <c r="CA18" i="11"/>
  <c r="CF18" i="11"/>
  <c r="CD18" i="11"/>
  <c r="CE18" i="11" s="1"/>
  <c r="AX17" i="3"/>
  <c r="AV17" i="3"/>
  <c r="AW17" i="3" s="1"/>
  <c r="CD16" i="3"/>
  <c r="CE16" i="3" s="1"/>
  <c r="CA16" i="3"/>
  <c r="AS18" i="6"/>
  <c r="CF16" i="3" l="1"/>
  <c r="C16" i="3" s="1"/>
  <c r="AS17" i="3"/>
  <c r="BX17" i="3" s="1"/>
  <c r="BZ17" i="3" s="1"/>
  <c r="CD17" i="3" s="1"/>
  <c r="CE17" i="3" s="1"/>
  <c r="AT17" i="3"/>
  <c r="CD19" i="11"/>
  <c r="CF19" i="11" s="1"/>
  <c r="CA19" i="11"/>
  <c r="CC19" i="11"/>
  <c r="CG18" i="11"/>
  <c r="D18" i="11" s="1"/>
  <c r="CD20" i="10"/>
  <c r="CA20" i="10"/>
  <c r="CC18" i="6"/>
  <c r="CG17" i="6"/>
  <c r="D17" i="6" s="1"/>
  <c r="C17" i="6"/>
  <c r="CA19" i="9"/>
  <c r="CD19" i="9"/>
  <c r="CE19" i="9" s="1"/>
  <c r="AX17" i="8"/>
  <c r="AV17" i="8"/>
  <c r="AW17" i="8" s="1"/>
  <c r="AX20" i="9"/>
  <c r="AS20" i="9" s="1"/>
  <c r="BX20" i="9" s="1"/>
  <c r="BZ20" i="9" s="1"/>
  <c r="AV20" i="9"/>
  <c r="AW20" i="9" s="1"/>
  <c r="CG19" i="10"/>
  <c r="D19" i="10" s="1"/>
  <c r="CC20" i="10"/>
  <c r="CF20" i="10" s="1"/>
  <c r="AX20" i="7"/>
  <c r="AV20" i="7"/>
  <c r="AW20" i="7" s="1"/>
  <c r="CD19" i="7"/>
  <c r="CE19" i="7" s="1"/>
  <c r="CF19" i="7"/>
  <c r="CA19" i="7"/>
  <c r="CC17" i="3"/>
  <c r="CG16" i="3"/>
  <c r="D16" i="3" s="1"/>
  <c r="AT19" i="11"/>
  <c r="CE19" i="11"/>
  <c r="CE20" i="10"/>
  <c r="CD16" i="8"/>
  <c r="CE16" i="8" s="1"/>
  <c r="CA16" i="8"/>
  <c r="BX18" i="6"/>
  <c r="BZ18" i="6" s="1"/>
  <c r="AT18" i="6"/>
  <c r="C19" i="10"/>
  <c r="AT20" i="10"/>
  <c r="C18" i="11"/>
  <c r="CA17" i="3" l="1"/>
  <c r="CF17" i="3"/>
  <c r="CC21" i="10"/>
  <c r="CG20" i="10"/>
  <c r="CC18" i="3"/>
  <c r="CG17" i="3"/>
  <c r="D17" i="3" s="1"/>
  <c r="CC20" i="11"/>
  <c r="CG19" i="11"/>
  <c r="CA20" i="9"/>
  <c r="CD20" i="9"/>
  <c r="CE20" i="9" s="1"/>
  <c r="D19" i="11"/>
  <c r="C19" i="11"/>
  <c r="AX20" i="11"/>
  <c r="AS20" i="11" s="1"/>
  <c r="BX20" i="11" s="1"/>
  <c r="BZ20" i="11" s="1"/>
  <c r="AV20" i="11"/>
  <c r="AW20" i="11" s="1"/>
  <c r="CC20" i="7"/>
  <c r="CG19" i="7"/>
  <c r="D19" i="7" s="1"/>
  <c r="CF16" i="8"/>
  <c r="AT20" i="9"/>
  <c r="D20" i="10"/>
  <c r="AX21" i="10"/>
  <c r="C20" i="10"/>
  <c r="AV21" i="10"/>
  <c r="AW21" i="10" s="1"/>
  <c r="C19" i="7"/>
  <c r="AS17" i="8"/>
  <c r="CF19" i="9"/>
  <c r="CD18" i="6"/>
  <c r="CE18" i="6" s="1"/>
  <c r="CF18" i="6"/>
  <c r="CA18" i="6"/>
  <c r="AX19" i="6"/>
  <c r="AV19" i="6"/>
  <c r="AW19" i="6" s="1"/>
  <c r="C18" i="6"/>
  <c r="AS20" i="7"/>
  <c r="AX18" i="3"/>
  <c r="AS18" i="3" s="1"/>
  <c r="AV18" i="3"/>
  <c r="AW18" i="3" s="1"/>
  <c r="C17" i="3"/>
  <c r="BX18" i="3" l="1"/>
  <c r="BZ18" i="3" s="1"/>
  <c r="AT18" i="3"/>
  <c r="BX17" i="8"/>
  <c r="BZ17" i="8" s="1"/>
  <c r="AT17" i="8"/>
  <c r="CD18" i="3"/>
  <c r="CE18" i="3" s="1"/>
  <c r="CA18" i="3"/>
  <c r="CG19" i="9"/>
  <c r="D19" i="9" s="1"/>
  <c r="CC20" i="9"/>
  <c r="CF20" i="9" s="1"/>
  <c r="C19" i="9"/>
  <c r="AX19" i="3"/>
  <c r="AS19" i="3" s="1"/>
  <c r="AV19" i="3"/>
  <c r="AW19" i="3" s="1"/>
  <c r="AS19" i="6"/>
  <c r="BX20" i="7"/>
  <c r="BZ20" i="7" s="1"/>
  <c r="AT20" i="7"/>
  <c r="AS21" i="10"/>
  <c r="CC17" i="8"/>
  <c r="CG16" i="8"/>
  <c r="D16" i="8" s="1"/>
  <c r="C16" i="8"/>
  <c r="AX21" i="9"/>
  <c r="AV21" i="9"/>
  <c r="AW21" i="9" s="1"/>
  <c r="CA20" i="11"/>
  <c r="CD20" i="11"/>
  <c r="CE20" i="11" s="1"/>
  <c r="CF20" i="11"/>
  <c r="AT20" i="11"/>
  <c r="CC19" i="6"/>
  <c r="CG18" i="6"/>
  <c r="D18" i="6" s="1"/>
  <c r="BX19" i="3" l="1"/>
  <c r="BZ19" i="3" s="1"/>
  <c r="CF18" i="3"/>
  <c r="C18" i="3" s="1"/>
  <c r="CC21" i="9"/>
  <c r="CG20" i="9"/>
  <c r="D20" i="9" s="1"/>
  <c r="C20" i="9"/>
  <c r="CA19" i="3"/>
  <c r="CD19" i="3"/>
  <c r="AT19" i="3"/>
  <c r="CD20" i="7"/>
  <c r="CE20" i="7" s="1"/>
  <c r="CF20" i="7"/>
  <c r="CA20" i="7"/>
  <c r="AX18" i="8"/>
  <c r="AS18" i="8" s="1"/>
  <c r="BX18" i="8" s="1"/>
  <c r="BZ18" i="8" s="1"/>
  <c r="AV18" i="8"/>
  <c r="AW18" i="8" s="1"/>
  <c r="BX21" i="10"/>
  <c r="BZ21" i="10" s="1"/>
  <c r="AT21" i="10"/>
  <c r="CG20" i="11"/>
  <c r="D20" i="11" s="1"/>
  <c r="CC21" i="11"/>
  <c r="CD17" i="8"/>
  <c r="CE17" i="8" s="1"/>
  <c r="CF17" i="8"/>
  <c r="C17" i="8" s="1"/>
  <c r="CA17" i="8"/>
  <c r="AS21" i="9"/>
  <c r="AV21" i="7"/>
  <c r="AW21" i="7" s="1"/>
  <c r="AX21" i="7"/>
  <c r="AS21" i="7" s="1"/>
  <c r="BX21" i="7" s="1"/>
  <c r="BZ21" i="7" s="1"/>
  <c r="AT21" i="7"/>
  <c r="AX21" i="11"/>
  <c r="AV21" i="11"/>
  <c r="AW21" i="11" s="1"/>
  <c r="C20" i="11"/>
  <c r="BX19" i="6"/>
  <c r="BZ19" i="6" s="1"/>
  <c r="AT19" i="6"/>
  <c r="CC19" i="3" l="1"/>
  <c r="CG18" i="3"/>
  <c r="D18" i="3" s="1"/>
  <c r="CF19" i="3"/>
  <c r="CC20" i="3" s="1"/>
  <c r="CE19" i="3"/>
  <c r="CG19" i="3" s="1"/>
  <c r="D19" i="3" s="1"/>
  <c r="CA18" i="8"/>
  <c r="CD18" i="8"/>
  <c r="AV22" i="7"/>
  <c r="AW22" i="7" s="1"/>
  <c r="AT22" i="7"/>
  <c r="C21" i="7"/>
  <c r="AX22" i="7"/>
  <c r="AS22" i="7" s="1"/>
  <c r="BX22" i="7" s="1"/>
  <c r="BZ22" i="7" s="1"/>
  <c r="AX20" i="3"/>
  <c r="AV20" i="3"/>
  <c r="AW20" i="3" s="1"/>
  <c r="C19" i="3"/>
  <c r="CD19" i="6"/>
  <c r="CE19" i="6" s="1"/>
  <c r="CA19" i="6"/>
  <c r="CF19" i="6"/>
  <c r="CD21" i="7"/>
  <c r="CF21" i="7"/>
  <c r="CA21" i="7"/>
  <c r="BX21" i="9"/>
  <c r="BZ21" i="9" s="1"/>
  <c r="AT21" i="9"/>
  <c r="AX20" i="6"/>
  <c r="AS20" i="6" s="1"/>
  <c r="BX20" i="6" s="1"/>
  <c r="BZ20" i="6" s="1"/>
  <c r="AV20" i="6"/>
  <c r="AW20" i="6" s="1"/>
  <c r="C19" i="6"/>
  <c r="CE21" i="7"/>
  <c r="CA21" i="10"/>
  <c r="CD21" i="10"/>
  <c r="CE21" i="10" s="1"/>
  <c r="CG20" i="7"/>
  <c r="D20" i="7" s="1"/>
  <c r="CC21" i="7"/>
  <c r="CE18" i="8"/>
  <c r="CC18" i="8"/>
  <c r="CF18" i="8" s="1"/>
  <c r="CG17" i="8"/>
  <c r="D17" i="8" s="1"/>
  <c r="AX22" i="10"/>
  <c r="AS22" i="10" s="1"/>
  <c r="BX22" i="10" s="1"/>
  <c r="BZ22" i="10" s="1"/>
  <c r="AV22" i="10"/>
  <c r="AW22" i="10" s="1"/>
  <c r="AT22" i="10"/>
  <c r="AS21" i="11"/>
  <c r="C20" i="7"/>
  <c r="AT18" i="8"/>
  <c r="AS20" i="3" l="1"/>
  <c r="BX20" i="3" s="1"/>
  <c r="BZ20" i="3" s="1"/>
  <c r="CA20" i="3" s="1"/>
  <c r="CC19" i="8"/>
  <c r="CG18" i="8"/>
  <c r="BX21" i="11"/>
  <c r="BZ21" i="11" s="1"/>
  <c r="AT21" i="11"/>
  <c r="CA20" i="6"/>
  <c r="CD20" i="6"/>
  <c r="CF20" i="6" s="1"/>
  <c r="AX23" i="7"/>
  <c r="AV23" i="7"/>
  <c r="AW23" i="7" s="1"/>
  <c r="AW23" i="10"/>
  <c r="CD21" i="9"/>
  <c r="CE21" i="9" s="1"/>
  <c r="CA21" i="9"/>
  <c r="AT20" i="6"/>
  <c r="CA22" i="7"/>
  <c r="C22" i="7" s="1"/>
  <c r="CD22" i="7"/>
  <c r="CE22" i="7" s="1"/>
  <c r="CF22" i="7"/>
  <c r="AX23" i="10"/>
  <c r="AS23" i="10" s="1"/>
  <c r="BX23" i="10" s="1"/>
  <c r="BZ23" i="10" s="1"/>
  <c r="AV23" i="10"/>
  <c r="AX22" i="9"/>
  <c r="AV22" i="9"/>
  <c r="AW22" i="9" s="1"/>
  <c r="CE20" i="6"/>
  <c r="CA22" i="10"/>
  <c r="CD22" i="10"/>
  <c r="CE22" i="10" s="1"/>
  <c r="CG21" i="7"/>
  <c r="D21" i="7" s="1"/>
  <c r="CC22" i="7"/>
  <c r="CC20" i="6"/>
  <c r="CG19" i="6"/>
  <c r="D19" i="6" s="1"/>
  <c r="AX19" i="8"/>
  <c r="AV19" i="8"/>
  <c r="AW19" i="8" s="1"/>
  <c r="D18" i="8"/>
  <c r="C18" i="8"/>
  <c r="CF21" i="10"/>
  <c r="CD20" i="3" l="1"/>
  <c r="CE20" i="3" s="1"/>
  <c r="AT20" i="3"/>
  <c r="CF20" i="3"/>
  <c r="CC21" i="3" s="1"/>
  <c r="CC21" i="6"/>
  <c r="CG20" i="6"/>
  <c r="CF22" i="10"/>
  <c r="CG22" i="7"/>
  <c r="D22" i="7" s="1"/>
  <c r="CC23" i="7"/>
  <c r="AX21" i="6"/>
  <c r="AV21" i="6"/>
  <c r="AW21" i="6" s="1"/>
  <c r="D20" i="6"/>
  <c r="C20" i="6"/>
  <c r="CC22" i="10"/>
  <c r="CG21" i="10"/>
  <c r="D21" i="10" s="1"/>
  <c r="C21" i="10"/>
  <c r="CF21" i="9"/>
  <c r="CA21" i="11"/>
  <c r="CD21" i="11"/>
  <c r="CE21" i="11" s="1"/>
  <c r="CF21" i="11"/>
  <c r="C21" i="11"/>
  <c r="AX22" i="11"/>
  <c r="AS22" i="11" s="1"/>
  <c r="BX22" i="11" s="1"/>
  <c r="BZ22" i="11" s="1"/>
  <c r="AV22" i="11"/>
  <c r="AW22" i="11" s="1"/>
  <c r="AS19" i="8"/>
  <c r="AT23" i="10"/>
  <c r="CA23" i="10"/>
  <c r="CD23" i="10"/>
  <c r="CE23" i="10" s="1"/>
  <c r="CF23" i="10"/>
  <c r="AS23" i="7"/>
  <c r="AS22" i="9"/>
  <c r="C20" i="3"/>
  <c r="CG20" i="3" l="1"/>
  <c r="D20" i="3" s="1"/>
  <c r="AX21" i="3"/>
  <c r="AV21" i="3"/>
  <c r="AW21" i="3" s="1"/>
  <c r="AS21" i="6"/>
  <c r="BX23" i="7"/>
  <c r="BZ23" i="7" s="1"/>
  <c r="AT23" i="7"/>
  <c r="AT22" i="11"/>
  <c r="BX22" i="9"/>
  <c r="BZ22" i="9" s="1"/>
  <c r="AT22" i="9"/>
  <c r="CC22" i="11"/>
  <c r="CG21" i="11"/>
  <c r="D21" i="11" s="1"/>
  <c r="CA22" i="11"/>
  <c r="CD22" i="11"/>
  <c r="CE22" i="11" s="1"/>
  <c r="CF22" i="11"/>
  <c r="CG23" i="10"/>
  <c r="D23" i="10" s="1"/>
  <c r="CC24" i="10"/>
  <c r="CC22" i="9"/>
  <c r="CG21" i="9"/>
  <c r="D21" i="9" s="1"/>
  <c r="C21" i="9"/>
  <c r="C23" i="10"/>
  <c r="AX24" i="10"/>
  <c r="AS24" i="10" s="1"/>
  <c r="BX24" i="10" s="1"/>
  <c r="BZ24" i="10" s="1"/>
  <c r="AV24" i="10"/>
  <c r="AW24" i="10" s="1"/>
  <c r="CG22" i="10"/>
  <c r="D22" i="10" s="1"/>
  <c r="CC23" i="10"/>
  <c r="C22" i="10"/>
  <c r="BX19" i="8"/>
  <c r="BZ19" i="8" s="1"/>
  <c r="AT19" i="8"/>
  <c r="AS21" i="3" l="1"/>
  <c r="BX21" i="3"/>
  <c r="BZ21" i="3" s="1"/>
  <c r="AT21" i="3"/>
  <c r="CA24" i="10"/>
  <c r="CD24" i="10"/>
  <c r="CE24" i="10" s="1"/>
  <c r="CF24" i="10"/>
  <c r="AT24" i="10"/>
  <c r="AX20" i="8"/>
  <c r="AV20" i="8"/>
  <c r="AW20" i="8" s="1"/>
  <c r="CD22" i="9"/>
  <c r="CE22" i="9" s="1"/>
  <c r="CA22" i="9"/>
  <c r="CF22" i="9"/>
  <c r="CA19" i="8"/>
  <c r="CD19" i="8"/>
  <c r="CE19" i="8" s="1"/>
  <c r="CC23" i="11"/>
  <c r="CG22" i="11"/>
  <c r="D22" i="11" s="1"/>
  <c r="CA23" i="7"/>
  <c r="CD23" i="7"/>
  <c r="CE23" i="7" s="1"/>
  <c r="CF23" i="7"/>
  <c r="AX23" i="9"/>
  <c r="AV23" i="9"/>
  <c r="AW23" i="9" s="1"/>
  <c r="AX23" i="11"/>
  <c r="AS23" i="11" s="1"/>
  <c r="BX23" i="11" s="1"/>
  <c r="BZ23" i="11" s="1"/>
  <c r="AV23" i="11"/>
  <c r="AW23" i="11" s="1"/>
  <c r="C22" i="11"/>
  <c r="AX24" i="7"/>
  <c r="AV24" i="7"/>
  <c r="AW24" i="7" s="1"/>
  <c r="BX21" i="6"/>
  <c r="BZ21" i="6" s="1"/>
  <c r="AT21" i="6"/>
  <c r="AV22" i="3" l="1"/>
  <c r="AW22" i="3" s="1"/>
  <c r="AX22" i="3"/>
  <c r="AS22" i="3" s="1"/>
  <c r="BX22" i="3" s="1"/>
  <c r="BZ22" i="3" s="1"/>
  <c r="CD21" i="3"/>
  <c r="CE21" i="3" s="1"/>
  <c r="CA21" i="3"/>
  <c r="AT23" i="11"/>
  <c r="CA23" i="11"/>
  <c r="CD23" i="11"/>
  <c r="CE23" i="11" s="1"/>
  <c r="CF23" i="11"/>
  <c r="AX22" i="6"/>
  <c r="AS22" i="6" s="1"/>
  <c r="BX22" i="6" s="1"/>
  <c r="BZ22" i="6" s="1"/>
  <c r="AV22" i="6"/>
  <c r="AW22" i="6" s="1"/>
  <c r="AT22" i="6"/>
  <c r="CC23" i="9"/>
  <c r="CG22" i="9"/>
  <c r="D22" i="9" s="1"/>
  <c r="AS23" i="9"/>
  <c r="AS20" i="8"/>
  <c r="C22" i="9"/>
  <c r="CC24" i="7"/>
  <c r="CG23" i="7"/>
  <c r="D23" i="7" s="1"/>
  <c r="CD21" i="6"/>
  <c r="CE21" i="6" s="1"/>
  <c r="CA21" i="6"/>
  <c r="D24" i="10"/>
  <c r="AX25" i="10"/>
  <c r="AV25" i="10"/>
  <c r="AW25" i="10" s="1"/>
  <c r="C24" i="10"/>
  <c r="C23" i="7"/>
  <c r="AS24" i="7"/>
  <c r="CC25" i="10"/>
  <c r="CG24" i="10"/>
  <c r="CF19" i="8"/>
  <c r="AT22" i="3" l="1"/>
  <c r="CF21" i="3"/>
  <c r="CC22" i="3" s="1"/>
  <c r="BX20" i="8"/>
  <c r="BZ20" i="8" s="1"/>
  <c r="AT20" i="8"/>
  <c r="AS25" i="10"/>
  <c r="CD22" i="6"/>
  <c r="CA22" i="6"/>
  <c r="CE22" i="6"/>
  <c r="CG23" i="11"/>
  <c r="D23" i="11" s="1"/>
  <c r="CC24" i="11"/>
  <c r="BX23" i="9"/>
  <c r="BZ23" i="9" s="1"/>
  <c r="AT23" i="9"/>
  <c r="AX23" i="3"/>
  <c r="AV23" i="3"/>
  <c r="AW23" i="3" s="1"/>
  <c r="CC20" i="8"/>
  <c r="CG19" i="8"/>
  <c r="D19" i="8" s="1"/>
  <c r="C19" i="8"/>
  <c r="AX23" i="6"/>
  <c r="AS23" i="6" s="1"/>
  <c r="BX23" i="6" s="1"/>
  <c r="BZ23" i="6" s="1"/>
  <c r="AV23" i="6"/>
  <c r="AT23" i="6"/>
  <c r="BX24" i="7"/>
  <c r="BZ24" i="7" s="1"/>
  <c r="AT24" i="7"/>
  <c r="CF21" i="6"/>
  <c r="AW23" i="6"/>
  <c r="CA22" i="3"/>
  <c r="CD22" i="3"/>
  <c r="CE22" i="3" s="1"/>
  <c r="AX24" i="11"/>
  <c r="AS24" i="11" s="1"/>
  <c r="BX24" i="11" s="1"/>
  <c r="BZ24" i="11" s="1"/>
  <c r="AV24" i="11"/>
  <c r="AW24" i="11" s="1"/>
  <c r="C23" i="11"/>
  <c r="C21" i="3" l="1"/>
  <c r="CG21" i="3"/>
  <c r="D21" i="3" s="1"/>
  <c r="AS23" i="3"/>
  <c r="AV25" i="7"/>
  <c r="AW25" i="7" s="1"/>
  <c r="AX25" i="7"/>
  <c r="AS25" i="7" s="1"/>
  <c r="BX25" i="7" s="1"/>
  <c r="BZ25" i="7" s="1"/>
  <c r="CD23" i="9"/>
  <c r="CE23" i="9" s="1"/>
  <c r="CA23" i="9"/>
  <c r="CF23" i="9"/>
  <c r="C23" i="9" s="1"/>
  <c r="CA23" i="6"/>
  <c r="CD23" i="6"/>
  <c r="CE23" i="6" s="1"/>
  <c r="BX25" i="10"/>
  <c r="BZ25" i="10" s="1"/>
  <c r="AT25" i="10"/>
  <c r="CC22" i="6"/>
  <c r="CF22" i="6" s="1"/>
  <c r="CG21" i="6"/>
  <c r="D21" i="6" s="1"/>
  <c r="C21" i="6"/>
  <c r="AX24" i="9"/>
  <c r="AV24" i="9"/>
  <c r="AW24" i="9" s="1"/>
  <c r="AX24" i="6"/>
  <c r="AV24" i="6"/>
  <c r="AW24" i="6" s="1"/>
  <c r="AX21" i="8"/>
  <c r="AV21" i="8"/>
  <c r="AW21" i="8" s="1"/>
  <c r="CA24" i="7"/>
  <c r="CD24" i="7"/>
  <c r="CE24" i="7" s="1"/>
  <c r="CA24" i="11"/>
  <c r="CD24" i="11"/>
  <c r="CE24" i="11" s="1"/>
  <c r="AT24" i="11"/>
  <c r="CF22" i="3"/>
  <c r="CA20" i="8"/>
  <c r="CF20" i="8"/>
  <c r="CD20" i="8"/>
  <c r="CE20" i="8" s="1"/>
  <c r="CG22" i="6" l="1"/>
  <c r="D22" i="6" s="1"/>
  <c r="CC23" i="6"/>
  <c r="C22" i="6"/>
  <c r="CF23" i="6"/>
  <c r="CG20" i="8"/>
  <c r="D20" i="8" s="1"/>
  <c r="CC21" i="8"/>
  <c r="CA25" i="7"/>
  <c r="CD25" i="7"/>
  <c r="CE25" i="7" s="1"/>
  <c r="CG22" i="3"/>
  <c r="D22" i="3" s="1"/>
  <c r="CC23" i="3"/>
  <c r="C22" i="3"/>
  <c r="AX25" i="11"/>
  <c r="AS25" i="11" s="1"/>
  <c r="BX25" i="11" s="1"/>
  <c r="BZ25" i="11" s="1"/>
  <c r="AV25" i="11"/>
  <c r="AW25" i="11" s="1"/>
  <c r="CF24" i="11"/>
  <c r="C24" i="11" s="1"/>
  <c r="AT25" i="7"/>
  <c r="C20" i="8"/>
  <c r="CF24" i="7"/>
  <c r="BX23" i="3"/>
  <c r="BZ23" i="3" s="1"/>
  <c r="AT23" i="3"/>
  <c r="AS24" i="6"/>
  <c r="AS24" i="9"/>
  <c r="AX26" i="10"/>
  <c r="AS26" i="10" s="1"/>
  <c r="BX26" i="10" s="1"/>
  <c r="BZ26" i="10" s="1"/>
  <c r="AV26" i="10"/>
  <c r="AW26" i="10" s="1"/>
  <c r="AT26" i="10"/>
  <c r="CG23" i="9"/>
  <c r="D23" i="9" s="1"/>
  <c r="CC24" i="9"/>
  <c r="AS21" i="8"/>
  <c r="CA25" i="10"/>
  <c r="CD25" i="10"/>
  <c r="CE25" i="10" s="1"/>
  <c r="CF25" i="10"/>
  <c r="C25" i="10" s="1"/>
  <c r="CD25" i="11" l="1"/>
  <c r="CE25" i="11" s="1"/>
  <c r="CA25" i="11"/>
  <c r="BX24" i="6"/>
  <c r="BZ24" i="6" s="1"/>
  <c r="AT24" i="6"/>
  <c r="BX21" i="8"/>
  <c r="BZ21" i="8" s="1"/>
  <c r="AT21" i="8"/>
  <c r="BX24" i="9"/>
  <c r="BZ24" i="9" s="1"/>
  <c r="AT24" i="9"/>
  <c r="CD23" i="3"/>
  <c r="CE23" i="3" s="1"/>
  <c r="CA23" i="3"/>
  <c r="CC25" i="7"/>
  <c r="CF25" i="7" s="1"/>
  <c r="CG24" i="7"/>
  <c r="D24" i="7" s="1"/>
  <c r="C24" i="7"/>
  <c r="CG23" i="6"/>
  <c r="D23" i="6" s="1"/>
  <c r="CC24" i="6"/>
  <c r="C23" i="6"/>
  <c r="AV26" i="7"/>
  <c r="AW26" i="7" s="1"/>
  <c r="AX26" i="7"/>
  <c r="AS26" i="7" s="1"/>
  <c r="BX26" i="7" s="1"/>
  <c r="BZ26" i="7" s="1"/>
  <c r="AX27" i="10"/>
  <c r="AS27" i="10" s="1"/>
  <c r="BX27" i="10" s="1"/>
  <c r="BZ27" i="10" s="1"/>
  <c r="AV27" i="10"/>
  <c r="AW27" i="10" s="1"/>
  <c r="C26" i="10"/>
  <c r="AX24" i="3"/>
  <c r="AV24" i="3"/>
  <c r="AW24" i="3" s="1"/>
  <c r="CC25" i="11"/>
  <c r="CF25" i="11" s="1"/>
  <c r="CG24" i="11"/>
  <c r="D24" i="11" s="1"/>
  <c r="AT25" i="11"/>
  <c r="CC26" i="10"/>
  <c r="CG25" i="10"/>
  <c r="D25" i="10" s="1"/>
  <c r="CA26" i="10"/>
  <c r="CD26" i="10"/>
  <c r="CE26" i="10" s="1"/>
  <c r="CF26" i="10"/>
  <c r="AS24" i="3" l="1"/>
  <c r="BX24" i="3" s="1"/>
  <c r="BZ24" i="3" s="1"/>
  <c r="CF23" i="3"/>
  <c r="CC24" i="3" s="1"/>
  <c r="CG25" i="11"/>
  <c r="CC26" i="11"/>
  <c r="CG25" i="7"/>
  <c r="D25" i="7" s="1"/>
  <c r="CC26" i="7"/>
  <c r="C25" i="7"/>
  <c r="CF27" i="10"/>
  <c r="CA27" i="10"/>
  <c r="CD27" i="10"/>
  <c r="CE27" i="10" s="1"/>
  <c r="CA21" i="8"/>
  <c r="CF21" i="8"/>
  <c r="CD21" i="8"/>
  <c r="CE21" i="8" s="1"/>
  <c r="AT27" i="10"/>
  <c r="CG26" i="10"/>
  <c r="D26" i="10" s="1"/>
  <c r="CC27" i="10"/>
  <c r="CA26" i="7"/>
  <c r="CD26" i="7"/>
  <c r="CE26" i="7" s="1"/>
  <c r="AX25" i="6"/>
  <c r="AS25" i="6" s="1"/>
  <c r="BX25" i="6" s="1"/>
  <c r="BZ25" i="6" s="1"/>
  <c r="AV25" i="6"/>
  <c r="AW25" i="6" s="1"/>
  <c r="AT25" i="6"/>
  <c r="AX22" i="8"/>
  <c r="AV22" i="8"/>
  <c r="AW22" i="8" s="1"/>
  <c r="AX25" i="9"/>
  <c r="AS25" i="9" s="1"/>
  <c r="BX25" i="9" s="1"/>
  <c r="BZ25" i="9" s="1"/>
  <c r="AV25" i="9"/>
  <c r="AW25" i="9" s="1"/>
  <c r="D25" i="11"/>
  <c r="AX26" i="11"/>
  <c r="C25" i="11"/>
  <c r="AV26" i="11"/>
  <c r="AW26" i="11" s="1"/>
  <c r="AT26" i="7"/>
  <c r="CA24" i="6"/>
  <c r="CF24" i="6"/>
  <c r="CD24" i="6"/>
  <c r="CE24" i="6" s="1"/>
  <c r="AT24" i="3"/>
  <c r="CA24" i="9"/>
  <c r="CD24" i="9"/>
  <c r="CE24" i="9" s="1"/>
  <c r="CA24" i="3" l="1"/>
  <c r="CD24" i="3"/>
  <c r="CE24" i="3" s="1"/>
  <c r="C23" i="3"/>
  <c r="CG23" i="3"/>
  <c r="D23" i="3" s="1"/>
  <c r="CF24" i="3"/>
  <c r="AX25" i="3"/>
  <c r="AV25" i="3"/>
  <c r="AW25" i="3" s="1"/>
  <c r="C24" i="3"/>
  <c r="CC22" i="8"/>
  <c r="CG21" i="8"/>
  <c r="D21" i="8" s="1"/>
  <c r="AT25" i="9"/>
  <c r="CE25" i="6"/>
  <c r="AX27" i="7"/>
  <c r="AS27" i="7" s="1"/>
  <c r="BX27" i="7" s="1"/>
  <c r="BZ27" i="7" s="1"/>
  <c r="AV27" i="7"/>
  <c r="AW27" i="7" s="1"/>
  <c r="CF24" i="9"/>
  <c r="C27" i="10"/>
  <c r="AX28" i="10"/>
  <c r="AS28" i="10" s="1"/>
  <c r="BX28" i="10" s="1"/>
  <c r="BZ28" i="10" s="1"/>
  <c r="AV28" i="10"/>
  <c r="CC25" i="6"/>
  <c r="CG24" i="6"/>
  <c r="D24" i="6" s="1"/>
  <c r="AS26" i="11"/>
  <c r="CD25" i="9"/>
  <c r="CE25" i="9" s="1"/>
  <c r="CA25" i="9"/>
  <c r="C24" i="6"/>
  <c r="CC25" i="3"/>
  <c r="CG24" i="3"/>
  <c r="D24" i="3" s="1"/>
  <c r="C21" i="8"/>
  <c r="AS22" i="8"/>
  <c r="CG27" i="10"/>
  <c r="D27" i="10" s="1"/>
  <c r="CC28" i="10"/>
  <c r="AX26" i="6"/>
  <c r="AV26" i="6"/>
  <c r="AW26" i="6" s="1"/>
  <c r="C25" i="6"/>
  <c r="CD25" i="6"/>
  <c r="CA25" i="6"/>
  <c r="CF25" i="6"/>
  <c r="CF26" i="7"/>
  <c r="AS25" i="3" l="1"/>
  <c r="CD27" i="7"/>
  <c r="CE27" i="7" s="1"/>
  <c r="CA27" i="7"/>
  <c r="AS26" i="6"/>
  <c r="AX26" i="9"/>
  <c r="AV26" i="9"/>
  <c r="AW26" i="9" s="1"/>
  <c r="C25" i="9"/>
  <c r="AT28" i="10"/>
  <c r="BX22" i="8"/>
  <c r="BZ22" i="8" s="1"/>
  <c r="AT22" i="8"/>
  <c r="CG24" i="9"/>
  <c r="D24" i="9" s="1"/>
  <c r="CC25" i="9"/>
  <c r="CF25" i="9" s="1"/>
  <c r="C24" i="9"/>
  <c r="BX26" i="11"/>
  <c r="BZ26" i="11" s="1"/>
  <c r="AT26" i="11"/>
  <c r="CA28" i="10"/>
  <c r="CD28" i="10"/>
  <c r="CE28" i="10" s="1"/>
  <c r="CC27" i="7"/>
  <c r="CG26" i="7"/>
  <c r="D26" i="7" s="1"/>
  <c r="CC26" i="6"/>
  <c r="CG25" i="6"/>
  <c r="D25" i="6" s="1"/>
  <c r="C26" i="7"/>
  <c r="AT27" i="7"/>
  <c r="BX25" i="3" l="1"/>
  <c r="BZ25" i="3" s="1"/>
  <c r="AT25" i="3"/>
  <c r="AX27" i="11"/>
  <c r="AV27" i="11"/>
  <c r="AW27" i="11" s="1"/>
  <c r="AX23" i="8"/>
  <c r="AV23" i="8"/>
  <c r="AW23" i="8" s="1"/>
  <c r="CD26" i="11"/>
  <c r="CE26" i="11" s="1"/>
  <c r="CA26" i="11"/>
  <c r="CF26" i="11"/>
  <c r="AX28" i="7"/>
  <c r="AV28" i="7"/>
  <c r="AW28" i="7" s="1"/>
  <c r="BX26" i="6"/>
  <c r="BZ26" i="6" s="1"/>
  <c r="AT26" i="6"/>
  <c r="CF27" i="7"/>
  <c r="CA22" i="8"/>
  <c r="CD22" i="8"/>
  <c r="CE22" i="8" s="1"/>
  <c r="AS26" i="9"/>
  <c r="AX29" i="10"/>
  <c r="AS29" i="10" s="1"/>
  <c r="AT29" i="10"/>
  <c r="AV29" i="10"/>
  <c r="CF28" i="10"/>
  <c r="CC26" i="9"/>
  <c r="CG25" i="9"/>
  <c r="D25" i="9" s="1"/>
  <c r="AX26" i="3" l="1"/>
  <c r="AV26" i="3"/>
  <c r="AW26" i="3" s="1"/>
  <c r="CD25" i="3"/>
  <c r="CE25" i="3" s="1"/>
  <c r="CA25" i="3"/>
  <c r="BX26" i="9"/>
  <c r="BZ26" i="9" s="1"/>
  <c r="AT26" i="9"/>
  <c r="CF22" i="8"/>
  <c r="CG28" i="10"/>
  <c r="D28" i="10" s="1"/>
  <c r="CC29" i="10"/>
  <c r="CC28" i="7"/>
  <c r="CG27" i="7"/>
  <c r="D27" i="7" s="1"/>
  <c r="AS27" i="11"/>
  <c r="CG26" i="11"/>
  <c r="D26" i="11" s="1"/>
  <c r="CC27" i="11"/>
  <c r="AX27" i="6"/>
  <c r="AS27" i="6" s="1"/>
  <c r="BX27" i="6" s="1"/>
  <c r="BZ27" i="6" s="1"/>
  <c r="AV27" i="6"/>
  <c r="AW27" i="6" s="1"/>
  <c r="AT27" i="6"/>
  <c r="AS23" i="8"/>
  <c r="AS28" i="7"/>
  <c r="C26" i="11"/>
  <c r="CD26" i="6"/>
  <c r="CE26" i="6" s="1"/>
  <c r="CA26" i="6"/>
  <c r="CF26" i="6"/>
  <c r="C28" i="10"/>
  <c r="C27" i="7"/>
  <c r="AX30" i="10"/>
  <c r="AS30" i="10" s="1"/>
  <c r="BX30" i="10" s="1"/>
  <c r="BZ30" i="10" s="1"/>
  <c r="AT30" i="10"/>
  <c r="AV30" i="10"/>
  <c r="BX29" i="10"/>
  <c r="BZ29" i="10" s="1"/>
  <c r="CF25" i="3" l="1"/>
  <c r="CC26" i="3" s="1"/>
  <c r="C25" i="3"/>
  <c r="CG25" i="3"/>
  <c r="D25" i="3" s="1"/>
  <c r="AS26" i="3"/>
  <c r="CG26" i="6"/>
  <c r="D26" i="6" s="1"/>
  <c r="CC27" i="6"/>
  <c r="BX28" i="7"/>
  <c r="BZ28" i="7" s="1"/>
  <c r="AT28" i="7"/>
  <c r="BX27" i="11"/>
  <c r="BZ27" i="11" s="1"/>
  <c r="AT27" i="11"/>
  <c r="CA29" i="10"/>
  <c r="CD30" i="10" s="1"/>
  <c r="CD29" i="10"/>
  <c r="CE29" i="10" s="1"/>
  <c r="AX28" i="6"/>
  <c r="AV28" i="6"/>
  <c r="AW28" i="6" s="1"/>
  <c r="CC23" i="8"/>
  <c r="CG22" i="8"/>
  <c r="D22" i="8" s="1"/>
  <c r="C22" i="8"/>
  <c r="AX31" i="10"/>
  <c r="AS31" i="10" s="1"/>
  <c r="AV31" i="10"/>
  <c r="AT31" i="10"/>
  <c r="CD27" i="6"/>
  <c r="CE27" i="6" s="1"/>
  <c r="CF27" i="6"/>
  <c r="CA27" i="6"/>
  <c r="AX27" i="9"/>
  <c r="AS27" i="9" s="1"/>
  <c r="BX27" i="9" s="1"/>
  <c r="BZ27" i="9" s="1"/>
  <c r="AV27" i="9"/>
  <c r="AW27" i="9" s="1"/>
  <c r="AT27" i="9"/>
  <c r="BX23" i="8"/>
  <c r="BZ23" i="8" s="1"/>
  <c r="AT23" i="8"/>
  <c r="C26" i="6"/>
  <c r="CA26" i="9"/>
  <c r="CD26" i="9"/>
  <c r="CE26" i="9" s="1"/>
  <c r="AT26" i="3" l="1"/>
  <c r="BX26" i="3"/>
  <c r="BZ26" i="3" s="1"/>
  <c r="AV24" i="8"/>
  <c r="AW24" i="8" s="1"/>
  <c r="AX24" i="8"/>
  <c r="AS24" i="8" s="1"/>
  <c r="BX24" i="8" s="1"/>
  <c r="BZ24" i="8" s="1"/>
  <c r="CA27" i="11"/>
  <c r="CD27" i="11"/>
  <c r="CE27" i="11" s="1"/>
  <c r="CF27" i="11"/>
  <c r="CE30" i="10"/>
  <c r="AX28" i="11"/>
  <c r="AS28" i="11" s="1"/>
  <c r="BX28" i="11" s="1"/>
  <c r="BZ28" i="11" s="1"/>
  <c r="AV28" i="11"/>
  <c r="AW28" i="11" s="1"/>
  <c r="AV29" i="7"/>
  <c r="AW29" i="7" s="1"/>
  <c r="AX29" i="7"/>
  <c r="AS29" i="7" s="1"/>
  <c r="BX29" i="7" s="1"/>
  <c r="BZ29" i="7" s="1"/>
  <c r="AV32" i="10"/>
  <c r="AX32" i="10"/>
  <c r="AS32" i="10" s="1"/>
  <c r="AT32" i="10"/>
  <c r="BX31" i="10"/>
  <c r="BZ31" i="10" s="1"/>
  <c r="AX28" i="9"/>
  <c r="AV28" i="9"/>
  <c r="CD28" i="7"/>
  <c r="CE28" i="7" s="1"/>
  <c r="CF28" i="7"/>
  <c r="CA28" i="7"/>
  <c r="CF29" i="10"/>
  <c r="CA30" i="10"/>
  <c r="CA27" i="9"/>
  <c r="CD27" i="9"/>
  <c r="CE27" i="9" s="1"/>
  <c r="AS28" i="6"/>
  <c r="CA23" i="8"/>
  <c r="C23" i="8" s="1"/>
  <c r="CF23" i="8"/>
  <c r="CD23" i="8"/>
  <c r="CE23" i="8" s="1"/>
  <c r="AW28" i="9"/>
  <c r="CF26" i="9"/>
  <c r="CC28" i="6"/>
  <c r="CG27" i="6"/>
  <c r="D27" i="6" s="1"/>
  <c r="C27" i="6"/>
  <c r="CA26" i="3" l="1"/>
  <c r="CD26" i="3"/>
  <c r="CE26" i="3" s="1"/>
  <c r="AV27" i="3"/>
  <c r="AW27" i="3" s="1"/>
  <c r="AX27" i="3"/>
  <c r="AS27" i="3" s="1"/>
  <c r="AV33" i="10"/>
  <c r="AX33" i="10"/>
  <c r="AS33" i="10" s="1"/>
  <c r="BX33" i="10" s="1"/>
  <c r="BZ33" i="10" s="1"/>
  <c r="AT33" i="10"/>
  <c r="CC28" i="11"/>
  <c r="CG27" i="11"/>
  <c r="D27" i="11" s="1"/>
  <c r="AT28" i="11"/>
  <c r="CD24" i="8"/>
  <c r="CE24" i="8" s="1"/>
  <c r="CA24" i="8"/>
  <c r="CF24" i="8"/>
  <c r="CA31" i="10"/>
  <c r="CD31" i="10"/>
  <c r="BX32" i="10"/>
  <c r="BZ32" i="10" s="1"/>
  <c r="CC30" i="10"/>
  <c r="CG29" i="10"/>
  <c r="D29" i="10" s="1"/>
  <c r="C29" i="10"/>
  <c r="CF30" i="10"/>
  <c r="CC29" i="7"/>
  <c r="CG28" i="7"/>
  <c r="D28" i="7" s="1"/>
  <c r="BX28" i="6"/>
  <c r="BZ28" i="6" s="1"/>
  <c r="AT28" i="6"/>
  <c r="C28" i="7"/>
  <c r="AT24" i="8"/>
  <c r="CD29" i="7"/>
  <c r="CF29" i="7" s="1"/>
  <c r="CA29" i="7"/>
  <c r="AS28" i="9"/>
  <c r="C27" i="11"/>
  <c r="AT29" i="7"/>
  <c r="CC27" i="9"/>
  <c r="CF27" i="9" s="1"/>
  <c r="CG26" i="9"/>
  <c r="D26" i="9" s="1"/>
  <c r="C26" i="9"/>
  <c r="CA28" i="11"/>
  <c r="CD28" i="11"/>
  <c r="CE28" i="11" s="1"/>
  <c r="CF28" i="11"/>
  <c r="CG23" i="8"/>
  <c r="D23" i="8" s="1"/>
  <c r="CC24" i="8"/>
  <c r="BX27" i="3" l="1"/>
  <c r="BZ27" i="3" s="1"/>
  <c r="CF26" i="3"/>
  <c r="AT27" i="3"/>
  <c r="AX28" i="3" s="1"/>
  <c r="C26" i="3"/>
  <c r="CC27" i="3"/>
  <c r="CG26" i="3"/>
  <c r="D26" i="3" s="1"/>
  <c r="CG29" i="7"/>
  <c r="CC30" i="7"/>
  <c r="AX25" i="8"/>
  <c r="AS25" i="8" s="1"/>
  <c r="BX25" i="8" s="1"/>
  <c r="BZ25" i="8" s="1"/>
  <c r="AV25" i="8"/>
  <c r="AW25" i="8" s="1"/>
  <c r="C24" i="8"/>
  <c r="CE31" i="10"/>
  <c r="CE32" i="10" s="1"/>
  <c r="CE33" i="10" s="1"/>
  <c r="CD28" i="6"/>
  <c r="CE28" i="6" s="1"/>
  <c r="CA28" i="6"/>
  <c r="CC25" i="8"/>
  <c r="CG24" i="8"/>
  <c r="D24" i="8" s="1"/>
  <c r="CE29" i="7"/>
  <c r="AX29" i="11"/>
  <c r="AV29" i="11"/>
  <c r="AW29" i="11" s="1"/>
  <c r="C28" i="11"/>
  <c r="CA27" i="3"/>
  <c r="CD27" i="3"/>
  <c r="CE27" i="3" s="1"/>
  <c r="AX29" i="6"/>
  <c r="AS29" i="6" s="1"/>
  <c r="BX29" i="6" s="1"/>
  <c r="BZ29" i="6" s="1"/>
  <c r="AV29" i="6"/>
  <c r="AW29" i="6" s="1"/>
  <c r="CC28" i="9"/>
  <c r="CG27" i="9"/>
  <c r="D27" i="9" s="1"/>
  <c r="C27" i="9"/>
  <c r="CA32" i="10"/>
  <c r="CD32" i="10"/>
  <c r="AX34" i="10"/>
  <c r="AS34" i="10" s="1"/>
  <c r="AT34" i="10"/>
  <c r="AV34" i="10"/>
  <c r="CA33" i="10"/>
  <c r="CD33" i="10"/>
  <c r="CG28" i="11"/>
  <c r="D28" i="11" s="1"/>
  <c r="CC29" i="11"/>
  <c r="AV28" i="3"/>
  <c r="AW28" i="3" s="1"/>
  <c r="AV30" i="7"/>
  <c r="AX30" i="7"/>
  <c r="AS30" i="7" s="1"/>
  <c r="BX30" i="7" s="1"/>
  <c r="BZ30" i="7" s="1"/>
  <c r="D29" i="7"/>
  <c r="C29" i="7"/>
  <c r="CG30" i="10"/>
  <c r="D30" i="10" s="1"/>
  <c r="CC31" i="10"/>
  <c r="CF31" i="10" s="1"/>
  <c r="C30" i="10"/>
  <c r="BX28" i="9"/>
  <c r="BZ28" i="9" s="1"/>
  <c r="AT28" i="9"/>
  <c r="CF27" i="3" l="1"/>
  <c r="AS28" i="3"/>
  <c r="BX28" i="3" s="1"/>
  <c r="BZ28" i="3" s="1"/>
  <c r="CA28" i="3" s="1"/>
  <c r="CC32" i="10"/>
  <c r="CG31" i="10"/>
  <c r="D31" i="10" s="1"/>
  <c r="C31" i="10"/>
  <c r="CF32" i="10"/>
  <c r="CF28" i="6"/>
  <c r="AT29" i="6"/>
  <c r="CD25" i="8"/>
  <c r="CE25" i="8" s="1"/>
  <c r="CA25" i="8"/>
  <c r="CF25" i="8"/>
  <c r="CA28" i="9"/>
  <c r="CD28" i="9"/>
  <c r="CE28" i="9" s="1"/>
  <c r="CC28" i="3"/>
  <c r="CG27" i="3"/>
  <c r="D27" i="3" s="1"/>
  <c r="AX35" i="10"/>
  <c r="AS35" i="10" s="1"/>
  <c r="AT35" i="10"/>
  <c r="AV35" i="10"/>
  <c r="CA29" i="6"/>
  <c r="CD29" i="6"/>
  <c r="AT25" i="8"/>
  <c r="CE29" i="6"/>
  <c r="CD30" i="7"/>
  <c r="CF30" i="7" s="1"/>
  <c r="CA30" i="7"/>
  <c r="BX34" i="10"/>
  <c r="BZ34" i="10" s="1"/>
  <c r="AX29" i="9"/>
  <c r="AV29" i="9"/>
  <c r="AW29" i="9" s="1"/>
  <c r="AT30" i="7"/>
  <c r="AT28" i="3"/>
  <c r="AS29" i="11"/>
  <c r="C27" i="3"/>
  <c r="CE30" i="7"/>
  <c r="CD28" i="3" l="1"/>
  <c r="CE28" i="3" s="1"/>
  <c r="CG30" i="7"/>
  <c r="CC31" i="7"/>
  <c r="CG25" i="8"/>
  <c r="CC26" i="8"/>
  <c r="CF28" i="9"/>
  <c r="BX29" i="11"/>
  <c r="BZ29" i="11" s="1"/>
  <c r="AT29" i="11"/>
  <c r="AX30" i="6"/>
  <c r="AS30" i="6" s="1"/>
  <c r="BX30" i="6" s="1"/>
  <c r="BZ30" i="6" s="1"/>
  <c r="AV30" i="6"/>
  <c r="AT30" i="6"/>
  <c r="CC29" i="6"/>
  <c r="CF29" i="6" s="1"/>
  <c r="CG28" i="6"/>
  <c r="D28" i="6" s="1"/>
  <c r="C28" i="6"/>
  <c r="AX26" i="8"/>
  <c r="AV26" i="8"/>
  <c r="AW26" i="8" s="1"/>
  <c r="D25" i="8"/>
  <c r="C25" i="8"/>
  <c r="CC33" i="10"/>
  <c r="CG32" i="10"/>
  <c r="D32" i="10" s="1"/>
  <c r="C32" i="10"/>
  <c r="CF33" i="10"/>
  <c r="AX31" i="7"/>
  <c r="D30" i="7"/>
  <c r="C30" i="7"/>
  <c r="AV31" i="7"/>
  <c r="AX29" i="3"/>
  <c r="AS29" i="3" s="1"/>
  <c r="AV29" i="3"/>
  <c r="AW29" i="3" s="1"/>
  <c r="AX36" i="10"/>
  <c r="AS36" i="10" s="1"/>
  <c r="AT36" i="10"/>
  <c r="AV36" i="10"/>
  <c r="AS29" i="9"/>
  <c r="BX35" i="10"/>
  <c r="BZ35" i="10" s="1"/>
  <c r="CA34" i="10"/>
  <c r="CD34" i="10"/>
  <c r="CE34" i="10" s="1"/>
  <c r="BX29" i="3" l="1"/>
  <c r="BZ29" i="3" s="1"/>
  <c r="CF28" i="3"/>
  <c r="AT29" i="3"/>
  <c r="AX30" i="3" s="1"/>
  <c r="CC30" i="6"/>
  <c r="CG29" i="6"/>
  <c r="D29" i="6" s="1"/>
  <c r="AV37" i="10"/>
  <c r="AX37" i="10"/>
  <c r="AS37" i="10" s="1"/>
  <c r="BX37" i="10" s="1"/>
  <c r="BZ37" i="10" s="1"/>
  <c r="AX31" i="6"/>
  <c r="AS31" i="6" s="1"/>
  <c r="BX31" i="6" s="1"/>
  <c r="BZ31" i="6" s="1"/>
  <c r="AV31" i="6"/>
  <c r="C29" i="6"/>
  <c r="CA29" i="11"/>
  <c r="CD29" i="11"/>
  <c r="CE29" i="11" s="1"/>
  <c r="CF29" i="11"/>
  <c r="CA30" i="6"/>
  <c r="CD30" i="6"/>
  <c r="CE30" i="6" s="1"/>
  <c r="AX30" i="11"/>
  <c r="AV30" i="11"/>
  <c r="CG28" i="9"/>
  <c r="D28" i="9" s="1"/>
  <c r="CC29" i="9"/>
  <c r="C28" i="9"/>
  <c r="BX36" i="10"/>
  <c r="BZ36" i="10" s="1"/>
  <c r="CG33" i="10"/>
  <c r="D33" i="10" s="1"/>
  <c r="CC34" i="10"/>
  <c r="CF34" i="10" s="1"/>
  <c r="C33" i="10"/>
  <c r="CE35" i="10"/>
  <c r="BX29" i="9"/>
  <c r="BZ29" i="9" s="1"/>
  <c r="AT29" i="9"/>
  <c r="AS31" i="7"/>
  <c r="CD29" i="3"/>
  <c r="CE29" i="3" s="1"/>
  <c r="CA29" i="3"/>
  <c r="AS26" i="8"/>
  <c r="CA35" i="10"/>
  <c r="CD35" i="10"/>
  <c r="AV30" i="3" l="1"/>
  <c r="AW30" i="3" s="1"/>
  <c r="CG28" i="3"/>
  <c r="D28" i="3" s="1"/>
  <c r="C28" i="3"/>
  <c r="CC29" i="3"/>
  <c r="CC35" i="10"/>
  <c r="CG34" i="10"/>
  <c r="D34" i="10" s="1"/>
  <c r="C34" i="10"/>
  <c r="CF35" i="10"/>
  <c r="BX26" i="8"/>
  <c r="BZ26" i="8" s="1"/>
  <c r="AT26" i="8"/>
  <c r="CF29" i="3"/>
  <c r="CA31" i="6"/>
  <c r="CD31" i="6"/>
  <c r="CE31" i="6" s="1"/>
  <c r="CC30" i="11"/>
  <c r="CG29" i="11"/>
  <c r="D29" i="11" s="1"/>
  <c r="CD36" i="10"/>
  <c r="CA36" i="10"/>
  <c r="C29" i="11"/>
  <c r="AT37" i="10"/>
  <c r="BX31" i="7"/>
  <c r="BZ31" i="7" s="1"/>
  <c r="AT31" i="7"/>
  <c r="CD37" i="10"/>
  <c r="AX30" i="9"/>
  <c r="AV30" i="9"/>
  <c r="AW30" i="9" s="1"/>
  <c r="CE36" i="10"/>
  <c r="AT31" i="6"/>
  <c r="CD29" i="9"/>
  <c r="CE29" i="9" s="1"/>
  <c r="CA29" i="9"/>
  <c r="C29" i="9" s="1"/>
  <c r="CF29" i="9"/>
  <c r="AS30" i="11"/>
  <c r="CF30" i="6"/>
  <c r="AS30" i="3" l="1"/>
  <c r="AV32" i="7"/>
  <c r="AX32" i="7"/>
  <c r="AS32" i="7" s="1"/>
  <c r="BX32" i="7" s="1"/>
  <c r="BZ32" i="7" s="1"/>
  <c r="AT32" i="7"/>
  <c r="AV38" i="10"/>
  <c r="AX38" i="10"/>
  <c r="AS38" i="10" s="1"/>
  <c r="BX38" i="10" s="1"/>
  <c r="BZ38" i="10" s="1"/>
  <c r="AT38" i="10"/>
  <c r="CC30" i="3"/>
  <c r="CG29" i="3"/>
  <c r="D29" i="3" s="1"/>
  <c r="C29" i="3"/>
  <c r="CA31" i="7"/>
  <c r="CD31" i="7"/>
  <c r="CE31" i="7" s="1"/>
  <c r="CC36" i="10"/>
  <c r="CF36" i="10" s="1"/>
  <c r="CG35" i="10"/>
  <c r="D35" i="10" s="1"/>
  <c r="C35" i="10"/>
  <c r="AX27" i="8"/>
  <c r="AS27" i="8" s="1"/>
  <c r="BX27" i="8" s="1"/>
  <c r="BZ27" i="8" s="1"/>
  <c r="AV27" i="8"/>
  <c r="AW27" i="8" s="1"/>
  <c r="AT27" i="8"/>
  <c r="CC31" i="6"/>
  <c r="CF31" i="6" s="1"/>
  <c r="CG30" i="6"/>
  <c r="D30" i="6" s="1"/>
  <c r="C30" i="6"/>
  <c r="CC30" i="9"/>
  <c r="CG29" i="9"/>
  <c r="D29" i="9" s="1"/>
  <c r="AS30" i="9"/>
  <c r="CD26" i="8"/>
  <c r="CE26" i="8" s="1"/>
  <c r="CF26" i="8"/>
  <c r="CA26" i="8"/>
  <c r="C26" i="8" s="1"/>
  <c r="BX30" i="11"/>
  <c r="BZ30" i="11" s="1"/>
  <c r="AT30" i="11"/>
  <c r="AV32" i="6"/>
  <c r="AX32" i="6"/>
  <c r="CE37" i="10"/>
  <c r="BX30" i="3" l="1"/>
  <c r="BZ30" i="3" s="1"/>
  <c r="AT30" i="3"/>
  <c r="CC37" i="10"/>
  <c r="CG36" i="10"/>
  <c r="D36" i="10" s="1"/>
  <c r="C36" i="10"/>
  <c r="CA37" i="10"/>
  <c r="CF37" i="10"/>
  <c r="CC32" i="6"/>
  <c r="CG31" i="6"/>
  <c r="D31" i="6" s="1"/>
  <c r="C31" i="6"/>
  <c r="AX31" i="11"/>
  <c r="AS31" i="11" s="1"/>
  <c r="BX31" i="11" s="1"/>
  <c r="BZ31" i="11" s="1"/>
  <c r="AV31" i="11"/>
  <c r="AT31" i="11"/>
  <c r="AS32" i="6"/>
  <c r="AX33" i="7"/>
  <c r="AS33" i="7" s="1"/>
  <c r="AV33" i="7"/>
  <c r="AT33" i="7"/>
  <c r="BX30" i="9"/>
  <c r="BZ30" i="9" s="1"/>
  <c r="AT30" i="9"/>
  <c r="CA38" i="10"/>
  <c r="CF38" i="10"/>
  <c r="C38" i="10" s="1"/>
  <c r="CD38" i="10"/>
  <c r="CE38" i="10" s="1"/>
  <c r="CD27" i="8"/>
  <c r="CE27" i="8" s="1"/>
  <c r="CF27" i="8"/>
  <c r="CA27" i="8"/>
  <c r="CD30" i="11"/>
  <c r="CE30" i="11" s="1"/>
  <c r="CA30" i="11"/>
  <c r="AV28" i="8"/>
  <c r="AX28" i="8"/>
  <c r="AS28" i="8" s="1"/>
  <c r="BX28" i="8" s="1"/>
  <c r="BZ28" i="8" s="1"/>
  <c r="AW28" i="8"/>
  <c r="CA32" i="7"/>
  <c r="CD32" i="7"/>
  <c r="CE32" i="7" s="1"/>
  <c r="CF31" i="7"/>
  <c r="AV39" i="10"/>
  <c r="AX39" i="10"/>
  <c r="AS39" i="10" s="1"/>
  <c r="BX39" i="10" s="1"/>
  <c r="BZ39" i="10" s="1"/>
  <c r="CC27" i="8"/>
  <c r="CG26" i="8"/>
  <c r="D26" i="8" s="1"/>
  <c r="CA30" i="3" l="1"/>
  <c r="CD30" i="3"/>
  <c r="CE30" i="3" s="1"/>
  <c r="AX31" i="3"/>
  <c r="AV31" i="3"/>
  <c r="AW31" i="3" s="1"/>
  <c r="CF30" i="3"/>
  <c r="CD30" i="9"/>
  <c r="CE30" i="9" s="1"/>
  <c r="CF30" i="9"/>
  <c r="CA30" i="9"/>
  <c r="CC28" i="8"/>
  <c r="CG27" i="8"/>
  <c r="D27" i="8" s="1"/>
  <c r="C27" i="8"/>
  <c r="CC38" i="10"/>
  <c r="CG37" i="10"/>
  <c r="D37" i="10" s="1"/>
  <c r="C37" i="10"/>
  <c r="AX32" i="11"/>
  <c r="AV32" i="11"/>
  <c r="AX34" i="7"/>
  <c r="AS34" i="7" s="1"/>
  <c r="AT34" i="7"/>
  <c r="AV34" i="7"/>
  <c r="CC32" i="7"/>
  <c r="CF32" i="7" s="1"/>
  <c r="CG31" i="7"/>
  <c r="D31" i="7" s="1"/>
  <c r="C31" i="7"/>
  <c r="CD28" i="8"/>
  <c r="CE28" i="8" s="1"/>
  <c r="CA28" i="8"/>
  <c r="CG38" i="10"/>
  <c r="D38" i="10" s="1"/>
  <c r="CC39" i="10"/>
  <c r="AX31" i="9"/>
  <c r="AV31" i="9"/>
  <c r="AW31" i="9" s="1"/>
  <c r="C30" i="9"/>
  <c r="CA39" i="10"/>
  <c r="CF39" i="10"/>
  <c r="CD39" i="10"/>
  <c r="CE39" i="10" s="1"/>
  <c r="AT39" i="10"/>
  <c r="BX33" i="7"/>
  <c r="BZ33" i="7" s="1"/>
  <c r="CF30" i="11"/>
  <c r="CD31" i="11"/>
  <c r="CE31" i="11" s="1"/>
  <c r="CA31" i="11"/>
  <c r="AT28" i="8"/>
  <c r="BX32" i="6"/>
  <c r="BZ32" i="6" s="1"/>
  <c r="AT32" i="6"/>
  <c r="AS31" i="3" l="1"/>
  <c r="BX31" i="3"/>
  <c r="BZ31" i="3" s="1"/>
  <c r="AT31" i="3"/>
  <c r="C30" i="3"/>
  <c r="CC31" i="3"/>
  <c r="CG30" i="3"/>
  <c r="D30" i="3" s="1"/>
  <c r="CD33" i="7"/>
  <c r="CE33" i="7" s="1"/>
  <c r="CA33" i="7"/>
  <c r="CC33" i="7"/>
  <c r="CF33" i="7" s="1"/>
  <c r="CG32" i="7"/>
  <c r="D32" i="7" s="1"/>
  <c r="C32" i="7"/>
  <c r="AS31" i="9"/>
  <c r="CC31" i="9"/>
  <c r="CG30" i="9"/>
  <c r="D30" i="9" s="1"/>
  <c r="CA32" i="6"/>
  <c r="CD32" i="6"/>
  <c r="CE32" i="6" s="1"/>
  <c r="CF32" i="6"/>
  <c r="CC40" i="10"/>
  <c r="CG39" i="10"/>
  <c r="AX33" i="6"/>
  <c r="AS33" i="6" s="1"/>
  <c r="AT33" i="6"/>
  <c r="AV33" i="6"/>
  <c r="C32" i="6"/>
  <c r="AT35" i="7"/>
  <c r="AX35" i="7"/>
  <c r="AS35" i="7" s="1"/>
  <c r="BX35" i="7" s="1"/>
  <c r="BZ35" i="7" s="1"/>
  <c r="AV35" i="7"/>
  <c r="BX34" i="7"/>
  <c r="BZ34" i="7" s="1"/>
  <c r="C39" i="10"/>
  <c r="AX40" i="10"/>
  <c r="AS40" i="10" s="1"/>
  <c r="AT40" i="10"/>
  <c r="AV40" i="10"/>
  <c r="D39" i="10"/>
  <c r="CF28" i="8"/>
  <c r="AX29" i="8"/>
  <c r="AS29" i="8" s="1"/>
  <c r="BX29" i="8" s="1"/>
  <c r="BZ29" i="8" s="1"/>
  <c r="AV29" i="8"/>
  <c r="AW29" i="8" s="1"/>
  <c r="C28" i="8"/>
  <c r="CC31" i="11"/>
  <c r="CF31" i="11" s="1"/>
  <c r="CG30" i="11"/>
  <c r="D30" i="11" s="1"/>
  <c r="C30" i="11"/>
  <c r="AS32" i="11"/>
  <c r="AV32" i="3" l="1"/>
  <c r="AW32" i="3" s="1"/>
  <c r="AX32" i="3"/>
  <c r="AS32" i="3" s="1"/>
  <c r="CD31" i="3"/>
  <c r="CE31" i="3" s="1"/>
  <c r="CA31" i="3"/>
  <c r="CG33" i="7"/>
  <c r="D33" i="7" s="1"/>
  <c r="CC34" i="7"/>
  <c r="C33" i="7"/>
  <c r="AX36" i="7"/>
  <c r="AS36" i="7" s="1"/>
  <c r="AV36" i="7"/>
  <c r="AT36" i="7"/>
  <c r="CC32" i="11"/>
  <c r="CG31" i="11"/>
  <c r="D31" i="11" s="1"/>
  <c r="C31" i="11"/>
  <c r="CA35" i="7"/>
  <c r="CD35" i="7"/>
  <c r="AV34" i="6"/>
  <c r="AX34" i="6"/>
  <c r="AS34" i="6" s="1"/>
  <c r="BX34" i="6" s="1"/>
  <c r="BZ34" i="6" s="1"/>
  <c r="CG28" i="8"/>
  <c r="D28" i="8" s="1"/>
  <c r="CC29" i="8"/>
  <c r="BX31" i="9"/>
  <c r="BZ31" i="9" s="1"/>
  <c r="AT31" i="9"/>
  <c r="AT29" i="8"/>
  <c r="BX33" i="6"/>
  <c r="BZ33" i="6" s="1"/>
  <c r="CE34" i="7"/>
  <c r="CE35" i="7" s="1"/>
  <c r="BX32" i="11"/>
  <c r="BZ32" i="11" s="1"/>
  <c r="AT32" i="11"/>
  <c r="BX40" i="10"/>
  <c r="BZ40" i="10" s="1"/>
  <c r="CC33" i="6"/>
  <c r="CG32" i="6"/>
  <c r="D32" i="6" s="1"/>
  <c r="CA29" i="8"/>
  <c r="CD29" i="8"/>
  <c r="CE29" i="8" s="1"/>
  <c r="CF29" i="8"/>
  <c r="AX41" i="10"/>
  <c r="AS41" i="10" s="1"/>
  <c r="BX41" i="10" s="1"/>
  <c r="BZ41" i="10" s="1"/>
  <c r="AV41" i="10"/>
  <c r="CA34" i="7"/>
  <c r="CD34" i="7"/>
  <c r="CF34" i="7"/>
  <c r="CF31" i="3" l="1"/>
  <c r="C31" i="3"/>
  <c r="CC32" i="3"/>
  <c r="CG31" i="3"/>
  <c r="D31" i="3" s="1"/>
  <c r="BX32" i="3"/>
  <c r="BZ32" i="3" s="1"/>
  <c r="AT32" i="3"/>
  <c r="AX33" i="11"/>
  <c r="AS33" i="11" s="1"/>
  <c r="AT33" i="11"/>
  <c r="AV33" i="11"/>
  <c r="CD32" i="11"/>
  <c r="CE32" i="11" s="1"/>
  <c r="CF32" i="11"/>
  <c r="C32" i="11" s="1"/>
  <c r="CA32" i="11"/>
  <c r="CD41" i="10"/>
  <c r="CA41" i="10"/>
  <c r="CF41" i="10"/>
  <c r="CD31" i="9"/>
  <c r="CE31" i="9" s="1"/>
  <c r="CA31" i="9"/>
  <c r="CF31" i="9"/>
  <c r="CC30" i="8"/>
  <c r="CG29" i="8"/>
  <c r="CA33" i="6"/>
  <c r="CD33" i="6"/>
  <c r="CE33" i="6" s="1"/>
  <c r="CF33" i="6"/>
  <c r="AT41" i="10"/>
  <c r="BX36" i="7"/>
  <c r="BZ36" i="7" s="1"/>
  <c r="CA34" i="6"/>
  <c r="CD34" i="6"/>
  <c r="AX37" i="7"/>
  <c r="AS37" i="7" s="1"/>
  <c r="AV37" i="7"/>
  <c r="AT34" i="6"/>
  <c r="CD40" i="10"/>
  <c r="CE40" i="10" s="1"/>
  <c r="CE41" i="10" s="1"/>
  <c r="CA40" i="10"/>
  <c r="CF40" i="10"/>
  <c r="AX32" i="9"/>
  <c r="AV32" i="9"/>
  <c r="AW32" i="9" s="1"/>
  <c r="CC35" i="7"/>
  <c r="CF35" i="7" s="1"/>
  <c r="CG34" i="7"/>
  <c r="D34" i="7" s="1"/>
  <c r="C34" i="7"/>
  <c r="AX30" i="8"/>
  <c r="AS30" i="8" s="1"/>
  <c r="BX30" i="8" s="1"/>
  <c r="BZ30" i="8" s="1"/>
  <c r="AV30" i="8"/>
  <c r="D29" i="8"/>
  <c r="C29" i="8"/>
  <c r="AV33" i="3" l="1"/>
  <c r="AW33" i="3" s="1"/>
  <c r="AX33" i="3"/>
  <c r="AS33" i="3" s="1"/>
  <c r="CD32" i="3"/>
  <c r="CE32" i="3" s="1"/>
  <c r="CA32" i="3"/>
  <c r="CG31" i="9"/>
  <c r="D31" i="9" s="1"/>
  <c r="CC32" i="9"/>
  <c r="AX35" i="6"/>
  <c r="AS35" i="6" s="1"/>
  <c r="BX35" i="6" s="1"/>
  <c r="BZ35" i="6" s="1"/>
  <c r="AV35" i="6"/>
  <c r="AT30" i="8"/>
  <c r="BX37" i="7"/>
  <c r="BZ37" i="7" s="1"/>
  <c r="CC36" i="7"/>
  <c r="CF36" i="7" s="1"/>
  <c r="CG35" i="7"/>
  <c r="D35" i="7" s="1"/>
  <c r="C35" i="7"/>
  <c r="AV42" i="10"/>
  <c r="AX42" i="10"/>
  <c r="AS42" i="10" s="1"/>
  <c r="BX42" i="10" s="1"/>
  <c r="BZ42" i="10" s="1"/>
  <c r="AT42" i="10"/>
  <c r="C41" i="10"/>
  <c r="CG41" i="10"/>
  <c r="D41" i="10" s="1"/>
  <c r="CC42" i="10"/>
  <c r="CC34" i="6"/>
  <c r="CF34" i="6" s="1"/>
  <c r="CG33" i="6"/>
  <c r="D33" i="6" s="1"/>
  <c r="C33" i="6"/>
  <c r="CA30" i="8"/>
  <c r="CD30" i="8"/>
  <c r="CE30" i="8" s="1"/>
  <c r="AT37" i="7"/>
  <c r="C31" i="9"/>
  <c r="CG32" i="11"/>
  <c r="D32" i="11" s="1"/>
  <c r="CC33" i="11"/>
  <c r="AS32" i="9"/>
  <c r="CE34" i="6"/>
  <c r="CC41" i="10"/>
  <c r="CG40" i="10"/>
  <c r="D40" i="10" s="1"/>
  <c r="C40" i="10"/>
  <c r="AV34" i="11"/>
  <c r="AX34" i="11"/>
  <c r="AS34" i="11" s="1"/>
  <c r="BX34" i="11" s="1"/>
  <c r="BZ34" i="11" s="1"/>
  <c r="CD36" i="7"/>
  <c r="CE36" i="7" s="1"/>
  <c r="CA36" i="7"/>
  <c r="BX33" i="11"/>
  <c r="BZ33" i="11" s="1"/>
  <c r="BX33" i="3" l="1"/>
  <c r="BZ33" i="3" s="1"/>
  <c r="AT33" i="3"/>
  <c r="CF32" i="3"/>
  <c r="CC37" i="7"/>
  <c r="CG36" i="7"/>
  <c r="D36" i="7" s="1"/>
  <c r="C36" i="7"/>
  <c r="CC35" i="6"/>
  <c r="CG34" i="6"/>
  <c r="D34" i="6" s="1"/>
  <c r="C34" i="6"/>
  <c r="CA34" i="11"/>
  <c r="CD34" i="11"/>
  <c r="CD37" i="7"/>
  <c r="CE37" i="7" s="1"/>
  <c r="CF37" i="7"/>
  <c r="CA37" i="7"/>
  <c r="BX32" i="9"/>
  <c r="BZ32" i="9" s="1"/>
  <c r="AT32" i="9"/>
  <c r="CD33" i="11"/>
  <c r="CE33" i="11" s="1"/>
  <c r="CF33" i="11"/>
  <c r="CA33" i="11"/>
  <c r="AT35" i="6"/>
  <c r="CF42" i="10"/>
  <c r="CD42" i="10"/>
  <c r="CE42" i="10" s="1"/>
  <c r="CA42" i="10"/>
  <c r="CA35" i="6"/>
  <c r="CD35" i="6"/>
  <c r="CE35" i="6" s="1"/>
  <c r="AV38" i="7"/>
  <c r="AX38" i="7"/>
  <c r="AS38" i="7" s="1"/>
  <c r="BX38" i="7" s="1"/>
  <c r="BZ38" i="7" s="1"/>
  <c r="AX31" i="8"/>
  <c r="AS31" i="8" s="1"/>
  <c r="BX31" i="8" s="1"/>
  <c r="BZ31" i="8" s="1"/>
  <c r="C30" i="8"/>
  <c r="AV31" i="8"/>
  <c r="AV43" i="10"/>
  <c r="AX43" i="10"/>
  <c r="AS43" i="10" s="1"/>
  <c r="BX43" i="10" s="1"/>
  <c r="BZ43" i="10" s="1"/>
  <c r="C42" i="10"/>
  <c r="AT34" i="11"/>
  <c r="CF30" i="8"/>
  <c r="CG32" i="3" l="1"/>
  <c r="D32" i="3" s="1"/>
  <c r="CC33" i="3"/>
  <c r="C32" i="3"/>
  <c r="AV34" i="3"/>
  <c r="AW34" i="3" s="1"/>
  <c r="AX34" i="3"/>
  <c r="AS34" i="3" s="1"/>
  <c r="CD33" i="3"/>
  <c r="CE33" i="3" s="1"/>
  <c r="CA33" i="3"/>
  <c r="CF35" i="6"/>
  <c r="CA32" i="9"/>
  <c r="CD32" i="9"/>
  <c r="CE32" i="9" s="1"/>
  <c r="CE43" i="10"/>
  <c r="CA31" i="8"/>
  <c r="CD31" i="8"/>
  <c r="CE31" i="8" s="1"/>
  <c r="CG42" i="10"/>
  <c r="D42" i="10" s="1"/>
  <c r="CC43" i="10"/>
  <c r="AT31" i="8"/>
  <c r="AX33" i="9"/>
  <c r="AV33" i="9"/>
  <c r="CG37" i="7"/>
  <c r="D37" i="7" s="1"/>
  <c r="CC38" i="7"/>
  <c r="CC31" i="8"/>
  <c r="CG30" i="8"/>
  <c r="D30" i="8" s="1"/>
  <c r="CG33" i="11"/>
  <c r="D33" i="11" s="1"/>
  <c r="CC34" i="11"/>
  <c r="CF34" i="11" s="1"/>
  <c r="C33" i="11"/>
  <c r="CA38" i="7"/>
  <c r="CD38" i="7"/>
  <c r="CE38" i="7" s="1"/>
  <c r="CF38" i="7"/>
  <c r="CE34" i="11"/>
  <c r="CA43" i="10"/>
  <c r="CF43" i="10"/>
  <c r="CD43" i="10"/>
  <c r="AX36" i="6"/>
  <c r="AS36" i="6" s="1"/>
  <c r="AT36" i="6"/>
  <c r="AV36" i="6"/>
  <c r="C35" i="6"/>
  <c r="AV35" i="11"/>
  <c r="AX35" i="11"/>
  <c r="AS35" i="11" s="1"/>
  <c r="BX35" i="11" s="1"/>
  <c r="BZ35" i="11" s="1"/>
  <c r="C37" i="7"/>
  <c r="AT43" i="10"/>
  <c r="AT38" i="7"/>
  <c r="CF33" i="3" l="1"/>
  <c r="AT34" i="3"/>
  <c r="BX34" i="3"/>
  <c r="BZ34" i="3" s="1"/>
  <c r="CC35" i="11"/>
  <c r="CG34" i="11"/>
  <c r="D34" i="11" s="1"/>
  <c r="C34" i="11"/>
  <c r="AT35" i="11"/>
  <c r="CF31" i="8"/>
  <c r="CF32" i="9"/>
  <c r="BX36" i="6"/>
  <c r="BZ36" i="6" s="1"/>
  <c r="AS33" i="9"/>
  <c r="CC36" i="6"/>
  <c r="CG35" i="6"/>
  <c r="D35" i="6" s="1"/>
  <c r="AV37" i="6"/>
  <c r="AX37" i="6"/>
  <c r="AS37" i="6" s="1"/>
  <c r="BX37" i="6" s="1"/>
  <c r="BZ37" i="6" s="1"/>
  <c r="AT37" i="6"/>
  <c r="CC44" i="10"/>
  <c r="CG43" i="10"/>
  <c r="D43" i="10" s="1"/>
  <c r="CE35" i="11"/>
  <c r="CA35" i="11"/>
  <c r="CD35" i="11"/>
  <c r="CF35" i="11" s="1"/>
  <c r="AV39" i="7"/>
  <c r="C38" i="7"/>
  <c r="AX39" i="7"/>
  <c r="AS39" i="7" s="1"/>
  <c r="BX39" i="7" s="1"/>
  <c r="BZ39" i="7" s="1"/>
  <c r="AT39" i="7"/>
  <c r="AV44" i="10"/>
  <c r="C43" i="10"/>
  <c r="AX44" i="10"/>
  <c r="AS44" i="10" s="1"/>
  <c r="BX44" i="10" s="1"/>
  <c r="BZ44" i="10" s="1"/>
  <c r="CC39" i="7"/>
  <c r="CG38" i="7"/>
  <c r="D38" i="7" s="1"/>
  <c r="AX32" i="8"/>
  <c r="AV32" i="8"/>
  <c r="CA34" i="3" l="1"/>
  <c r="CD34" i="3"/>
  <c r="CE34" i="3" s="1"/>
  <c r="AV35" i="3"/>
  <c r="AW35" i="3" s="1"/>
  <c r="AX35" i="3"/>
  <c r="AS35" i="3" s="1"/>
  <c r="BX35" i="3" s="1"/>
  <c r="BZ35" i="3" s="1"/>
  <c r="CA35" i="3" s="1"/>
  <c r="C33" i="3"/>
  <c r="CC34" i="3"/>
  <c r="CF34" i="3" s="1"/>
  <c r="CG33" i="3"/>
  <c r="D33" i="3" s="1"/>
  <c r="CC36" i="11"/>
  <c r="CG35" i="11"/>
  <c r="BX33" i="9"/>
  <c r="BZ33" i="9" s="1"/>
  <c r="AT33" i="9"/>
  <c r="CD36" i="6"/>
  <c r="CE36" i="6" s="1"/>
  <c r="CE37" i="6" s="1"/>
  <c r="CF36" i="6"/>
  <c r="CA36" i="6"/>
  <c r="CF37" i="6" s="1"/>
  <c r="CA44" i="10"/>
  <c r="CF44" i="10"/>
  <c r="CD44" i="10"/>
  <c r="CE44" i="10" s="1"/>
  <c r="AT44" i="10"/>
  <c r="AV40" i="7"/>
  <c r="AX40" i="7"/>
  <c r="AS40" i="7" s="1"/>
  <c r="BX40" i="7" s="1"/>
  <c r="BZ40" i="7" s="1"/>
  <c r="CC32" i="8"/>
  <c r="CG31" i="8"/>
  <c r="D31" i="8" s="1"/>
  <c r="D35" i="11"/>
  <c r="C35" i="11"/>
  <c r="AX36" i="11"/>
  <c r="AS36" i="11" s="1"/>
  <c r="BX36" i="11" s="1"/>
  <c r="BZ36" i="11" s="1"/>
  <c r="AT36" i="11"/>
  <c r="AV36" i="11"/>
  <c r="CG32" i="9"/>
  <c r="D32" i="9" s="1"/>
  <c r="CC33" i="9"/>
  <c r="C32" i="9"/>
  <c r="CD37" i="6"/>
  <c r="CF39" i="7"/>
  <c r="CD39" i="7"/>
  <c r="CE39" i="7" s="1"/>
  <c r="CA39" i="7"/>
  <c r="AV38" i="6"/>
  <c r="AX38" i="6"/>
  <c r="AS38" i="6" s="1"/>
  <c r="AT38" i="6" s="1"/>
  <c r="AS32" i="8"/>
  <c r="C31" i="8"/>
  <c r="CG34" i="3" l="1"/>
  <c r="D34" i="3" s="1"/>
  <c r="CC35" i="3"/>
  <c r="C34" i="3"/>
  <c r="AT35" i="3"/>
  <c r="CD35" i="3"/>
  <c r="CE35" i="3" s="1"/>
  <c r="CG37" i="6"/>
  <c r="CC38" i="6"/>
  <c r="AX39" i="6"/>
  <c r="AS39" i="6" s="1"/>
  <c r="AV39" i="6"/>
  <c r="AT39" i="6"/>
  <c r="CA36" i="11"/>
  <c r="CD36" i="11"/>
  <c r="CE36" i="11" s="1"/>
  <c r="CF36" i="11"/>
  <c r="CD33" i="9"/>
  <c r="CE33" i="9" s="1"/>
  <c r="CF33" i="9"/>
  <c r="CA33" i="9"/>
  <c r="C36" i="11"/>
  <c r="AV37" i="11"/>
  <c r="AX37" i="11"/>
  <c r="AS37" i="11" s="1"/>
  <c r="BX37" i="11" s="1"/>
  <c r="BZ37" i="11" s="1"/>
  <c r="AT37" i="11"/>
  <c r="CA37" i="6"/>
  <c r="C37" i="6" s="1"/>
  <c r="CF40" i="7"/>
  <c r="CD40" i="7"/>
  <c r="CA40" i="7"/>
  <c r="CE40" i="7"/>
  <c r="CC40" i="7"/>
  <c r="CG39" i="7"/>
  <c r="D39" i="7" s="1"/>
  <c r="C44" i="10"/>
  <c r="AX45" i="10"/>
  <c r="AS45" i="10" s="1"/>
  <c r="AT45" i="10"/>
  <c r="D44" i="10"/>
  <c r="AV45" i="10"/>
  <c r="BX38" i="6"/>
  <c r="BZ38" i="6" s="1"/>
  <c r="AV34" i="9"/>
  <c r="AX34" i="9"/>
  <c r="AS34" i="9" s="1"/>
  <c r="AT34" i="9"/>
  <c r="C33" i="9"/>
  <c r="C39" i="7"/>
  <c r="AT40" i="7"/>
  <c r="CG36" i="6"/>
  <c r="D36" i="6" s="1"/>
  <c r="CC37" i="6"/>
  <c r="C36" i="6"/>
  <c r="BX32" i="8"/>
  <c r="BZ32" i="8" s="1"/>
  <c r="AT32" i="8"/>
  <c r="CG44" i="10"/>
  <c r="CC45" i="10"/>
  <c r="AX36" i="3" l="1"/>
  <c r="AV36" i="3"/>
  <c r="AW36" i="3" s="1"/>
  <c r="CF35" i="3"/>
  <c r="BX45" i="10"/>
  <c r="BZ45" i="10" s="1"/>
  <c r="AT40" i="6"/>
  <c r="AV40" i="6"/>
  <c r="AX40" i="6"/>
  <c r="AS40" i="6" s="1"/>
  <c r="AX46" i="10"/>
  <c r="AS46" i="10" s="1"/>
  <c r="BX46" i="10" s="1"/>
  <c r="BZ46" i="10" s="1"/>
  <c r="AV46" i="10"/>
  <c r="AX41" i="7"/>
  <c r="AS41" i="7" s="1"/>
  <c r="AT41" i="7"/>
  <c r="C40" i="7"/>
  <c r="AV41" i="7"/>
  <c r="CG33" i="9"/>
  <c r="D33" i="9" s="1"/>
  <c r="CC34" i="9"/>
  <c r="CG36" i="11"/>
  <c r="D36" i="11" s="1"/>
  <c r="CC37" i="11"/>
  <c r="CF37" i="11" s="1"/>
  <c r="CC41" i="7"/>
  <c r="CG40" i="7"/>
  <c r="D40" i="7" s="1"/>
  <c r="BX39" i="6"/>
  <c r="BZ39" i="6" s="1"/>
  <c r="CA32" i="8"/>
  <c r="CD32" i="8"/>
  <c r="CE32" i="8" s="1"/>
  <c r="CF32" i="8"/>
  <c r="CA37" i="11"/>
  <c r="CD37" i="11"/>
  <c r="CE37" i="11" s="1"/>
  <c r="AT35" i="9"/>
  <c r="AV35" i="9"/>
  <c r="AX35" i="9"/>
  <c r="AS35" i="9" s="1"/>
  <c r="CD38" i="6"/>
  <c r="CE38" i="6" s="1"/>
  <c r="CA38" i="6"/>
  <c r="CF38" i="6"/>
  <c r="BX34" i="9"/>
  <c r="BZ34" i="9" s="1"/>
  <c r="AV33" i="8"/>
  <c r="AX33" i="8"/>
  <c r="AS33" i="8" s="1"/>
  <c r="BX33" i="8" s="1"/>
  <c r="BZ33" i="8" s="1"/>
  <c r="C32" i="8"/>
  <c r="AX38" i="11"/>
  <c r="AS38" i="11" s="1"/>
  <c r="BX38" i="11" s="1"/>
  <c r="BZ38" i="11" s="1"/>
  <c r="AT38" i="11"/>
  <c r="AV38" i="11"/>
  <c r="D37" i="6"/>
  <c r="AS36" i="3" l="1"/>
  <c r="CG35" i="3"/>
  <c r="D35" i="3" s="1"/>
  <c r="CC36" i="3"/>
  <c r="C35" i="3"/>
  <c r="AT36" i="3"/>
  <c r="BX36" i="3"/>
  <c r="BZ36" i="3" s="1"/>
  <c r="CG37" i="11"/>
  <c r="D37" i="11" s="1"/>
  <c r="CC38" i="11"/>
  <c r="C37" i="11"/>
  <c r="BX35" i="9"/>
  <c r="BZ35" i="9" s="1"/>
  <c r="CD39" i="6"/>
  <c r="CA39" i="6"/>
  <c r="CF39" i="6"/>
  <c r="AX36" i="9"/>
  <c r="AS36" i="9" s="1"/>
  <c r="AT36" i="9"/>
  <c r="AV36" i="9"/>
  <c r="CA46" i="10"/>
  <c r="CF46" i="10"/>
  <c r="CD46" i="10"/>
  <c r="AT33" i="8"/>
  <c r="CA33" i="8"/>
  <c r="CD33" i="8"/>
  <c r="CF33" i="8"/>
  <c r="CA38" i="11"/>
  <c r="CF38" i="11"/>
  <c r="C38" i="11" s="1"/>
  <c r="CD38" i="11"/>
  <c r="CE38" i="11" s="1"/>
  <c r="BX41" i="7"/>
  <c r="BZ41" i="7" s="1"/>
  <c r="CD34" i="9"/>
  <c r="CE34" i="9" s="1"/>
  <c r="CA34" i="9"/>
  <c r="CF34" i="9"/>
  <c r="CA45" i="10"/>
  <c r="CF45" i="10"/>
  <c r="CD45" i="10"/>
  <c r="CE45" i="10" s="1"/>
  <c r="AX41" i="6"/>
  <c r="AS41" i="6" s="1"/>
  <c r="BX41" i="6" s="1"/>
  <c r="BZ41" i="6" s="1"/>
  <c r="AV41" i="6"/>
  <c r="AV42" i="7"/>
  <c r="AX42" i="7"/>
  <c r="AS42" i="7" s="1"/>
  <c r="BX42" i="7" s="1"/>
  <c r="BZ42" i="7" s="1"/>
  <c r="CG32" i="8"/>
  <c r="D32" i="8" s="1"/>
  <c r="CC33" i="8"/>
  <c r="CE33" i="8"/>
  <c r="AX39" i="11"/>
  <c r="AS39" i="11" s="1"/>
  <c r="AV39" i="11"/>
  <c r="AT39" i="11"/>
  <c r="BX40" i="6"/>
  <c r="BZ40" i="6" s="1"/>
  <c r="CG38" i="6"/>
  <c r="D38" i="6" s="1"/>
  <c r="CC39" i="6"/>
  <c r="C38" i="6"/>
  <c r="CE39" i="6"/>
  <c r="AT46" i="10"/>
  <c r="AX37" i="3" l="1"/>
  <c r="AV37" i="3"/>
  <c r="AW37" i="3" s="1"/>
  <c r="CD36" i="3"/>
  <c r="CE36" i="3" s="1"/>
  <c r="CA36" i="3"/>
  <c r="CF36" i="3"/>
  <c r="CD42" i="7"/>
  <c r="CC47" i="10"/>
  <c r="CD40" i="6"/>
  <c r="CA40" i="6"/>
  <c r="CA41" i="6" s="1"/>
  <c r="CF40" i="6"/>
  <c r="CC35" i="9"/>
  <c r="CG34" i="9"/>
  <c r="D34" i="9" s="1"/>
  <c r="C34" i="9"/>
  <c r="CC39" i="11"/>
  <c r="CG38" i="11"/>
  <c r="D38" i="11" s="1"/>
  <c r="CD41" i="7"/>
  <c r="CE41" i="7" s="1"/>
  <c r="CE42" i="7" s="1"/>
  <c r="CF41" i="7"/>
  <c r="CA41" i="7"/>
  <c r="CA42" i="7" s="1"/>
  <c r="AX47" i="10"/>
  <c r="AS47" i="10" s="1"/>
  <c r="AV47" i="10"/>
  <c r="C46" i="10"/>
  <c r="AT47" i="10"/>
  <c r="AT41" i="6"/>
  <c r="CA35" i="9"/>
  <c r="CD35" i="9"/>
  <c r="CE35" i="9" s="1"/>
  <c r="AV37" i="9"/>
  <c r="AX37" i="9"/>
  <c r="AS37" i="9" s="1"/>
  <c r="AT37" i="9"/>
  <c r="CD41" i="6"/>
  <c r="CE46" i="10"/>
  <c r="CG46" i="10" s="1"/>
  <c r="D46" i="10" s="1"/>
  <c r="CG45" i="10"/>
  <c r="D45" i="10" s="1"/>
  <c r="CC46" i="10"/>
  <c r="C45" i="10"/>
  <c r="CC34" i="8"/>
  <c r="CG33" i="8"/>
  <c r="D33" i="8" s="1"/>
  <c r="CE40" i="6"/>
  <c r="CE41" i="6" s="1"/>
  <c r="BX36" i="9"/>
  <c r="BZ36" i="9" s="1"/>
  <c r="AV34" i="8"/>
  <c r="C33" i="8"/>
  <c r="AX34" i="8"/>
  <c r="AS34" i="8" s="1"/>
  <c r="BX34" i="8" s="1"/>
  <c r="BZ34" i="8" s="1"/>
  <c r="CG39" i="6"/>
  <c r="D39" i="6" s="1"/>
  <c r="CC40" i="6"/>
  <c r="C39" i="6"/>
  <c r="AV40" i="11"/>
  <c r="AX40" i="11"/>
  <c r="AS40" i="11" s="1"/>
  <c r="AT40" i="11"/>
  <c r="BX39" i="11"/>
  <c r="BZ39" i="11" s="1"/>
  <c r="AT42" i="7"/>
  <c r="AS37" i="3" l="1"/>
  <c r="AT37" i="3" s="1"/>
  <c r="CG36" i="3"/>
  <c r="D36" i="3" s="1"/>
  <c r="CC37" i="3"/>
  <c r="C36" i="3"/>
  <c r="AV38" i="3"/>
  <c r="AW38" i="3" s="1"/>
  <c r="AX38" i="3"/>
  <c r="AS38" i="3" s="1"/>
  <c r="BX38" i="3" s="1"/>
  <c r="BZ38" i="3" s="1"/>
  <c r="BX37" i="3"/>
  <c r="BZ37" i="3" s="1"/>
  <c r="CE36" i="9"/>
  <c r="CA39" i="11"/>
  <c r="CF39" i="11"/>
  <c r="CD39" i="11"/>
  <c r="CE39" i="11" s="1"/>
  <c r="CC41" i="6"/>
  <c r="CG40" i="6"/>
  <c r="D40" i="6" s="1"/>
  <c r="C40" i="6"/>
  <c r="AV48" i="10"/>
  <c r="AX48" i="10"/>
  <c r="AS48" i="10" s="1"/>
  <c r="BX48" i="10" s="1"/>
  <c r="BZ48" i="10" s="1"/>
  <c r="AT48" i="10"/>
  <c r="CA36" i="9"/>
  <c r="CD36" i="9"/>
  <c r="CF41" i="6"/>
  <c r="CF35" i="9"/>
  <c r="BX47" i="10"/>
  <c r="BZ47" i="10" s="1"/>
  <c r="BX40" i="11"/>
  <c r="BZ40" i="11" s="1"/>
  <c r="AV42" i="6"/>
  <c r="AX42" i="6"/>
  <c r="AS42" i="6" s="1"/>
  <c r="AT42" i="6"/>
  <c r="CF42" i="7"/>
  <c r="CG41" i="7"/>
  <c r="D41" i="7" s="1"/>
  <c r="CC42" i="7"/>
  <c r="C41" i="7"/>
  <c r="AX38" i="9"/>
  <c r="AS38" i="9" s="1"/>
  <c r="AT38" i="9"/>
  <c r="AV38" i="9"/>
  <c r="AX41" i="11"/>
  <c r="AS41" i="11" s="1"/>
  <c r="BX41" i="11" s="1"/>
  <c r="BZ41" i="11" s="1"/>
  <c r="AV41" i="11"/>
  <c r="CA34" i="8"/>
  <c r="CD34" i="8"/>
  <c r="CE34" i="8" s="1"/>
  <c r="CF34" i="8"/>
  <c r="AV43" i="7"/>
  <c r="AX43" i="7"/>
  <c r="AS43" i="7" s="1"/>
  <c r="BX43" i="7" s="1"/>
  <c r="BZ43" i="7" s="1"/>
  <c r="C42" i="7"/>
  <c r="AT34" i="8"/>
  <c r="BX37" i="9"/>
  <c r="BZ37" i="9" s="1"/>
  <c r="AT38" i="3" l="1"/>
  <c r="CD38" i="3"/>
  <c r="CD37" i="3"/>
  <c r="CE37" i="3" s="1"/>
  <c r="CE38" i="3" s="1"/>
  <c r="CA37" i="3"/>
  <c r="CF37" i="3"/>
  <c r="AV43" i="6"/>
  <c r="AX43" i="6"/>
  <c r="AS43" i="6" s="1"/>
  <c r="BX43" i="6" s="1"/>
  <c r="BZ43" i="6" s="1"/>
  <c r="AT43" i="6"/>
  <c r="BX42" i="6"/>
  <c r="BZ42" i="6" s="1"/>
  <c r="AX35" i="8"/>
  <c r="AS35" i="8" s="1"/>
  <c r="AT35" i="8"/>
  <c r="C34" i="8"/>
  <c r="AV35" i="8"/>
  <c r="D34" i="8"/>
  <c r="CD37" i="9"/>
  <c r="CA37" i="9"/>
  <c r="CG39" i="11"/>
  <c r="D39" i="11" s="1"/>
  <c r="CC40" i="11"/>
  <c r="C39" i="11"/>
  <c r="BX38" i="9"/>
  <c r="BZ38" i="9" s="1"/>
  <c r="CA40" i="11"/>
  <c r="CA41" i="11" s="1"/>
  <c r="CD40" i="11"/>
  <c r="CE40" i="11" s="1"/>
  <c r="CE41" i="11" s="1"/>
  <c r="CF40" i="11"/>
  <c r="CE37" i="9"/>
  <c r="CD48" i="10"/>
  <c r="CD43" i="7"/>
  <c r="CE43" i="7" s="1"/>
  <c r="CF43" i="7"/>
  <c r="CA43" i="7"/>
  <c r="CD41" i="11"/>
  <c r="AV49" i="10"/>
  <c r="AX49" i="10"/>
  <c r="AS49" i="10" s="1"/>
  <c r="BX49" i="10" s="1"/>
  <c r="BZ49" i="10" s="1"/>
  <c r="AT49" i="10"/>
  <c r="CA47" i="10"/>
  <c r="CA48" i="10" s="1"/>
  <c r="CF47" i="10"/>
  <c r="CD47" i="10"/>
  <c r="CE47" i="10" s="1"/>
  <c r="CG42" i="7"/>
  <c r="D42" i="7" s="1"/>
  <c r="CC43" i="7"/>
  <c r="CG41" i="6"/>
  <c r="D41" i="6" s="1"/>
  <c r="CC42" i="6"/>
  <c r="C41" i="6"/>
  <c r="AX39" i="9"/>
  <c r="AS39" i="9" s="1"/>
  <c r="AV39" i="9"/>
  <c r="AT39" i="9"/>
  <c r="AT43" i="7"/>
  <c r="CC35" i="8"/>
  <c r="CG34" i="8"/>
  <c r="CC36" i="9"/>
  <c r="CF36" i="9" s="1"/>
  <c r="CG35" i="9"/>
  <c r="D35" i="9" s="1"/>
  <c r="C35" i="9"/>
  <c r="AT41" i="11"/>
  <c r="CF38" i="3" l="1"/>
  <c r="CC39" i="3" s="1"/>
  <c r="CA38" i="3"/>
  <c r="CC38" i="3"/>
  <c r="CG37" i="3"/>
  <c r="D37" i="3" s="1"/>
  <c r="C37" i="3"/>
  <c r="AX39" i="3"/>
  <c r="AS39" i="3" s="1"/>
  <c r="AV39" i="3"/>
  <c r="AW39" i="3" s="1"/>
  <c r="C38" i="3"/>
  <c r="CC37" i="9"/>
  <c r="CG36" i="9"/>
  <c r="D36" i="9" s="1"/>
  <c r="C36" i="9"/>
  <c r="CF37" i="9"/>
  <c r="CD49" i="10"/>
  <c r="CA49" i="10"/>
  <c r="C49" i="10" s="1"/>
  <c r="CF49" i="10"/>
  <c r="CC48" i="10"/>
  <c r="CG47" i="10"/>
  <c r="D47" i="10" s="1"/>
  <c r="C47" i="10"/>
  <c r="AT44" i="7"/>
  <c r="AV44" i="7"/>
  <c r="C43" i="7"/>
  <c r="AX44" i="7"/>
  <c r="AS44" i="7" s="1"/>
  <c r="BX44" i="7" s="1"/>
  <c r="BZ44" i="7" s="1"/>
  <c r="AX50" i="10"/>
  <c r="AS50" i="10" s="1"/>
  <c r="AT50" i="10"/>
  <c r="AV50" i="10"/>
  <c r="AT40" i="9"/>
  <c r="AV40" i="9"/>
  <c r="AX40" i="9"/>
  <c r="AS40" i="9" s="1"/>
  <c r="BX39" i="9"/>
  <c r="BZ39" i="9" s="1"/>
  <c r="CG40" i="11"/>
  <c r="D40" i="11" s="1"/>
  <c r="CC41" i="11"/>
  <c r="C40" i="11"/>
  <c r="CF41" i="11"/>
  <c r="AX36" i="8"/>
  <c r="AS36" i="8" s="1"/>
  <c r="AV36" i="8"/>
  <c r="AX44" i="6"/>
  <c r="AS44" i="6" s="1"/>
  <c r="AT44" i="6"/>
  <c r="AV44" i="6"/>
  <c r="BX35" i="8"/>
  <c r="BZ35" i="8" s="1"/>
  <c r="CF43" i="6"/>
  <c r="CD43" i="6"/>
  <c r="CA38" i="9"/>
  <c r="CD38" i="9"/>
  <c r="CE38" i="9" s="1"/>
  <c r="CD42" i="6"/>
  <c r="CE42" i="6" s="1"/>
  <c r="CE43" i="6" s="1"/>
  <c r="CA42" i="6"/>
  <c r="CA43" i="6" s="1"/>
  <c r="CF42" i="6"/>
  <c r="CG43" i="7"/>
  <c r="D43" i="7" s="1"/>
  <c r="CC44" i="7"/>
  <c r="C41" i="11"/>
  <c r="AV42" i="11"/>
  <c r="AX42" i="11"/>
  <c r="AS42" i="11" s="1"/>
  <c r="BX42" i="11" s="1"/>
  <c r="BZ42" i="11" s="1"/>
  <c r="AT42" i="11"/>
  <c r="CF48" i="10"/>
  <c r="CE48" i="10"/>
  <c r="CG38" i="3" l="1"/>
  <c r="D38" i="3"/>
  <c r="AT39" i="3"/>
  <c r="BX39" i="3"/>
  <c r="BZ39" i="3" s="1"/>
  <c r="AX45" i="7"/>
  <c r="AS45" i="7" s="1"/>
  <c r="AT45" i="7"/>
  <c r="AV45" i="7"/>
  <c r="AV45" i="6"/>
  <c r="AX45" i="6"/>
  <c r="AS45" i="6" s="1"/>
  <c r="BX45" i="6" s="1"/>
  <c r="BZ45" i="6" s="1"/>
  <c r="CC43" i="6"/>
  <c r="CG42" i="6"/>
  <c r="D42" i="6" s="1"/>
  <c r="C42" i="6"/>
  <c r="AX51" i="10"/>
  <c r="AS51" i="10" s="1"/>
  <c r="AT51" i="10"/>
  <c r="AV51" i="10"/>
  <c r="BX44" i="6"/>
  <c r="BZ44" i="6" s="1"/>
  <c r="CG41" i="11"/>
  <c r="D41" i="11" s="1"/>
  <c r="CC42" i="11"/>
  <c r="BX50" i="10"/>
  <c r="BZ50" i="10" s="1"/>
  <c r="AX41" i="9"/>
  <c r="AS41" i="9" s="1"/>
  <c r="BX41" i="9" s="1"/>
  <c r="BZ41" i="9" s="1"/>
  <c r="AV41" i="9"/>
  <c r="CG49" i="10"/>
  <c r="D49" i="10" s="1"/>
  <c r="CC50" i="10"/>
  <c r="BX36" i="8"/>
  <c r="BZ36" i="8" s="1"/>
  <c r="CG48" i="10"/>
  <c r="D48" i="10" s="1"/>
  <c r="CC49" i="10"/>
  <c r="C48" i="10"/>
  <c r="CC38" i="9"/>
  <c r="CF38" i="9" s="1"/>
  <c r="CF39" i="9" s="1"/>
  <c r="CG37" i="9"/>
  <c r="D37" i="9" s="1"/>
  <c r="C37" i="9"/>
  <c r="CA44" i="7"/>
  <c r="CF44" i="7"/>
  <c r="CD44" i="7"/>
  <c r="CE44" i="7" s="1"/>
  <c r="CC44" i="6"/>
  <c r="CG43" i="6"/>
  <c r="D43" i="6" s="1"/>
  <c r="AV43" i="11"/>
  <c r="AX43" i="11"/>
  <c r="AS43" i="11" s="1"/>
  <c r="BX43" i="11" s="1"/>
  <c r="BZ43" i="11" s="1"/>
  <c r="CF42" i="11"/>
  <c r="CD42" i="11"/>
  <c r="CE42" i="11" s="1"/>
  <c r="CA42" i="11"/>
  <c r="CD39" i="9"/>
  <c r="CE39" i="9" s="1"/>
  <c r="AT36" i="8"/>
  <c r="CE49" i="10"/>
  <c r="CA35" i="8"/>
  <c r="CD35" i="8"/>
  <c r="CE35" i="8" s="1"/>
  <c r="C43" i="6"/>
  <c r="BX40" i="9"/>
  <c r="BZ40" i="9" s="1"/>
  <c r="CD39" i="3" l="1"/>
  <c r="CE39" i="3" s="1"/>
  <c r="CA39" i="3"/>
  <c r="CF39" i="3"/>
  <c r="AX40" i="3"/>
  <c r="AS40" i="3" s="1"/>
  <c r="BX40" i="3" s="1"/>
  <c r="BZ40" i="3" s="1"/>
  <c r="AV40" i="3"/>
  <c r="AW40" i="3" s="1"/>
  <c r="C39" i="3"/>
  <c r="CC40" i="9"/>
  <c r="CG39" i="9"/>
  <c r="CG44" i="7"/>
  <c r="D44" i="7" s="1"/>
  <c r="CC45" i="7"/>
  <c r="CD41" i="9"/>
  <c r="CC39" i="9"/>
  <c r="CG38" i="9"/>
  <c r="D38" i="9" s="1"/>
  <c r="C38" i="9"/>
  <c r="CF45" i="6"/>
  <c r="CD45" i="6"/>
  <c r="CA43" i="11"/>
  <c r="CF43" i="11"/>
  <c r="CD43" i="11"/>
  <c r="CE43" i="11" s="1"/>
  <c r="CF50" i="10"/>
  <c r="CD50" i="10"/>
  <c r="CA50" i="10"/>
  <c r="CC43" i="11"/>
  <c r="CG42" i="11"/>
  <c r="D42" i="11" s="1"/>
  <c r="CD40" i="9"/>
  <c r="CE40" i="9" s="1"/>
  <c r="CE41" i="9" s="1"/>
  <c r="C44" i="7"/>
  <c r="CA39" i="9"/>
  <c r="C39" i="9" s="1"/>
  <c r="CD36" i="8"/>
  <c r="CE36" i="8" s="1"/>
  <c r="CA36" i="8"/>
  <c r="AX52" i="10"/>
  <c r="AS52" i="10" s="1"/>
  <c r="AT52" i="10"/>
  <c r="AV52" i="10"/>
  <c r="AX46" i="7"/>
  <c r="AS46" i="7" s="1"/>
  <c r="AT46" i="7"/>
  <c r="AV46" i="7"/>
  <c r="AT45" i="6"/>
  <c r="CF35" i="8"/>
  <c r="BX45" i="7"/>
  <c r="BZ45" i="7" s="1"/>
  <c r="CE50" i="10"/>
  <c r="BX51" i="10"/>
  <c r="BZ51" i="10" s="1"/>
  <c r="CA44" i="6"/>
  <c r="CF44" i="6"/>
  <c r="CA45" i="6" s="1"/>
  <c r="CD44" i="6"/>
  <c r="CE44" i="6" s="1"/>
  <c r="CE45" i="6" s="1"/>
  <c r="C42" i="11"/>
  <c r="AT43" i="11"/>
  <c r="AX37" i="8"/>
  <c r="AS37" i="8" s="1"/>
  <c r="AV37" i="8"/>
  <c r="AT37" i="8"/>
  <c r="AT41" i="9"/>
  <c r="AT40" i="3" l="1"/>
  <c r="CD40" i="3"/>
  <c r="CA40" i="3"/>
  <c r="CF40" i="3"/>
  <c r="CC40" i="3"/>
  <c r="CG39" i="3"/>
  <c r="D39" i="3" s="1"/>
  <c r="AV41" i="3"/>
  <c r="AW41" i="3" s="1"/>
  <c r="AX41" i="3"/>
  <c r="AS41" i="3" s="1"/>
  <c r="CE40" i="3"/>
  <c r="CC46" i="6"/>
  <c r="CG45" i="6"/>
  <c r="D45" i="6" s="1"/>
  <c r="AX47" i="7"/>
  <c r="AS47" i="7" s="1"/>
  <c r="AT47" i="7"/>
  <c r="AV47" i="7"/>
  <c r="CA40" i="9"/>
  <c r="CF40" i="9"/>
  <c r="AV42" i="9"/>
  <c r="AX42" i="9"/>
  <c r="AS42" i="9" s="1"/>
  <c r="BX42" i="9" s="1"/>
  <c r="BZ42" i="9" s="1"/>
  <c r="AT42" i="9"/>
  <c r="CA51" i="10"/>
  <c r="CF51" i="10"/>
  <c r="CD51" i="10"/>
  <c r="CE51" i="10"/>
  <c r="BX52" i="10"/>
  <c r="BZ52" i="10" s="1"/>
  <c r="CA45" i="7"/>
  <c r="CF45" i="7"/>
  <c r="CD45" i="7"/>
  <c r="CE45" i="7" s="1"/>
  <c r="CC45" i="6"/>
  <c r="CG44" i="6"/>
  <c r="D44" i="6" s="1"/>
  <c r="C44" i="6"/>
  <c r="CC36" i="8"/>
  <c r="CF36" i="8" s="1"/>
  <c r="CG35" i="8"/>
  <c r="D35" i="8" s="1"/>
  <c r="C35" i="8"/>
  <c r="CC44" i="11"/>
  <c r="CG43" i="11"/>
  <c r="BX46" i="7"/>
  <c r="BZ46" i="7" s="1"/>
  <c r="CC51" i="10"/>
  <c r="CG50" i="10"/>
  <c r="D50" i="10" s="1"/>
  <c r="C50" i="10"/>
  <c r="AX46" i="6"/>
  <c r="AS46" i="6" s="1"/>
  <c r="AT46" i="6"/>
  <c r="AV46" i="6"/>
  <c r="C45" i="6"/>
  <c r="D39" i="9"/>
  <c r="AV38" i="8"/>
  <c r="AX38" i="8"/>
  <c r="AS38" i="8" s="1"/>
  <c r="BX38" i="8" s="1"/>
  <c r="BZ38" i="8" s="1"/>
  <c r="BX37" i="8"/>
  <c r="BZ37" i="8" s="1"/>
  <c r="AX44" i="11"/>
  <c r="AS44" i="11" s="1"/>
  <c r="AT44" i="11"/>
  <c r="AV44" i="11"/>
  <c r="D43" i="11"/>
  <c r="C43" i="11"/>
  <c r="AT41" i="3" l="1"/>
  <c r="BX41" i="3"/>
  <c r="BZ41" i="3" s="1"/>
  <c r="C40" i="3"/>
  <c r="CC41" i="3"/>
  <c r="CG40" i="3"/>
  <c r="D40" i="3" s="1"/>
  <c r="CC37" i="8"/>
  <c r="CG36" i="8"/>
  <c r="D36" i="8" s="1"/>
  <c r="C36" i="8"/>
  <c r="CD42" i="9"/>
  <c r="CE42" i="9" s="1"/>
  <c r="AV45" i="11"/>
  <c r="AX45" i="11"/>
  <c r="AS45" i="11" s="1"/>
  <c r="BX45" i="11" s="1"/>
  <c r="BZ45" i="11" s="1"/>
  <c r="AT45" i="11"/>
  <c r="CF41" i="9"/>
  <c r="CA41" i="9"/>
  <c r="CF42" i="9" s="1"/>
  <c r="BX44" i="11"/>
  <c r="BZ44" i="11" s="1"/>
  <c r="CG45" i="7"/>
  <c r="D45" i="7" s="1"/>
  <c r="CC46" i="7"/>
  <c r="C45" i="7"/>
  <c r="CD38" i="8"/>
  <c r="CD46" i="7"/>
  <c r="CA46" i="7"/>
  <c r="CF46" i="7"/>
  <c r="AX47" i="6"/>
  <c r="AS47" i="6" s="1"/>
  <c r="BX47" i="6" s="1"/>
  <c r="BZ47" i="6" s="1"/>
  <c r="AV47" i="6"/>
  <c r="CC41" i="9"/>
  <c r="CG40" i="9"/>
  <c r="D40" i="9" s="1"/>
  <c r="C40" i="9"/>
  <c r="AV48" i="7"/>
  <c r="AX48" i="7"/>
  <c r="AS48" i="7" s="1"/>
  <c r="BX48" i="7" s="1"/>
  <c r="BZ48" i="7" s="1"/>
  <c r="BX46" i="6"/>
  <c r="BZ46" i="6" s="1"/>
  <c r="CF52" i="10"/>
  <c r="CD52" i="10"/>
  <c r="CE52" i="10" s="1"/>
  <c r="CA52" i="10"/>
  <c r="CG51" i="10"/>
  <c r="D51" i="10" s="1"/>
  <c r="CC52" i="10"/>
  <c r="C51" i="10"/>
  <c r="AV43" i="9"/>
  <c r="AX43" i="9"/>
  <c r="AS43" i="9" s="1"/>
  <c r="BX43" i="9" s="1"/>
  <c r="BZ43" i="9" s="1"/>
  <c r="CE46" i="7"/>
  <c r="CD37" i="8"/>
  <c r="CE37" i="8" s="1"/>
  <c r="CE38" i="8" s="1"/>
  <c r="CA37" i="8"/>
  <c r="CA38" i="8" s="1"/>
  <c r="CF37" i="8"/>
  <c r="BX47" i="7"/>
  <c r="BZ47" i="7" s="1"/>
  <c r="AT38" i="8"/>
  <c r="CA41" i="3" l="1"/>
  <c r="CD41" i="3"/>
  <c r="CE41" i="3" s="1"/>
  <c r="CF41" i="3"/>
  <c r="AV42" i="3"/>
  <c r="AW42" i="3" s="1"/>
  <c r="AX42" i="3"/>
  <c r="AS42" i="3" s="1"/>
  <c r="BX42" i="3" s="1"/>
  <c r="BZ42" i="3" s="1"/>
  <c r="C41" i="3"/>
  <c r="CG42" i="9"/>
  <c r="CC43" i="9"/>
  <c r="CA47" i="7"/>
  <c r="CA48" i="7" s="1"/>
  <c r="CF47" i="7"/>
  <c r="CD47" i="7"/>
  <c r="CE47" i="7" s="1"/>
  <c r="CE48" i="7" s="1"/>
  <c r="CG41" i="9"/>
  <c r="D41" i="9" s="1"/>
  <c r="CC42" i="9"/>
  <c r="C41" i="9"/>
  <c r="AX46" i="11"/>
  <c r="AS46" i="11" s="1"/>
  <c r="BX46" i="11" s="1"/>
  <c r="BZ46" i="11" s="1"/>
  <c r="AV46" i="11"/>
  <c r="AT43" i="9"/>
  <c r="AX39" i="8"/>
  <c r="AS39" i="8" s="1"/>
  <c r="AT39" i="8"/>
  <c r="AV39" i="8"/>
  <c r="C38" i="8"/>
  <c r="CA44" i="11"/>
  <c r="CF44" i="11"/>
  <c r="CA45" i="11" s="1"/>
  <c r="CD44" i="11"/>
  <c r="CE44" i="11" s="1"/>
  <c r="CF45" i="11"/>
  <c r="CD45" i="11"/>
  <c r="CA42" i="9"/>
  <c r="C42" i="9" s="1"/>
  <c r="CD47" i="6"/>
  <c r="CF38" i="8"/>
  <c r="CD46" i="6"/>
  <c r="CE46" i="6" s="1"/>
  <c r="CA46" i="6"/>
  <c r="CA47" i="6" s="1"/>
  <c r="CF46" i="6"/>
  <c r="CG37" i="8"/>
  <c r="D37" i="8" s="1"/>
  <c r="CC38" i="8"/>
  <c r="C37" i="8"/>
  <c r="CG52" i="10"/>
  <c r="D52" i="10" s="1"/>
  <c r="C52" i="10"/>
  <c r="CG46" i="7"/>
  <c r="D46" i="7" s="1"/>
  <c r="CC47" i="7"/>
  <c r="C46" i="7"/>
  <c r="CD48" i="7"/>
  <c r="AT47" i="6"/>
  <c r="CD43" i="9"/>
  <c r="CE43" i="9" s="1"/>
  <c r="AT48" i="7"/>
  <c r="AT42" i="3" l="1"/>
  <c r="AV43" i="3"/>
  <c r="AW43" i="3" s="1"/>
  <c r="AX43" i="3"/>
  <c r="AS43" i="3" s="1"/>
  <c r="BX43" i="3" s="1"/>
  <c r="BZ43" i="3" s="1"/>
  <c r="CG41" i="3"/>
  <c r="D41" i="3" s="1"/>
  <c r="CC42" i="3"/>
  <c r="CD42" i="3"/>
  <c r="CE42" i="3" s="1"/>
  <c r="CA42" i="3"/>
  <c r="CF42" i="3"/>
  <c r="CA46" i="11"/>
  <c r="CF46" i="11"/>
  <c r="CD46" i="11"/>
  <c r="CC46" i="11"/>
  <c r="C45" i="11"/>
  <c r="CG44" i="11"/>
  <c r="D44" i="11" s="1"/>
  <c r="CC45" i="11"/>
  <c r="C44" i="11"/>
  <c r="CA43" i="9"/>
  <c r="CF43" i="9"/>
  <c r="CC47" i="6"/>
  <c r="CG46" i="6"/>
  <c r="D46" i="6" s="1"/>
  <c r="C46" i="6"/>
  <c r="CF48" i="7"/>
  <c r="C43" i="9"/>
  <c r="AX44" i="9"/>
  <c r="AS44" i="9" s="1"/>
  <c r="AT44" i="9"/>
  <c r="AV44" i="9"/>
  <c r="CE45" i="11"/>
  <c r="CE46" i="11" s="1"/>
  <c r="CG47" i="7"/>
  <c r="D47" i="7" s="1"/>
  <c r="CC48" i="7"/>
  <c r="C47" i="7"/>
  <c r="AV48" i="6"/>
  <c r="AX48" i="6"/>
  <c r="AS48" i="6" s="1"/>
  <c r="BX48" i="6" s="1"/>
  <c r="BZ48" i="6" s="1"/>
  <c r="AT48" i="6"/>
  <c r="AV40" i="8"/>
  <c r="AX40" i="8"/>
  <c r="AS40" i="8" s="1"/>
  <c r="BX40" i="8" s="1"/>
  <c r="BZ40" i="8" s="1"/>
  <c r="BX39" i="8"/>
  <c r="BZ39" i="8" s="1"/>
  <c r="CF47" i="6"/>
  <c r="AX49" i="7"/>
  <c r="AS49" i="7" s="1"/>
  <c r="AT49" i="7"/>
  <c r="C48" i="7"/>
  <c r="AV49" i="7"/>
  <c r="CE47" i="6"/>
  <c r="CG38" i="8"/>
  <c r="D38" i="8" s="1"/>
  <c r="CC39" i="8"/>
  <c r="AT46" i="11"/>
  <c r="D42" i="9"/>
  <c r="C42" i="3" l="1"/>
  <c r="AT43" i="3"/>
  <c r="AX44" i="3" s="1"/>
  <c r="CG42" i="3"/>
  <c r="D42" i="3" s="1"/>
  <c r="CC43" i="3"/>
  <c r="CA43" i="3"/>
  <c r="CD43" i="3"/>
  <c r="CE43" i="3" s="1"/>
  <c r="CF43" i="3"/>
  <c r="BX49" i="7"/>
  <c r="BZ49" i="7" s="1"/>
  <c r="AX49" i="6"/>
  <c r="AS49" i="6" s="1"/>
  <c r="AV49" i="6"/>
  <c r="CC48" i="6"/>
  <c r="CG47" i="6"/>
  <c r="D47" i="6" s="1"/>
  <c r="CD48" i="6"/>
  <c r="CE48" i="6" s="1"/>
  <c r="CA48" i="6"/>
  <c r="CF48" i="6"/>
  <c r="C48" i="6" s="1"/>
  <c r="AX50" i="7"/>
  <c r="AS50" i="7" s="1"/>
  <c r="AV50" i="7"/>
  <c r="CG43" i="9"/>
  <c r="D43" i="9" s="1"/>
  <c r="CC44" i="9"/>
  <c r="CD39" i="8"/>
  <c r="CE39" i="8" s="1"/>
  <c r="CE40" i="8" s="1"/>
  <c r="CA39" i="8"/>
  <c r="CA40" i="8" s="1"/>
  <c r="CF39" i="8"/>
  <c r="AV45" i="9"/>
  <c r="AX45" i="9"/>
  <c r="AS45" i="9" s="1"/>
  <c r="BX45" i="9" s="1"/>
  <c r="BZ45" i="9" s="1"/>
  <c r="BX44" i="9"/>
  <c r="BZ44" i="9" s="1"/>
  <c r="CG46" i="11"/>
  <c r="D46" i="11" s="1"/>
  <c r="CC47" i="11"/>
  <c r="AX47" i="11"/>
  <c r="AS47" i="11" s="1"/>
  <c r="BX47" i="11" s="1"/>
  <c r="BZ47" i="11" s="1"/>
  <c r="AV47" i="11"/>
  <c r="C46" i="11"/>
  <c r="CD40" i="8"/>
  <c r="CG48" i="7"/>
  <c r="D48" i="7" s="1"/>
  <c r="CC49" i="7"/>
  <c r="AT40" i="8"/>
  <c r="C47" i="6"/>
  <c r="CG45" i="11"/>
  <c r="D45" i="11" s="1"/>
  <c r="AV44" i="3" l="1"/>
  <c r="AW44" i="3" s="1"/>
  <c r="AS44" i="3"/>
  <c r="AT44" i="3" s="1"/>
  <c r="AX45" i="3" s="1"/>
  <c r="AS45" i="3" s="1"/>
  <c r="AT45" i="3" s="1"/>
  <c r="AV45" i="3"/>
  <c r="AW45" i="3" s="1"/>
  <c r="CG43" i="3"/>
  <c r="D43" i="3" s="1"/>
  <c r="CC44" i="3"/>
  <c r="C43" i="3"/>
  <c r="BX44" i="3"/>
  <c r="BZ44" i="3" s="1"/>
  <c r="CD45" i="9"/>
  <c r="CA45" i="9"/>
  <c r="CF45" i="9"/>
  <c r="BX50" i="7"/>
  <c r="BZ50" i="7" s="1"/>
  <c r="CA47" i="11"/>
  <c r="CF47" i="11"/>
  <c r="CD47" i="11"/>
  <c r="CE47" i="11" s="1"/>
  <c r="CD44" i="9"/>
  <c r="CE44" i="9" s="1"/>
  <c r="CA44" i="9"/>
  <c r="CF44" i="9"/>
  <c r="AT45" i="9"/>
  <c r="BX49" i="6"/>
  <c r="BZ49" i="6" s="1"/>
  <c r="AX41" i="8"/>
  <c r="AS41" i="8" s="1"/>
  <c r="AT41" i="8"/>
  <c r="C40" i="8"/>
  <c r="AV41" i="8"/>
  <c r="CF40" i="8"/>
  <c r="AT47" i="11"/>
  <c r="AT49" i="6"/>
  <c r="CD49" i="7"/>
  <c r="CE49" i="7" s="1"/>
  <c r="CA49" i="7"/>
  <c r="CF49" i="7"/>
  <c r="CG48" i="6"/>
  <c r="D48" i="6" s="1"/>
  <c r="CC49" i="6"/>
  <c r="CG39" i="8"/>
  <c r="D39" i="8" s="1"/>
  <c r="CC40" i="8"/>
  <c r="C39" i="8"/>
  <c r="AT50" i="7"/>
  <c r="AV46" i="3" l="1"/>
  <c r="AW46" i="3" s="1"/>
  <c r="AX46" i="3"/>
  <c r="AS46" i="3" s="1"/>
  <c r="BX46" i="3" s="1"/>
  <c r="BZ46" i="3" s="1"/>
  <c r="CD44" i="3"/>
  <c r="CE44" i="3" s="1"/>
  <c r="CA44" i="3"/>
  <c r="CF44" i="3"/>
  <c r="BX45" i="3"/>
  <c r="BZ45" i="3" s="1"/>
  <c r="AV50" i="6"/>
  <c r="AX50" i="6"/>
  <c r="AS50" i="6" s="1"/>
  <c r="BX50" i="6" s="1"/>
  <c r="BZ50" i="6" s="1"/>
  <c r="AT50" i="6"/>
  <c r="CG47" i="11"/>
  <c r="D47" i="11" s="1"/>
  <c r="CC48" i="11"/>
  <c r="CD49" i="6"/>
  <c r="CE49" i="6" s="1"/>
  <c r="CA49" i="6"/>
  <c r="CF49" i="6"/>
  <c r="C49" i="6" s="1"/>
  <c r="AV48" i="11"/>
  <c r="AX48" i="11"/>
  <c r="AS48" i="11" s="1"/>
  <c r="BX48" i="11" s="1"/>
  <c r="BZ48" i="11" s="1"/>
  <c r="C47" i="11"/>
  <c r="CG40" i="8"/>
  <c r="D40" i="8" s="1"/>
  <c r="CC41" i="8"/>
  <c r="AX42" i="8"/>
  <c r="AS42" i="8" s="1"/>
  <c r="BX42" i="8" s="1"/>
  <c r="BZ42" i="8" s="1"/>
  <c r="AT42" i="8"/>
  <c r="AV42" i="8"/>
  <c r="C50" i="7"/>
  <c r="AT51" i="7"/>
  <c r="AV51" i="7"/>
  <c r="AX51" i="7"/>
  <c r="AS51" i="7" s="1"/>
  <c r="AX46" i="9"/>
  <c r="AS46" i="9" s="1"/>
  <c r="AT46" i="9"/>
  <c r="AV46" i="9"/>
  <c r="C45" i="9"/>
  <c r="CC46" i="9"/>
  <c r="CG45" i="9"/>
  <c r="D45" i="9" s="1"/>
  <c r="CG44" i="9"/>
  <c r="D44" i="9" s="1"/>
  <c r="CC45" i="9"/>
  <c r="C44" i="9"/>
  <c r="CD50" i="7"/>
  <c r="CE50" i="7" s="1"/>
  <c r="CA50" i="7"/>
  <c r="CF50" i="7"/>
  <c r="BX41" i="8"/>
  <c r="BZ41" i="8" s="1"/>
  <c r="CG49" i="7"/>
  <c r="D49" i="7" s="1"/>
  <c r="CC50" i="7"/>
  <c r="C49" i="7"/>
  <c r="CE45" i="9"/>
  <c r="CD46" i="3" l="1"/>
  <c r="CG44" i="3"/>
  <c r="D44" i="3" s="1"/>
  <c r="CC45" i="3"/>
  <c r="C44" i="3"/>
  <c r="CD45" i="3"/>
  <c r="CE45" i="3" s="1"/>
  <c r="CF45" i="3"/>
  <c r="CA45" i="3"/>
  <c r="CA46" i="3" s="1"/>
  <c r="AT46" i="3"/>
  <c r="CD42" i="8"/>
  <c r="AX52" i="7"/>
  <c r="AS52" i="7" s="1"/>
  <c r="AV52" i="7"/>
  <c r="AT52" i="7"/>
  <c r="AX51" i="6"/>
  <c r="AS51" i="6" s="1"/>
  <c r="AT51" i="6"/>
  <c r="AV51" i="6"/>
  <c r="CG49" i="6"/>
  <c r="D49" i="6" s="1"/>
  <c r="CC50" i="6"/>
  <c r="CD50" i="6"/>
  <c r="CA50" i="6"/>
  <c r="CF50" i="6"/>
  <c r="CE50" i="6"/>
  <c r="CD41" i="8"/>
  <c r="CE41" i="8" s="1"/>
  <c r="CE42" i="8" s="1"/>
  <c r="CA41" i="8"/>
  <c r="CA42" i="8" s="1"/>
  <c r="CF41" i="8"/>
  <c r="AX43" i="8"/>
  <c r="AS43" i="8" s="1"/>
  <c r="AT43" i="8"/>
  <c r="AV43" i="8"/>
  <c r="CG50" i="7"/>
  <c r="D50" i="7" s="1"/>
  <c r="CC51" i="7"/>
  <c r="BX46" i="9"/>
  <c r="BZ46" i="9" s="1"/>
  <c r="CA48" i="11"/>
  <c r="CF48" i="11"/>
  <c r="CD48" i="11"/>
  <c r="CE48" i="11" s="1"/>
  <c r="AX47" i="9"/>
  <c r="AS47" i="9" s="1"/>
  <c r="AV47" i="9"/>
  <c r="AT47" i="9"/>
  <c r="BX51" i="7"/>
  <c r="BZ51" i="7" s="1"/>
  <c r="AT48" i="11"/>
  <c r="AV47" i="3" l="1"/>
  <c r="AW47" i="3" s="1"/>
  <c r="AX47" i="3"/>
  <c r="AS47" i="3" s="1"/>
  <c r="BX47" i="3" s="1"/>
  <c r="BZ47" i="3" s="1"/>
  <c r="CC46" i="3"/>
  <c r="CG45" i="3"/>
  <c r="D45" i="3" s="1"/>
  <c r="C45" i="3"/>
  <c r="CF46" i="3"/>
  <c r="CE46" i="3"/>
  <c r="BX47" i="9"/>
  <c r="BZ47" i="9" s="1"/>
  <c r="BX51" i="6"/>
  <c r="BZ51" i="6" s="1"/>
  <c r="AX52" i="6"/>
  <c r="AS52" i="6" s="1"/>
  <c r="AT52" i="6"/>
  <c r="AV52" i="6"/>
  <c r="CG41" i="8"/>
  <c r="D41" i="8" s="1"/>
  <c r="CC42" i="8"/>
  <c r="C41" i="8"/>
  <c r="CF42" i="8"/>
  <c r="BX43" i="8"/>
  <c r="BZ43" i="8" s="1"/>
  <c r="CC49" i="11"/>
  <c r="CG48" i="11"/>
  <c r="BX52" i="7"/>
  <c r="BZ52" i="7" s="1"/>
  <c r="CF46" i="9"/>
  <c r="CD46" i="9"/>
  <c r="CE46" i="9" s="1"/>
  <c r="CA46" i="9"/>
  <c r="AX44" i="8"/>
  <c r="AS44" i="8" s="1"/>
  <c r="BX44" i="8" s="1"/>
  <c r="BZ44" i="8" s="1"/>
  <c r="AV44" i="8"/>
  <c r="AV48" i="9"/>
  <c r="AX48" i="9"/>
  <c r="AS48" i="9" s="1"/>
  <c r="BX48" i="9" s="1"/>
  <c r="BZ48" i="9" s="1"/>
  <c r="CC51" i="6"/>
  <c r="CG50" i="6"/>
  <c r="D50" i="6" s="1"/>
  <c r="AX49" i="11"/>
  <c r="AS49" i="11" s="1"/>
  <c r="AT49" i="11"/>
  <c r="D48" i="11"/>
  <c r="AV49" i="11"/>
  <c r="C48" i="11"/>
  <c r="CD51" i="7"/>
  <c r="CE51" i="7" s="1"/>
  <c r="CA51" i="7"/>
  <c r="CF51" i="7"/>
  <c r="C50" i="6"/>
  <c r="CF47" i="3" l="1"/>
  <c r="CD47" i="3"/>
  <c r="CE47" i="3" s="1"/>
  <c r="CA47" i="3"/>
  <c r="AT47" i="3"/>
  <c r="CC47" i="3"/>
  <c r="CG46" i="3"/>
  <c r="D46" i="3" s="1"/>
  <c r="C46" i="3"/>
  <c r="CD44" i="8"/>
  <c r="AV50" i="11"/>
  <c r="AX50" i="11"/>
  <c r="AS50" i="11" s="1"/>
  <c r="BX50" i="11" s="1"/>
  <c r="BZ50" i="11" s="1"/>
  <c r="AT50" i="11"/>
  <c r="BX49" i="11"/>
  <c r="BZ49" i="11" s="1"/>
  <c r="CG46" i="9"/>
  <c r="D46" i="9" s="1"/>
  <c r="CC47" i="9"/>
  <c r="C46" i="9"/>
  <c r="AT44" i="8"/>
  <c r="CA43" i="8"/>
  <c r="CA44" i="8" s="1"/>
  <c r="CF43" i="8"/>
  <c r="CD43" i="8"/>
  <c r="CE43" i="8" s="1"/>
  <c r="CE44" i="8" s="1"/>
  <c r="CC43" i="8"/>
  <c r="CG42" i="8"/>
  <c r="D42" i="8" s="1"/>
  <c r="C42" i="8"/>
  <c r="BX52" i="6"/>
  <c r="BZ52" i="6" s="1"/>
  <c r="AT48" i="9"/>
  <c r="CA51" i="6"/>
  <c r="CF51" i="6"/>
  <c r="CD51" i="6"/>
  <c r="CE51" i="6" s="1"/>
  <c r="CD52" i="7"/>
  <c r="CF52" i="7"/>
  <c r="CA52" i="7"/>
  <c r="CD48" i="9"/>
  <c r="CG51" i="7"/>
  <c r="D51" i="7" s="1"/>
  <c r="CC52" i="7"/>
  <c r="C51" i="7"/>
  <c r="CE52" i="7"/>
  <c r="CA47" i="9"/>
  <c r="CF48" i="9" s="1"/>
  <c r="CF47" i="9"/>
  <c r="CD47" i="9"/>
  <c r="CE47" i="9" s="1"/>
  <c r="CE48" i="9" s="1"/>
  <c r="AX48" i="3" l="1"/>
  <c r="AV48" i="3"/>
  <c r="AW48" i="3" s="1"/>
  <c r="C47" i="3"/>
  <c r="CC48" i="3"/>
  <c r="CG47" i="3"/>
  <c r="D47" i="3" s="1"/>
  <c r="CG48" i="9"/>
  <c r="CC49" i="9"/>
  <c r="AX49" i="9"/>
  <c r="AS49" i="9" s="1"/>
  <c r="AT49" i="9" s="1"/>
  <c r="D48" i="9"/>
  <c r="AV49" i="9"/>
  <c r="CA48" i="9"/>
  <c r="C48" i="9" s="1"/>
  <c r="AX45" i="8"/>
  <c r="AS45" i="8" s="1"/>
  <c r="BX45" i="8" s="1"/>
  <c r="BZ45" i="8" s="1"/>
  <c r="AV45" i="8"/>
  <c r="CG43" i="8"/>
  <c r="D43" i="8" s="1"/>
  <c r="CC44" i="8"/>
  <c r="C43" i="8"/>
  <c r="CF50" i="11"/>
  <c r="CD50" i="11"/>
  <c r="CA50" i="11"/>
  <c r="CG47" i="9"/>
  <c r="D47" i="9" s="1"/>
  <c r="CC48" i="9"/>
  <c r="C47" i="9"/>
  <c r="CF44" i="8"/>
  <c r="CA52" i="6"/>
  <c r="CF52" i="6"/>
  <c r="CD52" i="6"/>
  <c r="CF49" i="11"/>
  <c r="CD49" i="11"/>
  <c r="CE49" i="11" s="1"/>
  <c r="CA49" i="11"/>
  <c r="CC52" i="6"/>
  <c r="CG51" i="6"/>
  <c r="D51" i="6" s="1"/>
  <c r="C51" i="6"/>
  <c r="AV51" i="11"/>
  <c r="AX51" i="11"/>
  <c r="AS51" i="11" s="1"/>
  <c r="BX51" i="11" s="1"/>
  <c r="BZ51" i="11" s="1"/>
  <c r="CG52" i="7"/>
  <c r="D52" i="7" s="1"/>
  <c r="C52" i="7"/>
  <c r="CE52" i="6"/>
  <c r="AS48" i="3" l="1"/>
  <c r="AT48" i="3" s="1"/>
  <c r="AX49" i="3" s="1"/>
  <c r="AS49" i="3" s="1"/>
  <c r="AT49" i="3" s="1"/>
  <c r="AV49" i="3"/>
  <c r="AW49" i="3" s="1"/>
  <c r="BX48" i="3"/>
  <c r="BZ48" i="3" s="1"/>
  <c r="AV50" i="9"/>
  <c r="AX50" i="9"/>
  <c r="AS50" i="9" s="1"/>
  <c r="BX50" i="9" s="1"/>
  <c r="BZ50" i="9" s="1"/>
  <c r="AT50" i="9"/>
  <c r="CA51" i="11"/>
  <c r="CF51" i="11"/>
  <c r="CD51" i="11"/>
  <c r="CG44" i="8"/>
  <c r="D44" i="8" s="1"/>
  <c r="CC45" i="8"/>
  <c r="C44" i="8"/>
  <c r="CD45" i="8"/>
  <c r="CE45" i="8" s="1"/>
  <c r="CA45" i="8"/>
  <c r="CF45" i="8"/>
  <c r="AT51" i="11"/>
  <c r="AT45" i="8"/>
  <c r="CC51" i="11"/>
  <c r="BX49" i="9"/>
  <c r="BZ49" i="9" s="1"/>
  <c r="CE50" i="11"/>
  <c r="CG50" i="11" s="1"/>
  <c r="D50" i="11" s="1"/>
  <c r="CC50" i="11"/>
  <c r="CG49" i="11"/>
  <c r="D49" i="11" s="1"/>
  <c r="C49" i="11"/>
  <c r="C50" i="11"/>
  <c r="CG52" i="6"/>
  <c r="D52" i="6" s="1"/>
  <c r="C52" i="6"/>
  <c r="BX49" i="3" l="1"/>
  <c r="BZ49" i="3" s="1"/>
  <c r="CD48" i="3"/>
  <c r="CE48" i="3" s="1"/>
  <c r="CA48" i="3"/>
  <c r="CF48" i="3"/>
  <c r="AV50" i="3"/>
  <c r="AW50" i="3" s="1"/>
  <c r="AX50" i="3"/>
  <c r="AS50" i="3" s="1"/>
  <c r="BX50" i="3" s="1"/>
  <c r="BZ50" i="3" s="1"/>
  <c r="CE51" i="11"/>
  <c r="CG51" i="11"/>
  <c r="CC52" i="11"/>
  <c r="AV51" i="9"/>
  <c r="AX51" i="9"/>
  <c r="AS51" i="9" s="1"/>
  <c r="BX51" i="9" s="1"/>
  <c r="BZ51" i="9" s="1"/>
  <c r="AT46" i="8"/>
  <c r="AV46" i="8"/>
  <c r="C45" i="8"/>
  <c r="AX46" i="8"/>
  <c r="AS46" i="8" s="1"/>
  <c r="CG45" i="8"/>
  <c r="D45" i="8" s="1"/>
  <c r="CC46" i="8"/>
  <c r="CA49" i="9"/>
  <c r="CF50" i="9" s="1"/>
  <c r="CF49" i="9"/>
  <c r="CD49" i="9"/>
  <c r="CE49" i="9" s="1"/>
  <c r="CE50" i="9" s="1"/>
  <c r="CD50" i="9"/>
  <c r="CA50" i="9"/>
  <c r="D51" i="11"/>
  <c r="AX52" i="11"/>
  <c r="AS52" i="11" s="1"/>
  <c r="C51" i="11"/>
  <c r="AT52" i="11"/>
  <c r="AV52" i="11"/>
  <c r="AT50" i="3" l="1"/>
  <c r="AV51" i="3"/>
  <c r="AW51" i="3" s="1"/>
  <c r="AX51" i="3"/>
  <c r="AS51" i="3" s="1"/>
  <c r="CD50" i="3"/>
  <c r="CG48" i="3"/>
  <c r="D48" i="3" s="1"/>
  <c r="CC49" i="3"/>
  <c r="C48" i="3"/>
  <c r="CA49" i="3"/>
  <c r="CF50" i="3" s="1"/>
  <c r="CF49" i="3"/>
  <c r="CD49" i="3"/>
  <c r="CE49" i="3" s="1"/>
  <c r="CC51" i="9"/>
  <c r="CG50" i="9"/>
  <c r="D50" i="9" s="1"/>
  <c r="C50" i="9"/>
  <c r="BX52" i="11"/>
  <c r="BZ52" i="11" s="1"/>
  <c r="AX47" i="8"/>
  <c r="AS47" i="8" s="1"/>
  <c r="AT47" i="8"/>
  <c r="AV47" i="8"/>
  <c r="CG49" i="9"/>
  <c r="D49" i="9" s="1"/>
  <c r="CC50" i="9"/>
  <c r="C49" i="9"/>
  <c r="CF51" i="9"/>
  <c r="CD51" i="9"/>
  <c r="CE51" i="9" s="1"/>
  <c r="CA51" i="9"/>
  <c r="AT51" i="9"/>
  <c r="BX46" i="8"/>
  <c r="BZ46" i="8" s="1"/>
  <c r="CC51" i="3" l="1"/>
  <c r="CA50" i="3"/>
  <c r="C50" i="3" s="1"/>
  <c r="AT51" i="3"/>
  <c r="BX51" i="3"/>
  <c r="BZ51" i="3" s="1"/>
  <c r="CC50" i="3"/>
  <c r="CG49" i="3"/>
  <c r="D49" i="3" s="1"/>
  <c r="C49" i="3"/>
  <c r="CE50" i="3"/>
  <c r="CG50" i="3" s="1"/>
  <c r="CD46" i="8"/>
  <c r="CE46" i="8" s="1"/>
  <c r="CA46" i="8"/>
  <c r="CF46" i="8"/>
  <c r="AX52" i="9"/>
  <c r="AS52" i="9" s="1"/>
  <c r="BX52" i="9" s="1"/>
  <c r="BZ52" i="9" s="1"/>
  <c r="C51" i="9"/>
  <c r="AV52" i="9"/>
  <c r="CG51" i="9"/>
  <c r="D51" i="9" s="1"/>
  <c r="CC52" i="9"/>
  <c r="BX47" i="8"/>
  <c r="BZ47" i="8" s="1"/>
  <c r="AV48" i="8"/>
  <c r="AX48" i="8"/>
  <c r="AS48" i="8" s="1"/>
  <c r="AT48" i="8"/>
  <c r="CF52" i="11"/>
  <c r="CA52" i="11"/>
  <c r="CD52" i="11"/>
  <c r="CE52" i="11" s="1"/>
  <c r="D50" i="3" l="1"/>
  <c r="CF51" i="3"/>
  <c r="CA51" i="3"/>
  <c r="CD51" i="3"/>
  <c r="CE51" i="3" s="1"/>
  <c r="AX52" i="3"/>
  <c r="AS52" i="3" s="1"/>
  <c r="AV52" i="3"/>
  <c r="AW52" i="3" s="1"/>
  <c r="C51" i="3"/>
  <c r="CD47" i="8"/>
  <c r="CA47" i="8"/>
  <c r="CF47" i="8"/>
  <c r="CD52" i="9"/>
  <c r="CE52" i="9" s="1"/>
  <c r="CF52" i="9"/>
  <c r="CG52" i="9" s="1"/>
  <c r="CA52" i="9"/>
  <c r="CC47" i="8"/>
  <c r="CG46" i="8"/>
  <c r="D46" i="8" s="1"/>
  <c r="C46" i="8"/>
  <c r="CE47" i="8"/>
  <c r="AT52" i="9"/>
  <c r="CG52" i="11"/>
  <c r="D52" i="11" s="1"/>
  <c r="C52" i="11"/>
  <c r="AT49" i="8"/>
  <c r="AV49" i="8"/>
  <c r="AX49" i="8"/>
  <c r="AS49" i="8" s="1"/>
  <c r="BX48" i="8"/>
  <c r="BZ48" i="8" s="1"/>
  <c r="BX52" i="3" l="1"/>
  <c r="BZ52" i="3" s="1"/>
  <c r="AT52" i="3"/>
  <c r="CF52" i="3"/>
  <c r="CD52" i="3"/>
  <c r="CE52" i="3" s="1"/>
  <c r="CA52" i="3"/>
  <c r="CG51" i="3"/>
  <c r="D51" i="3" s="1"/>
  <c r="CC52" i="3"/>
  <c r="AV50" i="8"/>
  <c r="AX50" i="8"/>
  <c r="AS50" i="8" s="1"/>
  <c r="BX50" i="8" s="1"/>
  <c r="BZ50" i="8" s="1"/>
  <c r="CD48" i="8"/>
  <c r="CA48" i="8"/>
  <c r="CF48" i="8"/>
  <c r="CE48" i="8"/>
  <c r="D52" i="9"/>
  <c r="C52" i="9"/>
  <c r="CC48" i="8"/>
  <c r="CG47" i="8"/>
  <c r="D47" i="8" s="1"/>
  <c r="C47" i="8"/>
  <c r="BX49" i="8"/>
  <c r="BZ49" i="8" s="1"/>
  <c r="CG52" i="3" l="1"/>
  <c r="D52" i="3"/>
  <c r="C52" i="3"/>
  <c r="CD49" i="8"/>
  <c r="CE49" i="8" s="1"/>
  <c r="CE50" i="8" s="1"/>
  <c r="CA49" i="8"/>
  <c r="CF49" i="8"/>
  <c r="CD50" i="8"/>
  <c r="CA50" i="8"/>
  <c r="CC49" i="8"/>
  <c r="CG48" i="8"/>
  <c r="D48" i="8" s="1"/>
  <c r="C48" i="8"/>
  <c r="AT50" i="8"/>
  <c r="CC50" i="8" l="1"/>
  <c r="CG49" i="8"/>
  <c r="D49" i="8" s="1"/>
  <c r="C49" i="8"/>
  <c r="AX51" i="8"/>
  <c r="AS51" i="8" s="1"/>
  <c r="BX51" i="8" s="1"/>
  <c r="BZ51" i="8" s="1"/>
  <c r="AV51" i="8"/>
  <c r="CF50" i="8"/>
  <c r="CA51" i="8" l="1"/>
  <c r="CF51" i="8"/>
  <c r="CD51" i="8"/>
  <c r="CE51" i="8" s="1"/>
  <c r="CG50" i="8"/>
  <c r="D50" i="8" s="1"/>
  <c r="CC51" i="8"/>
  <c r="C50" i="8"/>
  <c r="AT51" i="8"/>
  <c r="AX52" i="8" l="1"/>
  <c r="AS52" i="8" s="1"/>
  <c r="AT52" i="8"/>
  <c r="AV52" i="8"/>
  <c r="C51" i="8"/>
  <c r="CG51" i="8"/>
  <c r="D51" i="8" s="1"/>
  <c r="CC52" i="8"/>
  <c r="BX52" i="8" l="1"/>
  <c r="BZ52" i="8" s="1"/>
  <c r="CD52" i="8" l="1"/>
  <c r="CE52" i="8" s="1"/>
  <c r="CF52" i="8"/>
  <c r="CA52" i="8"/>
  <c r="CG52" i="8" l="1"/>
  <c r="D52" i="8" s="1"/>
  <c r="C5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tc={6E6CF9F3-A05F-4B4F-8A37-7BA80A920E32}</author>
    <author>tc={0733F3D2-5466-4BB3-8420-13B596492170}</author>
    <author>tc={58605614-32BD-425C-ACC3-F4112ECA43E9}</author>
    <author>tc={28595F48-576A-4D67-BDB8-974338E3FCEC}</author>
    <author>tc={2F5B275B-F8C2-4D89-9213-139A88DE4D55}</author>
    <author>tc={1D316E05-27D0-4768-9B16-422ED79B87AD}</author>
    <author>tc={D2ADDCB3-4AA6-4431-9CEB-10B456925AD4}</author>
    <author>tc={17425E1A-B4F6-43E3-A8EB-9BDC57F74447}</author>
    <author>tc={74016CA3-EF7E-4309-980F-02AD0BA9C718}</author>
    <author>tc={D3C65016-3FC4-4244-95F2-7A65069A50B6}</author>
    <author>tc={B8E21F8F-2587-4648-8C5D-04092648D454}</author>
    <author>tc={B73DF428-E57F-4CD8-89A8-2E8DB43EE520}</author>
    <author>tc={7E4EBE28-B0A0-4BBC-8DCE-540E48ADDCEF}</author>
    <author>tc={C0E01FA0-6430-4D8E-9AF7-D76983993174}</author>
    <author>tc={B405C4A2-8AE7-42E5-9DC5-3D51F56DA053}</author>
    <author>tc={6BC5B661-544A-473B-ACBE-C08FFD1A3A62}</author>
    <author>tc={9D68BF09-5EC2-4261-93DD-E43C9B93A9AF}</author>
    <author>tc={20A83584-1EF1-42D9-A78F-B720A8F8AAF1}</author>
    <author>tc={E635CC45-97C2-4C3D-A5EC-95B89E5AF198}</author>
    <author>tc={C1D0827D-272E-4992-BF26-29AAC2A7CAF2}</author>
    <author>tc={67549C82-ABA5-4BE7-B025-E020C0F19360}</author>
    <author>tc={F941704A-2C47-4E68-B3D3-0AA4F2747DCE}</author>
  </authors>
  <commentList>
    <comment ref="A11" authorId="0" shapeId="0" xr:uid="{6E6CF9F3-A05F-4B4F-8A37-7BA80A920E32}">
      <text>
        <t>[Threaded comment]
Your version of Excel allows you to read this threaded comment; however, any edits to it will get removed if the file is opened in a newer version of Excel. Learn more: https://go.microsoft.com/fwlink/?linkid=870924
Comment:
    Given your high level of education (PhDs) and your experience in the pharmaceutical industry, where both of you work for major companies (Bayer AG and Clinical Scientific Services), you're in fields that offer substantial salary growth potential, particularly because you have specialized roles that are highly valued in your industry. I'll walk through what you might expect in terms of salary increases, factoring in typical industry standards, your roles, and general market conditions.
### 1. **Factors Impacting Salary Growth**
Several factors will influence your salary trajectory over time, including:
- **Industry Growth:** The pharmaceutical sector tends to offer competitive salaries, especially in Germany, where healthcare and biotech are major industries.
- **Experience:** Early career salary growth is typically faster, especially in your fields, as both of you are still relatively early in your careers but with PhDs and key responsibilities.
- **Company and Positioning:** Working for large, reputable companies like Bayer means salaries can be on the higher end of the industry standard. However, switching companies often leads to the most significant salary bumps.
- **Willingness to Switch:** Both of you are open to switching companies, which could lead to a more substantial salary increase than staying at the same company.
---
### 2. **Salary Growth for Data Scientists/Computational Biologists (Your Role)**
In Germany, **data scientists and computational biologists** with PhDs working for large pharmaceutical companies generally earn salaries on the higher end due to the demand for expertise in machine learning, bioinformatics, and computational biology. The fact that you work at Bayer, a major player, also gives you leverage for future raises or when considering switching companies.
#### Current Salary Range (2024 Estimates):
- For someone with 2 years of experience in a non-junior but not senior role, **€65,000–€80,000 per year** is typical for a data scientist/computational biologist with a PhD in a large pharma company in Berlin.
- In a senior role (which you could be expected to reach in 3–5 years), salaries generally range from **€85,000–€110,000**, depending on the specific responsibilities and the company.
#### Expected Salary Growth:
- **Annual Increase (Staying in Current Role/Company):** In the pharmaceutical industry, you can expect salary increases of around **3–5% per year** if you stay in the same role and company. Larger jumps would be tied to promotions or exceptional performance.
- **Switching Companies:** If you switch to a similar or higher-level role in another company, you can expect a salary increase of **10–20%** on average. In high-demand roles like data science, salary jumps closer to **20–25%** are not uncommon when switching jobs.
**5-Year Projection (Staying and Switching):**
- If you stay at Bayer, and assuming a 4% annual raise, in 5 years, your salary might increase by about **22%**, potentially reaching **€79,300–€97,600**.
- If you switch companies within the next 1–2 years and get a 15% salary bump, you could immediately move to around **€74,750–€92,000**, and over 5 years, with subsequent raises, you could reach **€90,000–€110,000**.
---
### 3. **Salary Growth for Pharmacist and Team Lead (Your Partner’s Role)**
Your partner is a **pharmacist and team lead** with 3 years of experience, which means she is in a leadership role early in her career. This is a good position to leverage for further salary increases, especially since she works for Clinical Scientific Services and manages a team.
#### Current Salary Range (2024 Estimates):
- For a pharmacist with 3 years of experience leading a small team, the salary in Berlin for pharmaceutical professionals can range from **€70,000–€85,000 per year**, especially in leadership roles within large companies.
- For senior leadership positions or managing larger teams, salaries can go up to **€90,000–€120,000** or more.
#### Expected Salary Growth:
- **Annual Increase (Staying in Current Role/Company):** Team leaders in the pharmaceutical industry can expect annual increases of around **4–6%**, slightly higher than average due to the leadership responsibilities.
- **Switching Companies:** If your partner switches to a similar or higher-level role, she could see a salary increase of **15–25%**, particularly given the demand for leadership roles in pharma companies.
**5-Year Projection (Staying and Switching):**
- If she stays in her current company, with a 5% annual raise, she might see her salary grow by **27.6%** over 5 years, reaching **€89,320–€108,600**.
- If she switches companies and gets a 20% salary bump in the next couple of years, her salary could increase to **€84,000–€102,000**, with further raises over 5 years leading her salary into the **€100,000–€120,000** range.
---
### 4. **Salary Comparison: Staying vs. Switching**
Switching companies in both of your cases appears to offer a higher immediate salary boost, which could set a higher base for future salary growth. Here’s a simplified breakdown over 5 years:
- **You (Data Scientist/Computational Biologist):**
  - **Staying:** €79,300–€97,600
  - **Switching:** €90,000–€110,000
- **Your Partner (Pharmacist/Team Lead):**
  - **Staying:** €89,320–€108,600
  - **Switching:** €100,000–€120,000
---
### 5. **General Industry Trends**
Both of you are in **high-demand fields** within the pharmaceutical sector:
- **Data Science/Computational Biology:** The increasing reliance on AI, machine learning, and bioinformatics in drug discovery and personalized medicine is driving demand for your skills, which should continue to result in competitive salaries.
- **Pharmacy/Leadership Roles:** Leadership roles in pharmaceuticals, especially in areas like clinical research and regulatory affairs, remain critical, and demand is expected to stay high as the sector grows. Your partner’s management experience puts her in a good position to command higher salaries, particularly if she leads larger teams or projects.
---
### 6. **Conclusion: Salary Growth Expectations**
Both you and your partner are well-positioned for significant salary increases over the next 5 years. Here's a summary of what to expect:
- **Staying at Current Companies:** You could see **annual raises of 3–6%**, with potential for promotion-based increases.
- **Switching Companies:** Offers the potential for an immediate **15–25% raise**, making it a compelling option if you're aiming for more rapid salary growth.
Given the strong demand for your skills and leadership, exploring job switches within the next 1–2 years could maximize your earning potential, but even staying at your current companies would likely result in solid salary growth over time.
If you need more tailored projections or further insights on any of these factors, feel free to ask!</t>
      </text>
    </comment>
    <comment ref="A12" authorId="1" shapeId="0" xr:uid="{0733F3D2-5466-4BB3-8420-13B596492170}">
      <text>
        <t>[Threaded comment]
Your version of Excel allows you to read this threaded comment; however, any edits to it will get removed if the file is opened in a newer version of Excel. Learn more: https://go.microsoft.com/fwlink/?linkid=870924
Comment:
    Given your high level of education (PhDs) and your experience in the pharmaceutical industry, where both of you work for major companies (Bayer AG and Clinical Scientific Services), you're in fields that offer substantial salary growth potential, particularly because you have specialized roles that are highly valued in your industry. I'll walk through what you might expect in terms of salary increases, factoring in typical industry standards, your roles, and general market conditions.
### 1. **Factors Impacting Salary Growth**
Several factors will influence your salary trajectory over time, including:
- **Industry Growth:** The pharmaceutical sector tends to offer competitive salaries, especially in Germany, where healthcare and biotech are major industries.
- **Experience:** Early career salary growth is typically faster, especially in your fields, as both of you are still relatively early in your careers but with PhDs and key responsibilities.
- **Company and Positioning:** Working for large, reputable companies like Bayer means salaries can be on the higher end of the industry standard. However, switching companies often leads to the most significant salary bumps.
- **Willingness to Switch:** Both of you are open to switching companies, which could lead to a more substantial salary increase than staying at the same company.
---
### 2. **Salary Growth for Data Scientists/Computational Biologists (Your Role)**
In Germany, **data scientists and computational biologists** with PhDs working for large pharmaceutical companies generally earn salaries on the higher end due to the demand for expertise in machine learning, bioinformatics, and computational biology. The fact that you work at Bayer, a major player, also gives you leverage for future raises or when considering switching companies.
#### Current Salary Range (2024 Estimates):
- For someone with 2 years of experience in a non-junior but not senior role, **€65,000–€80,000 per year** is typical for a data scientist/computational biologist with a PhD in a large pharma company in Berlin.
- In a senior role (which you could be expected to reach in 3–5 years), salaries generally range from **€85,000–€110,000**, depending on the specific responsibilities and the company.
#### Expected Salary Growth:
- **Annual Increase (Staying in Current Role/Company):** In the pharmaceutical industry, you can expect salary increases of around **3–5% per year** if you stay in the same role and company. Larger jumps would be tied to promotions or exceptional performance.
- **Switching Companies:** If you switch to a similar or higher-level role in another company, you can expect a salary increase of **10–20%** on average. In high-demand roles like data science, salary jumps closer to **20–25%** are not uncommon when switching jobs.
**5-Year Projection (Staying and Switching):**
- If you stay at Bayer, and assuming a 4% annual raise, in 5 years, your salary might increase by about **22%**, potentially reaching **€79,300–€97,600**.
- If you switch companies within the next 1–2 years and get a 15% salary bump, you could immediately move to around **€74,750–€92,000**, and over 5 years, with subsequent raises, you could reach **€90,000–€110,000**.
---
### 3. **Salary Growth for Pharmacist and Team Lead (Your Partner’s Role)**
Your partner is a **pharmacist and team lead** with 3 years of experience, which means she is in a leadership role early in her career. This is a good position to leverage for further salary increases, especially since she works for Clinical Scientific Services and manages a team.
#### Current Salary Range (2024 Estimates):
- For a pharmacist with 3 years of experience leading a small team, the salary in Berlin for pharmaceutical professionals can range from **€70,000–€85,000 per year**, especially in leadership roles within large companies.
- For senior leadership positions or managing larger teams, salaries can go up to **€90,000–€120,000** or more.
#### Expected Salary Growth:
- **Annual Increase (Staying in Current Role/Company):** Team leaders in the pharmaceutical industry can expect annual increases of around **4–6%**, slightly higher than average due to the leadership responsibilities.
- **Switching Companies:** If your partner switches to a similar or higher-level role, she could see a salary increase of **15–25%**, particularly given the demand for leadership roles in pharma companies.
**5-Year Projection (Staying and Switching):**
- If she stays in her current company, with a 5% annual raise, she might see her salary grow by **27.6%** over 5 years, reaching **€89,320–€108,600**.
- If she switches companies and gets a 20% salary bump in the next couple of years, her salary could increase to **€84,000–€102,000**, with further raises over 5 years leading her salary into the **€100,000–€120,000** range.
---
### 4. **Salary Comparison: Staying vs. Switching**
Switching companies in both of your cases appears to offer a higher immediate salary boost, which could set a higher base for future salary growth. Here’s a simplified breakdown over 5 years:
- **You (Data Scientist/Computational Biologist):**
  - **Staying:** €79,300–€97,600
  - **Switching:** €90,000–€110,000
- **Your Partner (Pharmacist/Team Lead):**
  - **Staying:** €89,320–€108,600
  - **Switching:** €100,000–€120,000
---
### 5. **General Industry Trends**
Both of you are in **high-demand fields** within the pharmaceutical sector:
- **Data Science/Computational Biology:** The increasing reliance on AI, machine learning, and bioinformatics in drug discovery and personalized medicine is driving demand for your skills, which should continue to result in competitive salaries.
- **Pharmacy/Leadership Roles:** Leadership roles in pharmaceuticals, especially in areas like clinical research and regulatory affairs, remain critical, and demand is expected to stay high as the sector grows. Your partner’s management experience puts her in a good position to command higher salaries, particularly if she leads larger teams or projects.
---
### 6. **Conclusion: Salary Growth Expectations**
Both you and your partner are well-positioned for significant salary increases over the next 5 years. Here's a summary of what to expect:
- **Staying at Current Companies:** You could see **annual raises of 3–6%**, with potential for promotion-based increases.
- **Switching Companies:** Offers the potential for an immediate **15–25% raise**, making it a compelling option if you're aiming for more rapid salary growth.
Given the strong demand for your skills and leadership, exploring job switches within the next 1–2 years could maximize your earning potential, but even staying at your current companies would likely result in solid salary growth over time.
If you need more tailored projections or further insights on any of these factors, feel free to ask!</t>
      </text>
    </comment>
    <comment ref="A19" authorId="2" shapeId="0" xr:uid="{58605614-32BD-425C-ACC3-F4112ECA43E9}">
      <text>
        <t>[Threaded comment]
Your version of Excel allows you to read this threaded comment; however, any edits to it will get removed if the file is opened in a newer version of Excel. Learn more: https://go.microsoft.com/fwlink/?linkid=870924
Comment:
    In Germany, investment gains are generally subject to the capital gains tax, which is part of the Abgeltungsteuer (final withholding tax). Here’s how the taxation on investment gains works:
1. Flat Capital Gains Tax Rate: 25%
Capital gains from investments such as stocks, bonds, mutual funds, and other financial assets are taxed at a flat rate of 25%.
2. Solidarity Surcharge (Solidaritätszuschlag)
On top of the 25% flat tax, there is an additional solidarity surcharge of 5.5% on the tax amount.
This means the effective total tax rate increases slightly, bringing the combined rate to approximately 26.375%.</t>
      </text>
    </comment>
    <comment ref="A31" authorId="3" shapeId="0" xr:uid="{28595F48-576A-4D67-BDB8-974338E3FCEC}">
      <text>
        <t>[Threaded comment]
Your version of Excel allows you to read this threaded comment; however, any edits to it will get removed if the file is opened in a newer version of Excel. Learn more: https://go.microsoft.com/fwlink/?linkid=870924
Comment:
    Costs Incurred When Selling Property in Berlin
Real Estate Agent Fees:Typically range from 3% to 7% of the sale price. For a €1,000,000 property, this could amount to €30,000 to €70,000.
Notary Fees:Notary fees for the sale contract usually range from 1% to 1.5% of the sale price. Expect to pay about €10,000 to €15,000.
Property Transfer Tax (Grunderwerbsteuer):This tax is generally around 6% to 7% of the sale price in Berlin. For your flat, this would be approximately €60,000 to €70,000.
Miscellaneous Costs:Additional costs may include property valuation fees (if applicable), marketing costs, and administrative expenses. These can vary widely but might add another €5,000 to €15,000.</t>
      </text>
    </comment>
    <comment ref="A39" authorId="4" shapeId="0" xr:uid="{2F5B275B-F8C2-4D89-9213-139A88DE4D55}">
      <text>
        <t xml:space="preserve">[Threaded comment]
Your version of Excel allows you to read this threaded comment; however, any edits to it will get removed if the file is opened in a newer version of Excel. Learn more: https://go.microsoft.com/fwlink/?linkid=870924
Comment:
    First Child (Current Prices):
Birth to Age 3 (36 months):
Monthly costs: €250–€300
Total for 3 years: €9,000–€10,800
One-time costs (net after reselling): €250–€500
Ages 4 to 10 (7 years):
Monthly costs: €350–€500
Total for 7 years: €29,400–€42,000
Ages 11 to 18 (8 years):
Monthly costs: €500–€700
Total for 8 years: €48,000–€67,200
Total for First Child (Birth to 18): €86,650–€120,500
Second Child (2 Years Later):
The second child will follow a similar cost pattern but with a slight delay.
Birth to Age 3 (36 months):
Total for 3 years: €9,000–€10,800
One-time costs (minimal due to reused items): €150–€300 after resale.
Ages 4 to 10:
Total for 7 years: €29,400–€42,000
Ages 11 to 18:
Total for 8 years: €48,000–€67,200
Total for Second Child (Birth to 18): €86,550–€120,300
Combined Cost for Two Children (Over 18 Years):
Total for both children combined: €173,200–€240,800
This projection includes an average lifestyle for a family of four in Berlin, with public childcare and schooling, used baby equipment, extracurriculars, moderate clothing costs, and higher vacation costs.
These estimates will vary based on individual choices and inflation, but this should give you a reasonable sense of the financial commitment. Feel free to ask if you need more details on any specific areas!
</t>
      </text>
    </comment>
    <comment ref="A72" authorId="5" shapeId="0" xr:uid="{1D316E05-27D0-4768-9B16-422ED79B87AD}">
      <text>
        <t>[Threaded comment]
Your version of Excel allows you to read this threaded comment; however, any edits to it will get removed if the file is opened in a newer version of Excel. Learn more: https://go.microsoft.com/fwlink/?linkid=870924
Comment:
    Use hypofriend.de to estimate this value</t>
      </text>
    </comment>
    <comment ref="A75" authorId="6" shapeId="0" xr:uid="{D2ADDCB3-4AA6-4431-9CEB-10B456925AD4}">
      <text>
        <t>[Threaded comment]
Your version of Excel allows you to read this threaded comment; however, any edits to it will get removed if the file is opened in a newer version of Excel. Learn more: https://go.microsoft.com/fwlink/?linkid=870924
Comment:
    According to https://guthmann.estate/en/market-report/berlin/, the real estate market for new buildings in Berlin grew by 8.5%/year in the past 10 years</t>
      </text>
    </comment>
    <comment ref="A79" authorId="7" shapeId="0" xr:uid="{17425E1A-B4F6-43E3-A8EB-9BDC57F74447}">
      <text>
        <t>[Threaded comment]
Your version of Excel allows you to read this threaded comment; however, any edits to it will get removed if the file is opened in a newer version of Excel. Learn more: https://go.microsoft.com/fwlink/?linkid=870924
Comment:
    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
      </text>
    </comment>
    <comment ref="A80" authorId="8" shapeId="0" xr:uid="{74016CA3-EF7E-4309-980F-02AD0BA9C718}">
      <text>
        <t xml:space="preserve">[Threaded comment]
Your version of Excel allows you to read this threaded comment; however, any edits to it will get removed if the file is opened in a newer version of Excel. Learn more: https://go.microsoft.com/fwlink/?linkid=870924
Comment:
    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
Understanding Hausgeld and Tax Deductions
Hausgeld Deductibility:
As a property owner, you can deduct the entire amount of Hausgeld you pay from your rental income when calculating your taxable income. This applies regardless of whether you pass on a portion of that Hausgeld to your tenants.
This means that even if you charge your tenants for some of the Hausgeld as part of the Nebenkosten, you can still deduct the full amount of Hausgeld you paid from your rental income when filing your taxes.
Example:
Let's say your total Hausgeld for the year is €2,400. You charge your tenants €1,200 as part of the Nebenkosten.
When you report your rental income, you will report the total rental income received (e.g., €10,000 from rent) and then deduct the full €2,400 Hausgeld as an expense.
Your taxable rental income would be calculated as follows:
Rental Income: €10,000
Less: Hausgeld: €2,400
Taxable Income: €10,000 - €2,400 = €7,600
Tax Implications:
This approach allows you to reduce your taxable income, which can lower your overall tax liability.
The portion of Hausgeld that you pass on to tenants does not affect your ability to deduct the full amount you paid. You are essentially getting a deduction for costs incurred, even if those costs are later recouped through tenant charges.
</t>
      </text>
    </comment>
    <comment ref="A90" authorId="9" shapeId="0" xr:uid="{D3C65016-3FC4-4244-95F2-7A65069A50B6}">
      <text>
        <t>[Threaded comment]
Your version of Excel allows you to read this threaded comment; however, any edits to it will get removed if the file is opened in a newer version of Excel. Learn more: https://go.microsoft.com/fwlink/?linkid=870924
Comment:
    According to https://guthmann.estate/en/market-report/berlin/, the real estate market for new buildings in Berlin grew by 5.5%/year in the past 5 years</t>
      </text>
    </comment>
    <comment ref="A102" authorId="10" shapeId="0" xr:uid="{B8E21F8F-2587-4648-8C5D-04092648D454}">
      <text>
        <t>[Threaded comment]
Your version of Excel allows you to read this threaded comment; however, any edits to it will get removed if the file is opened in a newer version of Excel. Learn more: https://go.microsoft.com/fwlink/?linkid=870924
Comment:
    Use hypofriend.de to estimate this value</t>
      </text>
    </comment>
    <comment ref="A114" authorId="11" shapeId="0" xr:uid="{B73DF428-E57F-4CD8-89A8-2E8DB43EE520}">
      <text>
        <t>[Threaded comment]
Your version of Excel allows you to read this threaded comment; however, any edits to it will get removed if the file is opened in a newer version of Excel. Learn more: https://go.microsoft.com/fwlink/?linkid=870924
Comment:
    According to https://guthmann.estate/en/market-report/berlin/, the real estate market for new buildings in Berlin grew by 5.5%/year in the past 5 years</t>
      </text>
    </comment>
    <comment ref="A119" authorId="12" shapeId="0" xr:uid="{7E4EBE28-B0A0-4BBC-8DCE-540E48ADDCEF}">
      <text>
        <t>[Threaded comment]
Your version of Excel allows you to read this threaded comment; however, any edits to it will get removed if the file is opened in a newer version of Excel. Learn more: https://go.microsoft.com/fwlink/?linkid=870924
Comment:
    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
      </text>
    </comment>
    <comment ref="A120" authorId="13" shapeId="0" xr:uid="{C0E01FA0-6430-4D8E-9AF7-D76983993174}">
      <text>
        <t>[Threaded comment]
Your version of Excel allows you to read this threaded comment; however, any edits to it will get removed if the file is opened in a newer version of Excel. Learn more: https://go.microsoft.com/fwlink/?linkid=870924
Comment:
    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t>
      </text>
    </comment>
    <comment ref="A136" authorId="14" shapeId="0" xr:uid="{B405C4A2-8AE7-42E5-9DC5-3D51F56DA053}">
      <text>
        <t>[Threaded comment]
Your version of Excel allows you to read this threaded comment; however, any edits to it will get removed if the file is opened in a newer version of Excel. Learn more: https://go.microsoft.com/fwlink/?linkid=870924
Comment:
    Use hypofriend.de to estimate this value</t>
      </text>
    </comment>
    <comment ref="A139" authorId="15" shapeId="0" xr:uid="{6BC5B661-544A-473B-ACBE-C08FFD1A3A62}">
      <text>
        <t>[Threaded comment]
Your version of Excel allows you to read this threaded comment; however, any edits to it will get removed if the file is opened in a newer version of Excel. Learn more: https://go.microsoft.com/fwlink/?linkid=870924
Comment:
    According to https://guthmann.estate/en/market-report/berlin/, the real estate market for new buildings in Berlin grew by 8.5%/year in the past 10 years</t>
      </text>
    </comment>
    <comment ref="A143" authorId="16" shapeId="0" xr:uid="{9D68BF09-5EC2-4261-93DD-E43C9B93A9AF}">
      <text>
        <t>[Threaded comment]
Your version of Excel allows you to read this threaded comment; however, any edits to it will get removed if the file is opened in a newer version of Excel. Learn more: https://go.microsoft.com/fwlink/?linkid=870924
Comment:
    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
      </text>
    </comment>
    <comment ref="A144" authorId="17" shapeId="0" xr:uid="{20A83584-1EF1-42D9-A78F-B720A8F8AAF1}">
      <text>
        <t>[Threaded comment]
Your version of Excel allows you to read this threaded comment; however, any edits to it will get removed if the file is opened in a newer version of Excel. Learn more: https://go.microsoft.com/fwlink/?linkid=870924
Comment:
    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t>
      </text>
    </comment>
    <comment ref="A160" authorId="18" shapeId="0" xr:uid="{E635CC45-97C2-4C3D-A5EC-95B89E5AF198}">
      <text>
        <t>[Threaded comment]
Your version of Excel allows you to read this threaded comment; however, any edits to it will get removed if the file is opened in a newer version of Excel. Learn more: https://go.microsoft.com/fwlink/?linkid=870924
Comment:
    Use hypofriend.de to estimate this value</t>
      </text>
    </comment>
    <comment ref="A174" authorId="19" shapeId="0" xr:uid="{C1D0827D-272E-4992-BF26-29AAC2A7CAF2}">
      <text>
        <t>[Threaded comment]
Your version of Excel allows you to read this threaded comment; however, any edits to it will get removed if the file is opened in a newer version of Excel. Learn more: https://go.microsoft.com/fwlink/?linkid=870924
Comment:
    According to https://guthmann.estate/en/market-report/berlin/, the real estate market for new buildings in Berlin grew by 5.5%/year in the past 5 years</t>
      </text>
    </comment>
    <comment ref="A179" authorId="20" shapeId="0" xr:uid="{67549C82-ABA5-4BE7-B025-E020C0F19360}">
      <text>
        <t>[Threaded comment]
Your version of Excel allows you to read this threaded comment; however, any edits to it will get removed if the file is opened in a newer version of Excel. Learn more: https://go.microsoft.com/fwlink/?linkid=870924
Comment:
    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
      </text>
    </comment>
    <comment ref="A180" authorId="21" shapeId="0" xr:uid="{F941704A-2C47-4E68-B3D3-0AA4F2747DCE}">
      <text>
        <t xml:space="preserve">[Threaded comment]
Your version of Excel allows you to read this threaded comment; however, any edits to it will get removed if the file is opened in a newer version of Excel. Learn more: https://go.microsoft.com/fwlink/?linkid=870924
Comment:
    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
</t>
      </text>
    </comment>
  </commentList>
</comments>
</file>

<file path=xl/sharedStrings.xml><?xml version="1.0" encoding="utf-8"?>
<sst xmlns="http://schemas.openxmlformats.org/spreadsheetml/2006/main" count="2043" uniqueCount="160">
  <si>
    <t>Savings</t>
  </si>
  <si>
    <t>Buy</t>
  </si>
  <si>
    <t>Rent</t>
  </si>
  <si>
    <t>Inflation</t>
  </si>
  <si>
    <t>Total taxes on investment gains</t>
  </si>
  <si>
    <t>Property Year-on-Year Growth</t>
  </si>
  <si>
    <t>Property taxes</t>
  </si>
  <si>
    <t>Year</t>
  </si>
  <si>
    <t>Age</t>
  </si>
  <si>
    <t>Money from selling property this year</t>
  </si>
  <si>
    <t>Payback for family/friends loan plus interest</t>
  </si>
  <si>
    <t>Fixed costs for selling property (% of sell price)</t>
  </si>
  <si>
    <t>Tax on capital gain from selling property</t>
  </si>
  <si>
    <t>Interest rate on loan from family/friends (same as bank)</t>
  </si>
  <si>
    <t>Loan from family/friends</t>
  </si>
  <si>
    <t>Duration payback family/friends loan</t>
  </si>
  <si>
    <t>Initial assumptions when renting</t>
  </si>
  <si>
    <t>Initial assumptions when buying</t>
  </si>
  <si>
    <t>Expected money saved from income for savings</t>
  </si>
  <si>
    <t>Initial conceptual assumptions</t>
  </si>
  <si>
    <t>Maintanence cost</t>
  </si>
  <si>
    <t>No tax on capital gains for flats sold after 10 years of ownership</t>
  </si>
  <si>
    <t>Selling price matches expected market growth</t>
  </si>
  <si>
    <t>Fixed costs for selling property</t>
  </si>
  <si>
    <t>Rental prices grow samilarly to property prices</t>
  </si>
  <si>
    <t>Rental prices growth</t>
  </si>
  <si>
    <t>Maintanence cost rate</t>
  </si>
  <si>
    <t>Property taxes rate</t>
  </si>
  <si>
    <t>Property value liquid</t>
  </si>
  <si>
    <t>Expected year of retirement</t>
  </si>
  <si>
    <t>Expected salary reduction upon retirement</t>
  </si>
  <si>
    <t>Money available after costs is automatically reinvested</t>
  </si>
  <si>
    <t>Investiment gets more conservative over time, reducing returns</t>
  </si>
  <si>
    <t>Expected conservative return on investiment</t>
  </si>
  <si>
    <t>Expected return on investiment</t>
  </si>
  <si>
    <t>Cash flow</t>
  </si>
  <si>
    <t>Year Cash flow difference</t>
  </si>
  <si>
    <t>Contribution to investiment that year</t>
  </si>
  <si>
    <t>Accumulated contributions</t>
  </si>
  <si>
    <t>Total money invested</t>
  </si>
  <si>
    <t>Invested value liquid</t>
  </si>
  <si>
    <t>Flat evaluation</t>
  </si>
  <si>
    <t>Family/friends loan left</t>
  </si>
  <si>
    <t>Bank interest rate is fixed for 10 years and is not refinanced</t>
  </si>
  <si>
    <t>Year property purchase</t>
  </si>
  <si>
    <t>Property evaluation today</t>
  </si>
  <si>
    <t>Savings emergency reserve</t>
  </si>
  <si>
    <t>Loan length</t>
  </si>
  <si>
    <t>Return on invested money from previous year</t>
  </si>
  <si>
    <t>Total Family/friends payment</t>
  </si>
  <si>
    <t>Percent income dedicated to investing</t>
  </si>
  <si>
    <t>Expected income dedicated to investing</t>
  </si>
  <si>
    <t>Buy (liquid)</t>
  </si>
  <si>
    <t>Rent (liquid)</t>
  </si>
  <si>
    <t>Net annual income (month)</t>
  </si>
  <si>
    <t>Living style costs (month)</t>
  </si>
  <si>
    <t>Year first kid is born</t>
  </si>
  <si>
    <t>Assume all kids are borned at the same time</t>
  </si>
  <si>
    <t>Salary reduction during Elternzeit</t>
  </si>
  <si>
    <t>Reduction in living costs during Elternzeit</t>
  </si>
  <si>
    <t>Rent (month)</t>
  </si>
  <si>
    <t>Fixed housing costs (Nebenkosten) (month)</t>
  </si>
  <si>
    <t>Inheritance</t>
  </si>
  <si>
    <t>Lump sums</t>
  </si>
  <si>
    <t>Lump sum 2</t>
  </si>
  <si>
    <t>Leasing assumptions</t>
  </si>
  <si>
    <t>Living costs change Elternzeit</t>
  </si>
  <si>
    <t>All lump sum is used for paying debt first then investing</t>
  </si>
  <si>
    <t>Return over investiment is automatically reinvested</t>
  </si>
  <si>
    <t>Salaries increase faster in the first 10 years and less over time until retirement when it stops</t>
  </si>
  <si>
    <t>Salaries growth (end career)</t>
  </si>
  <si>
    <t>Salaries growth (start career)</t>
  </si>
  <si>
    <t>Building year</t>
  </si>
  <si>
    <t>Flat size (sqm)</t>
  </si>
  <si>
    <t>Berlin real estate market data: https://guthmann.estate/en/property-valuation-berlin/result/</t>
  </si>
  <si>
    <t>Property price today</t>
  </si>
  <si>
    <t>Purchase sqm price</t>
  </si>
  <si>
    <t>Vacancy costs (vacant month/year)</t>
  </si>
  <si>
    <t>Property Management Fees (of annual rent)</t>
  </si>
  <si>
    <t>Building Insurance (Wohngebäudeversicherung)</t>
  </si>
  <si>
    <t>Homeowners Association (HOA) Fees (Hausgeld)</t>
  </si>
  <si>
    <t>Yearly Depreciation (AfA - Absetzung für Abnutzung)</t>
  </si>
  <si>
    <t>Solidarity surcharge (Solidaritätszuschlag)</t>
  </si>
  <si>
    <t>Church tax (Kirchensteuer)</t>
  </si>
  <si>
    <t>Total taxes on investment gains (Spekulationssteuer)</t>
  </si>
  <si>
    <t>Lump sum 2 (year)</t>
  </si>
  <si>
    <t>Inheritance (year)</t>
  </si>
  <si>
    <t>Lease property evaluation</t>
  </si>
  <si>
    <t>Total deductable expenses</t>
  </si>
  <si>
    <t>Tax on lease income</t>
  </si>
  <si>
    <t>Lease rental prices growth</t>
  </si>
  <si>
    <t>Lease Property Year-on-Year Growth</t>
  </si>
  <si>
    <t>Contribution to investment that year</t>
  </si>
  <si>
    <t>Yearly Depreciation rate</t>
  </si>
  <si>
    <t>Fixed housing costs (Nebenkosten)</t>
  </si>
  <si>
    <t>Fixed housing costs (Nebenkosten) increase rate</t>
  </si>
  <si>
    <t>Cold lease today (month)</t>
  </si>
  <si>
    <t>Cold lease sqm price</t>
  </si>
  <si>
    <t>Interest rate on cash flow debt</t>
  </si>
  <si>
    <t>Cold rent from lease</t>
  </si>
  <si>
    <t>Warm rent from lease</t>
  </si>
  <si>
    <t>Income taxes over property and leasing costs</t>
  </si>
  <si>
    <t>Initial interest rate on mortgage</t>
  </si>
  <si>
    <t>Living costs</t>
  </si>
  <si>
    <t>Net annual salaries</t>
  </si>
  <si>
    <t>Living property</t>
  </si>
  <si>
    <t>Investment property</t>
  </si>
  <si>
    <t>Buy+rent assumptions</t>
  </si>
  <si>
    <t>Year property sold</t>
  </si>
  <si>
    <t>Salaries growth (inflation corrected)</t>
  </si>
  <si>
    <t>Yearly return rate on investiment (inflation corrected)</t>
  </si>
  <si>
    <t>Property Year-on-Year Growth (inflation corrected)</t>
  </si>
  <si>
    <t>Fixed housing costs (Nebenkosten) increase rate (inflation corrected)</t>
  </si>
  <si>
    <t>Rental prices growth (inflation corrected)</t>
  </si>
  <si>
    <t>Lease Property Year-on-Year Growth (inflation corrected)</t>
  </si>
  <si>
    <t>Cold lease rental prices growth (inflation corrected)</t>
  </si>
  <si>
    <t>Living costs family</t>
  </si>
  <si>
    <t>Buy+Lease+Hold</t>
  </si>
  <si>
    <t>Buy+Lease+Hold (liquid)</t>
  </si>
  <si>
    <t>Buy+Lease+Sell</t>
  </si>
  <si>
    <t>Buy+Lease+Sell (liquid)</t>
  </si>
  <si>
    <t>Real yearly income</t>
  </si>
  <si>
    <t>Real yearly expenses</t>
  </si>
  <si>
    <t>First kid</t>
  </si>
  <si>
    <t>Second kid</t>
  </si>
  <si>
    <t>Extra kids</t>
  </si>
  <si>
    <t>Number of extra kids</t>
  </si>
  <si>
    <t>Year first extra kid is born</t>
  </si>
  <si>
    <t>Salary growth without extras</t>
  </si>
  <si>
    <t>Family</t>
  </si>
  <si>
    <t>Annual cost per kid 0-3 years</t>
  </si>
  <si>
    <t>Annual cost per kid 4-10 years</t>
  </si>
  <si>
    <t>Annual cost per kid 11-18 years</t>
  </si>
  <si>
    <t>Annual cost per kid 19-25 years</t>
  </si>
  <si>
    <t>Estate agent fees when purchasing property</t>
  </si>
  <si>
    <t>Notary fees when purchasing property</t>
  </si>
  <si>
    <t>Interest rate on mortgage</t>
  </si>
  <si>
    <t>Borrowed from family/friends total</t>
  </si>
  <si>
    <t>Mortgage principal</t>
  </si>
  <si>
    <t>Mortgage payment</t>
  </si>
  <si>
    <t>Mortgage interest payment share</t>
  </si>
  <si>
    <t>Mortgage principal payment share</t>
  </si>
  <si>
    <t>Mortgage principal left to pay</t>
  </si>
  <si>
    <t>Mortgage payment left</t>
  </si>
  <si>
    <t>Elterngeld (per kid)</t>
  </si>
  <si>
    <t>Initial general conditions</t>
  </si>
  <si>
    <t>Hausgeld - Property management fee</t>
  </si>
  <si>
    <t>Hausgeld - Maintenance Costs</t>
  </si>
  <si>
    <t>Hausgeld - Utilities</t>
  </si>
  <si>
    <t>Homeowners Association (HOA) Fees (Hausgeld) - Total</t>
  </si>
  <si>
    <t>Hausgeld - Reserve fund contributions (Instandhaltungsrücklage)</t>
  </si>
  <si>
    <t>Hausgeld - Building insurance (Wohngebäudeversicherung)</t>
  </si>
  <si>
    <t>Principal repayment rate</t>
  </si>
  <si>
    <t>Principal repayment rate (Rückzahlungsrate)</t>
  </si>
  <si>
    <t>Mortgage length (years)</t>
  </si>
  <si>
    <t>Hausgeld costs increase according to the inflation</t>
  </si>
  <si>
    <t>Income taxes correction</t>
  </si>
  <si>
    <t>Year second kid is born</t>
  </si>
  <si>
    <t>Purchase tax when purchasing property (Berlin)</t>
  </si>
  <si>
    <t>Mortgage interest left to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</si>
</sst>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EUR]\ #,##0"/>
    <numFmt numFmtId="165" formatCode="0.0%"/>
  </numFmts>
  <fonts count="2" x14ac:knownFonts="1">
    <font>
      <sz val="11"/>
      <color theme="1"/>
      <name val="Aptos Narrow"/>
      <family val="2"/>
      <scheme val="minor"/>
    </font>
    <font>
      <sz val="11"/>
      <color theme="1"/>
      <name val="Arial"/>
      <family val="2"/>
    </font>
  </fonts>
  <fills count="16">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8" tint="0.79998168889431442"/>
        <bgColor indexed="64"/>
      </patternFill>
    </fill>
    <fill>
      <patternFill patternType="solid">
        <fgColor theme="3" tint="0.499984740745262"/>
        <bgColor indexed="64"/>
      </patternFill>
    </fill>
    <fill>
      <patternFill patternType="solid">
        <fgColor theme="5" tint="0.39997558519241921"/>
        <bgColor indexed="64"/>
      </patternFill>
    </fill>
    <fill>
      <patternFill patternType="solid">
        <fgColor theme="9"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1">
    <xf numFmtId="0" fontId="0" fillId="0" borderId="0"/>
  </cellStyleXfs>
  <cellXfs count="81">
    <xf numFmtId="0" fontId="0" fillId="0" borderId="0" xfId="0"/>
    <xf numFmtId="164" fontId="0" fillId="0" borderId="0" xfId="0" applyNumberFormat="1"/>
    <xf numFmtId="0" fontId="0" fillId="0" borderId="0" xfId="0" applyAlignment="1">
      <alignment horizontal="center" vertical="center" wrapText="1"/>
    </xf>
    <xf numFmtId="0" fontId="0" fillId="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6" borderId="1" xfId="0" applyFill="1" applyBorder="1" applyAlignment="1">
      <alignment horizontal="center" vertical="center" wrapText="1"/>
    </xf>
    <xf numFmtId="0" fontId="0" fillId="7" borderId="1" xfId="0" applyFill="1" applyBorder="1" applyAlignment="1">
      <alignment horizontal="center" vertical="center" wrapText="1"/>
    </xf>
    <xf numFmtId="1" fontId="0" fillId="0" borderId="0" xfId="0" applyNumberFormat="1"/>
    <xf numFmtId="0" fontId="0" fillId="10" borderId="1" xfId="0" applyFill="1" applyBorder="1" applyAlignment="1">
      <alignment horizontal="center" vertical="center" wrapText="1"/>
    </xf>
    <xf numFmtId="0" fontId="1" fillId="0" borderId="0" xfId="0" applyFont="1"/>
    <xf numFmtId="0" fontId="1" fillId="3" borderId="0" xfId="0" applyFont="1" applyFill="1" applyAlignment="1">
      <alignment horizontal="center" vertical="center" wrapText="1"/>
    </xf>
    <xf numFmtId="164" fontId="1" fillId="3" borderId="0" xfId="0" applyNumberFormat="1" applyFont="1" applyFill="1"/>
    <xf numFmtId="165" fontId="1" fillId="3" borderId="0" xfId="0" applyNumberFormat="1" applyFont="1" applyFill="1"/>
    <xf numFmtId="0" fontId="1" fillId="3" borderId="0" xfId="0" applyFont="1" applyFill="1" applyAlignment="1">
      <alignment horizontal="center"/>
    </xf>
    <xf numFmtId="1" fontId="1" fillId="3" borderId="0" xfId="0" applyNumberFormat="1" applyFont="1" applyFill="1"/>
    <xf numFmtId="0" fontId="1" fillId="4" borderId="0" xfId="0" applyFont="1" applyFill="1" applyAlignment="1">
      <alignment horizontal="center"/>
    </xf>
    <xf numFmtId="164" fontId="1" fillId="4" borderId="0" xfId="0" applyNumberFormat="1" applyFont="1" applyFill="1"/>
    <xf numFmtId="0" fontId="1" fillId="0" borderId="0" xfId="0" applyFont="1" applyAlignment="1">
      <alignment horizontal="left"/>
    </xf>
    <xf numFmtId="1" fontId="1" fillId="4" borderId="0" xfId="0" applyNumberFormat="1" applyFont="1" applyFill="1"/>
    <xf numFmtId="165" fontId="1" fillId="4" borderId="0" xfId="0" applyNumberFormat="1" applyFont="1" applyFill="1"/>
    <xf numFmtId="165" fontId="1" fillId="0" borderId="0" xfId="0" applyNumberFormat="1" applyFont="1"/>
    <xf numFmtId="0" fontId="1" fillId="4" borderId="0" xfId="0" applyFont="1" applyFill="1"/>
    <xf numFmtId="0" fontId="1" fillId="4" borderId="0" xfId="0" applyFont="1" applyFill="1" applyAlignment="1">
      <alignment horizontal="center" vertical="center" wrapText="1"/>
    </xf>
    <xf numFmtId="0" fontId="1" fillId="8" borderId="0" xfId="0" applyFont="1" applyFill="1" applyAlignment="1">
      <alignment horizontal="center" vertical="center" wrapText="1"/>
    </xf>
    <xf numFmtId="164" fontId="1" fillId="8" borderId="0" xfId="0" applyNumberFormat="1" applyFont="1" applyFill="1"/>
    <xf numFmtId="0" fontId="1" fillId="10" borderId="0" xfId="0" applyFont="1" applyFill="1" applyAlignment="1">
      <alignment horizontal="center"/>
    </xf>
    <xf numFmtId="1" fontId="1" fillId="10" borderId="0" xfId="0" applyNumberFormat="1" applyFont="1" applyFill="1"/>
    <xf numFmtId="164" fontId="1" fillId="10" borderId="0" xfId="0" applyNumberFormat="1" applyFont="1" applyFill="1"/>
    <xf numFmtId="0" fontId="1" fillId="10" borderId="0" xfId="0" applyFont="1" applyFill="1" applyAlignment="1">
      <alignment horizontal="center" vertical="center" wrapText="1"/>
    </xf>
    <xf numFmtId="165" fontId="1" fillId="10" borderId="0" xfId="0" applyNumberFormat="1" applyFont="1" applyFill="1"/>
    <xf numFmtId="0" fontId="1" fillId="10" borderId="0" xfId="0" applyFont="1" applyFill="1"/>
    <xf numFmtId="2" fontId="1" fillId="10" borderId="0" xfId="0" applyNumberFormat="1" applyFont="1" applyFill="1"/>
    <xf numFmtId="0" fontId="1" fillId="0" borderId="0" xfId="0" applyFont="1" applyAlignment="1">
      <alignment horizontal="center" vertical="center" wrapText="1"/>
    </xf>
    <xf numFmtId="164" fontId="1" fillId="0" borderId="0" xfId="0" applyNumberFormat="1" applyFont="1"/>
    <xf numFmtId="0" fontId="1" fillId="3" borderId="0" xfId="0" applyFont="1" applyFill="1" applyAlignment="1">
      <alignment vertical="center" wrapText="1"/>
    </xf>
    <xf numFmtId="0" fontId="0" fillId="11" borderId="1" xfId="0" applyFill="1" applyBorder="1" applyAlignment="1">
      <alignment horizontal="center" vertical="center" wrapText="1"/>
    </xf>
    <xf numFmtId="165" fontId="0" fillId="11" borderId="0" xfId="0" applyNumberFormat="1" applyFill="1"/>
    <xf numFmtId="0" fontId="0" fillId="11" borderId="0" xfId="0" applyFill="1"/>
    <xf numFmtId="165" fontId="0" fillId="10" borderId="0" xfId="0" applyNumberFormat="1" applyFill="1"/>
    <xf numFmtId="0" fontId="0" fillId="10" borderId="0" xfId="0" applyFill="1"/>
    <xf numFmtId="165" fontId="0" fillId="7" borderId="0" xfId="0" applyNumberFormat="1" applyFill="1"/>
    <xf numFmtId="0" fontId="0" fillId="7" borderId="0" xfId="0" applyFill="1"/>
    <xf numFmtId="165" fontId="0" fillId="5" borderId="0" xfId="0" applyNumberFormat="1" applyFill="1"/>
    <xf numFmtId="0" fontId="0" fillId="5" borderId="0" xfId="0" applyFill="1"/>
    <xf numFmtId="0" fontId="1" fillId="12" borderId="0" xfId="0" applyFont="1" applyFill="1" applyAlignment="1">
      <alignment horizontal="center"/>
    </xf>
    <xf numFmtId="1" fontId="1" fillId="12" borderId="0" xfId="0" applyNumberFormat="1" applyFont="1" applyFill="1"/>
    <xf numFmtId="164" fontId="1" fillId="12" borderId="0" xfId="0" applyNumberFormat="1" applyFont="1" applyFill="1"/>
    <xf numFmtId="0" fontId="1" fillId="12" borderId="0" xfId="0" applyFont="1" applyFill="1" applyAlignment="1">
      <alignment horizontal="center" vertical="center" wrapText="1"/>
    </xf>
    <xf numFmtId="165" fontId="1" fillId="12" borderId="0" xfId="0" applyNumberFormat="1" applyFont="1" applyFill="1"/>
    <xf numFmtId="0" fontId="1" fillId="12" borderId="0" xfId="0" applyFont="1" applyFill="1"/>
    <xf numFmtId="2" fontId="1" fillId="12" borderId="0" xfId="0" applyNumberFormat="1" applyFont="1" applyFill="1"/>
    <xf numFmtId="0" fontId="0" fillId="12" borderId="1" xfId="0" applyFill="1" applyBorder="1" applyAlignment="1">
      <alignment horizontal="center" vertical="center" wrapText="1"/>
    </xf>
    <xf numFmtId="0" fontId="0" fillId="12" borderId="0" xfId="0" applyFill="1" applyAlignment="1">
      <alignment horizontal="center" vertical="center" wrapText="1"/>
    </xf>
    <xf numFmtId="165" fontId="0" fillId="12" borderId="0" xfId="0" applyNumberFormat="1" applyFill="1"/>
    <xf numFmtId="0" fontId="0" fillId="12" borderId="0" xfId="0" applyFill="1"/>
    <xf numFmtId="0" fontId="0" fillId="13" borderId="1" xfId="0" applyFill="1" applyBorder="1" applyAlignment="1">
      <alignment horizontal="center" vertical="center" wrapText="1"/>
    </xf>
    <xf numFmtId="0" fontId="0" fillId="14" borderId="1" xfId="0" applyFill="1" applyBorder="1" applyAlignment="1">
      <alignment horizontal="center" vertical="center" wrapText="1"/>
    </xf>
    <xf numFmtId="0" fontId="0" fillId="15" borderId="1" xfId="0" applyFill="1" applyBorder="1" applyAlignment="1">
      <alignment horizontal="center" vertical="center" wrapText="1"/>
    </xf>
    <xf numFmtId="0" fontId="1" fillId="4" borderId="0" xfId="0" applyFont="1" applyFill="1" applyAlignment="1">
      <alignment horizontal="center" vertical="center"/>
    </xf>
    <xf numFmtId="10" fontId="1" fillId="4" borderId="0" xfId="0" applyNumberFormat="1" applyFont="1" applyFill="1"/>
    <xf numFmtId="10" fontId="1" fillId="3" borderId="0" xfId="0" applyNumberFormat="1" applyFont="1" applyFill="1"/>
    <xf numFmtId="10" fontId="1" fillId="8" borderId="0" xfId="0" applyNumberFormat="1" applyFont="1" applyFill="1"/>
    <xf numFmtId="10" fontId="1" fillId="12" borderId="0" xfId="0" applyNumberFormat="1" applyFont="1" applyFill="1"/>
    <xf numFmtId="10" fontId="1" fillId="10" borderId="0" xfId="0" applyNumberFormat="1" applyFont="1" applyFill="1"/>
    <xf numFmtId="10" fontId="0" fillId="0" borderId="0" xfId="0" applyNumberFormat="1"/>
    <xf numFmtId="2" fontId="0" fillId="0" borderId="0" xfId="0" applyNumberFormat="1"/>
    <xf numFmtId="0" fontId="1" fillId="10" borderId="0" xfId="0" applyFont="1" applyFill="1" applyAlignment="1">
      <alignment horizontal="center" vertical="center"/>
    </xf>
    <xf numFmtId="0" fontId="1" fillId="12" borderId="0" xfId="0" applyFont="1" applyFill="1" applyAlignment="1">
      <alignment horizontal="center" vertical="center"/>
    </xf>
    <xf numFmtId="0" fontId="1" fillId="3" borderId="0" xfId="0" applyFont="1" applyFill="1" applyAlignment="1">
      <alignment horizontal="center" vertical="center" wrapText="1"/>
    </xf>
    <xf numFmtId="0" fontId="1" fillId="3" borderId="0" xfId="0" applyFont="1" applyFill="1" applyAlignment="1">
      <alignment horizontal="center"/>
    </xf>
    <xf numFmtId="0" fontId="1" fillId="6" borderId="0" xfId="0" applyFont="1" applyFill="1" applyAlignment="1">
      <alignment horizontal="center" vertical="center" wrapText="1"/>
    </xf>
    <xf numFmtId="0" fontId="1" fillId="2" borderId="2" xfId="0" applyFont="1" applyFill="1" applyBorder="1" applyAlignment="1">
      <alignment horizontal="center"/>
    </xf>
    <xf numFmtId="0" fontId="1" fillId="2" borderId="0" xfId="0" applyFont="1" applyFill="1" applyAlignment="1">
      <alignment horizontal="center"/>
    </xf>
    <xf numFmtId="0" fontId="1" fillId="9" borderId="2" xfId="0" applyFont="1" applyFill="1" applyBorder="1" applyAlignment="1">
      <alignment horizontal="center" vertical="center" wrapText="1"/>
    </xf>
    <xf numFmtId="0" fontId="1" fillId="9" borderId="0" xfId="0" applyFont="1" applyFill="1" applyAlignment="1">
      <alignment horizontal="center" vertical="center" wrapText="1"/>
    </xf>
    <xf numFmtId="0" fontId="1" fillId="7" borderId="2" xfId="0" applyFont="1" applyFill="1" applyBorder="1" applyAlignment="1">
      <alignment horizontal="center" vertical="center" wrapText="1"/>
    </xf>
    <xf numFmtId="0" fontId="1" fillId="7" borderId="0" xfId="0" applyFont="1" applyFill="1" applyAlignment="1">
      <alignment horizontal="center" vertical="center" wrapText="1"/>
    </xf>
    <xf numFmtId="0" fontId="1" fillId="2" borderId="0" xfId="0" applyFont="1" applyFill="1" applyAlignment="1">
      <alignment horizontal="center" vertical="center" wrapText="1"/>
    </xf>
    <xf numFmtId="0" fontId="1" fillId="5" borderId="2" xfId="0" applyFont="1" applyFill="1" applyBorder="1" applyAlignment="1">
      <alignment horizontal="center" vertical="center" wrapText="1"/>
    </xf>
    <xf numFmtId="0" fontId="1" fillId="5" borderId="0" xfId="0" applyFont="1" applyFill="1" applyAlignment="1">
      <alignment horizontal="center" vertical="center" wrapText="1"/>
    </xf>
    <xf numFmtId="0" fontId="1" fillId="6"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e-DE" sz="1800"/>
              <a:t>Return rates</a:t>
            </a:r>
            <a:r>
              <a:rPr lang="de-DE" sz="1800" baseline="0"/>
              <a:t> on investment (20% change)</a:t>
            </a:r>
            <a:endParaRPr lang="de-DE" sz="1800"/>
          </a:p>
        </c:rich>
      </c:tx>
      <c:overlay val="0"/>
      <c:spPr>
        <a:noFill/>
        <a:ln>
          <a:noFill/>
        </a:ln>
        <a:effectLst/>
      </c:spPr>
    </c:title>
    <c:autoTitleDeleted val="0"/>
    <c:plotArea>
      <c:layout/>
      <c:lineChart>
        <c:grouping val="standard"/>
        <c:varyColors val="0"/>
        <c:ser>
          <c:idx val="6"/>
          <c:order val="0"/>
          <c:tx>
            <c:v>Buy low return</c:v>
          </c:tx>
          <c:spPr>
            <a:ln>
              <a:solidFill>
                <a:schemeClr val="tx2">
                  <a:lumMod val="25000"/>
                  <a:lumOff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return'!$C$2:$C$52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C-FD33-44B5-B323-063A30A273EE}"/>
            </c:ext>
          </c:extLst>
        </c:ser>
        <c:ser>
          <c:idx val="7"/>
          <c:order val="1"/>
          <c:tx>
            <c:strRef>
              <c:f>'base scenario'!$C$1</c:f>
              <c:strCache>
                <c:ptCount val="1"/>
                <c:pt idx="0">
                  <c:v>Buy</c:v>
                </c:pt>
              </c:strCache>
            </c:strRef>
          </c:tx>
          <c:spPr>
            <a:ln>
              <a:solidFill>
                <a:schemeClr val="tx2">
                  <a:lumMod val="50000"/>
                  <a:lumOff val="5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D-FD33-44B5-B323-063A30A273EE}"/>
            </c:ext>
          </c:extLst>
        </c:ser>
        <c:ser>
          <c:idx val="8"/>
          <c:order val="2"/>
          <c:tx>
            <c:v>Buy high return</c:v>
          </c:tx>
          <c:spPr>
            <a:ln>
              <a:solidFill>
                <a:schemeClr val="tx2">
                  <a:lumMod val="75000"/>
                  <a:lumOff val="2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return'!$C$2:$C$52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E-FD33-44B5-B323-063A30A273EE}"/>
            </c:ext>
          </c:extLst>
        </c:ser>
        <c:ser>
          <c:idx val="9"/>
          <c:order val="3"/>
          <c:tx>
            <c:v>Rent low return</c:v>
          </c:tx>
          <c:spPr>
            <a:ln>
              <a:solidFill>
                <a:schemeClr val="accent2">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return'!$E$2:$E$52</c:f>
              <c:numCache>
                <c:formatCode>[$EUR]\ #,##0</c:formatCode>
                <c:ptCount val="51"/>
                <c:pt idx="0">
                  <c:v>52429.411764705881</c:v>
                </c:pt>
                <c:pt idx="1">
                  <c:v>79597.474641621346</c:v>
                </c:pt>
                <c:pt idx="2">
                  <c:v>81742.426079886325</c:v>
                </c:pt>
                <c:pt idx="3">
                  <c:v>112209.63100352946</c:v>
                </c:pt>
                <c:pt idx="4">
                  <c:v>143067.20814641987</c:v>
                </c:pt>
                <c:pt idx="5">
                  <c:v>177467.0749496161</c:v>
                </c:pt>
                <c:pt idx="6">
                  <c:v>212469.33976540773</c:v>
                </c:pt>
                <c:pt idx="7">
                  <c:v>251173.61603245922</c:v>
                </c:pt>
                <c:pt idx="8">
                  <c:v>293732.5323562249</c:v>
                </c:pt>
                <c:pt idx="9">
                  <c:v>340294.54706598504</c:v>
                </c:pt>
                <c:pt idx="10">
                  <c:v>389576.71251133305</c:v>
                </c:pt>
                <c:pt idx="11">
                  <c:v>437848.10701455525</c:v>
                </c:pt>
                <c:pt idx="12">
                  <c:v>488699.87468376104</c:v>
                </c:pt>
                <c:pt idx="13">
                  <c:v>538384.19306817884</c:v>
                </c:pt>
                <c:pt idx="14">
                  <c:v>590483.56286733889</c:v>
                </c:pt>
                <c:pt idx="15">
                  <c:v>644983.4600155151</c:v>
                </c:pt>
                <c:pt idx="16">
                  <c:v>701860.12894909806</c:v>
                </c:pt>
                <c:pt idx="17">
                  <c:v>761080.27080592338</c:v>
                </c:pt>
                <c:pt idx="18">
                  <c:v>822600.77197458199</c:v>
                </c:pt>
                <c:pt idx="19">
                  <c:v>882118.47661459842</c:v>
                </c:pt>
                <c:pt idx="20">
                  <c:v>992056.02292219293</c:v>
                </c:pt>
                <c:pt idx="21">
                  <c:v>1049759.399371576</c:v>
                </c:pt>
                <c:pt idx="22">
                  <c:v>1107443.5712332921</c:v>
                </c:pt>
                <c:pt idx="23">
                  <c:v>1164950.8336307753</c:v>
                </c:pt>
                <c:pt idx="24">
                  <c:v>1222117.8556123353</c:v>
                </c:pt>
                <c:pt idx="25">
                  <c:v>1278776.2090994536</c:v>
                </c:pt>
                <c:pt idx="26">
                  <c:v>1347952.9447405522</c:v>
                </c:pt>
                <c:pt idx="27">
                  <c:v>1416640.3686386081</c:v>
                </c:pt>
                <c:pt idx="28">
                  <c:v>1497838.1226163465</c:v>
                </c:pt>
                <c:pt idx="29">
                  <c:v>1578480.5093587087</c:v>
                </c:pt>
                <c:pt idx="30">
                  <c:v>1658337.4538199843</c:v>
                </c:pt>
                <c:pt idx="31">
                  <c:v>1737174.4950428791</c:v>
                </c:pt>
                <c:pt idx="32">
                  <c:v>1814753.7136452349</c:v>
                </c:pt>
                <c:pt idx="33">
                  <c:v>1890834.7031626704</c:v>
                </c:pt>
                <c:pt idx="34">
                  <c:v>1965175.5797397878</c:v>
                </c:pt>
                <c:pt idx="35">
                  <c:v>1933700.1284996388</c:v>
                </c:pt>
                <c:pt idx="36">
                  <c:v>1892609.3603431112</c:v>
                </c:pt>
                <c:pt idx="37">
                  <c:v>1848218.7422867331</c:v>
                </c:pt>
                <c:pt idx="38">
                  <c:v>1800511.6720266491</c:v>
                </c:pt>
                <c:pt idx="39">
                  <c:v>1749469.4499138501</c:v>
                </c:pt>
                <c:pt idx="40">
                  <c:v>1695071.2494483925</c:v>
                </c:pt>
                <c:pt idx="41">
                  <c:v>1637294.0862621854</c:v>
                </c:pt>
                <c:pt idx="42">
                  <c:v>1576112.7855587595</c:v>
                </c:pt>
                <c:pt idx="43">
                  <c:v>1511499.9479772549</c:v>
                </c:pt>
                <c:pt idx="44">
                  <c:v>1443425.9138466406</c:v>
                </c:pt>
                <c:pt idx="45">
                  <c:v>1371858.7257949361</c:v>
                </c:pt>
                <c:pt idx="46">
                  <c:v>1296764.0896769247</c:v>
                </c:pt>
                <c:pt idx="47">
                  <c:v>1218105.3337825402</c:v>
                </c:pt>
                <c:pt idx="48">
                  <c:v>1135843.366286759</c:v>
                </c:pt>
                <c:pt idx="49">
                  <c:v>1049936.6309004538</c:v>
                </c:pt>
                <c:pt idx="50">
                  <c:v>960341.0606802454</c:v>
                </c:pt>
              </c:numCache>
            </c:numRef>
          </c:val>
          <c:smooth val="0"/>
          <c:extLst>
            <c:ext xmlns:c16="http://schemas.microsoft.com/office/drawing/2014/chart" uri="{C3380CC4-5D6E-409C-BE32-E72D297353CC}">
              <c16:uniqueId val="{0000000F-FD33-44B5-B323-063A30A273EE}"/>
            </c:ext>
          </c:extLst>
        </c:ser>
        <c:ser>
          <c:idx val="10"/>
          <c:order val="4"/>
          <c:tx>
            <c:strRef>
              <c:f>'base scenario'!$E$1</c:f>
              <c:strCache>
                <c:ptCount val="1"/>
                <c:pt idx="0">
                  <c:v>Rent</c:v>
                </c:pt>
              </c:strCache>
            </c:strRef>
          </c:tx>
          <c:spPr>
            <a:ln>
              <a:solidFill>
                <a:schemeClr val="accent2">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10-FD33-44B5-B323-063A30A273EE}"/>
            </c:ext>
          </c:extLst>
        </c:ser>
        <c:ser>
          <c:idx val="11"/>
          <c:order val="5"/>
          <c:tx>
            <c:v>Rent high return</c:v>
          </c:tx>
          <c:spPr>
            <a:ln>
              <a:solidFill>
                <a:schemeClr val="accent2">
                  <a:lumMod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return'!$E$2:$E$52</c:f>
              <c:numCache>
                <c:formatCode>[$EUR]\ #,##0</c:formatCode>
                <c:ptCount val="51"/>
                <c:pt idx="0">
                  <c:v>53449.01960784314</c:v>
                </c:pt>
                <c:pt idx="1">
                  <c:v>81797.10164222552</c:v>
                </c:pt>
                <c:pt idx="2">
                  <c:v>86200.860529877886</c:v>
                </c:pt>
                <c:pt idx="3">
                  <c:v>119176.75973450429</c:v>
                </c:pt>
                <c:pt idx="4">
                  <c:v>153709.64643946156</c:v>
                </c:pt>
                <c:pt idx="5">
                  <c:v>193020.1799133918</c:v>
                </c:pt>
                <c:pt idx="6">
                  <c:v>234299.93022399425</c:v>
                </c:pt>
                <c:pt idx="7">
                  <c:v>280678.37079271744</c:v>
                </c:pt>
                <c:pt idx="8">
                  <c:v>332422.14795474242</c:v>
                </c:pt>
                <c:pt idx="9">
                  <c:v>389784.71617477626</c:v>
                </c:pt>
                <c:pt idx="10">
                  <c:v>451576.5680228541</c:v>
                </c:pt>
                <c:pt idx="11">
                  <c:v>514108.04636148148</c:v>
                </c:pt>
                <c:pt idx="12">
                  <c:v>580898.28382709587</c:v>
                </c:pt>
                <c:pt idx="13">
                  <c:v>648201.46413329034</c:v>
                </c:pt>
                <c:pt idx="14">
                  <c:v>719494.86243323516</c:v>
                </c:pt>
                <c:pt idx="15">
                  <c:v>794723.5765380346</c:v>
                </c:pt>
                <c:pt idx="16">
                  <c:v>873801.60550020612</c:v>
                </c:pt>
                <c:pt idx="17">
                  <c:v>956610.496565626</c:v>
                </c:pt>
                <c:pt idx="18">
                  <c:v>1042998.2700819466</c:v>
                </c:pt>
                <c:pt idx="19">
                  <c:v>1128528.6560844237</c:v>
                </c:pt>
                <c:pt idx="20">
                  <c:v>1265397.1661341067</c:v>
                </c:pt>
                <c:pt idx="21">
                  <c:v>1351507.9557455375</c:v>
                </c:pt>
                <c:pt idx="22">
                  <c:v>1438037.0144742175</c:v>
                </c:pt>
                <c:pt idx="23">
                  <c:v>1524584.5241980301</c:v>
                </c:pt>
                <c:pt idx="24">
                  <c:v>1610729.7929070499</c:v>
                </c:pt>
                <c:pt idx="25">
                  <c:v>1696034.0347298258</c:v>
                </c:pt>
                <c:pt idx="26">
                  <c:v>1793243.495216175</c:v>
                </c:pt>
                <c:pt idx="27">
                  <c:v>1889172.3853486113</c:v>
                </c:pt>
                <c:pt idx="28">
                  <c:v>1996503.6145551258</c:v>
                </c:pt>
                <c:pt idx="29">
                  <c:v>2101930.7437805422</c:v>
                </c:pt>
                <c:pt idx="30">
                  <c:v>2204876.1536832438</c:v>
                </c:pt>
                <c:pt idx="31">
                  <c:v>2304758.6732843951</c:v>
                </c:pt>
                <c:pt idx="32">
                  <c:v>2400998.745947062</c:v>
                </c:pt>
                <c:pt idx="33">
                  <c:v>2493023.7519666106</c:v>
                </c:pt>
                <c:pt idx="34">
                  <c:v>2580273.4200846977</c:v>
                </c:pt>
                <c:pt idx="35">
                  <c:v>2548797.9688445488</c:v>
                </c:pt>
                <c:pt idx="36">
                  <c:v>2507707.2006880213</c:v>
                </c:pt>
                <c:pt idx="37">
                  <c:v>2463316.5826316429</c:v>
                </c:pt>
                <c:pt idx="38">
                  <c:v>2415609.5123715592</c:v>
                </c:pt>
                <c:pt idx="39">
                  <c:v>2364567.2902587601</c:v>
                </c:pt>
                <c:pt idx="40">
                  <c:v>2310169.0897933026</c:v>
                </c:pt>
                <c:pt idx="41">
                  <c:v>2252391.9266070956</c:v>
                </c:pt>
                <c:pt idx="42">
                  <c:v>2191210.6259036697</c:v>
                </c:pt>
                <c:pt idx="43">
                  <c:v>2126597.7883221651</c:v>
                </c:pt>
                <c:pt idx="44">
                  <c:v>2058523.7541915509</c:v>
                </c:pt>
                <c:pt idx="45">
                  <c:v>1986956.5661398463</c:v>
                </c:pt>
                <c:pt idx="46">
                  <c:v>1911861.930021835</c:v>
                </c:pt>
                <c:pt idx="47">
                  <c:v>1833203.1741274504</c:v>
                </c:pt>
                <c:pt idx="48">
                  <c:v>1750941.2066316693</c:v>
                </c:pt>
                <c:pt idx="49">
                  <c:v>1665034.4712453641</c:v>
                </c:pt>
                <c:pt idx="50">
                  <c:v>1575438.9010251558</c:v>
                </c:pt>
              </c:numCache>
            </c:numRef>
          </c:val>
          <c:smooth val="0"/>
          <c:extLst>
            <c:ext xmlns:c16="http://schemas.microsoft.com/office/drawing/2014/chart" uri="{C3380CC4-5D6E-409C-BE32-E72D297353CC}">
              <c16:uniqueId val="{00000011-FD33-44B5-B323-063A30A273EE}"/>
            </c:ext>
          </c:extLst>
        </c:ser>
        <c:ser>
          <c:idx val="3"/>
          <c:order val="6"/>
          <c:tx>
            <c:v>Buy+Lease+Sell low return</c:v>
          </c:tx>
          <c:spPr>
            <a:ln>
              <a:solidFill>
                <a:schemeClr val="accent5">
                  <a:lumMod val="40000"/>
                  <a:lumOff val="60000"/>
                </a:schemeClr>
              </a:solidFill>
            </a:ln>
          </c:spPr>
          <c:marker>
            <c:symbol val="none"/>
          </c:marker>
          <c:val>
            <c:numRef>
              <c:f>'low return'!$G$2:$G$52</c:f>
              <c:numCache>
                <c:formatCode>[$EUR]\ #,##0</c:formatCode>
                <c:ptCount val="51"/>
                <c:pt idx="0">
                  <c:v>-242271.22383835033</c:v>
                </c:pt>
                <c:pt idx="1">
                  <c:v>-189951.24588085728</c:v>
                </c:pt>
                <c:pt idx="2">
                  <c:v>-163674.69395204441</c:v>
                </c:pt>
                <c:pt idx="3">
                  <c:v>-108690.04357288136</c:v>
                </c:pt>
                <c:pt idx="4">
                  <c:v>-54336.636047373438</c:v>
                </c:pt>
                <c:pt idx="5">
                  <c:v>3161.8481279617044</c:v>
                </c:pt>
                <c:pt idx="6">
                  <c:v>60949.871684987636</c:v>
                </c:pt>
                <c:pt idx="7">
                  <c:v>122148.16968511231</c:v>
                </c:pt>
                <c:pt idx="8">
                  <c:v>186933.796358691</c:v>
                </c:pt>
                <c:pt idx="9">
                  <c:v>255483.05060835206</c:v>
                </c:pt>
                <c:pt idx="10">
                  <c:v>326544.33936810534</c:v>
                </c:pt>
                <c:pt idx="11">
                  <c:v>396702.57657433552</c:v>
                </c:pt>
                <c:pt idx="12">
                  <c:v>469586.32197068841</c:v>
                </c:pt>
                <c:pt idx="13">
                  <c:v>541454.09583909379</c:v>
                </c:pt>
                <c:pt idx="14">
                  <c:v>615802.80602006661</c:v>
                </c:pt>
                <c:pt idx="15">
                  <c:v>692652.05679733143</c:v>
                </c:pt>
                <c:pt idx="16">
                  <c:v>772014.85078450595</c:v>
                </c:pt>
                <c:pt idx="17">
                  <c:v>853897.28348768153</c:v>
                </c:pt>
                <c:pt idx="18">
                  <c:v>938298.26560165361</c:v>
                </c:pt>
                <c:pt idx="19">
                  <c:v>1020959.276224955</c:v>
                </c:pt>
                <c:pt idx="20">
                  <c:v>1154350.1664205149</c:v>
                </c:pt>
                <c:pt idx="21">
                  <c:v>1235866.6690989556</c:v>
                </c:pt>
                <c:pt idx="22">
                  <c:v>1317775.9653745419</c:v>
                </c:pt>
                <c:pt idx="23">
                  <c:v>1399974.963610589</c:v>
                </c:pt>
                <c:pt idx="24">
                  <c:v>1482357.255699147</c:v>
                </c:pt>
                <c:pt idx="25">
                  <c:v>1564813.544619333</c:v>
                </c:pt>
                <c:pt idx="26">
                  <c:v>1660432.1056056628</c:v>
                </c:pt>
                <c:pt idx="27">
                  <c:v>1756268.4353174339</c:v>
                </c:pt>
                <c:pt idx="28">
                  <c:v>1865329.9310648814</c:v>
                </c:pt>
                <c:pt idx="29">
                  <c:v>1974890.8245169928</c:v>
                </c:pt>
                <c:pt idx="30">
                  <c:v>2085478.1054390161</c:v>
                </c:pt>
                <c:pt idx="31">
                  <c:v>2196910.705373968</c:v>
                </c:pt>
                <c:pt idx="32">
                  <c:v>2309002.29229022</c:v>
                </c:pt>
                <c:pt idx="33">
                  <c:v>2421562.0823774063</c:v>
                </c:pt>
                <c:pt idx="34">
                  <c:v>2534395.7017501183</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1-A6B0-4075-898C-BD43F69FB90D}"/>
            </c:ext>
          </c:extLst>
        </c:ser>
        <c:ser>
          <c:idx val="1"/>
          <c:order val="7"/>
          <c:tx>
            <c:strRef>
              <c:f>'base scenario'!$G$1</c:f>
              <c:strCache>
                <c:ptCount val="1"/>
                <c:pt idx="0">
                  <c:v>Buy+Lease+Sell</c:v>
                </c:pt>
              </c:strCache>
            </c:strRef>
          </c:tx>
          <c:spPr>
            <a:ln>
              <a:solidFill>
                <a:schemeClr val="accent5">
                  <a:lumMod val="60000"/>
                  <a:lumOff val="40000"/>
                </a:schemeClr>
              </a:solidFill>
            </a:ln>
          </c:spPr>
          <c:marker>
            <c:symbol val="none"/>
          </c:marker>
          <c:val>
            <c:numRef>
              <c:f>'base scenario'!$G$2:$G$52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0-A6B0-4075-898C-BD43F69FB90D}"/>
            </c:ext>
          </c:extLst>
        </c:ser>
        <c:ser>
          <c:idx val="5"/>
          <c:order val="8"/>
          <c:tx>
            <c:v>Buy+Lease+Sell high return</c:v>
          </c:tx>
          <c:spPr>
            <a:ln>
              <a:solidFill>
                <a:schemeClr val="accent5">
                  <a:lumMod val="75000"/>
                </a:schemeClr>
              </a:solidFill>
            </a:ln>
          </c:spPr>
          <c:marker>
            <c:symbol val="none"/>
          </c:marker>
          <c:val>
            <c:numRef>
              <c:f>'high return'!$G$2:$G$52</c:f>
              <c:numCache>
                <c:formatCode>[$EUR]\ #,##0</c:formatCode>
                <c:ptCount val="51"/>
                <c:pt idx="0">
                  <c:v>-242271.22383835033</c:v>
                </c:pt>
                <c:pt idx="1">
                  <c:v>-189951.24588085728</c:v>
                </c:pt>
                <c:pt idx="2">
                  <c:v>-163674.69395204441</c:v>
                </c:pt>
                <c:pt idx="3">
                  <c:v>-108690.04357288136</c:v>
                </c:pt>
                <c:pt idx="4">
                  <c:v>-54336.636047373438</c:v>
                </c:pt>
                <c:pt idx="5">
                  <c:v>3550.9744442420124</c:v>
                </c:pt>
                <c:pt idx="6">
                  <c:v>62254.374953484221</c:v>
                </c:pt>
                <c:pt idx="7">
                  <c:v>124896.35632594794</c:v>
                </c:pt>
                <c:pt idx="8">
                  <c:v>191746.46617963369</c:v>
                </c:pt>
                <c:pt idx="9">
                  <c:v>263071.53890595317</c:v>
                </c:pt>
                <c:pt idx="10">
                  <c:v>337706.78161852143</c:v>
                </c:pt>
                <c:pt idx="11">
                  <c:v>412442.07562779909</c:v>
                </c:pt>
                <c:pt idx="12">
                  <c:v>490849.77161749592</c:v>
                </c:pt>
                <c:pt idx="13">
                  <c:v>569214.20839463756</c:v>
                </c:pt>
                <c:pt idx="14">
                  <c:v>650958.43593067932</c:v>
                </c:pt>
                <c:pt idx="15">
                  <c:v>736098.86441048607</c:v>
                </c:pt>
                <c:pt idx="16">
                  <c:v>824632.27666145563</c:v>
                </c:pt>
                <c:pt idx="17">
                  <c:v>916534.62043232087</c:v>
                </c:pt>
                <c:pt idx="18">
                  <c:v>1011759.9602348059</c:v>
                </c:pt>
                <c:pt idx="19">
                  <c:v>1105989.614168589</c:v>
                </c:pt>
                <c:pt idx="20">
                  <c:v>1251547.9924694418</c:v>
                </c:pt>
                <c:pt idx="21">
                  <c:v>1346479.0879733176</c:v>
                </c:pt>
                <c:pt idx="22">
                  <c:v>1442109.1523188865</c:v>
                </c:pt>
                <c:pt idx="23">
                  <c:v>1538198.3972520563</c:v>
                </c:pt>
                <c:pt idx="24">
                  <c:v>1634495.1294026575</c:v>
                </c:pt>
                <c:pt idx="25">
                  <c:v>1730737.5926561814</c:v>
                </c:pt>
                <c:pt idx="26">
                  <c:v>1839856.0229456965</c:v>
                </c:pt>
                <c:pt idx="27">
                  <c:v>1948854.3871771342</c:v>
                </c:pt>
                <c:pt idx="28">
                  <c:v>2070552.5460629934</c:v>
                </c:pt>
                <c:pt idx="29">
                  <c:v>2192137.4650875777</c:v>
                </c:pt>
                <c:pt idx="30">
                  <c:v>2314002.1895557404</c:v>
                </c:pt>
                <c:pt idx="31">
                  <c:v>2435703.6096924646</c:v>
                </c:pt>
                <c:pt idx="32">
                  <c:v>2556790.6583922459</c:v>
                </c:pt>
                <c:pt idx="33">
                  <c:v>2676808.3853850281</c:v>
                </c:pt>
                <c:pt idx="34">
                  <c:v>2795302.2127600843</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2-A6B0-4075-898C-BD43F69FB90D}"/>
            </c:ext>
          </c:extLst>
        </c:ser>
        <c:ser>
          <c:idx val="4"/>
          <c:order val="9"/>
          <c:tx>
            <c:v>Buy+Lease+Hold low return</c:v>
          </c:tx>
          <c:spPr>
            <a:ln>
              <a:solidFill>
                <a:schemeClr val="accent6">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return'!$I$2:$I$52</c:f>
              <c:numCache>
                <c:formatCode>[$EUR]\ #,##0</c:formatCode>
                <c:ptCount val="51"/>
                <c:pt idx="0">
                  <c:v>-242271.22383835033</c:v>
                </c:pt>
                <c:pt idx="1">
                  <c:v>-189951.24588085728</c:v>
                </c:pt>
                <c:pt idx="2">
                  <c:v>-163674.69395204441</c:v>
                </c:pt>
                <c:pt idx="3">
                  <c:v>-108690.04357288136</c:v>
                </c:pt>
                <c:pt idx="4">
                  <c:v>-54336.636047373438</c:v>
                </c:pt>
                <c:pt idx="5">
                  <c:v>3161.8481279617044</c:v>
                </c:pt>
                <c:pt idx="6">
                  <c:v>60949.871684987636</c:v>
                </c:pt>
                <c:pt idx="7">
                  <c:v>122148.16968511231</c:v>
                </c:pt>
                <c:pt idx="8">
                  <c:v>186933.796358691</c:v>
                </c:pt>
                <c:pt idx="9">
                  <c:v>255483.05060835206</c:v>
                </c:pt>
                <c:pt idx="10">
                  <c:v>326544.33936810534</c:v>
                </c:pt>
                <c:pt idx="11">
                  <c:v>396702.57657433552</c:v>
                </c:pt>
                <c:pt idx="12">
                  <c:v>469586.32197068841</c:v>
                </c:pt>
                <c:pt idx="13">
                  <c:v>541454.09583909379</c:v>
                </c:pt>
                <c:pt idx="14">
                  <c:v>615802.80602006661</c:v>
                </c:pt>
                <c:pt idx="15">
                  <c:v>692652.05679733143</c:v>
                </c:pt>
                <c:pt idx="16">
                  <c:v>772014.85078450595</c:v>
                </c:pt>
                <c:pt idx="17">
                  <c:v>853897.28348768153</c:v>
                </c:pt>
                <c:pt idx="18">
                  <c:v>938298.26560165361</c:v>
                </c:pt>
                <c:pt idx="19">
                  <c:v>1020959.276224955</c:v>
                </c:pt>
                <c:pt idx="20">
                  <c:v>1154350.1664205149</c:v>
                </c:pt>
                <c:pt idx="21">
                  <c:v>1235866.6690989556</c:v>
                </c:pt>
                <c:pt idx="22">
                  <c:v>1317775.9653745419</c:v>
                </c:pt>
                <c:pt idx="23">
                  <c:v>1399974.963610589</c:v>
                </c:pt>
                <c:pt idx="24">
                  <c:v>1482357.255699147</c:v>
                </c:pt>
                <c:pt idx="25">
                  <c:v>1564813.544619333</c:v>
                </c:pt>
                <c:pt idx="26">
                  <c:v>1660432.1056056628</c:v>
                </c:pt>
                <c:pt idx="27">
                  <c:v>1756268.4353174339</c:v>
                </c:pt>
                <c:pt idx="28">
                  <c:v>1865329.9310648814</c:v>
                </c:pt>
                <c:pt idx="29">
                  <c:v>1974890.8245169928</c:v>
                </c:pt>
                <c:pt idx="30">
                  <c:v>2085478.1054390161</c:v>
                </c:pt>
                <c:pt idx="31">
                  <c:v>2196910.705373968</c:v>
                </c:pt>
                <c:pt idx="32">
                  <c:v>2309002.29229022</c:v>
                </c:pt>
                <c:pt idx="33">
                  <c:v>2421562.0823774063</c:v>
                </c:pt>
                <c:pt idx="34">
                  <c:v>2534395.7017501183</c:v>
                </c:pt>
                <c:pt idx="35">
                  <c:v>2582668.9658239773</c:v>
                </c:pt>
                <c:pt idx="36">
                  <c:v>2601758.0535623692</c:v>
                </c:pt>
                <c:pt idx="37">
                  <c:v>2615829.2227545613</c:v>
                </c:pt>
                <c:pt idx="38">
                  <c:v>2628113.7521449914</c:v>
                </c:pt>
                <c:pt idx="39">
                  <c:v>2638637.9365670593</c:v>
                </c:pt>
                <c:pt idx="40">
                  <c:v>2647427.2673703623</c:v>
                </c:pt>
                <c:pt idx="41">
                  <c:v>2654506.4403260406</c:v>
                </c:pt>
                <c:pt idx="42">
                  <c:v>2659899.3631338943</c:v>
                </c:pt>
                <c:pt idx="43">
                  <c:v>2663629.1625321629</c:v>
                </c:pt>
                <c:pt idx="44">
                  <c:v>2665718.191010653</c:v>
                </c:pt>
                <c:pt idx="45">
                  <c:v>2666188.033127659</c:v>
                </c:pt>
                <c:pt idx="46">
                  <c:v>2665059.511430894</c:v>
                </c:pt>
                <c:pt idx="47">
                  <c:v>2662352.6919824248</c:v>
                </c:pt>
                <c:pt idx="48">
                  <c:v>2658086.8894873653</c:v>
                </c:pt>
                <c:pt idx="49">
                  <c:v>2652280.6720258463</c:v>
                </c:pt>
                <c:pt idx="50">
                  <c:v>2644951.865387551</c:v>
                </c:pt>
              </c:numCache>
            </c:numRef>
          </c:val>
          <c:smooth val="0"/>
          <c:extLst>
            <c:ext xmlns:c16="http://schemas.microsoft.com/office/drawing/2014/chart" uri="{C3380CC4-5D6E-409C-BE32-E72D297353CC}">
              <c16:uniqueId val="{00000001-FD33-44B5-B323-063A30A273EE}"/>
            </c:ext>
          </c:extLst>
        </c:ser>
        <c:ser>
          <c:idx val="2"/>
          <c:order val="10"/>
          <c:tx>
            <c:strRef>
              <c:f>'base scenario'!$I$1</c:f>
              <c:strCache>
                <c:ptCount val="1"/>
                <c:pt idx="0">
                  <c:v>Buy+Lease+Hold</c:v>
                </c:pt>
              </c:strCache>
            </c:strRef>
          </c:tx>
          <c:spPr>
            <a:ln>
              <a:solidFill>
                <a:schemeClr val="accent6">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scenario'!$I$2:$I$52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2706169.1840881221</c:v>
                </c:pt>
                <c:pt idx="36">
                  <c:v>2725258.271826514</c:v>
                </c:pt>
                <c:pt idx="37">
                  <c:v>2739329.4410187062</c:v>
                </c:pt>
                <c:pt idx="38">
                  <c:v>2751613.9704091363</c:v>
                </c:pt>
                <c:pt idx="39">
                  <c:v>2762138.1548312041</c:v>
                </c:pt>
                <c:pt idx="40">
                  <c:v>2770927.4856345071</c:v>
                </c:pt>
                <c:pt idx="41">
                  <c:v>2778006.6585901855</c:v>
                </c:pt>
                <c:pt idx="42">
                  <c:v>2783399.5813980391</c:v>
                </c:pt>
                <c:pt idx="43">
                  <c:v>2787129.3807963077</c:v>
                </c:pt>
                <c:pt idx="44">
                  <c:v>2789218.4092747979</c:v>
                </c:pt>
                <c:pt idx="45">
                  <c:v>2789688.2513918038</c:v>
                </c:pt>
                <c:pt idx="46">
                  <c:v>2788559.7296950389</c:v>
                </c:pt>
                <c:pt idx="47">
                  <c:v>2785852.9102465697</c:v>
                </c:pt>
                <c:pt idx="48">
                  <c:v>2781587.1077515101</c:v>
                </c:pt>
                <c:pt idx="49">
                  <c:v>2775780.8902899916</c:v>
                </c:pt>
                <c:pt idx="50">
                  <c:v>2768452.0836516963</c:v>
                </c:pt>
              </c:numCache>
            </c:numRef>
          </c:val>
          <c:smooth val="0"/>
          <c:extLst>
            <c:ext xmlns:c16="http://schemas.microsoft.com/office/drawing/2014/chart" uri="{C3380CC4-5D6E-409C-BE32-E72D297353CC}">
              <c16:uniqueId val="{00000003-FD33-44B5-B323-063A30A273EE}"/>
            </c:ext>
          </c:extLst>
        </c:ser>
        <c:ser>
          <c:idx val="0"/>
          <c:order val="11"/>
          <c:tx>
            <c:v>Buy+Lease+Hold high return</c:v>
          </c:tx>
          <c:spPr>
            <a:ln w="38100" cap="rnd">
              <a:solidFill>
                <a:schemeClr val="accent6">
                  <a:lumMod val="75000"/>
                </a:schemeClr>
              </a:solidFill>
              <a:round/>
            </a:ln>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return'!$I$2:$I$52</c:f>
              <c:numCache>
                <c:formatCode>[$EUR]\ #,##0</c:formatCode>
                <c:ptCount val="51"/>
                <c:pt idx="0">
                  <c:v>-242271.22383835033</c:v>
                </c:pt>
                <c:pt idx="1">
                  <c:v>-189951.24588085728</c:v>
                </c:pt>
                <c:pt idx="2">
                  <c:v>-163674.69395204441</c:v>
                </c:pt>
                <c:pt idx="3">
                  <c:v>-108690.04357288136</c:v>
                </c:pt>
                <c:pt idx="4">
                  <c:v>-54336.636047373438</c:v>
                </c:pt>
                <c:pt idx="5">
                  <c:v>3550.9744442420124</c:v>
                </c:pt>
                <c:pt idx="6">
                  <c:v>62254.374953484221</c:v>
                </c:pt>
                <c:pt idx="7">
                  <c:v>124896.35632594794</c:v>
                </c:pt>
                <c:pt idx="8">
                  <c:v>191746.46617963369</c:v>
                </c:pt>
                <c:pt idx="9">
                  <c:v>263071.53890595317</c:v>
                </c:pt>
                <c:pt idx="10">
                  <c:v>337706.78161852143</c:v>
                </c:pt>
                <c:pt idx="11">
                  <c:v>412442.07562779909</c:v>
                </c:pt>
                <c:pt idx="12">
                  <c:v>490849.77161749592</c:v>
                </c:pt>
                <c:pt idx="13">
                  <c:v>569214.20839463756</c:v>
                </c:pt>
                <c:pt idx="14">
                  <c:v>650958.43593067932</c:v>
                </c:pt>
                <c:pt idx="15">
                  <c:v>736098.86441048607</c:v>
                </c:pt>
                <c:pt idx="16">
                  <c:v>824632.27666145563</c:v>
                </c:pt>
                <c:pt idx="17">
                  <c:v>916534.62043232087</c:v>
                </c:pt>
                <c:pt idx="18">
                  <c:v>1011759.9602348059</c:v>
                </c:pt>
                <c:pt idx="19">
                  <c:v>1105989.614168589</c:v>
                </c:pt>
                <c:pt idx="20">
                  <c:v>1251547.9924694418</c:v>
                </c:pt>
                <c:pt idx="21">
                  <c:v>1346479.0879733176</c:v>
                </c:pt>
                <c:pt idx="22">
                  <c:v>1442109.1523188865</c:v>
                </c:pt>
                <c:pt idx="23">
                  <c:v>1538198.3972520563</c:v>
                </c:pt>
                <c:pt idx="24">
                  <c:v>1634495.1294026575</c:v>
                </c:pt>
                <c:pt idx="25">
                  <c:v>1730737.5926561814</c:v>
                </c:pt>
                <c:pt idx="26">
                  <c:v>1839856.0229456965</c:v>
                </c:pt>
                <c:pt idx="27">
                  <c:v>1948854.3871771342</c:v>
                </c:pt>
                <c:pt idx="28">
                  <c:v>2070552.5460629934</c:v>
                </c:pt>
                <c:pt idx="29">
                  <c:v>2192137.4650875777</c:v>
                </c:pt>
                <c:pt idx="30">
                  <c:v>2314002.1895557404</c:v>
                </c:pt>
                <c:pt idx="31">
                  <c:v>2435703.6096924646</c:v>
                </c:pt>
                <c:pt idx="32">
                  <c:v>2556790.6583922459</c:v>
                </c:pt>
                <c:pt idx="33">
                  <c:v>2676808.3853850281</c:v>
                </c:pt>
                <c:pt idx="34">
                  <c:v>2795302.2127600843</c:v>
                </c:pt>
                <c:pt idx="35">
                  <c:v>2848691.2907753154</c:v>
                </c:pt>
                <c:pt idx="36">
                  <c:v>2867780.3785137073</c:v>
                </c:pt>
                <c:pt idx="37">
                  <c:v>2881851.5477058999</c:v>
                </c:pt>
                <c:pt idx="38">
                  <c:v>2894136.0770963295</c:v>
                </c:pt>
                <c:pt idx="39">
                  <c:v>2904660.2615183974</c:v>
                </c:pt>
                <c:pt idx="40">
                  <c:v>2913449.5923217004</c:v>
                </c:pt>
                <c:pt idx="41">
                  <c:v>2920528.7652773792</c:v>
                </c:pt>
                <c:pt idx="42">
                  <c:v>2925921.6880852329</c:v>
                </c:pt>
                <c:pt idx="43">
                  <c:v>2929651.4874835014</c:v>
                </c:pt>
                <c:pt idx="44">
                  <c:v>2931740.5159619916</c:v>
                </c:pt>
                <c:pt idx="45">
                  <c:v>2932210.3580789976</c:v>
                </c:pt>
                <c:pt idx="46">
                  <c:v>2931081.8363822326</c:v>
                </c:pt>
                <c:pt idx="47">
                  <c:v>2928375.0169337634</c:v>
                </c:pt>
                <c:pt idx="48">
                  <c:v>2924109.2144387038</c:v>
                </c:pt>
                <c:pt idx="49">
                  <c:v>2918302.9969771849</c:v>
                </c:pt>
                <c:pt idx="50">
                  <c:v>2910974.1903388896</c:v>
                </c:pt>
              </c:numCache>
            </c:numRef>
          </c:val>
          <c:smooth val="0"/>
          <c:extLst>
            <c:ext xmlns:c16="http://schemas.microsoft.com/office/drawing/2014/chart" uri="{C3380CC4-5D6E-409C-BE32-E72D297353CC}">
              <c16:uniqueId val="{00000005-FD33-44B5-B323-063A30A273EE}"/>
            </c:ext>
          </c:extLst>
        </c:ser>
        <c:dLbls>
          <c:showLegendKey val="0"/>
          <c:showVal val="0"/>
          <c:showCatName val="0"/>
          <c:showSerName val="0"/>
          <c:showPercent val="0"/>
          <c:showBubbleSize val="0"/>
        </c:dLbls>
        <c:smooth val="0"/>
        <c:axId val="153806976"/>
        <c:axId val="153800736"/>
      </c:lineChart>
      <c:catAx>
        <c:axId val="1538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0736"/>
        <c:crosses val="autoZero"/>
        <c:auto val="1"/>
        <c:lblAlgn val="ctr"/>
        <c:lblOffset val="100"/>
        <c:noMultiLvlLbl val="0"/>
      </c:catAx>
      <c:valAx>
        <c:axId val="153800736"/>
        <c:scaling>
          <c:orientation val="minMax"/>
          <c:max val="3000000"/>
          <c:min val="-1000000"/>
        </c:scaling>
        <c:delete val="0"/>
        <c:axPos val="l"/>
        <c:majorGridlines>
          <c:spPr>
            <a:ln w="9525" cap="flat" cmpd="sng" algn="ctr">
              <a:solidFill>
                <a:schemeClr val="tx1">
                  <a:lumMod val="15000"/>
                  <a:lumOff val="85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3806976"/>
        <c:crosses val="autoZero"/>
        <c:crossBetween val="between"/>
      </c:valAx>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e-DE" sz="1800"/>
              <a:t>Sum of all assets (investment + property + debit)</a:t>
            </a:r>
          </a:p>
        </c:rich>
      </c:tx>
      <c:overlay val="0"/>
      <c:spPr>
        <a:noFill/>
        <a:ln>
          <a:noFill/>
        </a:ln>
        <a:effectLst/>
      </c:spPr>
    </c:title>
    <c:autoTitleDeleted val="0"/>
    <c:plotArea>
      <c:layout/>
      <c:lineChart>
        <c:grouping val="standard"/>
        <c:varyColors val="0"/>
        <c:ser>
          <c:idx val="4"/>
          <c:order val="0"/>
          <c:tx>
            <c:strRef>
              <c:f>'base scenario'!$C$1</c:f>
              <c:strCache>
                <c:ptCount val="1"/>
                <c:pt idx="0">
                  <c:v>Buy</c:v>
                </c:pt>
              </c:strCache>
            </c:strRef>
          </c:tx>
          <c:spPr>
            <a:ln w="38100">
              <a:solidFill>
                <a:schemeClr val="tx2">
                  <a:lumMod val="50000"/>
                  <a:lumOff val="5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8-7F5B-4662-B7E6-61E07E344AA4}"/>
            </c:ext>
          </c:extLst>
        </c:ser>
        <c:ser>
          <c:idx val="5"/>
          <c:order val="2"/>
          <c:tx>
            <c:strRef>
              <c:f>'base scenario'!$E$1</c:f>
              <c:strCache>
                <c:ptCount val="1"/>
                <c:pt idx="0">
                  <c:v>Rent</c:v>
                </c:pt>
              </c:strCache>
            </c:strRef>
          </c:tx>
          <c:spPr>
            <a:ln w="38100">
              <a:solidFill>
                <a:schemeClr val="accent2">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9-7F5B-4662-B7E6-61E07E344AA4}"/>
            </c:ext>
          </c:extLst>
        </c:ser>
        <c:ser>
          <c:idx val="1"/>
          <c:order val="4"/>
          <c:tx>
            <c:strRef>
              <c:f>'base scenario'!$G$1</c:f>
              <c:strCache>
                <c:ptCount val="1"/>
                <c:pt idx="0">
                  <c:v>Buy+Lease+Sell</c:v>
                </c:pt>
              </c:strCache>
            </c:strRef>
          </c:tx>
          <c:spPr>
            <a:ln>
              <a:solidFill>
                <a:schemeClr val="accent5">
                  <a:lumMod val="60000"/>
                  <a:lumOff val="40000"/>
                </a:schemeClr>
              </a:solidFill>
            </a:ln>
          </c:spPr>
          <c:marker>
            <c:symbol val="none"/>
          </c:marker>
          <c:val>
            <c:numRef>
              <c:f>'base scenario'!$G$2:$G$52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0-3F6F-4F42-B4AC-85482A6DC840}"/>
            </c:ext>
          </c:extLst>
        </c:ser>
        <c:ser>
          <c:idx val="0"/>
          <c:order val="6"/>
          <c:tx>
            <c:strRef>
              <c:f>'base scenario'!$I$1</c:f>
              <c:strCache>
                <c:ptCount val="1"/>
                <c:pt idx="0">
                  <c:v>Buy+Lease+Hold</c:v>
                </c:pt>
              </c:strCache>
            </c:strRef>
          </c:tx>
          <c:spPr>
            <a:ln w="38100" cap="rnd">
              <a:solidFill>
                <a:schemeClr val="accent6">
                  <a:lumMod val="60000"/>
                  <a:lumOff val="40000"/>
                </a:schemeClr>
              </a:solidFill>
              <a:round/>
            </a:ln>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scenario'!$I$2:$I$52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2706169.1840881221</c:v>
                </c:pt>
                <c:pt idx="36">
                  <c:v>2725258.271826514</c:v>
                </c:pt>
                <c:pt idx="37">
                  <c:v>2739329.4410187062</c:v>
                </c:pt>
                <c:pt idx="38">
                  <c:v>2751613.9704091363</c:v>
                </c:pt>
                <c:pt idx="39">
                  <c:v>2762138.1548312041</c:v>
                </c:pt>
                <c:pt idx="40">
                  <c:v>2770927.4856345071</c:v>
                </c:pt>
                <c:pt idx="41">
                  <c:v>2778006.6585901855</c:v>
                </c:pt>
                <c:pt idx="42">
                  <c:v>2783399.5813980391</c:v>
                </c:pt>
                <c:pt idx="43">
                  <c:v>2787129.3807963077</c:v>
                </c:pt>
                <c:pt idx="44">
                  <c:v>2789218.4092747979</c:v>
                </c:pt>
                <c:pt idx="45">
                  <c:v>2789688.2513918038</c:v>
                </c:pt>
                <c:pt idx="46">
                  <c:v>2788559.7296950389</c:v>
                </c:pt>
                <c:pt idx="47">
                  <c:v>2785852.9102465697</c:v>
                </c:pt>
                <c:pt idx="48">
                  <c:v>2781587.1077515101</c:v>
                </c:pt>
                <c:pt idx="49">
                  <c:v>2775780.8902899916</c:v>
                </c:pt>
                <c:pt idx="50">
                  <c:v>2768452.0836516963</c:v>
                </c:pt>
              </c:numCache>
            </c:numRef>
          </c:val>
          <c:smooth val="0"/>
          <c:extLst>
            <c:ext xmlns:c16="http://schemas.microsoft.com/office/drawing/2014/chart" uri="{C3380CC4-5D6E-409C-BE32-E72D297353CC}">
              <c16:uniqueId val="{00000001-7F5B-4662-B7E6-61E07E344AA4}"/>
            </c:ext>
          </c:extLst>
        </c:ser>
        <c:dLbls>
          <c:showLegendKey val="0"/>
          <c:showVal val="0"/>
          <c:showCatName val="0"/>
          <c:showSerName val="0"/>
          <c:showPercent val="0"/>
          <c:showBubbleSize val="0"/>
        </c:dLbls>
        <c:smooth val="0"/>
        <c:axId val="153806976"/>
        <c:axId val="153800736"/>
        <c:extLst>
          <c:ext xmlns:c15="http://schemas.microsoft.com/office/drawing/2012/chart" uri="{02D57815-91ED-43cb-92C2-25804820EDAC}">
            <c15:filteredLineSeries>
              <c15:ser>
                <c:idx val="6"/>
                <c:order val="1"/>
                <c:tx>
                  <c:strRef>
                    <c:extLst>
                      <c:ext uri="{02D57815-91ED-43cb-92C2-25804820EDAC}">
                        <c15:formulaRef>
                          <c15:sqref>'base scenario'!$D$1</c15:sqref>
                        </c15:formulaRef>
                      </c:ext>
                    </c:extLst>
                    <c:strCache>
                      <c:ptCount val="1"/>
                      <c:pt idx="0">
                        <c:v>Buy (liquid)</c:v>
                      </c:pt>
                    </c:strCache>
                  </c:strRef>
                </c:tx>
                <c:spPr>
                  <a:ln w="25400">
                    <a:solidFill>
                      <a:schemeClr val="tx2">
                        <a:lumMod val="50000"/>
                        <a:lumOff val="50000"/>
                      </a:schemeClr>
                    </a:solidFill>
                  </a:ln>
                </c:spPr>
                <c:marker>
                  <c:symbol val="none"/>
                </c:marker>
                <c:cat>
                  <c:numRef>
                    <c:extLst>
                      <c:ext uri="{02D57815-91ED-43cb-92C2-25804820EDAC}">
                        <c15:formulaRef>
                          <c15:sqref>'base scenario'!$B$2:$B$52</c15:sqref>
                        </c15:formulaRef>
                      </c:ext>
                    </c:extLst>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extLst>
                      <c:ext uri="{02D57815-91ED-43cb-92C2-25804820EDAC}">
                        <c15:formulaRef>
                          <c15:sqref>'base scenario'!$D$2:$D$52</c15:sqref>
                        </c15:formulaRef>
                      </c:ext>
                    </c:extLst>
                    <c:numCache>
                      <c:formatCode>[$EUR]\ #,##0</c:formatCode>
                      <c:ptCount val="51"/>
                      <c:pt idx="0">
                        <c:v>-565248.913326359</c:v>
                      </c:pt>
                      <c:pt idx="1">
                        <c:v>-519488.94457924372</c:v>
                      </c:pt>
                      <c:pt idx="2">
                        <c:v>-500609.26676517498</c:v>
                      </c:pt>
                      <c:pt idx="3">
                        <c:v>-456032.7200332451</c:v>
                      </c:pt>
                      <c:pt idx="4">
                        <c:v>-390693.98162106494</c:v>
                      </c:pt>
                      <c:pt idx="5">
                        <c:v>-340324.23630922992</c:v>
                      </c:pt>
                      <c:pt idx="6">
                        <c:v>-291337.42583628127</c:v>
                      </c:pt>
                      <c:pt idx="7">
                        <c:v>-240717.54891584808</c:v>
                      </c:pt>
                      <c:pt idx="8">
                        <c:v>-188306.85184897701</c:v>
                      </c:pt>
                      <c:pt idx="9">
                        <c:v>-133934.48206476879</c:v>
                      </c:pt>
                      <c:pt idx="10">
                        <c:v>-78841.799224464601</c:v>
                      </c:pt>
                      <c:pt idx="11">
                        <c:v>-26259.228985876776</c:v>
                      </c:pt>
                      <c:pt idx="12">
                        <c:v>27337.540472031425</c:v>
                      </c:pt>
                      <c:pt idx="13">
                        <c:v>78253.730599010363</c:v>
                      </c:pt>
                      <c:pt idx="14">
                        <c:v>129997.91107302092</c:v>
                      </c:pt>
                      <c:pt idx="15">
                        <c:v>182608.23243707366</c:v>
                      </c:pt>
                      <c:pt idx="16">
                        <c:v>236124.75626494177</c:v>
                      </c:pt>
                      <c:pt idx="17">
                        <c:v>290589.57062566507</c:v>
                      </c:pt>
                      <c:pt idx="18">
                        <c:v>346046.91363739723</c:v>
                      </c:pt>
                      <c:pt idx="19">
                        <c:v>398293.30572340387</c:v>
                      </c:pt>
                      <c:pt idx="20">
                        <c:v>499676.56472072145</c:v>
                      </c:pt>
                      <c:pt idx="21">
                        <c:v>549822.37627709191</c:v>
                      </c:pt>
                      <c:pt idx="22">
                        <c:v>598824.85548898205</c:v>
                      </c:pt>
                      <c:pt idx="23">
                        <c:v>646533.97345150972</c:v>
                      </c:pt>
                      <c:pt idx="24">
                        <c:v>692785.97652630624</c:v>
                      </c:pt>
                      <c:pt idx="25">
                        <c:v>737402.23770338902</c:v>
                      </c:pt>
                      <c:pt idx="26">
                        <c:v>793388.01458200964</c:v>
                      </c:pt>
                      <c:pt idx="27">
                        <c:v>848387.10645615449</c:v>
                      </c:pt>
                      <c:pt idx="28">
                        <c:v>915350.22583630518</c:v>
                      </c:pt>
                      <c:pt idx="29">
                        <c:v>982719.34670277359</c:v>
                      </c:pt>
                      <c:pt idx="30">
                        <c:v>1052967.2084020402</c:v>
                      </c:pt>
                      <c:pt idx="31">
                        <c:v>1126250.2634702425</c:v>
                      </c:pt>
                      <c:pt idx="32">
                        <c:v>1202735.3086837488</c:v>
                      </c:pt>
                      <c:pt idx="33">
                        <c:v>1282600.2487171195</c:v>
                      </c:pt>
                      <c:pt idx="34">
                        <c:v>1366034.9190148495</c:v>
                      </c:pt>
                      <c:pt idx="35">
                        <c:v>1387508.0109381122</c:v>
                      </c:pt>
                      <c:pt idx="36">
                        <c:v>1406396.5161822787</c:v>
                      </c:pt>
                      <c:pt idx="37">
                        <c:v>1422432.0862564766</c:v>
                      </c:pt>
                      <c:pt idx="38">
                        <c:v>1435321.7943558954</c:v>
                      </c:pt>
                      <c:pt idx="39">
                        <c:v>1444746.1035975451</c:v>
                      </c:pt>
                      <c:pt idx="40">
                        <c:v>1450356.6702687505</c:v>
                      </c:pt>
                      <c:pt idx="41">
                        <c:v>1451773.9688278381</c:v>
                      </c:pt>
                      <c:pt idx="42">
                        <c:v>1448584.7243336332</c:v>
                      </c:pt>
                      <c:pt idx="43">
                        <c:v>1440339.1368324189</c:v>
                      </c:pt>
                      <c:pt idx="44">
                        <c:v>1426547.8809911874</c:v>
                      </c:pt>
                      <c:pt idx="45">
                        <c:v>1406678.8629269218</c:v>
                      </c:pt>
                      <c:pt idx="46">
                        <c:v>1380153.7147353799</c:v>
                      </c:pt>
                      <c:pt idx="47">
                        <c:v>1346344.0056608156</c:v>
                      </c:pt>
                      <c:pt idx="48">
                        <c:v>1304567.1471610172</c:v>
                      </c:pt>
                      <c:pt idx="49">
                        <c:v>1254081.9672999419</c:v>
                      </c:pt>
                      <c:pt idx="50">
                        <c:v>1194083.9279323032</c:v>
                      </c:pt>
                    </c:numCache>
                  </c:numRef>
                </c:val>
                <c:smooth val="0"/>
                <c:extLst>
                  <c:ext xmlns:c16="http://schemas.microsoft.com/office/drawing/2014/chart" uri="{C3380CC4-5D6E-409C-BE32-E72D297353CC}">
                    <c16:uniqueId val="{0000000A-7F5B-4662-B7E6-61E07E344AA4}"/>
                  </c:ext>
                </c:extLst>
              </c15:ser>
            </c15:filteredLineSeries>
            <c15:filteredLineSeries>
              <c15:ser>
                <c:idx val="7"/>
                <c:order val="3"/>
                <c:tx>
                  <c:strRef>
                    <c:extLst xmlns:c15="http://schemas.microsoft.com/office/drawing/2012/chart">
                      <c:ext xmlns:c15="http://schemas.microsoft.com/office/drawing/2012/chart" uri="{02D57815-91ED-43cb-92C2-25804820EDAC}">
                        <c15:formulaRef>
                          <c15:sqref>'base scenario'!$F$1</c15:sqref>
                        </c15:formulaRef>
                      </c:ext>
                    </c:extLst>
                    <c:strCache>
                      <c:ptCount val="1"/>
                      <c:pt idx="0">
                        <c:v>Rent (liquid)</c:v>
                      </c:pt>
                    </c:strCache>
                  </c:strRef>
                </c:tx>
                <c:spPr>
                  <a:ln w="25400">
                    <a:solidFill>
                      <a:schemeClr val="accent2">
                        <a:lumMod val="40000"/>
                        <a:lumOff val="60000"/>
                      </a:schemeClr>
                    </a:solidFill>
                  </a:ln>
                </c:spPr>
                <c:marker>
                  <c:symbol val="none"/>
                </c:marker>
                <c:cat>
                  <c:numRef>
                    <c:extLst xmlns:c15="http://schemas.microsoft.com/office/drawing/2012/chart">
                      <c:ext xmlns:c15="http://schemas.microsoft.com/office/drawing/2012/chart" uri="{02D57815-91ED-43cb-92C2-25804820EDAC}">
                        <c15:formulaRef>
                          <c15:sqref>'base scenario'!$B$2:$B$52</c15:sqref>
                        </c15:formulaRef>
                      </c:ext>
                    </c:extLst>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extLst xmlns:c15="http://schemas.microsoft.com/office/drawing/2012/chart">
                      <c:ext xmlns:c15="http://schemas.microsoft.com/office/drawing/2012/chart" uri="{02D57815-91ED-43cb-92C2-25804820EDAC}">
                        <c15:formulaRef>
                          <c15:sqref>'base scenario'!$F$2:$F$52</c15:sqref>
                        </c15:formulaRef>
                      </c:ext>
                    </c:extLst>
                    <c:numCache>
                      <c:formatCode>[$EUR]\ #,##0</c:formatCode>
                      <c:ptCount val="51"/>
                      <c:pt idx="0">
                        <c:v>52401.372549019608</c:v>
                      </c:pt>
                      <c:pt idx="1">
                        <c:v>79564.180265749426</c:v>
                      </c:pt>
                      <c:pt idx="2">
                        <c:v>81432.776169675461</c:v>
                      </c:pt>
                      <c:pt idx="3">
                        <c:v>111934.23917188705</c:v>
                      </c:pt>
                      <c:pt idx="4">
                        <c:v>142834.33078201133</c:v>
                      </c:pt>
                      <c:pt idx="5">
                        <c:v>177301.34965740159</c:v>
                      </c:pt>
                      <c:pt idx="6">
                        <c:v>212406.53602484043</c:v>
                      </c:pt>
                      <c:pt idx="7">
                        <c:v>251265.50895240257</c:v>
                      </c:pt>
                      <c:pt idx="8">
                        <c:v>294038.17859475757</c:v>
                      </c:pt>
                      <c:pt idx="9">
                        <c:v>340878.37569523667</c:v>
                      </c:pt>
                      <c:pt idx="10">
                        <c:v>390506.11223463929</c:v>
                      </c:pt>
                      <c:pt idx="11">
                        <c:v>439193.90837324585</c:v>
                      </c:pt>
                      <c:pt idx="12">
                        <c:v>490542.31389360322</c:v>
                      </c:pt>
                      <c:pt idx="13">
                        <c:v>540799.05109439127</c:v>
                      </c:pt>
                      <c:pt idx="14">
                        <c:v>593548.54533855396</c:v>
                      </c:pt>
                      <c:pt idx="15">
                        <c:v>648763.35078528314</c:v>
                      </c:pt>
                      <c:pt idx="16">
                        <c:v>706402.57135039428</c:v>
                      </c:pt>
                      <c:pt idx="17">
                        <c:v>766411.37322351581</c:v>
                      </c:pt>
                      <c:pt idx="18">
                        <c:v>828720.58836965472</c:v>
                      </c:pt>
                      <c:pt idx="19">
                        <c:v>888996.41815359634</c:v>
                      </c:pt>
                      <c:pt idx="20">
                        <c:v>999640.98450131982</c:v>
                      </c:pt>
                      <c:pt idx="21">
                        <c:v>1057787.5762696173</c:v>
                      </c:pt>
                      <c:pt idx="22">
                        <c:v>1115807.8462413133</c:v>
                      </c:pt>
                      <c:pt idx="23">
                        <c:v>1173502.8262425456</c:v>
                      </c:pt>
                      <c:pt idx="24">
                        <c:v>1230665.1238825696</c:v>
                      </c:pt>
                      <c:pt idx="25">
                        <c:v>1287079.9268330564</c:v>
                      </c:pt>
                      <c:pt idx="26">
                        <c:v>1355726.1111988723</c:v>
                      </c:pt>
                      <c:pt idx="27">
                        <c:v>1423489.8545040097</c:v>
                      </c:pt>
                      <c:pt idx="28">
                        <c:v>1503317.3008709399</c:v>
                      </c:pt>
                      <c:pt idx="29">
                        <c:v>1582028.9511624328</c:v>
                      </c:pt>
                      <c:pt idx="30">
                        <c:v>1659337.2457763704</c:v>
                      </c:pt>
                      <c:pt idx="31">
                        <c:v>1734950.9670042903</c:v>
                      </c:pt>
                      <c:pt idx="32">
                        <c:v>1808577.0477853122</c:v>
                      </c:pt>
                      <c:pt idx="33">
                        <c:v>1879922.4486719787</c:v>
                      </c:pt>
                      <c:pt idx="34">
                        <c:v>1948696.0856865405</c:v>
                      </c:pt>
                      <c:pt idx="35">
                        <c:v>1911302.126242463</c:v>
                      </c:pt>
                      <c:pt idx="36">
                        <c:v>1872473.2301050958</c:v>
                      </c:pt>
                      <c:pt idx="37">
                        <c:v>1830526.1267698945</c:v>
                      </c:pt>
                      <c:pt idx="38">
                        <c:v>1785445.1278192187</c:v>
                      </c:pt>
                      <c:pt idx="39">
                        <c:v>1737212.5629402029</c:v>
                      </c:pt>
                      <c:pt idx="40">
                        <c:v>1685808.7520431462</c:v>
                      </c:pt>
                      <c:pt idx="41">
                        <c:v>1631211.9759516635</c:v>
                      </c:pt>
                      <c:pt idx="42">
                        <c:v>1573398.4456347574</c:v>
                      </c:pt>
                      <c:pt idx="43">
                        <c:v>1512342.2699498478</c:v>
                      </c:pt>
                      <c:pt idx="44">
                        <c:v>1448015.4218646456</c:v>
                      </c:pt>
                      <c:pt idx="45">
                        <c:v>1380387.7031245753</c:v>
                      </c:pt>
                      <c:pt idx="46">
                        <c:v>1309426.7073312551</c:v>
                      </c:pt>
                      <c:pt idx="47">
                        <c:v>1235097.7813962842</c:v>
                      </c:pt>
                      <c:pt idx="48">
                        <c:v>1157363.9853333414</c:v>
                      </c:pt>
                      <c:pt idx="49">
                        <c:v>1076186.0503502677</c:v>
                      </c:pt>
                      <c:pt idx="50">
                        <c:v>991522.33520149114</c:v>
                      </c:pt>
                    </c:numCache>
                  </c:numRef>
                </c:val>
                <c:smooth val="0"/>
                <c:extLst xmlns:c15="http://schemas.microsoft.com/office/drawing/2012/chart">
                  <c:ext xmlns:c16="http://schemas.microsoft.com/office/drawing/2014/chart" uri="{C3380CC4-5D6E-409C-BE32-E72D297353CC}">
                    <c16:uniqueId val="{0000000B-7F5B-4662-B7E6-61E07E344AA4}"/>
                  </c:ext>
                </c:extLst>
              </c15:ser>
            </c15:filteredLineSeries>
            <c15:filteredLineSeries>
              <c15:ser>
                <c:idx val="3"/>
                <c:order val="5"/>
                <c:tx>
                  <c:strRef>
                    <c:extLst xmlns:c15="http://schemas.microsoft.com/office/drawing/2012/chart">
                      <c:ext xmlns:c15="http://schemas.microsoft.com/office/drawing/2012/chart" uri="{02D57815-91ED-43cb-92C2-25804820EDAC}">
                        <c15:formulaRef>
                          <c15:sqref>'base scenario'!$H$1</c15:sqref>
                        </c15:formulaRef>
                      </c:ext>
                    </c:extLst>
                    <c:strCache>
                      <c:ptCount val="1"/>
                      <c:pt idx="0">
                        <c:v>Buy+Lease+Sell (liquid)</c:v>
                      </c:pt>
                    </c:strCache>
                  </c:strRef>
                </c:tx>
                <c:spPr>
                  <a:ln w="25400">
                    <a:solidFill>
                      <a:schemeClr val="accent5">
                        <a:lumMod val="40000"/>
                        <a:lumOff val="60000"/>
                      </a:schemeClr>
                    </a:solidFill>
                  </a:ln>
                </c:spPr>
                <c:marker>
                  <c:symbol val="none"/>
                </c:marker>
                <c:val>
                  <c:numRef>
                    <c:extLst xmlns:c15="http://schemas.microsoft.com/office/drawing/2012/chart">
                      <c:ext xmlns:c15="http://schemas.microsoft.com/office/drawing/2012/chart" uri="{02D57815-91ED-43cb-92C2-25804820EDAC}">
                        <c15:formulaRef>
                          <c15:sqref>'base scenario'!$H$2:$H$52</c15:sqref>
                        </c15:formulaRef>
                      </c:ext>
                    </c:extLst>
                    <c:numCache>
                      <c:formatCode>[$EUR]\ #,##0</c:formatCode>
                      <c:ptCount val="51"/>
                      <c:pt idx="0">
                        <c:v>-295183.72383835039</c:v>
                      </c:pt>
                      <c:pt idx="1">
                        <c:v>-247639.29735144554</c:v>
                      </c:pt>
                      <c:pt idx="2">
                        <c:v>-226278.75428941468</c:v>
                      </c:pt>
                      <c:pt idx="3">
                        <c:v>-176354.70127311553</c:v>
                      </c:pt>
                      <c:pt idx="4">
                        <c:v>-113754.19294361814</c:v>
                      </c:pt>
                      <c:pt idx="5">
                        <c:v>-58022.737846754331</c:v>
                      </c:pt>
                      <c:pt idx="6">
                        <c:v>-2072.8615642809673</c:v>
                      </c:pt>
                      <c:pt idx="7">
                        <c:v>57223.365099719624</c:v>
                      </c:pt>
                      <c:pt idx="8">
                        <c:v>120042.73676720115</c:v>
                      </c:pt>
                      <c:pt idx="9">
                        <c:v>186560.81151936162</c:v>
                      </c:pt>
                      <c:pt idx="10">
                        <c:v>255524.41967559751</c:v>
                      </c:pt>
                      <c:pt idx="11">
                        <c:v>323504.57810823922</c:v>
                      </c:pt>
                      <c:pt idx="12">
                        <c:v>394139.56248531991</c:v>
                      </c:pt>
                      <c:pt idx="13">
                        <c:v>463685.34562780173</c:v>
                      </c:pt>
                      <c:pt idx="14">
                        <c:v>535644.40986972163</c:v>
                      </c:pt>
                      <c:pt idx="15">
                        <c:v>610029.13557226071</c:v>
                      </c:pt>
                      <c:pt idx="16">
                        <c:v>686842.80669341353</c:v>
                      </c:pt>
                      <c:pt idx="17">
                        <c:v>766079.13990349253</c:v>
                      </c:pt>
                      <c:pt idx="18">
                        <c:v>847721.87083828065</c:v>
                      </c:pt>
                      <c:pt idx="19">
                        <c:v>927494.40499502374</c:v>
                      </c:pt>
                      <c:pt idx="20">
                        <c:v>1057860.2793890638</c:v>
                      </c:pt>
                      <c:pt idx="21">
                        <c:v>1136018.2817195803</c:v>
                      </c:pt>
                      <c:pt idx="22">
                        <c:v>1214409.4819458772</c:v>
                      </c:pt>
                      <c:pt idx="23">
                        <c:v>1292908.0436900533</c:v>
                      </c:pt>
                      <c:pt idx="24">
                        <c:v>1371383.1793446667</c:v>
                      </c:pt>
                      <c:pt idx="25">
                        <c:v>1449699.8756567733</c:v>
                      </c:pt>
                      <c:pt idx="26">
                        <c:v>1540919.6876820554</c:v>
                      </c:pt>
                      <c:pt idx="27">
                        <c:v>1632014.0034657866</c:v>
                      </c:pt>
                      <c:pt idx="28">
                        <c:v>1735959.0681982976</c:v>
                      </c:pt>
                      <c:pt idx="29">
                        <c:v>1839920.6087870635</c:v>
                      </c:pt>
                      <c:pt idx="30">
                        <c:v>1944303.7640689514</c:v>
                      </c:pt>
                      <c:pt idx="31">
                        <c:v>2048883.7669346023</c:v>
                      </c:pt>
                      <c:pt idx="32">
                        <c:v>2153430.5831267908</c:v>
                      </c:pt>
                      <c:pt idx="33">
                        <c:v>2257710.4282714864</c:v>
                      </c:pt>
                      <c:pt idx="34">
                        <c:v>2361487.3640621584</c:v>
                      </c:pt>
                      <c:pt idx="35">
                        <c:v>1612786.2523431608</c:v>
                      </c:pt>
                      <c:pt idx="36">
                        <c:v>1633851.6023474811</c:v>
                      </c:pt>
                      <c:pt idx="37">
                        <c:v>1652911.9686241597</c:v>
                      </c:pt>
                      <c:pt idx="38">
                        <c:v>1669203.1547412481</c:v>
                      </c:pt>
                      <c:pt idx="39">
                        <c:v>1744163.7655874796</c:v>
                      </c:pt>
                      <c:pt idx="40">
                        <c:v>1770656.9843458473</c:v>
                      </c:pt>
                      <c:pt idx="41">
                        <c:v>1793979.9593160821</c:v>
                      </c:pt>
                      <c:pt idx="42">
                        <c:v>1813796.4998105546</c:v>
                      </c:pt>
                      <c:pt idx="43">
                        <c:v>1829739.9169372485</c:v>
                      </c:pt>
                      <c:pt idx="44">
                        <c:v>1841410.5012620129</c:v>
                      </c:pt>
                      <c:pt idx="45">
                        <c:v>1848372.7957881182</c:v>
                      </c:pt>
                      <c:pt idx="46">
                        <c:v>1850638.474105021</c:v>
                      </c:pt>
                      <c:pt idx="47">
                        <c:v>1847730.3668325045</c:v>
                      </c:pt>
                      <c:pt idx="48">
                        <c:v>1839129.085956932</c:v>
                      </c:pt>
                      <c:pt idx="49">
                        <c:v>1824269.5495985649</c:v>
                      </c:pt>
                      <c:pt idx="50">
                        <c:v>1802537.2254608809</c:v>
                      </c:pt>
                    </c:numCache>
                  </c:numRef>
                </c:val>
                <c:smooth val="0"/>
                <c:extLst xmlns:c15="http://schemas.microsoft.com/office/drawing/2012/chart">
                  <c:ext xmlns:c16="http://schemas.microsoft.com/office/drawing/2014/chart" uri="{C3380CC4-5D6E-409C-BE32-E72D297353CC}">
                    <c16:uniqueId val="{00000001-3F6F-4F42-B4AC-85482A6DC840}"/>
                  </c:ext>
                </c:extLst>
              </c15:ser>
            </c15:filteredLineSeries>
            <c15:filteredLineSeries>
              <c15:ser>
                <c:idx val="2"/>
                <c:order val="7"/>
                <c:tx>
                  <c:strRef>
                    <c:extLst xmlns:c15="http://schemas.microsoft.com/office/drawing/2012/chart">
                      <c:ext xmlns:c15="http://schemas.microsoft.com/office/drawing/2012/chart" uri="{02D57815-91ED-43cb-92C2-25804820EDAC}">
                        <c15:formulaRef>
                          <c15:sqref>'base scenario'!$J$1</c15:sqref>
                        </c15:formulaRef>
                      </c:ext>
                    </c:extLst>
                    <c:strCache>
                      <c:ptCount val="1"/>
                      <c:pt idx="0">
                        <c:v>Buy+Lease+Hold (liquid)</c:v>
                      </c:pt>
                    </c:strCache>
                  </c:strRef>
                </c:tx>
                <c:spPr>
                  <a:ln w="25400" cap="rnd">
                    <a:solidFill>
                      <a:schemeClr val="accent6">
                        <a:lumMod val="40000"/>
                        <a:lumOff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'base scenario'!$B$2:$B$52</c15:sqref>
                        </c15:formulaRef>
                      </c:ext>
                    </c:extLst>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extLst xmlns:c15="http://schemas.microsoft.com/office/drawing/2012/chart">
                      <c:ext xmlns:c15="http://schemas.microsoft.com/office/drawing/2012/chart" uri="{02D57815-91ED-43cb-92C2-25804820EDAC}">
                        <c15:formulaRef>
                          <c15:sqref>'base scenario'!$J$2:$J$52</c15:sqref>
                        </c15:formulaRef>
                      </c:ext>
                    </c:extLst>
                    <c:numCache>
                      <c:formatCode>[$EUR]\ #,##0</c:formatCode>
                      <c:ptCount val="51"/>
                      <c:pt idx="0">
                        <c:v>-295183.72383835039</c:v>
                      </c:pt>
                      <c:pt idx="1">
                        <c:v>-247639.29735144554</c:v>
                      </c:pt>
                      <c:pt idx="2">
                        <c:v>-226278.75428941468</c:v>
                      </c:pt>
                      <c:pt idx="3">
                        <c:v>-176354.70127311553</c:v>
                      </c:pt>
                      <c:pt idx="4">
                        <c:v>-127210.73220937917</c:v>
                      </c:pt>
                      <c:pt idx="5">
                        <c:v>-75094.359149743643</c:v>
                      </c:pt>
                      <c:pt idx="6">
                        <c:v>-22865.890846770002</c:v>
                      </c:pt>
                      <c:pt idx="7">
                        <c:v>32599.474661863249</c:v>
                      </c:pt>
                      <c:pt idx="8">
                        <c:v>91475.312787054849</c:v>
                      </c:pt>
                      <c:pt idx="9">
                        <c:v>153933.86771626986</c:v>
                      </c:pt>
                      <c:pt idx="10">
                        <c:v>218718.55840770889</c:v>
                      </c:pt>
                      <c:pt idx="11">
                        <c:v>323504.57810823922</c:v>
                      </c:pt>
                      <c:pt idx="12">
                        <c:v>394139.56248531991</c:v>
                      </c:pt>
                      <c:pt idx="13">
                        <c:v>463685.34562780173</c:v>
                      </c:pt>
                      <c:pt idx="14">
                        <c:v>535644.40986972163</c:v>
                      </c:pt>
                      <c:pt idx="15">
                        <c:v>610029.13557226071</c:v>
                      </c:pt>
                      <c:pt idx="16">
                        <c:v>686842.80669341353</c:v>
                      </c:pt>
                      <c:pt idx="17">
                        <c:v>766079.13990349253</c:v>
                      </c:pt>
                      <c:pt idx="18">
                        <c:v>847721.87083828065</c:v>
                      </c:pt>
                      <c:pt idx="19">
                        <c:v>927494.40499502374</c:v>
                      </c:pt>
                      <c:pt idx="20">
                        <c:v>1057860.2793890638</c:v>
                      </c:pt>
                      <c:pt idx="21">
                        <c:v>1136018.2817195803</c:v>
                      </c:pt>
                      <c:pt idx="22">
                        <c:v>1214409.4819458772</c:v>
                      </c:pt>
                      <c:pt idx="23">
                        <c:v>1292908.0436900533</c:v>
                      </c:pt>
                      <c:pt idx="24">
                        <c:v>1371383.1793446667</c:v>
                      </c:pt>
                      <c:pt idx="25">
                        <c:v>1449699.8756567733</c:v>
                      </c:pt>
                      <c:pt idx="26">
                        <c:v>1540919.6876820554</c:v>
                      </c:pt>
                      <c:pt idx="27">
                        <c:v>1632014.0034657866</c:v>
                      </c:pt>
                      <c:pt idx="28">
                        <c:v>1735959.0681982976</c:v>
                      </c:pt>
                      <c:pt idx="29">
                        <c:v>1839920.6087870635</c:v>
                      </c:pt>
                      <c:pt idx="30">
                        <c:v>1944303.7640689514</c:v>
                      </c:pt>
                      <c:pt idx="31">
                        <c:v>2048883.7669346023</c:v>
                      </c:pt>
                      <c:pt idx="32">
                        <c:v>2153430.5831267908</c:v>
                      </c:pt>
                      <c:pt idx="33">
                        <c:v>2257710.4282714864</c:v>
                      </c:pt>
                      <c:pt idx="34">
                        <c:v>2361487.3640621584</c:v>
                      </c:pt>
                      <c:pt idx="35">
                        <c:v>2396981.4018068318</c:v>
                      </c:pt>
                      <c:pt idx="36">
                        <c:v>2408707.5912900534</c:v>
                      </c:pt>
                      <c:pt idx="37">
                        <c:v>2419493.2317529125</c:v>
                      </c:pt>
                      <c:pt idx="38">
                        <c:v>2428516.727256339</c:v>
                      </c:pt>
                      <c:pt idx="39">
                        <c:v>2435800.7530949991</c:v>
                      </c:pt>
                      <c:pt idx="40">
                        <c:v>2441367.1614222378</c:v>
                      </c:pt>
                      <c:pt idx="41">
                        <c:v>2445236.9868412763</c:v>
                      </c:pt>
                      <c:pt idx="42">
                        <c:v>2447430.4515648298</c:v>
                      </c:pt>
                      <c:pt idx="43">
                        <c:v>2447966.9701423752</c:v>
                      </c:pt>
                      <c:pt idx="44">
                        <c:v>2446865.153754035</c:v>
                      </c:pt>
                      <c:pt idx="45">
                        <c:v>2444142.8140697749</c:v>
                      </c:pt>
                      <c:pt idx="46">
                        <c:v>2439816.9666723586</c:v>
                      </c:pt>
                      <c:pt idx="47">
                        <c:v>2433903.8340422129</c:v>
                      </c:pt>
                      <c:pt idx="48">
                        <c:v>2426418.8481021007</c:v>
                      </c:pt>
                      <c:pt idx="49">
                        <c:v>2417376.6523192171</c:v>
                      </c:pt>
                      <c:pt idx="50">
                        <c:v>2406791.1033620294</c:v>
                      </c:pt>
                    </c:numCache>
                  </c:numRef>
                </c:val>
                <c:smooth val="0"/>
                <c:extLst xmlns:c15="http://schemas.microsoft.com/office/drawing/2012/chart">
                  <c:ext xmlns:c16="http://schemas.microsoft.com/office/drawing/2014/chart" uri="{C3380CC4-5D6E-409C-BE32-E72D297353CC}">
                    <c16:uniqueId val="{00000005-7F5B-4662-B7E6-61E07E344AA4}"/>
                  </c:ext>
                </c:extLst>
              </c15:ser>
            </c15:filteredLineSeries>
          </c:ext>
        </c:extLst>
      </c:lineChart>
      <c:catAx>
        <c:axId val="1538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0736"/>
        <c:crosses val="autoZero"/>
        <c:auto val="1"/>
        <c:lblAlgn val="ctr"/>
        <c:lblOffset val="100"/>
        <c:noMultiLvlLbl val="0"/>
      </c:catAx>
      <c:valAx>
        <c:axId val="153800736"/>
        <c:scaling>
          <c:orientation val="minMax"/>
          <c:max val="3000000"/>
          <c:min val="-1000000"/>
        </c:scaling>
        <c:delete val="0"/>
        <c:axPos val="l"/>
        <c:majorGridlines>
          <c:spPr>
            <a:ln w="9525" cap="flat" cmpd="sng" algn="ctr">
              <a:solidFill>
                <a:schemeClr val="tx1">
                  <a:lumMod val="15000"/>
                  <a:lumOff val="85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3806976"/>
        <c:crosses val="autoZero"/>
        <c:crossBetween val="between"/>
      </c:valAx>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e-DE" sz="1800" baseline="0"/>
              <a:t>Property value and rent growth (20% change)</a:t>
            </a:r>
            <a:endParaRPr lang="de-DE" sz="1800"/>
          </a:p>
        </c:rich>
      </c:tx>
      <c:overlay val="0"/>
      <c:spPr>
        <a:noFill/>
        <a:ln>
          <a:noFill/>
        </a:ln>
        <a:effectLst/>
      </c:spPr>
    </c:title>
    <c:autoTitleDeleted val="0"/>
    <c:plotArea>
      <c:layout/>
      <c:lineChart>
        <c:grouping val="standard"/>
        <c:varyColors val="0"/>
        <c:ser>
          <c:idx val="6"/>
          <c:order val="0"/>
          <c:tx>
            <c:v>Buy low property growth</c:v>
          </c:tx>
          <c:spPr>
            <a:ln>
              <a:solidFill>
                <a:schemeClr val="tx2">
                  <a:lumMod val="25000"/>
                  <a:lumOff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growth'!$C$2:$C$52</c:f>
              <c:numCache>
                <c:formatCode>[$EUR]\ #,##0</c:formatCode>
                <c:ptCount val="51"/>
                <c:pt idx="0">
                  <c:v>-477273.913326359</c:v>
                </c:pt>
                <c:pt idx="1">
                  <c:v>-430267.54752042034</c:v>
                </c:pt>
                <c:pt idx="2">
                  <c:v>-410159.35070404498</c:v>
                </c:pt>
                <c:pt idx="3">
                  <c:v>-364367.62125923316</c:v>
                </c:pt>
                <c:pt idx="4">
                  <c:v>-320195.29387183714</c:v>
                </c:pt>
                <c:pt idx="5">
                  <c:v>-274631.06370418204</c:v>
                </c:pt>
                <c:pt idx="6">
                  <c:v>-230621.62401695061</c:v>
                </c:pt>
                <c:pt idx="7">
                  <c:v>-185148.27723252622</c:v>
                </c:pt>
                <c:pt idx="8">
                  <c:v>-138049.67414094636</c:v>
                </c:pt>
                <c:pt idx="9">
                  <c:v>-89150.371480953094</c:v>
                </c:pt>
                <c:pt idx="10">
                  <c:v>-39686.038624361565</c:v>
                </c:pt>
                <c:pt idx="11">
                  <c:v>7119.8022407152748</c:v>
                </c:pt>
                <c:pt idx="12">
                  <c:v>54799.703086198802</c:v>
                </c:pt>
                <c:pt idx="13">
                  <c:v>99668.596434176085</c:v>
                </c:pt>
                <c:pt idx="14">
                  <c:v>145246.37982203593</c:v>
                </c:pt>
                <c:pt idx="15">
                  <c:v>191584.30688804266</c:v>
                </c:pt>
                <c:pt idx="16">
                  <c:v>238737.48960406301</c:v>
                </c:pt>
                <c:pt idx="17">
                  <c:v>286765.20054423518</c:v>
                </c:pt>
                <c:pt idx="18">
                  <c:v>335731.19918941456</c:v>
                </c:pt>
                <c:pt idx="19">
                  <c:v>381454.0841871507</c:v>
                </c:pt>
                <c:pt idx="20">
                  <c:v>476306.54713016102</c:v>
                </c:pt>
                <c:pt idx="21">
                  <c:v>519942.2018153508</c:v>
                </c:pt>
                <c:pt idx="22">
                  <c:v>562486.42658575601</c:v>
                </c:pt>
                <c:pt idx="23">
                  <c:v>603824.09520878969</c:v>
                </c:pt>
                <c:pt idx="24">
                  <c:v>643830.3260230741</c:v>
                </c:pt>
                <c:pt idx="25">
                  <c:v>682369.69081138785</c:v>
                </c:pt>
                <c:pt idx="26">
                  <c:v>732495.36017378815</c:v>
                </c:pt>
                <c:pt idx="27">
                  <c:v>781904.18031681061</c:v>
                </c:pt>
                <c:pt idx="28">
                  <c:v>843605.49921617075</c:v>
                </c:pt>
                <c:pt idx="29">
                  <c:v>906106.00728544197</c:v>
                </c:pt>
                <c:pt idx="30">
                  <c:v>971949.7745275246</c:v>
                </c:pt>
                <c:pt idx="31">
                  <c:v>1041371.7757650135</c:v>
                </c:pt>
                <c:pt idx="32">
                  <c:v>1114625.1468276596</c:v>
                </c:pt>
                <c:pt idx="33">
                  <c:v>1191982.6249431646</c:v>
                </c:pt>
                <c:pt idx="34">
                  <c:v>1273738.1041143432</c:v>
                </c:pt>
                <c:pt idx="35">
                  <c:v>1294474.3530561421</c:v>
                </c:pt>
                <c:pt idx="36">
                  <c:v>1313693.3175630693</c:v>
                </c:pt>
                <c:pt idx="37">
                  <c:v>1331263.4083646345</c:v>
                </c:pt>
                <c:pt idx="38">
                  <c:v>1347041.267488773</c:v>
                </c:pt>
                <c:pt idx="39">
                  <c:v>1360870.82325005</c:v>
                </c:pt>
                <c:pt idx="40">
                  <c:v>1372582.2691514166</c:v>
                </c:pt>
                <c:pt idx="41">
                  <c:v>1381990.9606114067</c:v>
                </c:pt>
                <c:pt idx="42">
                  <c:v>1388896.2229414375</c:v>
                </c:pt>
                <c:pt idx="43">
                  <c:v>1393080.0634716512</c:v>
                </c:pt>
                <c:pt idx="44">
                  <c:v>1394305.7801554222</c:v>
                </c:pt>
                <c:pt idx="45">
                  <c:v>1392316.4583688718</c:v>
                </c:pt>
                <c:pt idx="46">
                  <c:v>1386833.3469588493</c:v>
                </c:pt>
                <c:pt idx="47">
                  <c:v>1377554.1038769204</c:v>
                </c:pt>
                <c:pt idx="48">
                  <c:v>1364150.9009637174</c:v>
                </c:pt>
                <c:pt idx="49">
                  <c:v>1346268.376612952</c:v>
                </c:pt>
                <c:pt idx="50">
                  <c:v>1323521.4241425528</c:v>
                </c:pt>
              </c:numCache>
            </c:numRef>
          </c:val>
          <c:smooth val="0"/>
          <c:extLst>
            <c:ext xmlns:c16="http://schemas.microsoft.com/office/drawing/2014/chart" uri="{C3380CC4-5D6E-409C-BE32-E72D297353CC}">
              <c16:uniqueId val="{0000000C-B744-42F3-892B-7086338E7772}"/>
            </c:ext>
          </c:extLst>
        </c:ser>
        <c:ser>
          <c:idx val="7"/>
          <c:order val="1"/>
          <c:tx>
            <c:strRef>
              <c:f>'base scenario'!$C$1</c:f>
              <c:strCache>
                <c:ptCount val="1"/>
                <c:pt idx="0">
                  <c:v>Buy</c:v>
                </c:pt>
              </c:strCache>
            </c:strRef>
          </c:tx>
          <c:spPr>
            <a:ln>
              <a:solidFill>
                <a:schemeClr val="tx2">
                  <a:lumMod val="50000"/>
                  <a:lumOff val="5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D-B744-42F3-892B-7086338E7772}"/>
            </c:ext>
          </c:extLst>
        </c:ser>
        <c:ser>
          <c:idx val="8"/>
          <c:order val="2"/>
          <c:tx>
            <c:v>Buy high property growth</c:v>
          </c:tx>
          <c:spPr>
            <a:ln>
              <a:solidFill>
                <a:schemeClr val="tx2">
                  <a:lumMod val="75000"/>
                  <a:lumOff val="2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growth'!$C$2:$C$52</c:f>
              <c:numCache>
                <c:formatCode>[$EUR]\ #,##0</c:formatCode>
                <c:ptCount val="51"/>
                <c:pt idx="0">
                  <c:v>-477273.913326359</c:v>
                </c:pt>
                <c:pt idx="1">
                  <c:v>-416880.19457924378</c:v>
                </c:pt>
                <c:pt idx="2">
                  <c:v>-382750.57700162259</c:v>
                </c:pt>
                <c:pt idx="3">
                  <c:v>-322288.62875535432</c:v>
                </c:pt>
                <c:pt idx="4">
                  <c:v>-262783.15729015495</c:v>
                </c:pt>
                <c:pt idx="5">
                  <c:v>-201209.45886529598</c:v>
                </c:pt>
                <c:pt idx="6">
                  <c:v>-140501.69471461244</c:v>
                </c:pt>
                <c:pt idx="7">
                  <c:v>-77629.655029490896</c:v>
                </c:pt>
                <c:pt idx="8">
                  <c:v>-12421.666743092734</c:v>
                </c:pt>
                <c:pt idx="9">
                  <c:v>55306.663261796988</c:v>
                </c:pt>
                <c:pt idx="10">
                  <c:v>124327.03728653822</c:v>
                </c:pt>
                <c:pt idx="11">
                  <c:v>191421.50226377626</c:v>
                </c:pt>
                <c:pt idx="12">
                  <c:v>260126.13040716571</c:v>
                </c:pt>
                <c:pt idx="13">
                  <c:v>326757.05540107645</c:v>
                </c:pt>
                <c:pt idx="14">
                  <c:v>394832.76071494911</c:v>
                </c:pt>
                <c:pt idx="15">
                  <c:v>464400.14633847639</c:v>
                </c:pt>
                <c:pt idx="16">
                  <c:v>535506.6760282662</c:v>
                </c:pt>
                <c:pt idx="17">
                  <c:v>608200.29131671297</c:v>
                </c:pt>
                <c:pt idx="18">
                  <c:v>682529.31342638307</c:v>
                </c:pt>
                <c:pt idx="19">
                  <c:v>754292.331916934</c:v>
                </c:pt>
                <c:pt idx="20">
                  <c:v>875836.9522793598</c:v>
                </c:pt>
                <c:pt idx="21">
                  <c:v>946786.07281527761</c:v>
                </c:pt>
                <c:pt idx="22">
                  <c:v>1017228.124480704</c:v>
                </c:pt>
                <c:pt idx="23">
                  <c:v>1087004.1449019462</c:v>
                </c:pt>
                <c:pt idx="24">
                  <c:v>1155937.8117011397</c:v>
                </c:pt>
                <c:pt idx="25">
                  <c:v>1223833.8716169219</c:v>
                </c:pt>
                <c:pt idx="26">
                  <c:v>1303676.4368144108</c:v>
                </c:pt>
                <c:pt idx="27">
                  <c:v>1383083.1374796117</c:v>
                </c:pt>
                <c:pt idx="28">
                  <c:v>1474972.9423583481</c:v>
                </c:pt>
                <c:pt idx="29">
                  <c:v>1567749.9055597386</c:v>
                </c:pt>
                <c:pt idx="30">
                  <c:v>1663842.0142318085</c:v>
                </c:pt>
                <c:pt idx="31">
                  <c:v>1763353.4207343527</c:v>
                </c:pt>
                <c:pt idx="32">
                  <c:v>1866390.2935658365</c:v>
                </c:pt>
                <c:pt idx="33">
                  <c:v>1973060.7309662511</c:v>
                </c:pt>
                <c:pt idx="34">
                  <c:v>2083474.6578949308</c:v>
                </c:pt>
                <c:pt idx="35">
                  <c:v>2132009.7430518083</c:v>
                </c:pt>
                <c:pt idx="36">
                  <c:v>2177939.7460203785</c:v>
                </c:pt>
                <c:pt idx="37">
                  <c:v>2220879.6828389154</c:v>
                </c:pt>
                <c:pt idx="38">
                  <c:v>2260405.2892326936</c:v>
                </c:pt>
                <c:pt idx="39">
                  <c:v>2296049.576717196</c:v>
                </c:pt>
                <c:pt idx="40">
                  <c:v>2327299.1007443536</c:v>
                </c:pt>
                <c:pt idx="41">
                  <c:v>2353589.9173796736</c:v>
                </c:pt>
                <c:pt idx="42">
                  <c:v>2374303.2030982375</c:v>
                </c:pt>
                <c:pt idx="43">
                  <c:v>2388760.5102349492</c:v>
                </c:pt>
                <c:pt idx="44">
                  <c:v>2396218.628406839</c:v>
                </c:pt>
                <c:pt idx="45">
                  <c:v>2395864.0198294772</c:v>
                </c:pt>
                <c:pt idx="46">
                  <c:v>2386806.7938612597</c:v>
                </c:pt>
                <c:pt idx="47">
                  <c:v>2368074.1833131821</c:v>
                </c:pt>
                <c:pt idx="48">
                  <c:v>2338603.4820409236</c:v>
                </c:pt>
                <c:pt idx="49">
                  <c:v>2297234.400072725</c:v>
                </c:pt>
                <c:pt idx="50">
                  <c:v>2242700.7890011519</c:v>
                </c:pt>
              </c:numCache>
            </c:numRef>
          </c:val>
          <c:smooth val="0"/>
          <c:extLst>
            <c:ext xmlns:c16="http://schemas.microsoft.com/office/drawing/2014/chart" uri="{C3380CC4-5D6E-409C-BE32-E72D297353CC}">
              <c16:uniqueId val="{0000000E-B744-42F3-892B-7086338E7772}"/>
            </c:ext>
          </c:extLst>
        </c:ser>
        <c:ser>
          <c:idx val="9"/>
          <c:order val="3"/>
          <c:tx>
            <c:v>Rent low property growth</c:v>
          </c:tx>
          <c:spPr>
            <a:ln>
              <a:solidFill>
                <a:schemeClr val="accent2">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growth'!$E$2:$E$52</c:f>
              <c:numCache>
                <c:formatCode>[$EUR]\ #,##0</c:formatCode>
                <c:ptCount val="51"/>
                <c:pt idx="0">
                  <c:v>52939.215686274518</c:v>
                </c:pt>
                <c:pt idx="1">
                  <c:v>80842.877420772216</c:v>
                </c:pt>
                <c:pt idx="2">
                  <c:v>84426.04483861968</c:v>
                </c:pt>
                <c:pt idx="3">
                  <c:v>116606.69355832887</c:v>
                </c:pt>
                <c:pt idx="4">
                  <c:v>149974.96078898045</c:v>
                </c:pt>
                <c:pt idx="5">
                  <c:v>187707.34095293432</c:v>
                </c:pt>
                <c:pt idx="6">
                  <c:v>226942.18902829269</c:v>
                </c:pt>
                <c:pt idx="7">
                  <c:v>270806.70222933416</c:v>
                </c:pt>
                <c:pt idx="8">
                  <c:v>319524.15782119666</c:v>
                </c:pt>
                <c:pt idx="9">
                  <c:v>373309.54993620951</c:v>
                </c:pt>
                <c:pt idx="10">
                  <c:v>430941.22202052153</c:v>
                </c:pt>
                <c:pt idx="11">
                  <c:v>488724.13322099712</c:v>
                </c:pt>
                <c:pt idx="12">
                  <c:v>550229.73896034376</c:v>
                </c:pt>
                <c:pt idx="13">
                  <c:v>611729.3104134521</c:v>
                </c:pt>
                <c:pt idx="14">
                  <c:v>676772.08529305214</c:v>
                </c:pt>
                <c:pt idx="15">
                  <c:v>745344.50926088146</c:v>
                </c:pt>
                <c:pt idx="16">
                  <c:v>817414.18569035188</c:v>
                </c:pt>
                <c:pt idx="17">
                  <c:v>892929.03964468325</c:v>
                </c:pt>
                <c:pt idx="18">
                  <c:v>971816.60356195422</c:v>
                </c:pt>
                <c:pt idx="19">
                  <c:v>1049733.4388268804</c:v>
                </c:pt>
                <c:pt idx="20">
                  <c:v>1179015.9610166764</c:v>
                </c:pt>
                <c:pt idx="21">
                  <c:v>1257317.7359493047</c:v>
                </c:pt>
                <c:pt idx="22">
                  <c:v>1336360.7417119737</c:v>
                </c:pt>
                <c:pt idx="23">
                  <c:v>1415896.2690377864</c:v>
                </c:pt>
                <c:pt idx="24">
                  <c:v>1495662.3430845365</c:v>
                </c:pt>
                <c:pt idx="25">
                  <c:v>1575384.9534368291</c:v>
                </c:pt>
                <c:pt idx="26">
                  <c:v>1667979.4393919113</c:v>
                </c:pt>
                <c:pt idx="27">
                  <c:v>1760376.3455571805</c:v>
                </c:pt>
                <c:pt idx="28">
                  <c:v>1865442.1028243708</c:v>
                </c:pt>
                <c:pt idx="29">
                  <c:v>1970013.4467862539</c:v>
                </c:pt>
                <c:pt idx="30">
                  <c:v>2073706.3122174174</c:v>
                </c:pt>
                <c:pt idx="31">
                  <c:v>2176129.2584789447</c:v>
                </c:pt>
                <c:pt idx="32">
                  <c:v>2276885.9252060736</c:v>
                </c:pt>
                <c:pt idx="33">
                  <c:v>2375577.6048158039</c:v>
                </c:pt>
                <c:pt idx="34">
                  <c:v>2471805.9089278206</c:v>
                </c:pt>
                <c:pt idx="35">
                  <c:v>2502321.3140049698</c:v>
                </c:pt>
                <c:pt idx="36">
                  <c:v>2479513.5082576782</c:v>
                </c:pt>
                <c:pt idx="37">
                  <c:v>2452568.4031916708</c:v>
                </c:pt>
                <c:pt idx="38">
                  <c:v>2423222.5210669856</c:v>
                </c:pt>
                <c:pt idx="39">
                  <c:v>2391491.9874216588</c:v>
                </c:pt>
                <c:pt idx="40">
                  <c:v>2357391.9799887869</c:v>
                </c:pt>
                <c:pt idx="41">
                  <c:v>2320936.7353919549</c:v>
                </c:pt>
                <c:pt idx="42">
                  <c:v>2282139.5554663516</c:v>
                </c:pt>
                <c:pt idx="43">
                  <c:v>2241012.8132083425</c:v>
                </c:pt>
                <c:pt idx="44">
                  <c:v>2197567.9583561262</c:v>
                </c:pt>
                <c:pt idx="45">
                  <c:v>2151815.5226039523</c:v>
                </c:pt>
                <c:pt idx="46">
                  <c:v>2103765.1244522319</c:v>
                </c:pt>
                <c:pt idx="47">
                  <c:v>2053425.4736957282</c:v>
                </c:pt>
                <c:pt idx="48">
                  <c:v>2000804.3755518743</c:v>
                </c:pt>
                <c:pt idx="49">
                  <c:v>1945908.7344311131</c:v>
                </c:pt>
                <c:pt idx="50">
                  <c:v>1888744.5573510267</c:v>
                </c:pt>
              </c:numCache>
            </c:numRef>
          </c:val>
          <c:smooth val="0"/>
          <c:extLst>
            <c:ext xmlns:c16="http://schemas.microsoft.com/office/drawing/2014/chart" uri="{C3380CC4-5D6E-409C-BE32-E72D297353CC}">
              <c16:uniqueId val="{0000000F-B744-42F3-892B-7086338E7772}"/>
            </c:ext>
          </c:extLst>
        </c:ser>
        <c:ser>
          <c:idx val="10"/>
          <c:order val="4"/>
          <c:tx>
            <c:strRef>
              <c:f>'base scenario'!$E$1</c:f>
              <c:strCache>
                <c:ptCount val="1"/>
                <c:pt idx="0">
                  <c:v>Rent</c:v>
                </c:pt>
              </c:strCache>
            </c:strRef>
          </c:tx>
          <c:spPr>
            <a:ln>
              <a:solidFill>
                <a:schemeClr val="accent2">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10-B744-42F3-892B-7086338E7772}"/>
            </c:ext>
          </c:extLst>
        </c:ser>
        <c:ser>
          <c:idx val="11"/>
          <c:order val="5"/>
          <c:tx>
            <c:v>Rent high property growth</c:v>
          </c:tx>
          <c:spPr>
            <a:ln>
              <a:solidFill>
                <a:schemeClr val="accent2">
                  <a:lumMod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growth'!$E$2:$E$52</c:f>
              <c:numCache>
                <c:formatCode>[$EUR]\ #,##0</c:formatCode>
                <c:ptCount val="51"/>
                <c:pt idx="0">
                  <c:v>52939.215686274518</c:v>
                </c:pt>
                <c:pt idx="1">
                  <c:v>80532.289185478119</c:v>
                </c:pt>
                <c:pt idx="2">
                  <c:v>83452.715248901441</c:v>
                </c:pt>
                <c:pt idx="3">
                  <c:v>114621.48389081532</c:v>
                </c:pt>
                <c:pt idx="4">
                  <c:v>146492.31031907635</c:v>
                </c:pt>
                <c:pt idx="5">
                  <c:v>182237.21677412579</c:v>
                </c:pt>
                <c:pt idx="6">
                  <c:v>218944.46882026442</c:v>
                </c:pt>
                <c:pt idx="7">
                  <c:v>259689.38178916898</c:v>
                </c:pt>
                <c:pt idx="8">
                  <c:v>304641.74489844684</c:v>
                </c:pt>
                <c:pt idx="9">
                  <c:v>353961.66980966995</c:v>
                </c:pt>
                <c:pt idx="10">
                  <c:v>406371.45983109035</c:v>
                </c:pt>
                <c:pt idx="11">
                  <c:v>458119.13731847022</c:v>
                </c:pt>
                <c:pt idx="12">
                  <c:v>512718.60841878393</c:v>
                </c:pt>
                <c:pt idx="13">
                  <c:v>566383.28841070877</c:v>
                </c:pt>
                <c:pt idx="14">
                  <c:v>622604.57823073061</c:v>
                </c:pt>
                <c:pt idx="15">
                  <c:v>681311.44932247594</c:v>
                </c:pt>
                <c:pt idx="16">
                  <c:v>742414.75200387207</c:v>
                </c:pt>
                <c:pt idx="17">
                  <c:v>805806.75034427748</c:v>
                </c:pt>
                <c:pt idx="18">
                  <c:v>871360.78784916119</c:v>
                </c:pt>
                <c:pt idx="19">
                  <c:v>934681.09464069968</c:v>
                </c:pt>
                <c:pt idx="20">
                  <c:v>1048054.0001631663</c:v>
                </c:pt>
                <c:pt idx="21">
                  <c:v>1109085.6145522981</c:v>
                </c:pt>
                <c:pt idx="22">
                  <c:v>1169453.469668752</c:v>
                </c:pt>
                <c:pt idx="23">
                  <c:v>1228867.7878443568</c:v>
                </c:pt>
                <c:pt idx="24">
                  <c:v>1287029.2569863892</c:v>
                </c:pt>
                <c:pt idx="25">
                  <c:v>1343630.5944185681</c:v>
                </c:pt>
                <c:pt idx="26">
                  <c:v>1411558.2421021182</c:v>
                </c:pt>
                <c:pt idx="27">
                  <c:v>1477718.5039348309</c:v>
                </c:pt>
                <c:pt idx="28">
                  <c:v>1554958.4760131186</c:v>
                </c:pt>
                <c:pt idx="29">
                  <c:v>1630100.677956427</c:v>
                </c:pt>
                <c:pt idx="30">
                  <c:v>1702752.1202255001</c:v>
                </c:pt>
                <c:pt idx="31">
                  <c:v>1772517.8589418503</c:v>
                </c:pt>
                <c:pt idx="32">
                  <c:v>1839003.5346109571</c:v>
                </c:pt>
                <c:pt idx="33">
                  <c:v>1901817.9787799548</c:v>
                </c:pt>
                <c:pt idx="34">
                  <c:v>1960575.8637166563</c:v>
                </c:pt>
                <c:pt idx="35">
                  <c:v>1907379.1850677587</c:v>
                </c:pt>
                <c:pt idx="36">
                  <c:v>1843174.0796507844</c:v>
                </c:pt>
                <c:pt idx="37">
                  <c:v>1774205.4622230146</c:v>
                </c:pt>
                <c:pt idx="38">
                  <c:v>1700382.9432160715</c:v>
                </c:pt>
                <c:pt idx="39">
                  <c:v>1621610.6600761374</c:v>
                </c:pt>
                <c:pt idx="40">
                  <c:v>1537787.1012030044</c:v>
                </c:pt>
                <c:pt idx="41">
                  <c:v>1448804.9222134543</c:v>
                </c:pt>
                <c:pt idx="42">
                  <c:v>1354550.7542433885</c:v>
                </c:pt>
                <c:pt idx="43">
                  <c:v>1254905.0039916213</c:v>
                </c:pt>
                <c:pt idx="44">
                  <c:v>1149741.6451962923</c:v>
                </c:pt>
                <c:pt idx="45">
                  <c:v>1038928.0012224456</c:v>
                </c:pt>
                <c:pt idx="46">
                  <c:v>922324.51842641912</c:v>
                </c:pt>
                <c:pt idx="47">
                  <c:v>799784.5299492972</c:v>
                </c:pt>
                <c:pt idx="48">
                  <c:v>671154.00957776012</c:v>
                </c:pt>
                <c:pt idx="49">
                  <c:v>536271.31529620767</c:v>
                </c:pt>
                <c:pt idx="50">
                  <c:v>394966.92213901866</c:v>
                </c:pt>
              </c:numCache>
            </c:numRef>
          </c:val>
          <c:smooth val="0"/>
          <c:extLst>
            <c:ext xmlns:c16="http://schemas.microsoft.com/office/drawing/2014/chart" uri="{C3380CC4-5D6E-409C-BE32-E72D297353CC}">
              <c16:uniqueId val="{00000011-B744-42F3-892B-7086338E7772}"/>
            </c:ext>
          </c:extLst>
        </c:ser>
        <c:ser>
          <c:idx val="1"/>
          <c:order val="6"/>
          <c:tx>
            <c:v>Buy+Lease+Sell low property growth</c:v>
          </c:tx>
          <c:spPr>
            <a:ln>
              <a:solidFill>
                <a:schemeClr val="accent5">
                  <a:lumMod val="40000"/>
                  <a:lumOff val="60000"/>
                </a:schemeClr>
              </a:solidFill>
            </a:ln>
          </c:spPr>
          <c:marker>
            <c:symbol val="none"/>
          </c:marker>
          <c:val>
            <c:numRef>
              <c:f>'low property growth'!$G$2:$G$52</c:f>
              <c:numCache>
                <c:formatCode>[$EUR]\ #,##0</c:formatCode>
                <c:ptCount val="51"/>
                <c:pt idx="0">
                  <c:v>-242271.22383835033</c:v>
                </c:pt>
                <c:pt idx="1">
                  <c:v>-193947.41499850439</c:v>
                </c:pt>
                <c:pt idx="2">
                  <c:v>-171790.46449702722</c:v>
                </c:pt>
                <c:pt idx="3">
                  <c:v>-121052.59386250436</c:v>
                </c:pt>
                <c:pt idx="4">
                  <c:v>-71077.002850811652</c:v>
                </c:pt>
                <c:pt idx="5">
                  <c:v>-17843.635825183675</c:v>
                </c:pt>
                <c:pt idx="6">
                  <c:v>35829.661827641328</c:v>
                </c:pt>
                <c:pt idx="7">
                  <c:v>93062.837563880967</c:v>
                </c:pt>
                <c:pt idx="8">
                  <c:v>154077.51035712071</c:v>
                </c:pt>
                <c:pt idx="9">
                  <c:v>219093.02348159798</c:v>
                </c:pt>
                <c:pt idx="10">
                  <c:v>286898.47074878355</c:v>
                </c:pt>
                <c:pt idx="11">
                  <c:v>354178.11300641217</c:v>
                </c:pt>
                <c:pt idx="12">
                  <c:v>424528.13478687161</c:v>
                </c:pt>
                <c:pt idx="13">
                  <c:v>494250.07538315479</c:v>
                </c:pt>
                <c:pt idx="14">
                  <c:v>566929.12683720561</c:v>
                </c:pt>
                <c:pt idx="15">
                  <c:v>642593.48310315295</c:v>
                </c:pt>
                <c:pt idx="16">
                  <c:v>721258.35458702</c:v>
                </c:pt>
                <c:pt idx="17">
                  <c:v>802925.15070204297</c:v>
                </c:pt>
                <c:pt idx="18">
                  <c:v>887580.73506834568</c:v>
                </c:pt>
                <c:pt idx="19">
                  <c:v>970946.76509703486</c:v>
                </c:pt>
                <c:pt idx="20">
                  <c:v>1105333.2422155421</c:v>
                </c:pt>
                <c:pt idx="21">
                  <c:v>1188454.4920691934</c:v>
                </c:pt>
                <c:pt idx="22">
                  <c:v>1272107.474875798</c:v>
                </c:pt>
                <c:pt idx="23">
                  <c:v>1356123.6429560485</c:v>
                </c:pt>
                <c:pt idx="24">
                  <c:v>1440326.0586704817</c:v>
                </c:pt>
                <c:pt idx="25">
                  <c:v>1524530.2656363426</c:v>
                </c:pt>
                <c:pt idx="26">
                  <c:v>1621745.2615491827</c:v>
                </c:pt>
                <c:pt idx="27">
                  <c:v>1718998.889601321</c:v>
                </c:pt>
                <c:pt idx="28">
                  <c:v>1829200.7450782442</c:v>
                </c:pt>
                <c:pt idx="29">
                  <c:v>1939575.2488603666</c:v>
                </c:pt>
                <c:pt idx="30">
                  <c:v>2050573.6267901305</c:v>
                </c:pt>
                <c:pt idx="31">
                  <c:v>2161872.1986372117</c:v>
                </c:pt>
                <c:pt idx="32">
                  <c:v>2273137.6896215645</c:v>
                </c:pt>
                <c:pt idx="33">
                  <c:v>2384029.2740183389</c:v>
                </c:pt>
                <c:pt idx="34">
                  <c:v>2494200.7430193657</c:v>
                </c:pt>
                <c:pt idx="35">
                  <c:v>1320822.3759771164</c:v>
                </c:pt>
                <c:pt idx="36">
                  <c:v>1341931.0345993896</c:v>
                </c:pt>
                <c:pt idx="37">
                  <c:v>1361920.9031863317</c:v>
                </c:pt>
                <c:pt idx="38">
                  <c:v>1379944.2877647404</c:v>
                </c:pt>
                <c:pt idx="39">
                  <c:v>1395642.4423957537</c:v>
                </c:pt>
                <c:pt idx="40">
                  <c:v>1408814.0193512735</c:v>
                </c:pt>
                <c:pt idx="41">
                  <c:v>1419240.2823221784</c:v>
                </c:pt>
                <c:pt idx="42">
                  <c:v>1426683.7098225974</c:v>
                </c:pt>
                <c:pt idx="43">
                  <c:v>1430886.4863664284</c:v>
                </c:pt>
                <c:pt idx="44">
                  <c:v>1431568.8724359144</c:v>
                </c:pt>
                <c:pt idx="45">
                  <c:v>1428427.4435434793</c:v>
                </c:pt>
                <c:pt idx="46">
                  <c:v>1421619.0142142321</c:v>
                </c:pt>
                <c:pt idx="47">
                  <c:v>1410825.796471047</c:v>
                </c:pt>
                <c:pt idx="48">
                  <c:v>1395703.2493934575</c:v>
                </c:pt>
                <c:pt idx="49">
                  <c:v>1375877.9298241371</c:v>
                </c:pt>
                <c:pt idx="50">
                  <c:v>1350945.1706139157</c:v>
                </c:pt>
              </c:numCache>
            </c:numRef>
          </c:val>
          <c:smooth val="0"/>
          <c:extLst>
            <c:ext xmlns:c16="http://schemas.microsoft.com/office/drawing/2014/chart" uri="{C3380CC4-5D6E-409C-BE32-E72D297353CC}">
              <c16:uniqueId val="{00000000-9C61-43C6-9626-EFFAF7C590B8}"/>
            </c:ext>
          </c:extLst>
        </c:ser>
        <c:ser>
          <c:idx val="3"/>
          <c:order val="7"/>
          <c:tx>
            <c:strRef>
              <c:f>'base scenario'!$G$1</c:f>
              <c:strCache>
                <c:ptCount val="1"/>
                <c:pt idx="0">
                  <c:v>Buy+Lease+Sell</c:v>
                </c:pt>
              </c:strCache>
            </c:strRef>
          </c:tx>
          <c:spPr>
            <a:ln>
              <a:solidFill>
                <a:schemeClr val="accent5">
                  <a:lumMod val="60000"/>
                  <a:lumOff val="40000"/>
                </a:schemeClr>
              </a:solidFill>
            </a:ln>
          </c:spPr>
          <c:marker>
            <c:symbol val="none"/>
          </c:marker>
          <c:val>
            <c:numRef>
              <c:f>'base scenario'!$G$2:$G$52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1-9C61-43C6-9626-EFFAF7C590B8}"/>
            </c:ext>
          </c:extLst>
        </c:ser>
        <c:ser>
          <c:idx val="5"/>
          <c:order val="8"/>
          <c:tx>
            <c:v>Buy+Lease+Sell high property growth</c:v>
          </c:tx>
          <c:spPr>
            <a:ln>
              <a:solidFill>
                <a:schemeClr val="accent5">
                  <a:lumMod val="75000"/>
                </a:schemeClr>
              </a:solidFill>
            </a:ln>
          </c:spPr>
          <c:marker>
            <c:symbol val="none"/>
          </c:marker>
          <c:val>
            <c:numRef>
              <c:f>'high property growth'!$G$2:$G$52</c:f>
              <c:numCache>
                <c:formatCode>[$EUR]\ #,##0</c:formatCode>
                <c:ptCount val="51"/>
                <c:pt idx="0">
                  <c:v>-242271.22383835033</c:v>
                </c:pt>
                <c:pt idx="1">
                  <c:v>-185955.07676321021</c:v>
                </c:pt>
                <c:pt idx="2">
                  <c:v>-155480.56714985293</c:v>
                </c:pt>
                <c:pt idx="3">
                  <c:v>-96086.931475865451</c:v>
                </c:pt>
                <c:pt idx="4">
                  <c:v>-37103.870693318793</c:v>
                </c:pt>
                <c:pt idx="5">
                  <c:v>25395.372332069899</c:v>
                </c:pt>
                <c:pt idx="6">
                  <c:v>88654.733255852101</c:v>
                </c:pt>
                <c:pt idx="7">
                  <c:v>155795.75868876898</c:v>
                </c:pt>
                <c:pt idx="8">
                  <c:v>227041.99419197801</c:v>
                </c:pt>
                <c:pt idx="9">
                  <c:v>302615.17937027552</c:v>
                </c:pt>
                <c:pt idx="10">
                  <c:v>381230.70576656575</c:v>
                </c:pt>
                <c:pt idx="11">
                  <c:v>459432.75932685751</c:v>
                </c:pt>
                <c:pt idx="12">
                  <c:v>540801.34253202321</c:v>
                </c:pt>
                <c:pt idx="13">
                  <c:v>621622.60687067057</c:v>
                </c:pt>
                <c:pt idx="14">
                  <c:v>705467.46614016022</c:v>
                </c:pt>
                <c:pt idx="15">
                  <c:v>792351.27982465341</c:v>
                </c:pt>
                <c:pt idx="16">
                  <c:v>882278.21893427148</c:v>
                </c:pt>
                <c:pt idx="17">
                  <c:v>975240.814832706</c:v>
                </c:pt>
                <c:pt idx="18">
                  <c:v>1071219.5932878847</c:v>
                </c:pt>
                <c:pt idx="19">
                  <c:v>1165932.8028263613</c:v>
                </c:pt>
                <c:pt idx="20">
                  <c:v>1311787.5003174962</c:v>
                </c:pt>
                <c:pt idx="21">
                  <c:v>1406517.0563734793</c:v>
                </c:pt>
                <c:pt idx="22">
                  <c:v>1501932.5716006998</c:v>
                </c:pt>
                <c:pt idx="23">
                  <c:v>1597883.8724070741</c:v>
                </c:pt>
                <c:pt idx="24">
                  <c:v>1694216.9663110576</c:v>
                </c:pt>
                <c:pt idx="25">
                  <c:v>1790775.241091673</c:v>
                </c:pt>
                <c:pt idx="26">
                  <c:v>1900600.753049755</c:v>
                </c:pt>
                <c:pt idx="27">
                  <c:v>2010759.9183676585</c:v>
                </c:pt>
                <c:pt idx="28">
                  <c:v>2134206.7012383705</c:v>
                </c:pt>
                <c:pt idx="29">
                  <c:v>2258215.9477216317</c:v>
                </c:pt>
                <c:pt idx="30">
                  <c:v>2383295.6017029923</c:v>
                </c:pt>
                <c:pt idx="31">
                  <c:v>2509185.2043347573</c:v>
                </c:pt>
                <c:pt idx="32">
                  <c:v>2635621.3878377425</c:v>
                </c:pt>
                <c:pt idx="33">
                  <c:v>2762340.0714202924</c:v>
                </c:pt>
                <c:pt idx="34">
                  <c:v>2889078.7500717961</c:v>
                </c:pt>
                <c:pt idx="35">
                  <c:v>1959160.1026787683</c:v>
                </c:pt>
                <c:pt idx="36">
                  <c:v>2269014.8626536052</c:v>
                </c:pt>
                <c:pt idx="37">
                  <c:v>2332560.2384274146</c:v>
                </c:pt>
                <c:pt idx="38">
                  <c:v>2393201.0974148954</c:v>
                </c:pt>
                <c:pt idx="39">
                  <c:v>2450486.4606901528</c:v>
                </c:pt>
                <c:pt idx="40">
                  <c:v>2503919.2329372219</c:v>
                </c:pt>
                <c:pt idx="41">
                  <c:v>2552952.1505239736</c:v>
                </c:pt>
                <c:pt idx="42">
                  <c:v>2596983.390645362</c:v>
                </c:pt>
                <c:pt idx="43">
                  <c:v>2635351.8138555884</c:v>
                </c:pt>
                <c:pt idx="44">
                  <c:v>2667331.8100719587</c:v>
                </c:pt>
                <c:pt idx="45">
                  <c:v>2692127.7157165771</c:v>
                </c:pt>
                <c:pt idx="46">
                  <c:v>2709353.5933534531</c:v>
                </c:pt>
                <c:pt idx="47">
                  <c:v>2718093.8969506407</c:v>
                </c:pt>
                <c:pt idx="48">
                  <c:v>2717346.4507442815</c:v>
                </c:pt>
                <c:pt idx="49">
                  <c:v>2706015.0208695279</c:v>
                </c:pt>
                <c:pt idx="50">
                  <c:v>2682901.2727398705</c:v>
                </c:pt>
              </c:numCache>
            </c:numRef>
          </c:val>
          <c:smooth val="0"/>
          <c:extLst>
            <c:ext xmlns:c16="http://schemas.microsoft.com/office/drawing/2014/chart" uri="{C3380CC4-5D6E-409C-BE32-E72D297353CC}">
              <c16:uniqueId val="{00000002-9C61-43C6-9626-EFFAF7C590B8}"/>
            </c:ext>
          </c:extLst>
        </c:ser>
        <c:ser>
          <c:idx val="4"/>
          <c:order val="9"/>
          <c:tx>
            <c:v>Buy+Lease low property growth</c:v>
          </c:tx>
          <c:spPr>
            <a:ln>
              <a:solidFill>
                <a:schemeClr val="accent6">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growth'!$I$2:$I$52</c:f>
              <c:numCache>
                <c:formatCode>[$EUR]\ #,##0</c:formatCode>
                <c:ptCount val="51"/>
                <c:pt idx="0">
                  <c:v>-242271.22383835033</c:v>
                </c:pt>
                <c:pt idx="1">
                  <c:v>-193947.41499850439</c:v>
                </c:pt>
                <c:pt idx="2">
                  <c:v>-171790.46449702722</c:v>
                </c:pt>
                <c:pt idx="3">
                  <c:v>-121052.59386250435</c:v>
                </c:pt>
                <c:pt idx="4">
                  <c:v>-71077.002850811637</c:v>
                </c:pt>
                <c:pt idx="5">
                  <c:v>-17843.635825183661</c:v>
                </c:pt>
                <c:pt idx="6">
                  <c:v>35829.661827641343</c:v>
                </c:pt>
                <c:pt idx="7">
                  <c:v>93062.837563880981</c:v>
                </c:pt>
                <c:pt idx="8">
                  <c:v>154077.51035712074</c:v>
                </c:pt>
                <c:pt idx="9">
                  <c:v>219093.02348159801</c:v>
                </c:pt>
                <c:pt idx="10">
                  <c:v>286898.47074878361</c:v>
                </c:pt>
                <c:pt idx="11">
                  <c:v>354178.11300641217</c:v>
                </c:pt>
                <c:pt idx="12">
                  <c:v>424528.13478687161</c:v>
                </c:pt>
                <c:pt idx="13">
                  <c:v>494250.07538315479</c:v>
                </c:pt>
                <c:pt idx="14">
                  <c:v>566929.12683720561</c:v>
                </c:pt>
                <c:pt idx="15">
                  <c:v>642593.48310315295</c:v>
                </c:pt>
                <c:pt idx="16">
                  <c:v>721258.35458702</c:v>
                </c:pt>
                <c:pt idx="17">
                  <c:v>802925.15070204297</c:v>
                </c:pt>
                <c:pt idx="18">
                  <c:v>887580.73506834568</c:v>
                </c:pt>
                <c:pt idx="19">
                  <c:v>970946.76509703486</c:v>
                </c:pt>
                <c:pt idx="20">
                  <c:v>1105333.2422155421</c:v>
                </c:pt>
                <c:pt idx="21">
                  <c:v>1188454.4920691934</c:v>
                </c:pt>
                <c:pt idx="22">
                  <c:v>1272107.474875798</c:v>
                </c:pt>
                <c:pt idx="23">
                  <c:v>1356123.6429560485</c:v>
                </c:pt>
                <c:pt idx="24">
                  <c:v>1440326.0586704817</c:v>
                </c:pt>
                <c:pt idx="25">
                  <c:v>1524530.2656363426</c:v>
                </c:pt>
                <c:pt idx="26">
                  <c:v>1621745.2615491827</c:v>
                </c:pt>
                <c:pt idx="27">
                  <c:v>1718998.889601321</c:v>
                </c:pt>
                <c:pt idx="28">
                  <c:v>1829200.7450782442</c:v>
                </c:pt>
                <c:pt idx="29">
                  <c:v>1939575.2488603666</c:v>
                </c:pt>
                <c:pt idx="30">
                  <c:v>2050573.6267901305</c:v>
                </c:pt>
                <c:pt idx="31">
                  <c:v>2161872.1986372117</c:v>
                </c:pt>
                <c:pt idx="32">
                  <c:v>2273137.6896215645</c:v>
                </c:pt>
                <c:pt idx="33">
                  <c:v>2384029.2740183389</c:v>
                </c:pt>
                <c:pt idx="34">
                  <c:v>2494200.7430193657</c:v>
                </c:pt>
                <c:pt idx="35">
                  <c:v>2539530.0980961621</c:v>
                </c:pt>
                <c:pt idx="36">
                  <c:v>2584063.4599690987</c:v>
                </c:pt>
                <c:pt idx="37">
                  <c:v>2627837.292537109</c:v>
                </c:pt>
                <c:pt idx="38">
                  <c:v>2670887.7332453616</c:v>
                </c:pt>
                <c:pt idx="39">
                  <c:v>2675598.2938644681</c:v>
                </c:pt>
                <c:pt idx="40">
                  <c:v>2678212.1314276708</c:v>
                </c:pt>
                <c:pt idx="41">
                  <c:v>2679064.1765212971</c:v>
                </c:pt>
                <c:pt idx="42">
                  <c:v>2678179.367151014</c:v>
                </c:pt>
                <c:pt idx="43">
                  <c:v>2675581.9406438707</c:v>
                </c:pt>
                <c:pt idx="44">
                  <c:v>2671295.4437026842</c:v>
                </c:pt>
                <c:pt idx="45">
                  <c:v>2665342.7421817076</c:v>
                </c:pt>
                <c:pt idx="46">
                  <c:v>2657746.0305876294</c:v>
                </c:pt>
                <c:pt idx="47">
                  <c:v>2648526.8413098487</c:v>
                </c:pt>
                <c:pt idx="48">
                  <c:v>2637706.0535838595</c:v>
                </c:pt>
                <c:pt idx="49">
                  <c:v>2625303.9021914611</c:v>
                </c:pt>
                <c:pt idx="50">
                  <c:v>2611339.98590142</c:v>
                </c:pt>
              </c:numCache>
            </c:numRef>
          </c:val>
          <c:smooth val="0"/>
          <c:extLst>
            <c:ext xmlns:c16="http://schemas.microsoft.com/office/drawing/2014/chart" uri="{C3380CC4-5D6E-409C-BE32-E72D297353CC}">
              <c16:uniqueId val="{00000001-B744-42F3-892B-7086338E7772}"/>
            </c:ext>
          </c:extLst>
        </c:ser>
        <c:ser>
          <c:idx val="2"/>
          <c:order val="10"/>
          <c:tx>
            <c:strRef>
              <c:f>'base scenario'!$I$1</c:f>
              <c:strCache>
                <c:ptCount val="1"/>
                <c:pt idx="0">
                  <c:v>Buy+Lease+Hold</c:v>
                </c:pt>
              </c:strCache>
            </c:strRef>
          </c:tx>
          <c:spPr>
            <a:ln>
              <a:solidFill>
                <a:schemeClr val="accent6">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scenario'!$I$2:$I$52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2706169.1840881221</c:v>
                </c:pt>
                <c:pt idx="36">
                  <c:v>2725258.271826514</c:v>
                </c:pt>
                <c:pt idx="37">
                  <c:v>2739329.4410187062</c:v>
                </c:pt>
                <c:pt idx="38">
                  <c:v>2751613.9704091363</c:v>
                </c:pt>
                <c:pt idx="39">
                  <c:v>2762138.1548312041</c:v>
                </c:pt>
                <c:pt idx="40">
                  <c:v>2770927.4856345071</c:v>
                </c:pt>
                <c:pt idx="41">
                  <c:v>2778006.6585901855</c:v>
                </c:pt>
                <c:pt idx="42">
                  <c:v>2783399.5813980391</c:v>
                </c:pt>
                <c:pt idx="43">
                  <c:v>2787129.3807963077</c:v>
                </c:pt>
                <c:pt idx="44">
                  <c:v>2789218.4092747979</c:v>
                </c:pt>
                <c:pt idx="45">
                  <c:v>2789688.2513918038</c:v>
                </c:pt>
                <c:pt idx="46">
                  <c:v>2788559.7296950389</c:v>
                </c:pt>
                <c:pt idx="47">
                  <c:v>2785852.9102465697</c:v>
                </c:pt>
                <c:pt idx="48">
                  <c:v>2781587.1077515101</c:v>
                </c:pt>
                <c:pt idx="49">
                  <c:v>2775780.8902899916</c:v>
                </c:pt>
                <c:pt idx="50">
                  <c:v>2768452.0836516963</c:v>
                </c:pt>
              </c:numCache>
            </c:numRef>
          </c:val>
          <c:smooth val="0"/>
          <c:extLst>
            <c:ext xmlns:c16="http://schemas.microsoft.com/office/drawing/2014/chart" uri="{C3380CC4-5D6E-409C-BE32-E72D297353CC}">
              <c16:uniqueId val="{00000003-B744-42F3-892B-7086338E7772}"/>
            </c:ext>
          </c:extLst>
        </c:ser>
        <c:ser>
          <c:idx val="0"/>
          <c:order val="11"/>
          <c:tx>
            <c:v>Buy+Lease high property growth</c:v>
          </c:tx>
          <c:spPr>
            <a:ln w="38100" cap="rnd">
              <a:solidFill>
                <a:schemeClr val="accent6">
                  <a:lumMod val="75000"/>
                </a:schemeClr>
              </a:solidFill>
              <a:round/>
            </a:ln>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growth'!$I$2:$I$52</c:f>
              <c:numCache>
                <c:formatCode>[$EUR]\ #,##0</c:formatCode>
                <c:ptCount val="51"/>
                <c:pt idx="0">
                  <c:v>-242271.22383835033</c:v>
                </c:pt>
                <c:pt idx="1">
                  <c:v>-185955.07676321021</c:v>
                </c:pt>
                <c:pt idx="2">
                  <c:v>-155480.56714985293</c:v>
                </c:pt>
                <c:pt idx="3">
                  <c:v>-96086.931475865451</c:v>
                </c:pt>
                <c:pt idx="4">
                  <c:v>-37103.870693318793</c:v>
                </c:pt>
                <c:pt idx="5">
                  <c:v>25395.372332069899</c:v>
                </c:pt>
                <c:pt idx="6">
                  <c:v>88654.733255852101</c:v>
                </c:pt>
                <c:pt idx="7">
                  <c:v>155795.75868876898</c:v>
                </c:pt>
                <c:pt idx="8">
                  <c:v>227041.99419197801</c:v>
                </c:pt>
                <c:pt idx="9">
                  <c:v>302615.17937027552</c:v>
                </c:pt>
                <c:pt idx="10">
                  <c:v>381230.70576656575</c:v>
                </c:pt>
                <c:pt idx="11">
                  <c:v>459432.75932685751</c:v>
                </c:pt>
                <c:pt idx="12">
                  <c:v>540801.34253202321</c:v>
                </c:pt>
                <c:pt idx="13">
                  <c:v>621622.60687067057</c:v>
                </c:pt>
                <c:pt idx="14">
                  <c:v>705467.46614016022</c:v>
                </c:pt>
                <c:pt idx="15">
                  <c:v>792351.27982465341</c:v>
                </c:pt>
                <c:pt idx="16">
                  <c:v>882278.21893427148</c:v>
                </c:pt>
                <c:pt idx="17">
                  <c:v>975240.814832706</c:v>
                </c:pt>
                <c:pt idx="18">
                  <c:v>1071219.5932878847</c:v>
                </c:pt>
                <c:pt idx="19">
                  <c:v>1165932.8028263613</c:v>
                </c:pt>
                <c:pt idx="20">
                  <c:v>1311787.5003174962</c:v>
                </c:pt>
                <c:pt idx="21">
                  <c:v>1406517.0563734793</c:v>
                </c:pt>
                <c:pt idx="22">
                  <c:v>1501932.5716006998</c:v>
                </c:pt>
                <c:pt idx="23">
                  <c:v>1597883.8724070741</c:v>
                </c:pt>
                <c:pt idx="24">
                  <c:v>1694216.9663110576</c:v>
                </c:pt>
                <c:pt idx="25">
                  <c:v>1790775.241091673</c:v>
                </c:pt>
                <c:pt idx="26">
                  <c:v>1900600.753049755</c:v>
                </c:pt>
                <c:pt idx="27">
                  <c:v>2010759.9183676585</c:v>
                </c:pt>
                <c:pt idx="28">
                  <c:v>2134206.7012383705</c:v>
                </c:pt>
                <c:pt idx="29">
                  <c:v>2258215.9477216317</c:v>
                </c:pt>
                <c:pt idx="30">
                  <c:v>2383295.6017029923</c:v>
                </c:pt>
                <c:pt idx="31">
                  <c:v>2509185.2043347573</c:v>
                </c:pt>
                <c:pt idx="32">
                  <c:v>2635621.3878377425</c:v>
                </c:pt>
                <c:pt idx="33">
                  <c:v>2762340.0714202924</c:v>
                </c:pt>
                <c:pt idx="34">
                  <c:v>2889078.7500717961</c:v>
                </c:pt>
                <c:pt idx="35">
                  <c:v>2951409.9707427775</c:v>
                </c:pt>
                <c:pt idx="36">
                  <c:v>2979935.0351203936</c:v>
                </c:pt>
                <c:pt idx="37">
                  <c:v>3007063.8076860248</c:v>
                </c:pt>
                <c:pt idx="38">
                  <c:v>3032854.3345317338</c:v>
                </c:pt>
                <c:pt idx="39">
                  <c:v>3057348.6219609287</c:v>
                </c:pt>
                <c:pt idx="40">
                  <c:v>3080588.4338524784</c:v>
                </c:pt>
                <c:pt idx="41">
                  <c:v>3102615.3199484814</c:v>
                </c:pt>
                <c:pt idx="42">
                  <c:v>3123470.6444954602</c:v>
                </c:pt>
                <c:pt idx="43">
                  <c:v>3143195.6152679753</c:v>
                </c:pt>
                <c:pt idx="44">
                  <c:v>3161831.313004449</c:v>
                </c:pt>
                <c:pt idx="45">
                  <c:v>3179418.7212859076</c:v>
                </c:pt>
                <c:pt idx="46">
                  <c:v>3195998.7568892175</c:v>
                </c:pt>
                <c:pt idx="47">
                  <c:v>3211612.3006473863</c:v>
                </c:pt>
                <c:pt idx="48">
                  <c:v>3226300.2288504653</c:v>
                </c:pt>
                <c:pt idx="49">
                  <c:v>3240103.4452216509</c:v>
                </c:pt>
                <c:pt idx="50">
                  <c:v>3253062.9135042685</c:v>
                </c:pt>
              </c:numCache>
            </c:numRef>
          </c:val>
          <c:smooth val="0"/>
          <c:extLst>
            <c:ext xmlns:c16="http://schemas.microsoft.com/office/drawing/2014/chart" uri="{C3380CC4-5D6E-409C-BE32-E72D297353CC}">
              <c16:uniqueId val="{00000005-B744-42F3-892B-7086338E7772}"/>
            </c:ext>
          </c:extLst>
        </c:ser>
        <c:dLbls>
          <c:showLegendKey val="0"/>
          <c:showVal val="0"/>
          <c:showCatName val="0"/>
          <c:showSerName val="0"/>
          <c:showPercent val="0"/>
          <c:showBubbleSize val="0"/>
        </c:dLbls>
        <c:smooth val="0"/>
        <c:axId val="153806976"/>
        <c:axId val="153800736"/>
      </c:lineChart>
      <c:catAx>
        <c:axId val="1538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0736"/>
        <c:crosses val="autoZero"/>
        <c:auto val="1"/>
        <c:lblAlgn val="ctr"/>
        <c:lblOffset val="100"/>
        <c:noMultiLvlLbl val="0"/>
      </c:catAx>
      <c:valAx>
        <c:axId val="153800736"/>
        <c:scaling>
          <c:orientation val="minMax"/>
          <c:max val="3000000"/>
          <c:min val="-1000000"/>
        </c:scaling>
        <c:delete val="0"/>
        <c:axPos val="l"/>
        <c:majorGridlines>
          <c:spPr>
            <a:ln w="9525" cap="flat" cmpd="sng" algn="ctr">
              <a:solidFill>
                <a:schemeClr val="tx1">
                  <a:lumMod val="15000"/>
                  <a:lumOff val="85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3806976"/>
        <c:crosses val="autoZero"/>
        <c:crossBetween val="between"/>
      </c:valAx>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When is the best time to buy the</a:t>
            </a:r>
            <a:r>
              <a:rPr lang="de-DE" baseline="0"/>
              <a:t> property</a:t>
            </a:r>
            <a:r>
              <a:rPr lang="de-DE"/>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3"/>
          <c:order val="0"/>
          <c:tx>
            <c:v>Flat market price</c:v>
          </c:tx>
          <c:spPr>
            <a:ln w="34925" cap="rnd">
              <a:solidFill>
                <a:schemeClr val="bg1"/>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scenario'!$AN$2:$AN$52</c:f>
              <c:numCache>
                <c:formatCode>[$EUR]\ #,##0</c:formatCode>
                <c:ptCount val="51"/>
                <c:pt idx="0">
                  <c:v>690000</c:v>
                </c:pt>
                <c:pt idx="1">
                  <c:v>710294.11764705891</c:v>
                </c:pt>
                <c:pt idx="2">
                  <c:v>731185.12110726663</c:v>
                </c:pt>
                <c:pt idx="3">
                  <c:v>752690.5658457157</c:v>
                </c:pt>
                <c:pt idx="4">
                  <c:v>774828.52366470743</c:v>
                </c:pt>
                <c:pt idx="5">
                  <c:v>797617.59789014014</c:v>
                </c:pt>
                <c:pt idx="6">
                  <c:v>821076.93900455616</c:v>
                </c:pt>
                <c:pt idx="7">
                  <c:v>845226.26073998434</c:v>
                </c:pt>
                <c:pt idx="8">
                  <c:v>870085.85664410167</c:v>
                </c:pt>
                <c:pt idx="9">
                  <c:v>895676.61713363416</c:v>
                </c:pt>
                <c:pt idx="10">
                  <c:v>922020.04704932938</c:v>
                </c:pt>
                <c:pt idx="11">
                  <c:v>949138.28372725099</c:v>
                </c:pt>
                <c:pt idx="12">
                  <c:v>977054.11560158199</c:v>
                </c:pt>
                <c:pt idx="13">
                  <c:v>1005791.0013545698</c:v>
                </c:pt>
                <c:pt idx="14">
                  <c:v>1035373.0896297044</c:v>
                </c:pt>
                <c:pt idx="15">
                  <c:v>1065825.2393246959</c:v>
                </c:pt>
                <c:pt idx="16">
                  <c:v>1097173.0404813047</c:v>
                </c:pt>
                <c:pt idx="17">
                  <c:v>1129442.8357895785</c:v>
                </c:pt>
                <c:pt idx="18">
                  <c:v>1162661.7427245663</c:v>
                </c:pt>
                <c:pt idx="19">
                  <c:v>1196857.6763341124</c:v>
                </c:pt>
                <c:pt idx="20">
                  <c:v>1232059.3726968805</c:v>
                </c:pt>
                <c:pt idx="21">
                  <c:v>1268296.4130703183</c:v>
                </c:pt>
                <c:pt idx="22">
                  <c:v>1305599.2487488573</c:v>
                </c:pt>
                <c:pt idx="23">
                  <c:v>1343999.2266532355</c:v>
                </c:pt>
                <c:pt idx="24">
                  <c:v>1383528.6156724484</c:v>
                </c:pt>
                <c:pt idx="25">
                  <c:v>1424220.6337804617</c:v>
                </c:pt>
                <c:pt idx="26">
                  <c:v>1466109.4759504755</c:v>
                </c:pt>
                <c:pt idx="27">
                  <c:v>1509230.3428901955</c:v>
                </c:pt>
                <c:pt idx="28">
                  <c:v>1553619.4706222604</c:v>
                </c:pt>
                <c:pt idx="29">
                  <c:v>1599314.1609346799</c:v>
                </c:pt>
                <c:pt idx="30">
                  <c:v>1646352.8127268765</c:v>
                </c:pt>
                <c:pt idx="31">
                  <c:v>1694774.9542776672</c:v>
                </c:pt>
                <c:pt idx="32">
                  <c:v>1744621.2764623046</c:v>
                </c:pt>
                <c:pt idx="33">
                  <c:v>1795933.6669464903</c:v>
                </c:pt>
                <c:pt idx="34">
                  <c:v>1848755.2453860932</c:v>
                </c:pt>
                <c:pt idx="35">
                  <c:v>1903130.399662155</c:v>
                </c:pt>
                <c:pt idx="36">
                  <c:v>1959104.8231816303</c:v>
                </c:pt>
                <c:pt idx="37">
                  <c:v>2016725.553275208</c:v>
                </c:pt>
                <c:pt idx="38">
                  <c:v>2076041.0107244791</c:v>
                </c:pt>
                <c:pt idx="39">
                  <c:v>2137101.0404516701</c:v>
                </c:pt>
                <c:pt idx="40">
                  <c:v>2199956.9534061314</c:v>
                </c:pt>
                <c:pt idx="41">
                  <c:v>2264661.5696827825</c:v>
                </c:pt>
                <c:pt idx="42">
                  <c:v>2331269.262908747</c:v>
                </c:pt>
                <c:pt idx="43">
                  <c:v>2399836.0059354752</c:v>
                </c:pt>
                <c:pt idx="44">
                  <c:v>2470419.4178747544</c:v>
                </c:pt>
                <c:pt idx="45">
                  <c:v>2543078.8125181301</c:v>
                </c:pt>
                <c:pt idx="46">
                  <c:v>2617875.2481804285</c:v>
                </c:pt>
                <c:pt idx="47">
                  <c:v>2694871.5790092652</c:v>
                </c:pt>
                <c:pt idx="48">
                  <c:v>2774132.5078036557</c:v>
                </c:pt>
                <c:pt idx="49">
                  <c:v>2855724.6403861167</c:v>
                </c:pt>
                <c:pt idx="50">
                  <c:v>2939716.541573944</c:v>
                </c:pt>
              </c:numCache>
            </c:numRef>
          </c:val>
          <c:smooth val="0"/>
          <c:extLst>
            <c:ext xmlns:c16="http://schemas.microsoft.com/office/drawing/2014/chart" uri="{C3380CC4-5D6E-409C-BE32-E72D297353CC}">
              <c16:uniqueId val="{00000005-27C6-4820-AD08-3D4AD58B5180}"/>
            </c:ext>
          </c:extLst>
        </c:ser>
        <c:ser>
          <c:idx val="4"/>
          <c:order val="1"/>
          <c:tx>
            <c:strRef>
              <c:f>'base scenario'!$D$1</c:f>
              <c:strCache>
                <c:ptCount val="1"/>
                <c:pt idx="0">
                  <c:v>Buy (liquid)</c:v>
                </c:pt>
              </c:strCache>
            </c:strRef>
          </c:tx>
          <c:spPr>
            <a:ln w="34925" cap="rnd">
              <a:solidFill>
                <a:schemeClr val="tx2">
                  <a:lumMod val="50000"/>
                  <a:lumOff val="50000"/>
                </a:schemeClr>
              </a:solidFill>
              <a:round/>
            </a:ln>
            <a:effectLst>
              <a:outerShdw blurRad="57150" dist="19050" dir="5400000" algn="ctr" rotWithShape="0">
                <a:srgbClr val="000000">
                  <a:alpha val="63000"/>
                </a:srgbClr>
              </a:outerShdw>
            </a:effectLst>
          </c:spPr>
          <c:marker>
            <c:symbol val="none"/>
          </c:marker>
          <c:val>
            <c:numRef>
              <c:f>'base scenario'!$D$2:$D$52</c:f>
              <c:numCache>
                <c:formatCode>[$EUR]\ #,##0</c:formatCode>
                <c:ptCount val="51"/>
                <c:pt idx="0">
                  <c:v>-565248.913326359</c:v>
                </c:pt>
                <c:pt idx="1">
                  <c:v>-519488.94457924372</c:v>
                </c:pt>
                <c:pt idx="2">
                  <c:v>-500609.26676517498</c:v>
                </c:pt>
                <c:pt idx="3">
                  <c:v>-456032.7200332451</c:v>
                </c:pt>
                <c:pt idx="4">
                  <c:v>-390693.98162106494</c:v>
                </c:pt>
                <c:pt idx="5">
                  <c:v>-340324.23630922992</c:v>
                </c:pt>
                <c:pt idx="6">
                  <c:v>-291337.42583628127</c:v>
                </c:pt>
                <c:pt idx="7">
                  <c:v>-240717.54891584808</c:v>
                </c:pt>
                <c:pt idx="8">
                  <c:v>-188306.85184897701</c:v>
                </c:pt>
                <c:pt idx="9">
                  <c:v>-133934.48206476879</c:v>
                </c:pt>
                <c:pt idx="10">
                  <c:v>-78841.799224464601</c:v>
                </c:pt>
                <c:pt idx="11">
                  <c:v>-26259.228985876776</c:v>
                </c:pt>
                <c:pt idx="12">
                  <c:v>27337.540472031425</c:v>
                </c:pt>
                <c:pt idx="13">
                  <c:v>78253.730599010363</c:v>
                </c:pt>
                <c:pt idx="14">
                  <c:v>129997.91107302092</c:v>
                </c:pt>
                <c:pt idx="15">
                  <c:v>182608.23243707366</c:v>
                </c:pt>
                <c:pt idx="16">
                  <c:v>236124.75626494177</c:v>
                </c:pt>
                <c:pt idx="17">
                  <c:v>290589.57062566507</c:v>
                </c:pt>
                <c:pt idx="18">
                  <c:v>346046.91363739723</c:v>
                </c:pt>
                <c:pt idx="19">
                  <c:v>398293.30572340387</c:v>
                </c:pt>
                <c:pt idx="20">
                  <c:v>499676.56472072145</c:v>
                </c:pt>
                <c:pt idx="21">
                  <c:v>549822.37627709191</c:v>
                </c:pt>
                <c:pt idx="22">
                  <c:v>598824.85548898205</c:v>
                </c:pt>
                <c:pt idx="23">
                  <c:v>646533.97345150972</c:v>
                </c:pt>
                <c:pt idx="24">
                  <c:v>692785.97652630624</c:v>
                </c:pt>
                <c:pt idx="25">
                  <c:v>737402.23770338902</c:v>
                </c:pt>
                <c:pt idx="26">
                  <c:v>793388.01458200964</c:v>
                </c:pt>
                <c:pt idx="27">
                  <c:v>848387.10645615449</c:v>
                </c:pt>
                <c:pt idx="28">
                  <c:v>915350.22583630518</c:v>
                </c:pt>
                <c:pt idx="29">
                  <c:v>982719.34670277359</c:v>
                </c:pt>
                <c:pt idx="30">
                  <c:v>1052967.2084020402</c:v>
                </c:pt>
                <c:pt idx="31">
                  <c:v>1126250.2634702425</c:v>
                </c:pt>
                <c:pt idx="32">
                  <c:v>1202735.3086837488</c:v>
                </c:pt>
                <c:pt idx="33">
                  <c:v>1282600.2487171195</c:v>
                </c:pt>
                <c:pt idx="34">
                  <c:v>1366034.9190148495</c:v>
                </c:pt>
                <c:pt idx="35">
                  <c:v>1387508.0109381122</c:v>
                </c:pt>
                <c:pt idx="36">
                  <c:v>1406396.5161822787</c:v>
                </c:pt>
                <c:pt idx="37">
                  <c:v>1422432.0862564766</c:v>
                </c:pt>
                <c:pt idx="38">
                  <c:v>1435321.7943558954</c:v>
                </c:pt>
                <c:pt idx="39">
                  <c:v>1444746.1035975451</c:v>
                </c:pt>
                <c:pt idx="40">
                  <c:v>1450356.6702687505</c:v>
                </c:pt>
                <c:pt idx="41">
                  <c:v>1451773.9688278381</c:v>
                </c:pt>
                <c:pt idx="42">
                  <c:v>1448584.7243336332</c:v>
                </c:pt>
                <c:pt idx="43">
                  <c:v>1440339.1368324189</c:v>
                </c:pt>
                <c:pt idx="44">
                  <c:v>1426547.8809911874</c:v>
                </c:pt>
                <c:pt idx="45">
                  <c:v>1406678.8629269218</c:v>
                </c:pt>
                <c:pt idx="46">
                  <c:v>1380153.7147353799</c:v>
                </c:pt>
                <c:pt idx="47">
                  <c:v>1346344.0056608156</c:v>
                </c:pt>
                <c:pt idx="48">
                  <c:v>1304567.1471610172</c:v>
                </c:pt>
                <c:pt idx="49">
                  <c:v>1254081.9672999419</c:v>
                </c:pt>
                <c:pt idx="50">
                  <c:v>1194083.9279323032</c:v>
                </c:pt>
              </c:numCache>
            </c:numRef>
          </c:val>
          <c:smooth val="0"/>
          <c:extLst>
            <c:ext xmlns:c16="http://schemas.microsoft.com/office/drawing/2014/chart" uri="{C3380CC4-5D6E-409C-BE32-E72D297353CC}">
              <c16:uniqueId val="{00000003-52D6-4E86-8830-7A01ACDD8079}"/>
            </c:ext>
          </c:extLst>
        </c:ser>
        <c:ser>
          <c:idx val="0"/>
          <c:order val="2"/>
          <c:tx>
            <c:strRef>
              <c:f>'base scenario'!$F$1</c:f>
              <c:strCache>
                <c:ptCount val="1"/>
                <c:pt idx="0">
                  <c:v>Rent (liquid)</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scenario'!$F$2:$F$52</c:f>
              <c:numCache>
                <c:formatCode>[$EUR]\ #,##0</c:formatCode>
                <c:ptCount val="51"/>
                <c:pt idx="0">
                  <c:v>52401.372549019608</c:v>
                </c:pt>
                <c:pt idx="1">
                  <c:v>79564.180265749426</c:v>
                </c:pt>
                <c:pt idx="2">
                  <c:v>81432.776169675461</c:v>
                </c:pt>
                <c:pt idx="3">
                  <c:v>111934.23917188705</c:v>
                </c:pt>
                <c:pt idx="4">
                  <c:v>142834.33078201133</c:v>
                </c:pt>
                <c:pt idx="5">
                  <c:v>177301.34965740159</c:v>
                </c:pt>
                <c:pt idx="6">
                  <c:v>212406.53602484043</c:v>
                </c:pt>
                <c:pt idx="7">
                  <c:v>251265.50895240257</c:v>
                </c:pt>
                <c:pt idx="8">
                  <c:v>294038.17859475757</c:v>
                </c:pt>
                <c:pt idx="9">
                  <c:v>340878.37569523667</c:v>
                </c:pt>
                <c:pt idx="10">
                  <c:v>390506.11223463929</c:v>
                </c:pt>
                <c:pt idx="11">
                  <c:v>439193.90837324585</c:v>
                </c:pt>
                <c:pt idx="12">
                  <c:v>490542.31389360322</c:v>
                </c:pt>
                <c:pt idx="13">
                  <c:v>540799.05109439127</c:v>
                </c:pt>
                <c:pt idx="14">
                  <c:v>593548.54533855396</c:v>
                </c:pt>
                <c:pt idx="15">
                  <c:v>648763.35078528314</c:v>
                </c:pt>
                <c:pt idx="16">
                  <c:v>706402.57135039428</c:v>
                </c:pt>
                <c:pt idx="17">
                  <c:v>766411.37322351581</c:v>
                </c:pt>
                <c:pt idx="18">
                  <c:v>828720.58836965472</c:v>
                </c:pt>
                <c:pt idx="19">
                  <c:v>888996.41815359634</c:v>
                </c:pt>
                <c:pt idx="20">
                  <c:v>999640.98450131982</c:v>
                </c:pt>
                <c:pt idx="21">
                  <c:v>1057787.5762696173</c:v>
                </c:pt>
                <c:pt idx="22">
                  <c:v>1115807.8462413133</c:v>
                </c:pt>
                <c:pt idx="23">
                  <c:v>1173502.8262425456</c:v>
                </c:pt>
                <c:pt idx="24">
                  <c:v>1230665.1238825696</c:v>
                </c:pt>
                <c:pt idx="25">
                  <c:v>1287079.9268330564</c:v>
                </c:pt>
                <c:pt idx="26">
                  <c:v>1355726.1111988723</c:v>
                </c:pt>
                <c:pt idx="27">
                  <c:v>1423489.8545040097</c:v>
                </c:pt>
                <c:pt idx="28">
                  <c:v>1503317.3008709399</c:v>
                </c:pt>
                <c:pt idx="29">
                  <c:v>1582028.9511624328</c:v>
                </c:pt>
                <c:pt idx="30">
                  <c:v>1659337.2457763704</c:v>
                </c:pt>
                <c:pt idx="31">
                  <c:v>1734950.9670042903</c:v>
                </c:pt>
                <c:pt idx="32">
                  <c:v>1808577.0477853122</c:v>
                </c:pt>
                <c:pt idx="33">
                  <c:v>1879922.4486719787</c:v>
                </c:pt>
                <c:pt idx="34">
                  <c:v>1948696.0856865405</c:v>
                </c:pt>
                <c:pt idx="35">
                  <c:v>1911302.126242463</c:v>
                </c:pt>
                <c:pt idx="36">
                  <c:v>1872473.2301050958</c:v>
                </c:pt>
                <c:pt idx="37">
                  <c:v>1830526.1267698945</c:v>
                </c:pt>
                <c:pt idx="38">
                  <c:v>1785445.1278192187</c:v>
                </c:pt>
                <c:pt idx="39">
                  <c:v>1737212.5629402029</c:v>
                </c:pt>
                <c:pt idx="40">
                  <c:v>1685808.7520431462</c:v>
                </c:pt>
                <c:pt idx="41">
                  <c:v>1631211.9759516635</c:v>
                </c:pt>
                <c:pt idx="42">
                  <c:v>1573398.4456347574</c:v>
                </c:pt>
                <c:pt idx="43">
                  <c:v>1512342.2699498478</c:v>
                </c:pt>
                <c:pt idx="44">
                  <c:v>1448015.4218646456</c:v>
                </c:pt>
                <c:pt idx="45">
                  <c:v>1380387.7031245753</c:v>
                </c:pt>
                <c:pt idx="46">
                  <c:v>1309426.7073312551</c:v>
                </c:pt>
                <c:pt idx="47">
                  <c:v>1235097.7813962842</c:v>
                </c:pt>
                <c:pt idx="48">
                  <c:v>1157363.9853333414</c:v>
                </c:pt>
                <c:pt idx="49">
                  <c:v>1076186.0503502677</c:v>
                </c:pt>
                <c:pt idx="50">
                  <c:v>991522.33520149114</c:v>
                </c:pt>
              </c:numCache>
            </c:numRef>
          </c:val>
          <c:smooth val="0"/>
          <c:extLst>
            <c:ext xmlns:c16="http://schemas.microsoft.com/office/drawing/2014/chart" uri="{C3380CC4-5D6E-409C-BE32-E72D297353CC}">
              <c16:uniqueId val="{00000004-27C6-4820-AD08-3D4AD58B5180}"/>
            </c:ext>
          </c:extLst>
        </c:ser>
        <c:ser>
          <c:idx val="2"/>
          <c:order val="3"/>
          <c:tx>
            <c:strRef>
              <c:f>'base scenario'!$H$1</c:f>
              <c:strCache>
                <c:ptCount val="1"/>
                <c:pt idx="0">
                  <c:v>Buy+Lease+Sell (liquid)</c:v>
                </c:pt>
              </c:strCache>
            </c:strRef>
          </c:tx>
          <c:spPr>
            <a:ln w="34925" cap="rnd">
              <a:solidFill>
                <a:schemeClr val="accent5">
                  <a:lumMod val="60000"/>
                  <a:lumOff val="40000"/>
                </a:schemeClr>
              </a:solidFill>
              <a:round/>
            </a:ln>
            <a:effectLst>
              <a:outerShdw blurRad="57150" dist="19050" dir="5400000" algn="ctr" rotWithShape="0">
                <a:srgbClr val="000000">
                  <a:alpha val="63000"/>
                </a:srgbClr>
              </a:outerShdw>
            </a:effectLst>
          </c:spPr>
          <c:marker>
            <c:symbol val="none"/>
          </c:marker>
          <c:val>
            <c:numRef>
              <c:f>'base scenario'!$H$2:$H$52</c:f>
              <c:numCache>
                <c:formatCode>[$EUR]\ #,##0</c:formatCode>
                <c:ptCount val="51"/>
                <c:pt idx="0">
                  <c:v>-295183.72383835039</c:v>
                </c:pt>
                <c:pt idx="1">
                  <c:v>-247639.29735144554</c:v>
                </c:pt>
                <c:pt idx="2">
                  <c:v>-226278.75428941468</c:v>
                </c:pt>
                <c:pt idx="3">
                  <c:v>-176354.70127311553</c:v>
                </c:pt>
                <c:pt idx="4">
                  <c:v>-113754.19294361814</c:v>
                </c:pt>
                <c:pt idx="5">
                  <c:v>-58022.737846754331</c:v>
                </c:pt>
                <c:pt idx="6">
                  <c:v>-2072.8615642809673</c:v>
                </c:pt>
                <c:pt idx="7">
                  <c:v>57223.365099719624</c:v>
                </c:pt>
                <c:pt idx="8">
                  <c:v>120042.73676720115</c:v>
                </c:pt>
                <c:pt idx="9">
                  <c:v>186560.81151936162</c:v>
                </c:pt>
                <c:pt idx="10">
                  <c:v>255524.41967559751</c:v>
                </c:pt>
                <c:pt idx="11">
                  <c:v>323504.57810823922</c:v>
                </c:pt>
                <c:pt idx="12">
                  <c:v>394139.56248531991</c:v>
                </c:pt>
                <c:pt idx="13">
                  <c:v>463685.34562780173</c:v>
                </c:pt>
                <c:pt idx="14">
                  <c:v>535644.40986972163</c:v>
                </c:pt>
                <c:pt idx="15">
                  <c:v>610029.13557226071</c:v>
                </c:pt>
                <c:pt idx="16">
                  <c:v>686842.80669341353</c:v>
                </c:pt>
                <c:pt idx="17">
                  <c:v>766079.13990349253</c:v>
                </c:pt>
                <c:pt idx="18">
                  <c:v>847721.87083828065</c:v>
                </c:pt>
                <c:pt idx="19">
                  <c:v>927494.40499502374</c:v>
                </c:pt>
                <c:pt idx="20">
                  <c:v>1057860.2793890638</c:v>
                </c:pt>
                <c:pt idx="21">
                  <c:v>1136018.2817195803</c:v>
                </c:pt>
                <c:pt idx="22">
                  <c:v>1214409.4819458772</c:v>
                </c:pt>
                <c:pt idx="23">
                  <c:v>1292908.0436900533</c:v>
                </c:pt>
                <c:pt idx="24">
                  <c:v>1371383.1793446667</c:v>
                </c:pt>
                <c:pt idx="25">
                  <c:v>1449699.8756567733</c:v>
                </c:pt>
                <c:pt idx="26">
                  <c:v>1540919.6876820554</c:v>
                </c:pt>
                <c:pt idx="27">
                  <c:v>1632014.0034657866</c:v>
                </c:pt>
                <c:pt idx="28">
                  <c:v>1735959.0681982976</c:v>
                </c:pt>
                <c:pt idx="29">
                  <c:v>1839920.6087870635</c:v>
                </c:pt>
                <c:pt idx="30">
                  <c:v>1944303.7640689514</c:v>
                </c:pt>
                <c:pt idx="31">
                  <c:v>2048883.7669346023</c:v>
                </c:pt>
                <c:pt idx="32">
                  <c:v>2153430.5831267908</c:v>
                </c:pt>
                <c:pt idx="33">
                  <c:v>2257710.4282714864</c:v>
                </c:pt>
                <c:pt idx="34">
                  <c:v>2361487.3640621584</c:v>
                </c:pt>
                <c:pt idx="35">
                  <c:v>1612786.2523431608</c:v>
                </c:pt>
                <c:pt idx="36">
                  <c:v>1633851.6023474811</c:v>
                </c:pt>
                <c:pt idx="37">
                  <c:v>1652911.9686241597</c:v>
                </c:pt>
                <c:pt idx="38">
                  <c:v>1669203.1547412481</c:v>
                </c:pt>
                <c:pt idx="39">
                  <c:v>1744163.7655874796</c:v>
                </c:pt>
                <c:pt idx="40">
                  <c:v>1770656.9843458473</c:v>
                </c:pt>
                <c:pt idx="41">
                  <c:v>1793979.9593160821</c:v>
                </c:pt>
                <c:pt idx="42">
                  <c:v>1813796.4998105546</c:v>
                </c:pt>
                <c:pt idx="43">
                  <c:v>1829739.9169372485</c:v>
                </c:pt>
                <c:pt idx="44">
                  <c:v>1841410.5012620129</c:v>
                </c:pt>
                <c:pt idx="45">
                  <c:v>1848372.7957881182</c:v>
                </c:pt>
                <c:pt idx="46">
                  <c:v>1850638.474105021</c:v>
                </c:pt>
                <c:pt idx="47">
                  <c:v>1847730.3668325045</c:v>
                </c:pt>
                <c:pt idx="48">
                  <c:v>1839129.085956932</c:v>
                </c:pt>
                <c:pt idx="49">
                  <c:v>1824269.5495985649</c:v>
                </c:pt>
                <c:pt idx="50">
                  <c:v>1802537.2254608809</c:v>
                </c:pt>
              </c:numCache>
            </c:numRef>
          </c:val>
          <c:smooth val="0"/>
          <c:extLst>
            <c:ext xmlns:c16="http://schemas.microsoft.com/office/drawing/2014/chart" uri="{C3380CC4-5D6E-409C-BE32-E72D297353CC}">
              <c16:uniqueId val="{00000002-52D6-4E86-8830-7A01ACDD8079}"/>
            </c:ext>
          </c:extLst>
        </c:ser>
        <c:ser>
          <c:idx val="1"/>
          <c:order val="4"/>
          <c:tx>
            <c:strRef>
              <c:f>'base scenario'!$J$1</c:f>
              <c:strCache>
                <c:ptCount val="1"/>
                <c:pt idx="0">
                  <c:v>Buy+Lease+Hold (liquid)</c:v>
                </c:pt>
              </c:strCache>
            </c:strRef>
          </c:tx>
          <c:spPr>
            <a:ln w="34925" cap="rnd">
              <a:solidFill>
                <a:schemeClr val="accent6">
                  <a:lumMod val="60000"/>
                  <a:lumOff val="40000"/>
                </a:schemeClr>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scenario'!$J$2:$J$52</c:f>
              <c:numCache>
                <c:formatCode>[$EUR]\ #,##0</c:formatCode>
                <c:ptCount val="51"/>
                <c:pt idx="0">
                  <c:v>-295183.72383835039</c:v>
                </c:pt>
                <c:pt idx="1">
                  <c:v>-247639.29735144554</c:v>
                </c:pt>
                <c:pt idx="2">
                  <c:v>-226278.75428941468</c:v>
                </c:pt>
                <c:pt idx="3">
                  <c:v>-176354.70127311553</c:v>
                </c:pt>
                <c:pt idx="4">
                  <c:v>-127210.73220937917</c:v>
                </c:pt>
                <c:pt idx="5">
                  <c:v>-75094.359149743643</c:v>
                </c:pt>
                <c:pt idx="6">
                  <c:v>-22865.890846770002</c:v>
                </c:pt>
                <c:pt idx="7">
                  <c:v>32599.474661863249</c:v>
                </c:pt>
                <c:pt idx="8">
                  <c:v>91475.312787054849</c:v>
                </c:pt>
                <c:pt idx="9">
                  <c:v>153933.86771626986</c:v>
                </c:pt>
                <c:pt idx="10">
                  <c:v>218718.55840770889</c:v>
                </c:pt>
                <c:pt idx="11">
                  <c:v>323504.57810823922</c:v>
                </c:pt>
                <c:pt idx="12">
                  <c:v>394139.56248531991</c:v>
                </c:pt>
                <c:pt idx="13">
                  <c:v>463685.34562780173</c:v>
                </c:pt>
                <c:pt idx="14">
                  <c:v>535644.40986972163</c:v>
                </c:pt>
                <c:pt idx="15">
                  <c:v>610029.13557226071</c:v>
                </c:pt>
                <c:pt idx="16">
                  <c:v>686842.80669341353</c:v>
                </c:pt>
                <c:pt idx="17">
                  <c:v>766079.13990349253</c:v>
                </c:pt>
                <c:pt idx="18">
                  <c:v>847721.87083828065</c:v>
                </c:pt>
                <c:pt idx="19">
                  <c:v>927494.40499502374</c:v>
                </c:pt>
                <c:pt idx="20">
                  <c:v>1057860.2793890638</c:v>
                </c:pt>
                <c:pt idx="21">
                  <c:v>1136018.2817195803</c:v>
                </c:pt>
                <c:pt idx="22">
                  <c:v>1214409.4819458772</c:v>
                </c:pt>
                <c:pt idx="23">
                  <c:v>1292908.0436900533</c:v>
                </c:pt>
                <c:pt idx="24">
                  <c:v>1371383.1793446667</c:v>
                </c:pt>
                <c:pt idx="25">
                  <c:v>1449699.8756567733</c:v>
                </c:pt>
                <c:pt idx="26">
                  <c:v>1540919.6876820554</c:v>
                </c:pt>
                <c:pt idx="27">
                  <c:v>1632014.0034657866</c:v>
                </c:pt>
                <c:pt idx="28">
                  <c:v>1735959.0681982976</c:v>
                </c:pt>
                <c:pt idx="29">
                  <c:v>1839920.6087870635</c:v>
                </c:pt>
                <c:pt idx="30">
                  <c:v>1944303.7640689514</c:v>
                </c:pt>
                <c:pt idx="31">
                  <c:v>2048883.7669346023</c:v>
                </c:pt>
                <c:pt idx="32">
                  <c:v>2153430.5831267908</c:v>
                </c:pt>
                <c:pt idx="33">
                  <c:v>2257710.4282714864</c:v>
                </c:pt>
                <c:pt idx="34">
                  <c:v>2361487.3640621584</c:v>
                </c:pt>
                <c:pt idx="35">
                  <c:v>2396981.4018068318</c:v>
                </c:pt>
                <c:pt idx="36">
                  <c:v>2408707.5912900534</c:v>
                </c:pt>
                <c:pt idx="37">
                  <c:v>2419493.2317529125</c:v>
                </c:pt>
                <c:pt idx="38">
                  <c:v>2428516.727256339</c:v>
                </c:pt>
                <c:pt idx="39">
                  <c:v>2435800.7530949991</c:v>
                </c:pt>
                <c:pt idx="40">
                  <c:v>2441367.1614222378</c:v>
                </c:pt>
                <c:pt idx="41">
                  <c:v>2445236.9868412763</c:v>
                </c:pt>
                <c:pt idx="42">
                  <c:v>2447430.4515648298</c:v>
                </c:pt>
                <c:pt idx="43">
                  <c:v>2447966.9701423752</c:v>
                </c:pt>
                <c:pt idx="44">
                  <c:v>2446865.153754035</c:v>
                </c:pt>
                <c:pt idx="45">
                  <c:v>2444142.8140697749</c:v>
                </c:pt>
                <c:pt idx="46">
                  <c:v>2439816.9666723586</c:v>
                </c:pt>
                <c:pt idx="47">
                  <c:v>2433903.8340422129</c:v>
                </c:pt>
                <c:pt idx="48">
                  <c:v>2426418.8481021007</c:v>
                </c:pt>
                <c:pt idx="49">
                  <c:v>2417376.6523192171</c:v>
                </c:pt>
                <c:pt idx="50">
                  <c:v>2406791.1033620294</c:v>
                </c:pt>
              </c:numCache>
            </c:numRef>
          </c:val>
          <c:smooth val="0"/>
          <c:extLst>
            <c:ext xmlns:c16="http://schemas.microsoft.com/office/drawing/2014/chart" uri="{C3380CC4-5D6E-409C-BE32-E72D297353CC}">
              <c16:uniqueId val="{00000001-27C6-4820-AD08-3D4AD58B5180}"/>
            </c:ext>
          </c:extLst>
        </c:ser>
        <c:dLbls>
          <c:showLegendKey val="0"/>
          <c:showVal val="0"/>
          <c:showCatName val="0"/>
          <c:showSerName val="0"/>
          <c:showPercent val="0"/>
          <c:showBubbleSize val="0"/>
        </c:dLbls>
        <c:smooth val="0"/>
        <c:axId val="67364864"/>
        <c:axId val="1509180976"/>
        <c:extLst/>
      </c:lineChart>
      <c:catAx>
        <c:axId val="673648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9180976"/>
        <c:crosses val="autoZero"/>
        <c:auto val="1"/>
        <c:lblAlgn val="ctr"/>
        <c:lblOffset val="100"/>
        <c:noMultiLvlLbl val="0"/>
      </c:catAx>
      <c:valAx>
        <c:axId val="1509180976"/>
        <c:scaling>
          <c:orientation val="minMax"/>
          <c:min val="-10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6736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baseline="0"/>
              <a:t>Cash flow evolution when </a:t>
            </a:r>
            <a:r>
              <a:rPr lang="de-DE" baseline="0">
                <a:solidFill>
                  <a:schemeClr val="tx2">
                    <a:lumMod val="50000"/>
                    <a:lumOff val="50000"/>
                  </a:schemeClr>
                </a:solidFill>
              </a:rPr>
              <a:t>buying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'base scenario'!$BZ$1</c:f>
              <c:strCache>
                <c:ptCount val="1"/>
                <c:pt idx="0">
                  <c:v>Year Cash flow difference</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scenario'!$BZ$2:$BZ$52</c:f>
              <c:numCache>
                <c:formatCode>[$EUR]\ #,##0</c:formatCode>
                <c:ptCount val="51"/>
                <c:pt idx="0">
                  <c:v>-36126.309778707422</c:v>
                </c:pt>
                <c:pt idx="1">
                  <c:v>-11245.280366942723</c:v>
                </c:pt>
                <c:pt idx="2">
                  <c:v>-37511.694726804322</c:v>
                </c:pt>
                <c:pt idx="3">
                  <c:v>-9032.1445113894588</c:v>
                </c:pt>
                <c:pt idx="4">
                  <c:v>-9897.622082981572</c:v>
                </c:pt>
                <c:pt idx="5">
                  <c:v>-7609.4714017063379</c:v>
                </c:pt>
                <c:pt idx="6">
                  <c:v>-8366.411562945781</c:v>
                </c:pt>
                <c:pt idx="7">
                  <c:v>-5967.1312530474534</c:v>
                </c:pt>
                <c:pt idx="8">
                  <c:v>-3510.288032995828</c:v>
                </c:pt>
                <c:pt idx="9">
                  <c:v>-994.50760537922906</c:v>
                </c:pt>
                <c:pt idx="10">
                  <c:v>6228.0804368265235</c:v>
                </c:pt>
                <c:pt idx="11">
                  <c:v>3637.1841959588928</c:v>
                </c:pt>
                <c:pt idx="12">
                  <c:v>4805.6073874437861</c:v>
                </c:pt>
                <c:pt idx="13">
                  <c:v>2233.320535582272</c:v>
                </c:pt>
                <c:pt idx="14">
                  <c:v>3420.2895774409553</c:v>
                </c:pt>
                <c:pt idx="15">
                  <c:v>4616.4756823414937</c:v>
                </c:pt>
                <c:pt idx="16">
                  <c:v>5821.8350654820242</c:v>
                </c:pt>
                <c:pt idx="17">
                  <c:v>7036.3187955115282</c:v>
                </c:pt>
                <c:pt idx="18">
                  <c:v>8259.8725958718715</c:v>
                </c:pt>
                <c:pt idx="19">
                  <c:v>5242.4366397176927</c:v>
                </c:pt>
                <c:pt idx="20">
                  <c:v>54872.818827908646</c:v>
                </c:pt>
                <c:pt idx="21">
                  <c:v>242.32990398752736</c:v>
                </c:pt>
                <c:pt idx="22">
                  <c:v>-149.34987063711742</c:v>
                </c:pt>
                <c:pt idx="23">
                  <c:v>-552.5496386330924</c:v>
                </c:pt>
                <c:pt idx="24">
                  <c:v>-967.60822333482793</c:v>
                </c:pt>
                <c:pt idx="25">
                  <c:v>-1394.8744134689914</c:v>
                </c:pt>
                <c:pt idx="26">
                  <c:v>11365.292743745886</c:v>
                </c:pt>
                <c:pt idx="27">
                  <c:v>10912.523640878819</c:v>
                </c:pt>
                <c:pt idx="28">
                  <c:v>30409.104708739993</c:v>
                </c:pt>
                <c:pt idx="29">
                  <c:v>62715.124551411747</c:v>
                </c:pt>
                <c:pt idx="30">
                  <c:v>62221.218707593682</c:v>
                </c:pt>
                <c:pt idx="31">
                  <c:v>61712.78622131038</c:v>
                </c:pt>
                <c:pt idx="32">
                  <c:v>61189.399838371683</c:v>
                </c:pt>
                <c:pt idx="33">
                  <c:v>60650.619738287744</c:v>
                </c:pt>
                <c:pt idx="34">
                  <c:v>60095.993164671905</c:v>
                </c:pt>
                <c:pt idx="35">
                  <c:v>-6208.9075758396793</c:v>
                </c:pt>
                <c:pt idx="36">
                  <c:v>-8111.3182552064318</c:v>
                </c:pt>
                <c:pt idx="37">
                  <c:v>-10004.721568953013</c:v>
                </c:pt>
                <c:pt idx="38">
                  <c:v>-11890.151806979091</c:v>
                </c:pt>
                <c:pt idx="39">
                  <c:v>-13768.64769522717</c:v>
                </c:pt>
                <c:pt idx="40">
                  <c:v>-15641.253045839316</c:v>
                </c:pt>
                <c:pt idx="41">
                  <c:v>-17509.01741604264</c:v>
                </c:pt>
                <c:pt idx="42">
                  <c:v>-19372.99677622781</c:v>
                </c:pt>
                <c:pt idx="43">
                  <c:v>-21234.254187694729</c:v>
                </c:pt>
                <c:pt idx="44">
                  <c:v>-23093.860490549727</c:v>
                </c:pt>
                <c:pt idx="45">
                  <c:v>-24952.895002247868</c:v>
                </c:pt>
                <c:pt idx="46">
                  <c:v>-26812.446227285851</c:v>
                </c:pt>
                <c:pt idx="47">
                  <c:v>-28673.612578560809</c:v>
                </c:pt>
                <c:pt idx="48">
                  <c:v>-30537.503110922647</c:v>
                </c:pt>
                <c:pt idx="49">
                  <c:v>-32405.238267458801</c:v>
                </c:pt>
                <c:pt idx="50">
                  <c:v>-34277.950639062889</c:v>
                </c:pt>
              </c:numCache>
            </c:numRef>
          </c:val>
          <c:smooth val="0"/>
          <c:extLst>
            <c:ext xmlns:c16="http://schemas.microsoft.com/office/drawing/2014/chart" uri="{C3380CC4-5D6E-409C-BE32-E72D297353CC}">
              <c16:uniqueId val="{00000004-5FC0-40D6-A4AC-AD7F4B51438D}"/>
            </c:ext>
          </c:extLst>
        </c:ser>
        <c:ser>
          <c:idx val="1"/>
          <c:order val="1"/>
          <c:tx>
            <c:strRef>
              <c:f>'base scenario'!$CA$1</c:f>
              <c:strCache>
                <c:ptCount val="1"/>
                <c:pt idx="0">
                  <c:v>Cash flow</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scenario'!$CA$2:$CA$52</c:f>
              <c:numCache>
                <c:formatCode>[$EUR]\ #,##0</c:formatCode>
                <c:ptCount val="51"/>
                <c:pt idx="0">
                  <c:v>-12126.309778707422</c:v>
                </c:pt>
                <c:pt idx="1">
                  <c:v>-24341.694927946737</c:v>
                </c:pt>
                <c:pt idx="2">
                  <c:v>-63800.725248986797</c:v>
                </c:pt>
                <c:pt idx="3">
                  <c:v>-77936.927780295198</c:v>
                </c:pt>
                <c:pt idx="4">
                  <c:v>-94069.504085700391</c:v>
                </c:pt>
                <c:pt idx="5">
                  <c:v>-109204.53581426277</c:v>
                </c:pt>
                <c:pt idx="6">
                  <c:v>-126307.31024234957</c:v>
                </c:pt>
                <c:pt idx="7">
                  <c:v>-142379.02631478498</c:v>
                </c:pt>
                <c:pt idx="8">
                  <c:v>-157279.6364529636</c:v>
                </c:pt>
                <c:pt idx="9">
                  <c:v>-170856.51497457994</c:v>
                </c:pt>
                <c:pt idx="10">
                  <c:v>-178296.95573571979</c:v>
                </c:pt>
                <c:pt idx="11">
                  <c:v>-188923.52799861849</c:v>
                </c:pt>
                <c:pt idx="12">
                  <c:v>-199231.80285106419</c:v>
                </c:pt>
                <c:pt idx="13">
                  <c:v>-212937.02654356707</c:v>
                </c:pt>
                <c:pt idx="14">
                  <c:v>-226551.6990896115</c:v>
                </c:pt>
                <c:pt idx="15">
                  <c:v>-240059.35933443892</c:v>
                </c:pt>
                <c:pt idx="16">
                  <c:v>-253442.27301571204</c:v>
                </c:pt>
                <c:pt idx="17">
                  <c:v>-266681.33606145746</c:v>
                </c:pt>
                <c:pt idx="18">
                  <c:v>-279755.97035050218</c:v>
                </c:pt>
                <c:pt idx="19">
                  <c:v>-296894.0113388247</c:v>
                </c:pt>
                <c:pt idx="20">
                  <c:v>-265772.71341802203</c:v>
                </c:pt>
                <c:pt idx="21">
                  <c:v>-286792.20058747625</c:v>
                </c:pt>
                <c:pt idx="22">
                  <c:v>-309884.92650511145</c:v>
                </c:pt>
                <c:pt idx="23">
                  <c:v>-335228.27026415349</c:v>
                </c:pt>
                <c:pt idx="24">
                  <c:v>-363014.14010862057</c:v>
                </c:pt>
                <c:pt idx="25">
                  <c:v>-393450.14573077922</c:v>
                </c:pt>
                <c:pt idx="26">
                  <c:v>-413560.86464549566</c:v>
                </c:pt>
                <c:pt idx="27">
                  <c:v>-435733.21017625649</c:v>
                </c:pt>
                <c:pt idx="28">
                  <c:v>-440182.76228161698</c:v>
                </c:pt>
                <c:pt idx="29">
                  <c:v>-412682.25871273456</c:v>
                </c:pt>
                <c:pt idx="30">
                  <c:v>-383475.62070215965</c:v>
                </c:pt>
                <c:pt idx="31">
                  <c:v>-352440.88413702202</c:v>
                </c:pt>
                <c:pt idx="32">
                  <c:v>-319446.7550296121</c:v>
                </c:pt>
                <c:pt idx="33">
                  <c:v>-284351.87569369329</c:v>
                </c:pt>
                <c:pt idx="34">
                  <c:v>-247004.03258451686</c:v>
                </c:pt>
                <c:pt idx="35">
                  <c:v>-272973.26276711788</c:v>
                </c:pt>
                <c:pt idx="36">
                  <c:v>-302922.44204369374</c:v>
                </c:pt>
                <c:pt idx="37">
                  <c:v>-337160.95897614222</c:v>
                </c:pt>
                <c:pt idx="38">
                  <c:v>-376023.98750121269</c:v>
                </c:pt>
                <c:pt idx="39">
                  <c:v>-419874.55419653689</c:v>
                </c:pt>
                <c:pt idx="40">
                  <c:v>-469105.77157809917</c:v>
                </c:pt>
                <c:pt idx="41">
                  <c:v>-524143.25072038971</c:v>
                </c:pt>
                <c:pt idx="42">
                  <c:v>-585447.70755424863</c:v>
                </c:pt>
                <c:pt idx="43">
                  <c:v>-653517.77834628324</c:v>
                </c:pt>
                <c:pt idx="44">
                  <c:v>-728893.06110453559</c:v>
                </c:pt>
                <c:pt idx="45">
                  <c:v>-812157.40099514637</c:v>
                </c:pt>
                <c:pt idx="46">
                  <c:v>-903942.43930204399</c:v>
                </c:pt>
                <c:pt idx="47">
                  <c:v>-1004931.4470247683</c:v>
                </c:pt>
                <c:pt idx="48">
                  <c:v>-1115863.4658976723</c:v>
                </c:pt>
                <c:pt idx="49">
                  <c:v>-1237537.7814369448</c:v>
                </c:pt>
                <c:pt idx="50">
                  <c:v>-1370818.7545909632</c:v>
                </c:pt>
              </c:numCache>
            </c:numRef>
          </c:val>
          <c:smooth val="0"/>
          <c:extLst>
            <c:ext xmlns:c16="http://schemas.microsoft.com/office/drawing/2014/chart" uri="{C3380CC4-5D6E-409C-BE32-E72D297353CC}">
              <c16:uniqueId val="{00000005-5FC0-40D6-A4AC-AD7F4B51438D}"/>
            </c:ext>
          </c:extLst>
        </c:ser>
        <c:ser>
          <c:idx val="2"/>
          <c:order val="2"/>
          <c:tx>
            <c:strRef>
              <c:f>'base scenario'!$CF$1</c:f>
              <c:strCache>
                <c:ptCount val="1"/>
                <c:pt idx="0">
                  <c:v>Total money invested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'base scenario'!$CC$2:$CC$52</c:f>
              <c:numCache>
                <c:formatCode>[$EUR]\ #,##0</c:formatCode>
                <c:ptCount val="51"/>
                <c:pt idx="0">
                  <c:v>2039.2156862745142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c:ext xmlns:c16="http://schemas.microsoft.com/office/drawing/2014/chart" uri="{C3380CC4-5D6E-409C-BE32-E72D297353CC}">
              <c16:uniqueId val="{00000000-33F1-424E-9766-C0D629B1ED4C}"/>
            </c:ext>
          </c:extLst>
        </c:ser>
        <c:ser>
          <c:idx val="3"/>
          <c:order val="3"/>
          <c:tx>
            <c:strRef>
              <c:f>'base scenario'!$BX$1</c:f>
              <c:strCache>
                <c:ptCount val="1"/>
                <c:pt idx="0">
                  <c:v>Real yearly expenses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'base scenario'!$BX$2:$BX$52</c:f>
              <c:numCache>
                <c:formatCode>[$EUR]\ #,##0</c:formatCode>
                <c:ptCount val="51"/>
                <c:pt idx="0">
                  <c:v>-82926.309778707422</c:v>
                </c:pt>
                <c:pt idx="1">
                  <c:v>-107139.39801400153</c:v>
                </c:pt>
                <c:pt idx="2">
                  <c:v>-85458.753550333728</c:v>
                </c:pt>
                <c:pt idx="3">
                  <c:v>-109684.56072008744</c:v>
                </c:pt>
                <c:pt idx="4">
                  <c:v>-113017.00927718685</c:v>
                </c:pt>
                <c:pt idx="5">
                  <c:v>-113256.2945565539</c:v>
                </c:pt>
                <c:pt idx="6">
                  <c:v>-116602.61763825528</c:v>
                </c:pt>
                <c:pt idx="7">
                  <c:v>-116856.18551647727</c:v>
                </c:pt>
                <c:pt idx="8">
                  <c:v>-117117.21127347049</c:v>
                </c:pt>
                <c:pt idx="9">
                  <c:v>-117385.9142586106</c:v>
                </c:pt>
                <c:pt idx="10">
                  <c:v>-111589.69149401797</c:v>
                </c:pt>
                <c:pt idx="11">
                  <c:v>-115624.43297913614</c:v>
                </c:pt>
                <c:pt idx="12">
                  <c:v>-115917.54921381662</c:v>
                </c:pt>
                <c:pt idx="13">
                  <c:v>-119969.28651422299</c:v>
                </c:pt>
                <c:pt idx="14">
                  <c:v>-120279.89844111192</c:v>
                </c:pt>
                <c:pt idx="15">
                  <c:v>-120599.64601290932</c:v>
                </c:pt>
                <c:pt idx="16">
                  <c:v>-120928.79792505372</c:v>
                </c:pt>
                <c:pt idx="17">
                  <c:v>-121267.63077579057</c:v>
                </c:pt>
                <c:pt idx="18">
                  <c:v>-121616.42929860795</c:v>
                </c:pt>
                <c:pt idx="19">
                  <c:v>-126225.48660150819</c:v>
                </c:pt>
                <c:pt idx="20">
                  <c:v>-126595.10441331724</c:v>
                </c:pt>
                <c:pt idx="21">
                  <c:v>-131225.59333723836</c:v>
                </c:pt>
                <c:pt idx="22">
                  <c:v>-131617.273111863</c:v>
                </c:pt>
                <c:pt idx="23">
                  <c:v>-132020.47287985898</c:v>
                </c:pt>
                <c:pt idx="24">
                  <c:v>-132435.53146456071</c:v>
                </c:pt>
                <c:pt idx="25">
                  <c:v>-132862.79765469488</c:v>
                </c:pt>
                <c:pt idx="26">
                  <c:v>-120102.63049748</c:v>
                </c:pt>
                <c:pt idx="27">
                  <c:v>-120555.39960034707</c:v>
                </c:pt>
                <c:pt idx="28">
                  <c:v>-101058.81853248589</c:v>
                </c:pt>
                <c:pt idx="29">
                  <c:v>-68752.798689814139</c:v>
                </c:pt>
                <c:pt idx="30">
                  <c:v>-69246.704533632204</c:v>
                </c:pt>
                <c:pt idx="31">
                  <c:v>-69755.137019915506</c:v>
                </c:pt>
                <c:pt idx="32">
                  <c:v>-70278.523402854204</c:v>
                </c:pt>
                <c:pt idx="33">
                  <c:v>-70817.303502938143</c:v>
                </c:pt>
                <c:pt idx="34">
                  <c:v>-71371.930076553981</c:v>
                </c:pt>
                <c:pt idx="35">
                  <c:v>-71942.869196452622</c:v>
                </c:pt>
                <c:pt idx="36">
                  <c:v>-72530.600643407117</c:v>
                </c:pt>
                <c:pt idx="37">
                  <c:v>-73135.618309389683</c:v>
                </c:pt>
                <c:pt idx="38">
                  <c:v>-73758.43061260703</c:v>
                </c:pt>
                <c:pt idx="39">
                  <c:v>-74399.560924742545</c:v>
                </c:pt>
                <c:pt idx="40">
                  <c:v>-75059.548010764382</c:v>
                </c:pt>
                <c:pt idx="41">
                  <c:v>-75738.946481669205</c:v>
                </c:pt>
                <c:pt idx="42">
                  <c:v>-76438.327260541846</c:v>
                </c:pt>
                <c:pt idx="43">
                  <c:v>-77158.278062322483</c:v>
                </c:pt>
                <c:pt idx="44">
                  <c:v>-77899.403887684923</c:v>
                </c:pt>
                <c:pt idx="45">
                  <c:v>-78662.327531440358</c:v>
                </c:pt>
                <c:pt idx="46">
                  <c:v>-79447.690105894493</c:v>
                </c:pt>
                <c:pt idx="47">
                  <c:v>-80256.151579597281</c:v>
                </c:pt>
                <c:pt idx="48">
                  <c:v>-81088.391331938386</c:v>
                </c:pt>
                <c:pt idx="49">
                  <c:v>-81945.108724054226</c:v>
                </c:pt>
                <c:pt idx="50">
                  <c:v>-82827.023686526401</c:v>
                </c:pt>
              </c:numCache>
            </c:numRef>
          </c:val>
          <c:smooth val="0"/>
          <c:extLst>
            <c:ext xmlns:c16="http://schemas.microsoft.com/office/drawing/2014/chart" uri="{C3380CC4-5D6E-409C-BE32-E72D297353CC}">
              <c16:uniqueId val="{00000000-8245-4336-AFD7-78AE30B75704}"/>
            </c:ext>
          </c:extLst>
        </c:ser>
        <c:ser>
          <c:idx val="4"/>
          <c:order val="4"/>
          <c:tx>
            <c:strRef>
              <c:f>'base scenario'!$BY$1</c:f>
              <c:strCache>
                <c:ptCount val="1"/>
                <c:pt idx="0">
                  <c:v>Real yearly income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'base scenario'!$BY$2:$BY$52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181467.92324122589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smooth val="0"/>
          <c:extLst>
            <c:ext xmlns:c16="http://schemas.microsoft.com/office/drawing/2014/chart" uri="{C3380CC4-5D6E-409C-BE32-E72D297353CC}">
              <c16:uniqueId val="{00000001-8245-4336-AFD7-78AE30B75704}"/>
            </c:ext>
          </c:extLst>
        </c:ser>
        <c:dLbls>
          <c:showLegendKey val="0"/>
          <c:showVal val="0"/>
          <c:showCatName val="0"/>
          <c:showSerName val="0"/>
          <c:showPercent val="0"/>
          <c:showBubbleSize val="0"/>
        </c:dLbls>
        <c:smooth val="0"/>
        <c:axId val="448967520"/>
        <c:axId val="448977120"/>
        <c:extLst/>
      </c:lineChart>
      <c:catAx>
        <c:axId val="448967520"/>
        <c:scaling>
          <c:orientation val="minMax"/>
        </c:scaling>
        <c:delete val="0"/>
        <c:axPos val="t"/>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inMax"/>
          <c:max val="300000"/>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baseline="0"/>
              <a:t>Cash flow evolution when </a:t>
            </a:r>
            <a:r>
              <a:rPr lang="de-DE" baseline="0">
                <a:solidFill>
                  <a:schemeClr val="accent2">
                    <a:lumMod val="60000"/>
                    <a:lumOff val="40000"/>
                  </a:schemeClr>
                </a:solidFill>
              </a:rPr>
              <a:t>renting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'base scenario'!$AE$1</c:f>
              <c:strCache>
                <c:ptCount val="1"/>
                <c:pt idx="0">
                  <c:v>Year Cash flow difference</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scenario'!$AE$2:$AE$52</c:f>
              <c:numCache>
                <c:formatCode>[$EUR]\ #,##0</c:formatCode>
                <c:ptCount val="51"/>
                <c:pt idx="0">
                  <c:v>900</c:v>
                </c:pt>
                <c:pt idx="1">
                  <c:v>25528.235294117636</c:v>
                </c:pt>
                <c:pt idx="2">
                  <c:v>-998.40830449827627</c:v>
                </c:pt>
                <c:pt idx="3">
                  <c:v>27213.258871022423</c:v>
                </c:pt>
                <c:pt idx="4">
                  <c:v>26072.019346598085</c:v>
                </c:pt>
                <c:pt idx="5">
                  <c:v>28076.297429369559</c:v>
                </c:pt>
                <c:pt idx="6">
                  <c:v>27027.135475552743</c:v>
                </c:pt>
                <c:pt idx="7">
                  <c:v>29125.599234268433</c:v>
                </c:pt>
                <c:pt idx="8">
                  <c:v>31272.778357514413</c:v>
                </c:pt>
                <c:pt idx="9">
                  <c:v>33469.786920772298</c:v>
                </c:pt>
                <c:pt idx="10">
                  <c:v>34291.398676842495</c:v>
                </c:pt>
                <c:pt idx="11">
                  <c:v>31362.70353126945</c:v>
                </c:pt>
                <c:pt idx="12">
                  <c:v>32183.392556145831</c:v>
                </c:pt>
                <c:pt idx="13">
                  <c:v>29253.144062187319</c:v>
                </c:pt>
                <c:pt idx="14">
                  <c:v>30071.623178357928</c:v>
                </c:pt>
                <c:pt idx="15">
                  <c:v>30888.48141857954</c:v>
                </c:pt>
                <c:pt idx="16">
                  <c:v>31703.356235138839</c:v>
                </c:pt>
                <c:pt idx="17">
                  <c:v>32515.870558393523</c:v>
                </c:pt>
                <c:pt idx="18">
                  <c:v>33325.632322368052</c:v>
                </c:pt>
                <c:pt idx="19">
                  <c:v>29882.233975816707</c:v>
                </c:pt>
                <c:pt idx="20">
                  <c:v>79074.125468010549</c:v>
                </c:pt>
                <c:pt idx="21">
                  <c:v>23992.249062915973</c:v>
                </c:pt>
                <c:pt idx="22">
                  <c:v>23135.905704730394</c:v>
                </c:pt>
                <c:pt idx="23">
                  <c:v>22254.375777186404</c:v>
                </c:pt>
                <c:pt idx="24">
                  <c:v>21346.918498832296</c:v>
                </c:pt>
                <c:pt idx="25">
                  <c:v>20412.771300526598</c:v>
                </c:pt>
                <c:pt idx="26">
                  <c:v>32651.149184623675</c:v>
                </c:pt>
                <c:pt idx="27">
                  <c:v>31661.244065311839</c:v>
                </c:pt>
                <c:pt idx="28">
                  <c:v>43842.224089549651</c:v>
                </c:pt>
                <c:pt idx="29">
                  <c:v>42793.232938029774</c:v>
                </c:pt>
                <c:pt idx="30">
                  <c:v>41713.389105582813</c:v>
                </c:pt>
                <c:pt idx="31">
                  <c:v>40601.785160416854</c:v>
                </c:pt>
                <c:pt idx="32">
                  <c:v>39457.486981569527</c:v>
                </c:pt>
                <c:pt idx="33">
                  <c:v>38279.532973932568</c:v>
                </c:pt>
                <c:pt idx="34">
                  <c:v>37066.933260188642</c:v>
                </c:pt>
                <c:pt idx="35">
                  <c:v>-29915.292771631299</c:v>
                </c:pt>
                <c:pt idx="36">
                  <c:v>-32514.95007440367</c:v>
                </c:pt>
                <c:pt idx="37">
                  <c:v>-35126.107265185477</c:v>
                </c:pt>
                <c:pt idx="38">
                  <c:v>-37750.401788394855</c:v>
                </c:pt>
                <c:pt idx="39">
                  <c:v>-40389.493264331621</c:v>
                </c:pt>
                <c:pt idx="40">
                  <c:v>-43045.064661093915</c:v>
                </c:pt>
                <c:pt idx="41">
                  <c:v>-45718.823490569441</c:v>
                </c:pt>
                <c:pt idx="42">
                  <c:v>-48412.503029417159</c:v>
                </c:pt>
                <c:pt idx="43">
                  <c:v>-51127.863565977888</c:v>
                </c:pt>
                <c:pt idx="44">
                  <c:v>-53866.693674076516</c:v>
                </c:pt>
                <c:pt idx="45">
                  <c:v>-56630.811514701913</c:v>
                </c:pt>
                <c:pt idx="46">
                  <c:v>-59422.066166576784</c:v>
                </c:pt>
                <c:pt idx="47">
                  <c:v>-62242.338986654409</c:v>
                </c:pt>
                <c:pt idx="48">
                  <c:v>-65093.54500160725</c:v>
                </c:pt>
                <c:pt idx="49">
                  <c:v>-67977.634331398833</c:v>
                </c:pt>
                <c:pt idx="50">
                  <c:v>-70896.593646060006</c:v>
                </c:pt>
              </c:numCache>
            </c:numRef>
          </c:val>
          <c:smooth val="0"/>
          <c:extLst>
            <c:ext xmlns:c16="http://schemas.microsoft.com/office/drawing/2014/chart" uri="{C3380CC4-5D6E-409C-BE32-E72D297353CC}">
              <c16:uniqueId val="{00000004-CF40-4C74-A9B5-E0D58B702D04}"/>
            </c:ext>
          </c:extLst>
        </c:ser>
        <c:ser>
          <c:idx val="1"/>
          <c:order val="1"/>
          <c:tx>
            <c:strRef>
              <c:f>'base scenario'!$AF$1</c:f>
              <c:strCache>
                <c:ptCount val="1"/>
                <c:pt idx="0">
                  <c:v>Cash flow</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scenario'!$AF$2:$AF$52</c:f>
              <c:numCache>
                <c:formatCode>[$EUR]\ #,##0</c:formatCode>
                <c:ptCount val="51"/>
                <c:pt idx="0">
                  <c:v>24000</c:v>
                </c:pt>
                <c:pt idx="1">
                  <c:v>24000</c:v>
                </c:pt>
                <c:pt idx="2">
                  <c:v>23001.591695501724</c:v>
                </c:pt>
                <c:pt idx="3">
                  <c:v>24000</c:v>
                </c:pt>
                <c:pt idx="4">
                  <c:v>24000</c:v>
                </c:pt>
                <c:pt idx="5">
                  <c:v>24000</c:v>
                </c:pt>
                <c:pt idx="6">
                  <c:v>24000</c:v>
                </c:pt>
                <c:pt idx="7">
                  <c:v>24000</c:v>
                </c:pt>
                <c:pt idx="8">
                  <c:v>24000</c:v>
                </c:pt>
                <c:pt idx="9">
                  <c:v>24000</c:v>
                </c:pt>
                <c:pt idx="10">
                  <c:v>24000</c:v>
                </c:pt>
                <c:pt idx="11">
                  <c:v>24000</c:v>
                </c:pt>
                <c:pt idx="12">
                  <c:v>24000</c:v>
                </c:pt>
                <c:pt idx="13">
                  <c:v>24000</c:v>
                </c:pt>
                <c:pt idx="14">
                  <c:v>24000</c:v>
                </c:pt>
                <c:pt idx="15">
                  <c:v>24000</c:v>
                </c:pt>
                <c:pt idx="16">
                  <c:v>24000</c:v>
                </c:pt>
                <c:pt idx="17">
                  <c:v>24000</c:v>
                </c:pt>
                <c:pt idx="18">
                  <c:v>24000</c:v>
                </c:pt>
                <c:pt idx="19">
                  <c:v>24000</c:v>
                </c:pt>
                <c:pt idx="20">
                  <c:v>24000</c:v>
                </c:pt>
                <c:pt idx="21">
                  <c:v>24000</c:v>
                </c:pt>
                <c:pt idx="22">
                  <c:v>24000</c:v>
                </c:pt>
                <c:pt idx="23">
                  <c:v>24000</c:v>
                </c:pt>
                <c:pt idx="24">
                  <c:v>24000</c:v>
                </c:pt>
                <c:pt idx="25">
                  <c:v>24000</c:v>
                </c:pt>
                <c:pt idx="26">
                  <c:v>24000</c:v>
                </c:pt>
                <c:pt idx="27">
                  <c:v>24000</c:v>
                </c:pt>
                <c:pt idx="28">
                  <c:v>24000</c:v>
                </c:pt>
                <c:pt idx="29">
                  <c:v>24000</c:v>
                </c:pt>
                <c:pt idx="30">
                  <c:v>24000</c:v>
                </c:pt>
                <c:pt idx="31">
                  <c:v>24000</c:v>
                </c:pt>
                <c:pt idx="32">
                  <c:v>24000</c:v>
                </c:pt>
                <c:pt idx="33">
                  <c:v>24000</c:v>
                </c:pt>
                <c:pt idx="34">
                  <c:v>24000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c:ext xmlns:c16="http://schemas.microsoft.com/office/drawing/2014/chart" uri="{C3380CC4-5D6E-409C-BE32-E72D297353CC}">
              <c16:uniqueId val="{00000005-CF40-4C74-A9B5-E0D58B702D04}"/>
            </c:ext>
          </c:extLst>
        </c:ser>
        <c:ser>
          <c:idx val="2"/>
          <c:order val="2"/>
          <c:tx>
            <c:strRef>
              <c:f>'base scenario'!$AK$1</c:f>
              <c:strCache>
                <c:ptCount val="1"/>
                <c:pt idx="0">
                  <c:v>Total money invested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'base scenario'!$AK$2:$AK$52</c:f>
              <c:numCache>
                <c:formatCode>[$EUR]\ #,##0</c:formatCode>
                <c:ptCount val="51"/>
                <c:pt idx="0">
                  <c:v>28939.215686274514</c:v>
                </c:pt>
                <c:pt idx="1">
                  <c:v>56687.583303125175</c:v>
                </c:pt>
                <c:pt idx="2">
                  <c:v>60939.310839608319</c:v>
                </c:pt>
                <c:pt idx="3">
                  <c:v>91620.31302744204</c:v>
                </c:pt>
                <c:pt idx="4">
                  <c:v>124249.98570310793</c:v>
                </c:pt>
                <c:pt idx="5">
                  <c:v>161006.38017291311</c:v>
                </c:pt>
                <c:pt idx="6">
                  <c:v>199005.40140994103</c:v>
                </c:pt>
                <c:pt idx="7">
                  <c:v>241351.20260454048</c:v>
                </c:pt>
                <c:pt idx="8">
                  <c:v>288243.52769868047</c:v>
                </c:pt>
                <c:pt idx="9">
                  <c:v>339873.46426930919</c:v>
                </c:pt>
                <c:pt idx="10">
                  <c:v>394995.20299716713</c:v>
                </c:pt>
                <c:pt idx="11">
                  <c:v>449889.44147897937</c:v>
                </c:pt>
                <c:pt idx="12">
                  <c:v>508103.4119152088</c:v>
                </c:pt>
                <c:pt idx="13">
                  <c:v>565884.3565052069</c:v>
                </c:pt>
                <c:pt idx="14">
                  <c:v>626757.84191216214</c:v>
                </c:pt>
                <c:pt idx="15">
                  <c:v>690687.17090717575</c:v>
                </c:pt>
                <c:pt idx="16">
                  <c:v>757617.50755653845</c:v>
                </c:pt>
                <c:pt idx="17">
                  <c:v>827475.22030811093</c:v>
                </c:pt>
                <c:pt idx="18">
                  <c:v>900167.34882575355</c:v>
                </c:pt>
                <c:pt idx="19">
                  <c:v>971331.20698917622</c:v>
                </c:pt>
                <c:pt idx="20">
                  <c:v>1093285.3879814148</c:v>
                </c:pt>
                <c:pt idx="21">
                  <c:v>1163667.2366441698</c:v>
                </c:pt>
                <c:pt idx="22">
                  <c:v>1234184.282270076</c:v>
                </c:pt>
                <c:pt idx="23">
                  <c:v>1304575.3021546253</c:v>
                </c:pt>
                <c:pt idx="24">
                  <c:v>1374567.8969063496</c:v>
                </c:pt>
                <c:pt idx="25">
                  <c:v>1443879.8622985028</c:v>
                </c:pt>
                <c:pt idx="26">
                  <c:v>1525420.702730926</c:v>
                </c:pt>
                <c:pt idx="27">
                  <c:v>1606117.5994139973</c:v>
                </c:pt>
                <c:pt idx="28">
                  <c:v>1698836.1865288515</c:v>
                </c:pt>
                <c:pt idx="29">
                  <c:v>1790415.0457534187</c:v>
                </c:pt>
                <c:pt idx="30">
                  <c:v>1880474.6562625396</c:v>
                </c:pt>
                <c:pt idx="31">
                  <c:v>1968630.8537387501</c:v>
                </c:pt>
                <c:pt idx="32">
                  <c:v>2054497.2966448728</c:v>
                </c:pt>
                <c:pt idx="33">
                  <c:v>2137688.0254255747</c:v>
                </c:pt>
                <c:pt idx="34">
                  <c:v>2217820.0911195469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0-6C69-4DF7-A599-8227CF788416}"/>
            </c:ext>
          </c:extLst>
        </c:ser>
        <c:ser>
          <c:idx val="3"/>
          <c:order val="3"/>
          <c:tx>
            <c:strRef>
              <c:f>'base scenario'!$AC$1</c:f>
              <c:strCache>
                <c:ptCount val="1"/>
                <c:pt idx="0">
                  <c:v>Real yearly expenses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'base scenario'!$AC$2:$AC$52</c:f>
              <c:numCache>
                <c:formatCode>[$EUR]\ #,##0</c:formatCode>
                <c:ptCount val="51"/>
                <c:pt idx="0">
                  <c:v>-45900</c:v>
                </c:pt>
                <c:pt idx="1">
                  <c:v>-70365.882352941175</c:v>
                </c:pt>
                <c:pt idx="2">
                  <c:v>-48945.467128027682</c:v>
                </c:pt>
                <c:pt idx="3">
                  <c:v>-73439.157337675555</c:v>
                </c:pt>
                <c:pt idx="4">
                  <c:v>-77047.367847607195</c:v>
                </c:pt>
                <c:pt idx="5">
                  <c:v>-77570.525725478001</c:v>
                </c:pt>
                <c:pt idx="6">
                  <c:v>-81209.070599756757</c:v>
                </c:pt>
                <c:pt idx="7">
                  <c:v>-81763.455029161385</c:v>
                </c:pt>
                <c:pt idx="8">
                  <c:v>-82334.144882960245</c:v>
                </c:pt>
                <c:pt idx="9">
                  <c:v>-82921.619732459076</c:v>
                </c:pt>
                <c:pt idx="10">
                  <c:v>-83526.373254001999</c:v>
                </c:pt>
                <c:pt idx="11">
                  <c:v>-87898.913643825581</c:v>
                </c:pt>
                <c:pt idx="12">
                  <c:v>-88539.764045114571</c:v>
                </c:pt>
                <c:pt idx="13">
                  <c:v>-92949.462987617939</c:v>
                </c:pt>
                <c:pt idx="14">
                  <c:v>-93628.564840194944</c:v>
                </c:pt>
                <c:pt idx="15">
                  <c:v>-94327.640276671271</c:v>
                </c:pt>
                <c:pt idx="16">
                  <c:v>-95047.276755396902</c:v>
                </c:pt>
                <c:pt idx="17">
                  <c:v>-95788.07901290858</c:v>
                </c:pt>
                <c:pt idx="18">
                  <c:v>-96550.669572111772</c:v>
                </c:pt>
                <c:pt idx="19">
                  <c:v>-101585.68926540918</c:v>
                </c:pt>
                <c:pt idx="20">
                  <c:v>-102393.79777321534</c:v>
                </c:pt>
                <c:pt idx="21">
                  <c:v>-107475.67417830991</c:v>
                </c:pt>
                <c:pt idx="22">
                  <c:v>-108332.01753649549</c:v>
                </c:pt>
                <c:pt idx="23">
                  <c:v>-109213.54746403948</c:v>
                </c:pt>
                <c:pt idx="24">
                  <c:v>-110121.00474239359</c:v>
                </c:pt>
                <c:pt idx="25">
                  <c:v>-111055.15194069929</c:v>
                </c:pt>
                <c:pt idx="26">
                  <c:v>-98816.774056602211</c:v>
                </c:pt>
                <c:pt idx="27">
                  <c:v>-99806.679175914047</c:v>
                </c:pt>
                <c:pt idx="28">
                  <c:v>-87625.699151676235</c:v>
                </c:pt>
                <c:pt idx="29">
                  <c:v>-88674.690303196112</c:v>
                </c:pt>
                <c:pt idx="30">
                  <c:v>-89754.534135643073</c:v>
                </c:pt>
                <c:pt idx="31">
                  <c:v>-90866.138080809033</c:v>
                </c:pt>
                <c:pt idx="32">
                  <c:v>-92010.436259656359</c:v>
                </c:pt>
                <c:pt idx="33">
                  <c:v>-93188.390267293318</c:v>
                </c:pt>
                <c:pt idx="34">
                  <c:v>-94400.989981037244</c:v>
                </c:pt>
                <c:pt idx="35">
                  <c:v>-95649.254392244242</c:v>
                </c:pt>
                <c:pt idx="36">
                  <c:v>-96934.232462604356</c:v>
                </c:pt>
                <c:pt idx="37">
                  <c:v>-98257.004005622148</c:v>
                </c:pt>
                <c:pt idx="38">
                  <c:v>-99618.680594022793</c:v>
                </c:pt>
                <c:pt idx="39">
                  <c:v>-101020.406493847</c:v>
                </c:pt>
                <c:pt idx="40">
                  <c:v>-102463.35962601898</c:v>
                </c:pt>
                <c:pt idx="41">
                  <c:v>-103948.75255619601</c:v>
                </c:pt>
                <c:pt idx="42">
                  <c:v>-105477.8335137312</c:v>
                </c:pt>
                <c:pt idx="43">
                  <c:v>-107051.88744060564</c:v>
                </c:pt>
                <c:pt idx="44">
                  <c:v>-108672.23707121171</c:v>
                </c:pt>
                <c:pt idx="45">
                  <c:v>-110340.2440438944</c:v>
                </c:pt>
                <c:pt idx="46">
                  <c:v>-112057.31004518543</c:v>
                </c:pt>
                <c:pt idx="47">
                  <c:v>-113824.87798769088</c:v>
                </c:pt>
                <c:pt idx="48">
                  <c:v>-115644.43322262299</c:v>
                </c:pt>
                <c:pt idx="49">
                  <c:v>-117517.50478799426</c:v>
                </c:pt>
                <c:pt idx="50">
                  <c:v>-119445.66669352351</c:v>
                </c:pt>
              </c:numCache>
            </c:numRef>
          </c:val>
          <c:smooth val="0"/>
          <c:extLst>
            <c:ext xmlns:c16="http://schemas.microsoft.com/office/drawing/2014/chart" uri="{C3380CC4-5D6E-409C-BE32-E72D297353CC}">
              <c16:uniqueId val="{00000000-C913-460B-85C0-11B509479180}"/>
            </c:ext>
          </c:extLst>
        </c:ser>
        <c:ser>
          <c:idx val="4"/>
          <c:order val="4"/>
          <c:tx>
            <c:strRef>
              <c:f>'base scenario'!$AD$1</c:f>
              <c:strCache>
                <c:ptCount val="1"/>
                <c:pt idx="0">
                  <c:v>Real yearly income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'base scenario'!$AD$2:$AD$52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181467.92324122589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smooth val="0"/>
          <c:extLst>
            <c:ext xmlns:c16="http://schemas.microsoft.com/office/drawing/2014/chart" uri="{C3380CC4-5D6E-409C-BE32-E72D297353CC}">
              <c16:uniqueId val="{00000001-C913-460B-85C0-11B509479180}"/>
            </c:ext>
          </c:extLst>
        </c:ser>
        <c:dLbls>
          <c:showLegendKey val="0"/>
          <c:showVal val="0"/>
          <c:showCatName val="0"/>
          <c:showSerName val="0"/>
          <c:showPercent val="0"/>
          <c:showBubbleSize val="0"/>
        </c:dLbls>
        <c:smooth val="0"/>
        <c:axId val="448967520"/>
        <c:axId val="448977120"/>
      </c:lineChart>
      <c:catAx>
        <c:axId val="448967520"/>
        <c:scaling>
          <c:orientation val="minMax"/>
        </c:scaling>
        <c:delete val="0"/>
        <c:axPos val="t"/>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inMax"/>
          <c:max val="300000"/>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Costs description </a:t>
            </a:r>
            <a:r>
              <a:rPr lang="de-DE" baseline="0"/>
              <a:t>when </a:t>
            </a:r>
            <a:r>
              <a:rPr lang="de-DE" baseline="0">
                <a:solidFill>
                  <a:schemeClr val="tx2">
                    <a:lumMod val="50000"/>
                    <a:lumOff val="50000"/>
                  </a:schemeClr>
                </a:solidFill>
              </a:rPr>
              <a:t>buying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9"/>
          <c:order val="0"/>
          <c:tx>
            <c:strRef>
              <c:f>'base scenario'!$P$1</c:f>
              <c:strCache>
                <c:ptCount val="1"/>
                <c:pt idx="0">
                  <c:v>Living costs family</c:v>
                </c:pt>
              </c:strCache>
            </c:strRef>
          </c:tx>
          <c:spPr>
            <a:solidFill>
              <a:schemeClr val="bg1"/>
            </a:solidFill>
            <a:ln w="25400">
              <a:noFill/>
            </a:ln>
            <a:effectLst>
              <a:outerShdw blurRad="57150" dist="19050" dir="5400000" algn="ctr" rotWithShape="0">
                <a:srgbClr val="000000">
                  <a:alpha val="63000"/>
                </a:srgbClr>
              </a:outerShdw>
            </a:effectLst>
          </c:spPr>
          <c:val>
            <c:numRef>
              <c:f>'base scenario'!$P$2:$P$52</c:f>
              <c:numCache>
                <c:formatCode>[$EUR]\ #,##0</c:formatCode>
                <c:ptCount val="51"/>
                <c:pt idx="0">
                  <c:v>-1050</c:v>
                </c:pt>
                <c:pt idx="1">
                  <c:v>-1050</c:v>
                </c:pt>
                <c:pt idx="2">
                  <c:v>-2100</c:v>
                </c:pt>
                <c:pt idx="3">
                  <c:v>-2100</c:v>
                </c:pt>
                <c:pt idx="4">
                  <c:v>-3650</c:v>
                </c:pt>
                <c:pt idx="5">
                  <c:v>-3650</c:v>
                </c:pt>
                <c:pt idx="6">
                  <c:v>-5200</c:v>
                </c:pt>
                <c:pt idx="7">
                  <c:v>-5200</c:v>
                </c:pt>
                <c:pt idx="8">
                  <c:v>-5200</c:v>
                </c:pt>
                <c:pt idx="9">
                  <c:v>-5200</c:v>
                </c:pt>
                <c:pt idx="10">
                  <c:v>-5200</c:v>
                </c:pt>
                <c:pt idx="11">
                  <c:v>-7075</c:v>
                </c:pt>
                <c:pt idx="12">
                  <c:v>-7075</c:v>
                </c:pt>
                <c:pt idx="13">
                  <c:v>-8950</c:v>
                </c:pt>
                <c:pt idx="14">
                  <c:v>-8950</c:v>
                </c:pt>
                <c:pt idx="15">
                  <c:v>-8950</c:v>
                </c:pt>
                <c:pt idx="16">
                  <c:v>-8950</c:v>
                </c:pt>
                <c:pt idx="17">
                  <c:v>-8950</c:v>
                </c:pt>
                <c:pt idx="18">
                  <c:v>-8950</c:v>
                </c:pt>
                <c:pt idx="19">
                  <c:v>-11075</c:v>
                </c:pt>
                <c:pt idx="20">
                  <c:v>-11075</c:v>
                </c:pt>
                <c:pt idx="21">
                  <c:v>-13200</c:v>
                </c:pt>
                <c:pt idx="22">
                  <c:v>-13200</c:v>
                </c:pt>
                <c:pt idx="23">
                  <c:v>-13200</c:v>
                </c:pt>
                <c:pt idx="24">
                  <c:v>-13200</c:v>
                </c:pt>
                <c:pt idx="25">
                  <c:v>-13200</c:v>
                </c:pt>
                <c:pt idx="26">
                  <c:v>-6600</c:v>
                </c:pt>
                <c:pt idx="27">
                  <c:v>-6600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1-7CBF-4229-97DC-06255C726E9B}"/>
            </c:ext>
          </c:extLst>
        </c:ser>
        <c:ser>
          <c:idx val="0"/>
          <c:order val="1"/>
          <c:tx>
            <c:strRef>
              <c:f>'base scenario'!$N$1</c:f>
              <c:strCache>
                <c:ptCount val="1"/>
                <c:pt idx="0">
                  <c:v>Living costs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scenario'!$N$2:$N$52</c:f>
              <c:numCache>
                <c:formatCode>[$EUR]\ #,##0</c:formatCode>
                <c:ptCount val="51"/>
                <c:pt idx="0">
                  <c:v>-25050</c:v>
                </c:pt>
                <c:pt idx="1">
                  <c:v>-49050</c:v>
                </c:pt>
                <c:pt idx="2">
                  <c:v>-26100</c:v>
                </c:pt>
                <c:pt idx="3">
                  <c:v>-50100</c:v>
                </c:pt>
                <c:pt idx="4">
                  <c:v>-51650</c:v>
                </c:pt>
                <c:pt idx="5">
                  <c:v>-51650</c:v>
                </c:pt>
                <c:pt idx="6">
                  <c:v>-53200</c:v>
                </c:pt>
                <c:pt idx="7">
                  <c:v>-53200</c:v>
                </c:pt>
                <c:pt idx="8">
                  <c:v>-53200</c:v>
                </c:pt>
                <c:pt idx="9">
                  <c:v>-53200</c:v>
                </c:pt>
                <c:pt idx="10">
                  <c:v>-53200</c:v>
                </c:pt>
                <c:pt idx="11">
                  <c:v>-55075</c:v>
                </c:pt>
                <c:pt idx="12">
                  <c:v>-55075</c:v>
                </c:pt>
                <c:pt idx="13">
                  <c:v>-56950</c:v>
                </c:pt>
                <c:pt idx="14">
                  <c:v>-56950</c:v>
                </c:pt>
                <c:pt idx="15">
                  <c:v>-56950</c:v>
                </c:pt>
                <c:pt idx="16">
                  <c:v>-56950</c:v>
                </c:pt>
                <c:pt idx="17">
                  <c:v>-56950</c:v>
                </c:pt>
                <c:pt idx="18">
                  <c:v>-56950</c:v>
                </c:pt>
                <c:pt idx="19">
                  <c:v>-59075</c:v>
                </c:pt>
                <c:pt idx="20">
                  <c:v>-59075</c:v>
                </c:pt>
                <c:pt idx="21">
                  <c:v>-61200</c:v>
                </c:pt>
                <c:pt idx="22">
                  <c:v>-61200</c:v>
                </c:pt>
                <c:pt idx="23">
                  <c:v>-61200</c:v>
                </c:pt>
                <c:pt idx="24">
                  <c:v>-61200</c:v>
                </c:pt>
                <c:pt idx="25">
                  <c:v>-61200</c:v>
                </c:pt>
                <c:pt idx="26">
                  <c:v>-54600</c:v>
                </c:pt>
                <c:pt idx="27">
                  <c:v>-54600</c:v>
                </c:pt>
                <c:pt idx="28">
                  <c:v>-48000</c:v>
                </c:pt>
                <c:pt idx="29">
                  <c:v>-48000</c:v>
                </c:pt>
                <c:pt idx="30">
                  <c:v>-48000</c:v>
                </c:pt>
                <c:pt idx="31">
                  <c:v>-48000</c:v>
                </c:pt>
                <c:pt idx="32">
                  <c:v>-48000</c:v>
                </c:pt>
                <c:pt idx="33">
                  <c:v>-48000</c:v>
                </c:pt>
                <c:pt idx="34">
                  <c:v>-48000</c:v>
                </c:pt>
                <c:pt idx="35">
                  <c:v>-48000</c:v>
                </c:pt>
                <c:pt idx="36">
                  <c:v>-48000</c:v>
                </c:pt>
                <c:pt idx="37">
                  <c:v>-48000</c:v>
                </c:pt>
                <c:pt idx="38">
                  <c:v>-48000</c:v>
                </c:pt>
                <c:pt idx="39">
                  <c:v>-48000</c:v>
                </c:pt>
                <c:pt idx="40">
                  <c:v>-48000</c:v>
                </c:pt>
                <c:pt idx="41">
                  <c:v>-48000</c:v>
                </c:pt>
                <c:pt idx="42">
                  <c:v>-48000</c:v>
                </c:pt>
                <c:pt idx="43">
                  <c:v>-48000</c:v>
                </c:pt>
                <c:pt idx="44">
                  <c:v>-48000</c:v>
                </c:pt>
                <c:pt idx="45">
                  <c:v>-48000</c:v>
                </c:pt>
                <c:pt idx="46">
                  <c:v>-48000</c:v>
                </c:pt>
                <c:pt idx="47">
                  <c:v>-48000</c:v>
                </c:pt>
                <c:pt idx="48">
                  <c:v>-48000</c:v>
                </c:pt>
                <c:pt idx="49">
                  <c:v>-48000</c:v>
                </c:pt>
                <c:pt idx="50">
                  <c:v>-48000</c:v>
                </c:pt>
              </c:numCache>
            </c:numRef>
          </c:val>
          <c:extLst>
            <c:ext xmlns:c16="http://schemas.microsoft.com/office/drawing/2014/chart" uri="{C3380CC4-5D6E-409C-BE32-E72D297353CC}">
              <c16:uniqueId val="{00000005-0022-4C7C-81A1-C1809E2D5EFD}"/>
            </c:ext>
          </c:extLst>
        </c:ser>
        <c:ser>
          <c:idx val="6"/>
          <c:order val="2"/>
          <c:tx>
            <c:strRef>
              <c:f>'base scenario'!$BI$1</c:f>
              <c:strCache>
                <c:ptCount val="1"/>
                <c:pt idx="0">
                  <c:v>Homeowners Association (HOA) Fees (Hausgeld)</c:v>
                </c:pt>
              </c:strCache>
            </c:strRef>
          </c:tx>
          <c:spPr>
            <a:solidFill>
              <a:schemeClr val="tx2"/>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scenario'!$BI$2:$BI$52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-3960</c:v>
                </c:pt>
                <c:pt idx="36">
                  <c:v>-3960</c:v>
                </c:pt>
                <c:pt idx="37">
                  <c:v>-3960</c:v>
                </c:pt>
                <c:pt idx="38">
                  <c:v>-3960</c:v>
                </c:pt>
                <c:pt idx="39">
                  <c:v>-3960</c:v>
                </c:pt>
                <c:pt idx="40">
                  <c:v>-3960</c:v>
                </c:pt>
                <c:pt idx="41">
                  <c:v>-3960</c:v>
                </c:pt>
                <c:pt idx="42">
                  <c:v>-3960</c:v>
                </c:pt>
                <c:pt idx="43">
                  <c:v>-3960</c:v>
                </c:pt>
                <c:pt idx="44">
                  <c:v>-3960</c:v>
                </c:pt>
                <c:pt idx="45">
                  <c:v>-3960</c:v>
                </c:pt>
                <c:pt idx="46">
                  <c:v>-3960</c:v>
                </c:pt>
                <c:pt idx="47">
                  <c:v>-3960</c:v>
                </c:pt>
                <c:pt idx="48">
                  <c:v>-3960</c:v>
                </c:pt>
                <c:pt idx="49">
                  <c:v>-3960</c:v>
                </c:pt>
                <c:pt idx="50">
                  <c:v>-3960</c:v>
                </c:pt>
              </c:numCache>
            </c:numRef>
          </c:val>
          <c:extLst>
            <c:ext xmlns:c16="http://schemas.microsoft.com/office/drawing/2014/chart" uri="{C3380CC4-5D6E-409C-BE32-E72D297353CC}">
              <c16:uniqueId val="{00000006-0022-4C7C-81A1-C1809E2D5EFD}"/>
            </c:ext>
          </c:extLst>
        </c:ser>
        <c:ser>
          <c:idx val="7"/>
          <c:order val="3"/>
          <c:tx>
            <c:strRef>
              <c:f>'base scenario'!$AS$1</c:f>
              <c:strCache>
                <c:ptCount val="1"/>
                <c:pt idx="0">
                  <c:v>Mortgage principal payment share</c:v>
                </c:pt>
              </c:strCache>
            </c:strRef>
          </c:tx>
          <c:spPr>
            <a:solidFill>
              <a:schemeClr val="accent3">
                <a:lumMod val="75000"/>
              </a:schemeClr>
            </a:solidFill>
            <a:ln w="25400">
              <a:noFill/>
            </a:ln>
            <a:effectLst>
              <a:outerShdw blurRad="57150" dist="19050" dir="5400000" algn="ctr" rotWithShape="0">
                <a:srgbClr val="000000">
                  <a:alpha val="63000"/>
                </a:srgbClr>
              </a:outerShdw>
            </a:effectLst>
          </c:spPr>
          <c:val>
            <c:numRef>
              <c:f>'base scenario'!$AS$2:$AS$52</c:f>
              <c:numCache>
                <c:formatCode>[$EUR]\ #,##0</c:formatCode>
                <c:ptCount val="51"/>
                <c:pt idx="0">
                  <c:v>-13876.660000000003</c:v>
                </c:pt>
                <c:pt idx="1">
                  <c:v>-14390.096420000005</c:v>
                </c:pt>
                <c:pt idx="2">
                  <c:v>-14922.529987540005</c:v>
                </c:pt>
                <c:pt idx="3">
                  <c:v>-15474.663597078983</c:v>
                </c:pt>
                <c:pt idx="4">
                  <c:v>-16047.226150170907</c:v>
                </c:pt>
                <c:pt idx="5">
                  <c:v>-16640.973517727231</c:v>
                </c:pt>
                <c:pt idx="6">
                  <c:v>-17256.689537883136</c:v>
                </c:pt>
                <c:pt idx="7">
                  <c:v>-17895.187050784814</c:v>
                </c:pt>
                <c:pt idx="8">
                  <c:v>-18557.30897166385</c:v>
                </c:pt>
                <c:pt idx="9">
                  <c:v>-19243.929403615413</c:v>
                </c:pt>
                <c:pt idx="10">
                  <c:v>-19955.954791549182</c:v>
                </c:pt>
                <c:pt idx="11">
                  <c:v>-20694.325118836503</c:v>
                </c:pt>
                <c:pt idx="12">
                  <c:v>-21460.015148233451</c:v>
                </c:pt>
                <c:pt idx="13">
                  <c:v>-22254.035708718089</c:v>
                </c:pt>
                <c:pt idx="14">
                  <c:v>-23077.435029940661</c:v>
                </c:pt>
                <c:pt idx="15">
                  <c:v>-23931.300126048467</c:v>
                </c:pt>
                <c:pt idx="16">
                  <c:v>-24816.758230712258</c:v>
                </c:pt>
                <c:pt idx="17">
                  <c:v>-25734.97828524861</c:v>
                </c:pt>
                <c:pt idx="18">
                  <c:v>-26687.172481802809</c:v>
                </c:pt>
                <c:pt idx="19">
                  <c:v>-27674.597863629515</c:v>
                </c:pt>
                <c:pt idx="20">
                  <c:v>-28698.557984583807</c:v>
                </c:pt>
                <c:pt idx="21">
                  <c:v>-29760.404630013407</c:v>
                </c:pt>
                <c:pt idx="22">
                  <c:v>-30861.539601323904</c:v>
                </c:pt>
                <c:pt idx="23">
                  <c:v>-32003.416566572887</c:v>
                </c:pt>
                <c:pt idx="24">
                  <c:v>-33187.542979536083</c:v>
                </c:pt>
                <c:pt idx="25">
                  <c:v>-34415.482069778918</c:v>
                </c:pt>
                <c:pt idx="26">
                  <c:v>-35688.854906360742</c:v>
                </c:pt>
                <c:pt idx="27">
                  <c:v>-37009.342537896089</c:v>
                </c:pt>
                <c:pt idx="28">
                  <c:v>-31616.021302750396</c:v>
                </c:pt>
                <c:pt idx="29">
                  <c:v>-3.6379788070917125E-12</c:v>
                </c:pt>
                <c:pt idx="30">
                  <c:v>-4.0389678347315804E-28</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0-12A4-4B98-BC7A-37841EF3F4E2}"/>
            </c:ext>
          </c:extLst>
        </c:ser>
        <c:ser>
          <c:idx val="1"/>
          <c:order val="4"/>
          <c:tx>
            <c:strRef>
              <c:f>'base scenario'!$AV$1</c:f>
              <c:strCache>
                <c:ptCount val="1"/>
                <c:pt idx="0">
                  <c:v>Mortgage interest payment share</c:v>
                </c:pt>
              </c:strCache>
            </c:strRef>
          </c:tx>
          <c:spPr>
            <a:solidFill>
              <a:schemeClr val="accent3">
                <a:lumMod val="60000"/>
                <a:lumOff val="40000"/>
              </a:schemeClr>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scenario'!$AV$2:$AV$52</c:f>
              <c:numCache>
                <c:formatCode>[$EUR]\ #,##0</c:formatCode>
                <c:ptCount val="51"/>
                <c:pt idx="0">
                  <c:v>-25671.821000000004</c:v>
                </c:pt>
                <c:pt idx="1">
                  <c:v>-25158.384580000002</c:v>
                </c:pt>
                <c:pt idx="2">
                  <c:v>-24625.951012460002</c:v>
                </c:pt>
                <c:pt idx="3">
                  <c:v>-24073.817402921024</c:v>
                </c:pt>
                <c:pt idx="4">
                  <c:v>-23501.2548498291</c:v>
                </c:pt>
                <c:pt idx="5">
                  <c:v>-22907.507482272777</c:v>
                </c:pt>
                <c:pt idx="6">
                  <c:v>-22291.791462116871</c:v>
                </c:pt>
                <c:pt idx="7">
                  <c:v>-21653.293949215193</c:v>
                </c:pt>
                <c:pt idx="8">
                  <c:v>-20991.172028336157</c:v>
                </c:pt>
                <c:pt idx="9">
                  <c:v>-20304.551596384594</c:v>
                </c:pt>
                <c:pt idx="10">
                  <c:v>-19592.526208450825</c:v>
                </c:pt>
                <c:pt idx="11">
                  <c:v>-18854.155881163504</c:v>
                </c:pt>
                <c:pt idx="12">
                  <c:v>-18088.465851766556</c:v>
                </c:pt>
                <c:pt idx="13">
                  <c:v>-17294.445291281918</c:v>
                </c:pt>
                <c:pt idx="14">
                  <c:v>-16471.045970059346</c:v>
                </c:pt>
                <c:pt idx="15">
                  <c:v>-15617.180873951542</c:v>
                </c:pt>
                <c:pt idx="16">
                  <c:v>-14731.72276928775</c:v>
                </c:pt>
                <c:pt idx="17">
                  <c:v>-13813.502714751396</c:v>
                </c:pt>
                <c:pt idx="18">
                  <c:v>-12861.308518197196</c:v>
                </c:pt>
                <c:pt idx="19">
                  <c:v>-11873.883136370492</c:v>
                </c:pt>
                <c:pt idx="20">
                  <c:v>-10849.9230154162</c:v>
                </c:pt>
                <c:pt idx="21">
                  <c:v>-9788.0763699865984</c:v>
                </c:pt>
                <c:pt idx="22">
                  <c:v>-8686.9413986761028</c:v>
                </c:pt>
                <c:pt idx="23">
                  <c:v>-7545.0644334271192</c:v>
                </c:pt>
                <c:pt idx="24">
                  <c:v>-6360.9380204639219</c:v>
                </c:pt>
                <c:pt idx="25">
                  <c:v>-5132.998930221087</c:v>
                </c:pt>
                <c:pt idx="26">
                  <c:v>-3859.6260936392673</c:v>
                </c:pt>
                <c:pt idx="27">
                  <c:v>-2539.1384621039201</c:v>
                </c:pt>
                <c:pt idx="28">
                  <c:v>-1169.7927882017648</c:v>
                </c:pt>
                <c:pt idx="29">
                  <c:v>-1.3460521586239337E-13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0-0022-4C7C-81A1-C1809E2D5EFD}"/>
            </c:ext>
          </c:extLst>
        </c:ser>
        <c:ser>
          <c:idx val="3"/>
          <c:order val="5"/>
          <c:tx>
            <c:strRef>
              <c:f>'base scenario'!$BB$1</c:f>
              <c:strCache>
                <c:ptCount val="1"/>
                <c:pt idx="0">
                  <c:v>Payback for family/friends loan plus interest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scenario'!$BB$2:$BB$52</c:f>
              <c:numCache>
                <c:formatCode>[$EUR]\ #,##0</c:formatCode>
                <c:ptCount val="51"/>
                <c:pt idx="0">
                  <c:v>-6072.8287787074187</c:v>
                </c:pt>
                <c:pt idx="1">
                  <c:v>-6072.8287787074187</c:v>
                </c:pt>
                <c:pt idx="2">
                  <c:v>-6072.8287787074187</c:v>
                </c:pt>
                <c:pt idx="3">
                  <c:v>-6072.8287787074187</c:v>
                </c:pt>
                <c:pt idx="4">
                  <c:v>-6072.8287787074187</c:v>
                </c:pt>
                <c:pt idx="5">
                  <c:v>-6072.8287787074187</c:v>
                </c:pt>
                <c:pt idx="6">
                  <c:v>-6072.8287787074187</c:v>
                </c:pt>
                <c:pt idx="7">
                  <c:v>-6072.8287787074187</c:v>
                </c:pt>
                <c:pt idx="8">
                  <c:v>-6072.8287787074187</c:v>
                </c:pt>
                <c:pt idx="9">
                  <c:v>-6072.8287787074187</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2-0022-4C7C-81A1-C1809E2D5EFD}"/>
            </c:ext>
          </c:extLst>
        </c:ser>
        <c:ser>
          <c:idx val="5"/>
          <c:order val="6"/>
          <c:tx>
            <c:strRef>
              <c:f>'base scenario'!$BE$1</c:f>
              <c:strCache>
                <c:ptCount val="1"/>
                <c:pt idx="0">
                  <c:v>Property taxes</c:v>
                </c:pt>
              </c:strCache>
            </c:strRef>
          </c:tx>
          <c:spPr>
            <a:solidFill>
              <a:srgbClr val="FFFF00"/>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scenario'!$BE$2:$BE$52</c:f>
              <c:numCache>
                <c:formatCode>[$EUR]\ #,##0</c:formatCode>
                <c:ptCount val="51"/>
                <c:pt idx="0">
                  <c:v>-2070</c:v>
                </c:pt>
                <c:pt idx="1">
                  <c:v>-2130.8823529411766</c:v>
                </c:pt>
                <c:pt idx="2">
                  <c:v>-2193.5553633218001</c:v>
                </c:pt>
                <c:pt idx="3">
                  <c:v>-2258.071697537147</c:v>
                </c:pt>
                <c:pt idx="4">
                  <c:v>-2324.4855709941226</c:v>
                </c:pt>
                <c:pt idx="5">
                  <c:v>-2392.8527936704204</c:v>
                </c:pt>
                <c:pt idx="6">
                  <c:v>-2463.2308170136685</c:v>
                </c:pt>
                <c:pt idx="7">
                  <c:v>-2535.6787822199531</c:v>
                </c:pt>
                <c:pt idx="8">
                  <c:v>-2610.2575699323052</c:v>
                </c:pt>
                <c:pt idx="9">
                  <c:v>-2687.0298514009028</c:v>
                </c:pt>
                <c:pt idx="10">
                  <c:v>-2766.0601411479884</c:v>
                </c:pt>
                <c:pt idx="11">
                  <c:v>-2847.414851181753</c:v>
                </c:pt>
                <c:pt idx="12">
                  <c:v>-2931.162346804746</c:v>
                </c:pt>
                <c:pt idx="13">
                  <c:v>-3017.3730040637097</c:v>
                </c:pt>
                <c:pt idx="14">
                  <c:v>-3106.1192688891133</c:v>
                </c:pt>
                <c:pt idx="15">
                  <c:v>-3197.4757179740877</c:v>
                </c:pt>
                <c:pt idx="16">
                  <c:v>-3291.5191214439142</c:v>
                </c:pt>
                <c:pt idx="17">
                  <c:v>-3388.3285073687357</c:v>
                </c:pt>
                <c:pt idx="18">
                  <c:v>-3487.9852281736989</c:v>
                </c:pt>
                <c:pt idx="19">
                  <c:v>-3590.5730290023375</c:v>
                </c:pt>
                <c:pt idx="20">
                  <c:v>-3696.1781180906414</c:v>
                </c:pt>
                <c:pt idx="21">
                  <c:v>-3804.8892392109551</c:v>
                </c:pt>
                <c:pt idx="22">
                  <c:v>-3916.7977462465719</c:v>
                </c:pt>
                <c:pt idx="23">
                  <c:v>-4031.9976799597066</c:v>
                </c:pt>
                <c:pt idx="24">
                  <c:v>-4150.5858470173453</c:v>
                </c:pt>
                <c:pt idx="25">
                  <c:v>-4272.6619013413856</c:v>
                </c:pt>
                <c:pt idx="26">
                  <c:v>-4398.3284278514266</c:v>
                </c:pt>
                <c:pt idx="27">
                  <c:v>-4527.691028670587</c:v>
                </c:pt>
                <c:pt idx="28">
                  <c:v>-4660.8584118667814</c:v>
                </c:pt>
                <c:pt idx="29">
                  <c:v>-4797.9424828040401</c:v>
                </c:pt>
                <c:pt idx="30">
                  <c:v>-4939.0584381806293</c:v>
                </c:pt>
                <c:pt idx="31">
                  <c:v>-5084.324862833002</c:v>
                </c:pt>
                <c:pt idx="32">
                  <c:v>-5233.8638293869144</c:v>
                </c:pt>
                <c:pt idx="33">
                  <c:v>-5387.8010008394713</c:v>
                </c:pt>
                <c:pt idx="34">
                  <c:v>-5546.2657361582797</c:v>
                </c:pt>
                <c:pt idx="35">
                  <c:v>-5709.3911989864646</c:v>
                </c:pt>
                <c:pt idx="36">
                  <c:v>-5877.3144695448909</c:v>
                </c:pt>
                <c:pt idx="37">
                  <c:v>-6050.1766598256245</c:v>
                </c:pt>
                <c:pt idx="38">
                  <c:v>-6228.1230321734374</c:v>
                </c:pt>
                <c:pt idx="39">
                  <c:v>-6411.3031213550103</c:v>
                </c:pt>
                <c:pt idx="40">
                  <c:v>-6599.8708602183942</c:v>
                </c:pt>
                <c:pt idx="41">
                  <c:v>-6793.9847090483481</c:v>
                </c:pt>
                <c:pt idx="42">
                  <c:v>-6993.8077887262407</c:v>
                </c:pt>
                <c:pt idx="43">
                  <c:v>-7199.5080178064254</c:v>
                </c:pt>
                <c:pt idx="44">
                  <c:v>-7411.2582536242635</c:v>
                </c:pt>
                <c:pt idx="45">
                  <c:v>-7629.2364375543902</c:v>
                </c:pt>
                <c:pt idx="46">
                  <c:v>-7853.6257445412857</c:v>
                </c:pt>
                <c:pt idx="47">
                  <c:v>-8084.6147370277959</c:v>
                </c:pt>
                <c:pt idx="48">
                  <c:v>-8322.3975234109676</c:v>
                </c:pt>
                <c:pt idx="49">
                  <c:v>-8567.1739211583499</c:v>
                </c:pt>
                <c:pt idx="50">
                  <c:v>-8819.1496247218329</c:v>
                </c:pt>
              </c:numCache>
            </c:numRef>
          </c:val>
          <c:extLst xmlns:c15="http://schemas.microsoft.com/office/drawing/2012/chart">
            <c:ext xmlns:c16="http://schemas.microsoft.com/office/drawing/2014/chart" uri="{C3380CC4-5D6E-409C-BE32-E72D297353CC}">
              <c16:uniqueId val="{00000004-0022-4C7C-81A1-C1809E2D5EFD}"/>
            </c:ext>
          </c:extLst>
        </c:ser>
        <c:ser>
          <c:idx val="4"/>
          <c:order val="7"/>
          <c:tx>
            <c:strRef>
              <c:f>'base scenario'!$BG$1</c:f>
              <c:strCache>
                <c:ptCount val="1"/>
                <c:pt idx="0">
                  <c:v>Maintanence cost</c:v>
                </c:pt>
              </c:strCache>
            </c:strRef>
          </c:tx>
          <c:spPr>
            <a:solidFill>
              <a:schemeClr val="accent5"/>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scenario'!$BG$2:$BG$52</c:f>
              <c:numCache>
                <c:formatCode>[$EUR]\ #,##0</c:formatCode>
                <c:ptCount val="51"/>
                <c:pt idx="0">
                  <c:v>-5175</c:v>
                </c:pt>
                <c:pt idx="1">
                  <c:v>-5327.2058823529414</c:v>
                </c:pt>
                <c:pt idx="2">
                  <c:v>-5483.8884083044995</c:v>
                </c:pt>
                <c:pt idx="3">
                  <c:v>-5645.1792438428674</c:v>
                </c:pt>
                <c:pt idx="4">
                  <c:v>-5811.2139274853052</c:v>
                </c:pt>
                <c:pt idx="5">
                  <c:v>-5982.1319841760505</c:v>
                </c:pt>
                <c:pt idx="6">
                  <c:v>-6158.0770425341707</c:v>
                </c:pt>
                <c:pt idx="7">
                  <c:v>-6339.1969555498827</c:v>
                </c:pt>
                <c:pt idx="8">
                  <c:v>-6525.6439248307624</c:v>
                </c:pt>
                <c:pt idx="9">
                  <c:v>-6717.574628502256</c:v>
                </c:pt>
                <c:pt idx="10">
                  <c:v>-6915.1503528699704</c:v>
                </c:pt>
                <c:pt idx="11">
                  <c:v>-7118.5371279543824</c:v>
                </c:pt>
                <c:pt idx="12">
                  <c:v>-7327.9058670118648</c:v>
                </c:pt>
                <c:pt idx="13">
                  <c:v>-7543.4325101592731</c:v>
                </c:pt>
                <c:pt idx="14">
                  <c:v>-7765.2981722227823</c:v>
                </c:pt>
                <c:pt idx="15">
                  <c:v>-7993.6892949352186</c:v>
                </c:pt>
                <c:pt idx="16">
                  <c:v>-8228.7978036097848</c:v>
                </c:pt>
                <c:pt idx="17">
                  <c:v>-8470.8212684218379</c:v>
                </c:pt>
                <c:pt idx="18">
                  <c:v>-8719.9630704342471</c:v>
                </c:pt>
                <c:pt idx="19">
                  <c:v>-8976.4325725058425</c:v>
                </c:pt>
                <c:pt idx="20">
                  <c:v>-9240.4452952266038</c:v>
                </c:pt>
                <c:pt idx="21">
                  <c:v>-9512.2230980273871</c:v>
                </c:pt>
                <c:pt idx="22">
                  <c:v>-9791.9943656164287</c:v>
                </c:pt>
                <c:pt idx="23">
                  <c:v>-10079.994199899265</c:v>
                </c:pt>
                <c:pt idx="24">
                  <c:v>-10376.464617543363</c:v>
                </c:pt>
                <c:pt idx="25">
                  <c:v>-10681.654753353463</c:v>
                </c:pt>
                <c:pt idx="26">
                  <c:v>-10995.821069628566</c:v>
                </c:pt>
                <c:pt idx="27">
                  <c:v>-11319.227571676467</c:v>
                </c:pt>
                <c:pt idx="28">
                  <c:v>-11652.146029666952</c:v>
                </c:pt>
                <c:pt idx="29">
                  <c:v>-11994.8562070101</c:v>
                </c:pt>
                <c:pt idx="30">
                  <c:v>-12347.646095451573</c:v>
                </c:pt>
                <c:pt idx="31">
                  <c:v>-12710.812157082504</c:v>
                </c:pt>
                <c:pt idx="32">
                  <c:v>-13084.659573467285</c:v>
                </c:pt>
                <c:pt idx="33">
                  <c:v>-13469.502502098676</c:v>
                </c:pt>
                <c:pt idx="34">
                  <c:v>-13865.664340395699</c:v>
                </c:pt>
                <c:pt idx="35">
                  <c:v>-14273.477997466161</c:v>
                </c:pt>
                <c:pt idx="36">
                  <c:v>-14693.286173862227</c:v>
                </c:pt>
                <c:pt idx="37">
                  <c:v>-15125.44164956406</c:v>
                </c:pt>
                <c:pt idx="38">
                  <c:v>-15570.307580433593</c:v>
                </c:pt>
                <c:pt idx="39">
                  <c:v>-16028.257803387525</c:v>
                </c:pt>
                <c:pt idx="40">
                  <c:v>-16499.677150545984</c:v>
                </c:pt>
                <c:pt idx="41">
                  <c:v>-16984.961772620867</c:v>
                </c:pt>
                <c:pt idx="42">
                  <c:v>-17484.519471815602</c:v>
                </c:pt>
                <c:pt idx="43">
                  <c:v>-17998.770044516063</c:v>
                </c:pt>
                <c:pt idx="44">
                  <c:v>-18528.145634060656</c:v>
                </c:pt>
                <c:pt idx="45">
                  <c:v>-19073.091093885974</c:v>
                </c:pt>
                <c:pt idx="46">
                  <c:v>-19634.064361353212</c:v>
                </c:pt>
                <c:pt idx="47">
                  <c:v>-20211.536842569487</c:v>
                </c:pt>
                <c:pt idx="48">
                  <c:v>-20805.993808527415</c:v>
                </c:pt>
                <c:pt idx="49">
                  <c:v>-21417.934802895874</c:v>
                </c:pt>
                <c:pt idx="50">
                  <c:v>-22047.874061804578</c:v>
                </c:pt>
              </c:numCache>
            </c:numRef>
          </c:val>
          <c:extLst xmlns:c15="http://schemas.microsoft.com/office/drawing/2012/chart">
            <c:ext xmlns:c16="http://schemas.microsoft.com/office/drawing/2014/chart" uri="{C3380CC4-5D6E-409C-BE32-E72D297353CC}">
              <c16:uniqueId val="{00000003-0022-4C7C-81A1-C1809E2D5EFD}"/>
            </c:ext>
          </c:extLst>
        </c:ser>
        <c:dLbls>
          <c:showLegendKey val="0"/>
          <c:showVal val="0"/>
          <c:showCatName val="0"/>
          <c:showSerName val="0"/>
          <c:showPercent val="0"/>
          <c:showBubbleSize val="0"/>
        </c:dLbls>
        <c:axId val="448967520"/>
        <c:axId val="448977120"/>
        <c:extLst/>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axMin"/>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Costs description </a:t>
            </a:r>
            <a:r>
              <a:rPr lang="de-DE" baseline="0"/>
              <a:t>when </a:t>
            </a:r>
            <a:r>
              <a:rPr lang="de-DE" baseline="0">
                <a:solidFill>
                  <a:schemeClr val="accent2">
                    <a:lumMod val="60000"/>
                    <a:lumOff val="40000"/>
                  </a:schemeClr>
                </a:solidFill>
              </a:rPr>
              <a:t>renting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2"/>
          <c:order val="0"/>
          <c:tx>
            <c:strRef>
              <c:f>'base scenario'!$P$1</c:f>
              <c:strCache>
                <c:ptCount val="1"/>
                <c:pt idx="0">
                  <c:v>Living costs family</c:v>
                </c:pt>
              </c:strCache>
            </c:strRef>
          </c:tx>
          <c:spPr>
            <a:solidFill>
              <a:schemeClr val="bg1"/>
            </a:solidFill>
            <a:ln w="25400">
              <a:noFill/>
            </a:ln>
            <a:effectLst>
              <a:outerShdw blurRad="57150" dist="19050" dir="5400000" algn="ctr" rotWithShape="0">
                <a:srgbClr val="000000">
                  <a:alpha val="63000"/>
                </a:srgbClr>
              </a:outerShdw>
            </a:effectLst>
          </c:spPr>
          <c:val>
            <c:numRef>
              <c:f>'base scenario'!$P$2:$P$52</c:f>
              <c:numCache>
                <c:formatCode>[$EUR]\ #,##0</c:formatCode>
                <c:ptCount val="51"/>
                <c:pt idx="0">
                  <c:v>-1050</c:v>
                </c:pt>
                <c:pt idx="1">
                  <c:v>-1050</c:v>
                </c:pt>
                <c:pt idx="2">
                  <c:v>-2100</c:v>
                </c:pt>
                <c:pt idx="3">
                  <c:v>-2100</c:v>
                </c:pt>
                <c:pt idx="4">
                  <c:v>-3650</c:v>
                </c:pt>
                <c:pt idx="5">
                  <c:v>-3650</c:v>
                </c:pt>
                <c:pt idx="6">
                  <c:v>-5200</c:v>
                </c:pt>
                <c:pt idx="7">
                  <c:v>-5200</c:v>
                </c:pt>
                <c:pt idx="8">
                  <c:v>-5200</c:v>
                </c:pt>
                <c:pt idx="9">
                  <c:v>-5200</c:v>
                </c:pt>
                <c:pt idx="10">
                  <c:v>-5200</c:v>
                </c:pt>
                <c:pt idx="11">
                  <c:v>-7075</c:v>
                </c:pt>
                <c:pt idx="12">
                  <c:v>-7075</c:v>
                </c:pt>
                <c:pt idx="13">
                  <c:v>-8950</c:v>
                </c:pt>
                <c:pt idx="14">
                  <c:v>-8950</c:v>
                </c:pt>
                <c:pt idx="15">
                  <c:v>-8950</c:v>
                </c:pt>
                <c:pt idx="16">
                  <c:v>-8950</c:v>
                </c:pt>
                <c:pt idx="17">
                  <c:v>-8950</c:v>
                </c:pt>
                <c:pt idx="18">
                  <c:v>-8950</c:v>
                </c:pt>
                <c:pt idx="19">
                  <c:v>-11075</c:v>
                </c:pt>
                <c:pt idx="20">
                  <c:v>-11075</c:v>
                </c:pt>
                <c:pt idx="21">
                  <c:v>-13200</c:v>
                </c:pt>
                <c:pt idx="22">
                  <c:v>-13200</c:v>
                </c:pt>
                <c:pt idx="23">
                  <c:v>-13200</c:v>
                </c:pt>
                <c:pt idx="24">
                  <c:v>-13200</c:v>
                </c:pt>
                <c:pt idx="25">
                  <c:v>-13200</c:v>
                </c:pt>
                <c:pt idx="26">
                  <c:v>-6600</c:v>
                </c:pt>
                <c:pt idx="27">
                  <c:v>-6600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2E-7CD6-4407-A84D-EC0D784BF7EA}"/>
            </c:ext>
          </c:extLst>
        </c:ser>
        <c:ser>
          <c:idx val="1"/>
          <c:order val="1"/>
          <c:tx>
            <c:strRef>
              <c:f>'base scenario'!$X$1</c:f>
              <c:strCache>
                <c:ptCount val="1"/>
                <c:pt idx="0">
                  <c:v>Rent</c:v>
                </c:pt>
              </c:strCache>
            </c:strRef>
          </c:tx>
          <c:spPr>
            <a:solidFill>
              <a:schemeClr val="accent2"/>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scenario'!$X$2:$X$52</c:f>
              <c:numCache>
                <c:formatCode>[$EUR]\ #,##0</c:formatCode>
                <c:ptCount val="51"/>
                <c:pt idx="0">
                  <c:v>-15840</c:v>
                </c:pt>
                <c:pt idx="1">
                  <c:v>-16305.882352941178</c:v>
                </c:pt>
                <c:pt idx="2">
                  <c:v>-16785.467128027685</c:v>
                </c:pt>
                <c:pt idx="3">
                  <c:v>-17279.157337675559</c:v>
                </c:pt>
                <c:pt idx="4">
                  <c:v>-17787.367847607195</c:v>
                </c:pt>
                <c:pt idx="5">
                  <c:v>-18310.525725477997</c:v>
                </c:pt>
                <c:pt idx="6">
                  <c:v>-18849.070599756764</c:v>
                </c:pt>
                <c:pt idx="7">
                  <c:v>-19403.455029161378</c:v>
                </c:pt>
                <c:pt idx="8">
                  <c:v>-19974.144882960245</c:v>
                </c:pt>
                <c:pt idx="9">
                  <c:v>-20561.619732459079</c:v>
                </c:pt>
                <c:pt idx="10">
                  <c:v>-21166.373254001996</c:v>
                </c:pt>
                <c:pt idx="11">
                  <c:v>-21788.913643825585</c:v>
                </c:pt>
                <c:pt idx="12">
                  <c:v>-22429.764045114574</c:v>
                </c:pt>
                <c:pt idx="13">
                  <c:v>-23089.462987617946</c:v>
                </c:pt>
                <c:pt idx="14">
                  <c:v>-23768.564840194947</c:v>
                </c:pt>
                <c:pt idx="15">
                  <c:v>-24467.640276671271</c:v>
                </c:pt>
                <c:pt idx="16">
                  <c:v>-25187.276755396899</c:v>
                </c:pt>
                <c:pt idx="17">
                  <c:v>-25928.079012908576</c:v>
                </c:pt>
                <c:pt idx="18">
                  <c:v>-26690.669572111772</c:v>
                </c:pt>
                <c:pt idx="19">
                  <c:v>-27475.689265409179</c:v>
                </c:pt>
                <c:pt idx="20">
                  <c:v>-28283.797773215334</c:v>
                </c:pt>
                <c:pt idx="21">
                  <c:v>-29115.674178309906</c:v>
                </c:pt>
                <c:pt idx="22">
                  <c:v>-29972.017536495496</c:v>
                </c:pt>
                <c:pt idx="23">
                  <c:v>-30853.547464039486</c:v>
                </c:pt>
                <c:pt idx="24">
                  <c:v>-31761.00474239359</c:v>
                </c:pt>
                <c:pt idx="25">
                  <c:v>-32695.151940699288</c:v>
                </c:pt>
                <c:pt idx="26">
                  <c:v>-33656.774056602211</c:v>
                </c:pt>
                <c:pt idx="27">
                  <c:v>-34646.679175914047</c:v>
                </c:pt>
                <c:pt idx="28">
                  <c:v>-35665.699151676228</c:v>
                </c:pt>
                <c:pt idx="29">
                  <c:v>-36714.690303196119</c:v>
                </c:pt>
                <c:pt idx="30">
                  <c:v>-37794.534135643065</c:v>
                </c:pt>
                <c:pt idx="31">
                  <c:v>-38906.13808080904</c:v>
                </c:pt>
                <c:pt idx="32">
                  <c:v>-40050.436259656366</c:v>
                </c:pt>
                <c:pt idx="33">
                  <c:v>-41228.390267293325</c:v>
                </c:pt>
                <c:pt idx="34">
                  <c:v>-42440.989981037252</c:v>
                </c:pt>
                <c:pt idx="35">
                  <c:v>-43689.254392244235</c:v>
                </c:pt>
                <c:pt idx="36">
                  <c:v>-44974.232462604363</c:v>
                </c:pt>
                <c:pt idx="37">
                  <c:v>-46297.004005622141</c:v>
                </c:pt>
                <c:pt idx="38">
                  <c:v>-47658.680594022801</c:v>
                </c:pt>
                <c:pt idx="39">
                  <c:v>-49060.406493847004</c:v>
                </c:pt>
                <c:pt idx="40">
                  <c:v>-50503.359626018981</c:v>
                </c:pt>
                <c:pt idx="41">
                  <c:v>-51988.752556196014</c:v>
                </c:pt>
                <c:pt idx="42">
                  <c:v>-53517.833513731195</c:v>
                </c:pt>
                <c:pt idx="43">
                  <c:v>-55091.887440605649</c:v>
                </c:pt>
                <c:pt idx="44">
                  <c:v>-56712.237071211704</c:v>
                </c:pt>
                <c:pt idx="45">
                  <c:v>-58380.24404389441</c:v>
                </c:pt>
                <c:pt idx="46">
                  <c:v>-60097.310045185426</c:v>
                </c:pt>
                <c:pt idx="47">
                  <c:v>-61864.877987690888</c:v>
                </c:pt>
                <c:pt idx="48">
                  <c:v>-63684.433222622982</c:v>
                </c:pt>
                <c:pt idx="49">
                  <c:v>-65557.504787994258</c:v>
                </c:pt>
                <c:pt idx="50">
                  <c:v>-67485.666693523512</c:v>
                </c:pt>
              </c:numCache>
            </c:numRef>
          </c:val>
          <c:extLst>
            <c:ext xmlns:c16="http://schemas.microsoft.com/office/drawing/2014/chart" uri="{C3380CC4-5D6E-409C-BE32-E72D297353CC}">
              <c16:uniqueId val="{00000000-02F1-4861-AD24-5E04FE1EF123}"/>
            </c:ext>
          </c:extLst>
        </c:ser>
        <c:ser>
          <c:idx val="0"/>
          <c:order val="2"/>
          <c:tx>
            <c:strRef>
              <c:f>'base scenario'!$N$1</c:f>
              <c:strCache>
                <c:ptCount val="1"/>
                <c:pt idx="0">
                  <c:v>Living costs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scenario'!$N$2:$N$52</c:f>
              <c:numCache>
                <c:formatCode>[$EUR]\ #,##0</c:formatCode>
                <c:ptCount val="51"/>
                <c:pt idx="0">
                  <c:v>-25050</c:v>
                </c:pt>
                <c:pt idx="1">
                  <c:v>-49050</c:v>
                </c:pt>
                <c:pt idx="2">
                  <c:v>-26100</c:v>
                </c:pt>
                <c:pt idx="3">
                  <c:v>-50100</c:v>
                </c:pt>
                <c:pt idx="4">
                  <c:v>-51650</c:v>
                </c:pt>
                <c:pt idx="5">
                  <c:v>-51650</c:v>
                </c:pt>
                <c:pt idx="6">
                  <c:v>-53200</c:v>
                </c:pt>
                <c:pt idx="7">
                  <c:v>-53200</c:v>
                </c:pt>
                <c:pt idx="8">
                  <c:v>-53200</c:v>
                </c:pt>
                <c:pt idx="9">
                  <c:v>-53200</c:v>
                </c:pt>
                <c:pt idx="10">
                  <c:v>-53200</c:v>
                </c:pt>
                <c:pt idx="11">
                  <c:v>-55075</c:v>
                </c:pt>
                <c:pt idx="12">
                  <c:v>-55075</c:v>
                </c:pt>
                <c:pt idx="13">
                  <c:v>-56950</c:v>
                </c:pt>
                <c:pt idx="14">
                  <c:v>-56950</c:v>
                </c:pt>
                <c:pt idx="15">
                  <c:v>-56950</c:v>
                </c:pt>
                <c:pt idx="16">
                  <c:v>-56950</c:v>
                </c:pt>
                <c:pt idx="17">
                  <c:v>-56950</c:v>
                </c:pt>
                <c:pt idx="18">
                  <c:v>-56950</c:v>
                </c:pt>
                <c:pt idx="19">
                  <c:v>-59075</c:v>
                </c:pt>
                <c:pt idx="20">
                  <c:v>-59075</c:v>
                </c:pt>
                <c:pt idx="21">
                  <c:v>-61200</c:v>
                </c:pt>
                <c:pt idx="22">
                  <c:v>-61200</c:v>
                </c:pt>
                <c:pt idx="23">
                  <c:v>-61200</c:v>
                </c:pt>
                <c:pt idx="24">
                  <c:v>-61200</c:v>
                </c:pt>
                <c:pt idx="25">
                  <c:v>-61200</c:v>
                </c:pt>
                <c:pt idx="26">
                  <c:v>-54600</c:v>
                </c:pt>
                <c:pt idx="27">
                  <c:v>-54600</c:v>
                </c:pt>
                <c:pt idx="28">
                  <c:v>-48000</c:v>
                </c:pt>
                <c:pt idx="29">
                  <c:v>-48000</c:v>
                </c:pt>
                <c:pt idx="30">
                  <c:v>-48000</c:v>
                </c:pt>
                <c:pt idx="31">
                  <c:v>-48000</c:v>
                </c:pt>
                <c:pt idx="32">
                  <c:v>-48000</c:v>
                </c:pt>
                <c:pt idx="33">
                  <c:v>-48000</c:v>
                </c:pt>
                <c:pt idx="34">
                  <c:v>-48000</c:v>
                </c:pt>
                <c:pt idx="35">
                  <c:v>-48000</c:v>
                </c:pt>
                <c:pt idx="36">
                  <c:v>-48000</c:v>
                </c:pt>
                <c:pt idx="37">
                  <c:v>-48000</c:v>
                </c:pt>
                <c:pt idx="38">
                  <c:v>-48000</c:v>
                </c:pt>
                <c:pt idx="39">
                  <c:v>-48000</c:v>
                </c:pt>
                <c:pt idx="40">
                  <c:v>-48000</c:v>
                </c:pt>
                <c:pt idx="41">
                  <c:v>-48000</c:v>
                </c:pt>
                <c:pt idx="42">
                  <c:v>-48000</c:v>
                </c:pt>
                <c:pt idx="43">
                  <c:v>-48000</c:v>
                </c:pt>
                <c:pt idx="44">
                  <c:v>-48000</c:v>
                </c:pt>
                <c:pt idx="45">
                  <c:v>-48000</c:v>
                </c:pt>
                <c:pt idx="46">
                  <c:v>-48000</c:v>
                </c:pt>
                <c:pt idx="47">
                  <c:v>-48000</c:v>
                </c:pt>
                <c:pt idx="48">
                  <c:v>-48000</c:v>
                </c:pt>
                <c:pt idx="49">
                  <c:v>-48000</c:v>
                </c:pt>
                <c:pt idx="50">
                  <c:v>-48000</c:v>
                </c:pt>
              </c:numCache>
            </c:numRef>
          </c:val>
          <c:extLst>
            <c:ext xmlns:c16="http://schemas.microsoft.com/office/drawing/2014/chart" uri="{C3380CC4-5D6E-409C-BE32-E72D297353CC}">
              <c16:uniqueId val="{00000005-02F1-4861-AD24-5E04FE1EF123}"/>
            </c:ext>
          </c:extLst>
        </c:ser>
        <c:ser>
          <c:idx val="6"/>
          <c:order val="3"/>
          <c:tx>
            <c:strRef>
              <c:f>'base scenario'!$Z$1</c:f>
              <c:strCache>
                <c:ptCount val="1"/>
                <c:pt idx="0">
                  <c:v>Fixed housing costs (Nebenkosten)</c:v>
                </c:pt>
              </c:strCache>
            </c:strRef>
          </c:tx>
          <c:spPr>
            <a:solidFill>
              <a:schemeClr val="tx2"/>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scenario'!$Z$2:$Z$52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-3960</c:v>
                </c:pt>
                <c:pt idx="36">
                  <c:v>-3960</c:v>
                </c:pt>
                <c:pt idx="37">
                  <c:v>-3960</c:v>
                </c:pt>
                <c:pt idx="38">
                  <c:v>-3960</c:v>
                </c:pt>
                <c:pt idx="39">
                  <c:v>-3960</c:v>
                </c:pt>
                <c:pt idx="40">
                  <c:v>-3960</c:v>
                </c:pt>
                <c:pt idx="41">
                  <c:v>-3960</c:v>
                </c:pt>
                <c:pt idx="42">
                  <c:v>-3960</c:v>
                </c:pt>
                <c:pt idx="43">
                  <c:v>-3960</c:v>
                </c:pt>
                <c:pt idx="44">
                  <c:v>-3960</c:v>
                </c:pt>
                <c:pt idx="45">
                  <c:v>-3960</c:v>
                </c:pt>
                <c:pt idx="46">
                  <c:v>-3960</c:v>
                </c:pt>
                <c:pt idx="47">
                  <c:v>-3960</c:v>
                </c:pt>
                <c:pt idx="48">
                  <c:v>-3960</c:v>
                </c:pt>
                <c:pt idx="49">
                  <c:v>-3960</c:v>
                </c:pt>
                <c:pt idx="50">
                  <c:v>-3960</c:v>
                </c:pt>
              </c:numCache>
            </c:numRef>
          </c:val>
          <c:extLst>
            <c:ext xmlns:c16="http://schemas.microsoft.com/office/drawing/2014/chart" uri="{C3380CC4-5D6E-409C-BE32-E72D297353CC}">
              <c16:uniqueId val="{00000006-02F1-4861-AD24-5E04FE1EF123}"/>
            </c:ext>
          </c:extLst>
        </c:ser>
        <c:dLbls>
          <c:showLegendKey val="0"/>
          <c:showVal val="0"/>
          <c:showCatName val="0"/>
          <c:showSerName val="0"/>
          <c:showPercent val="0"/>
          <c:showBubbleSize val="0"/>
        </c:dLbls>
        <c:axId val="448967520"/>
        <c:axId val="448977120"/>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axMin"/>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baseline="0"/>
              <a:t>Cash flow evolution when </a:t>
            </a:r>
            <a:r>
              <a:rPr lang="de-DE" baseline="0">
                <a:solidFill>
                  <a:schemeClr val="accent5">
                    <a:lumMod val="60000"/>
                    <a:lumOff val="40000"/>
                  </a:schemeClr>
                </a:solidFill>
              </a:rPr>
              <a:t>buying+leasing+selling</a:t>
            </a:r>
            <a:endParaRPr lang="de-DE">
              <a:solidFill>
                <a:schemeClr val="accent5">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'base scenario'!$FN$1</c:f>
              <c:strCache>
                <c:ptCount val="1"/>
                <c:pt idx="0">
                  <c:v>Year Cash flow difference</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scenario'!$FN$2:$FN$52</c:f>
              <c:numCache>
                <c:formatCode>[$EUR]\ #,##0</c:formatCode>
                <c:ptCount val="51"/>
                <c:pt idx="0">
                  <c:v>-12768.459260857417</c:v>
                </c:pt>
                <c:pt idx="1">
                  <c:v>11981.383325844406</c:v>
                </c:pt>
                <c:pt idx="2">
                  <c:v>-14421.039242628161</c:v>
                </c:pt>
                <c:pt idx="3">
                  <c:v>13917.503946171026</c:v>
                </c:pt>
                <c:pt idx="4">
                  <c:v>12905.836558566356</c:v>
                </c:pt>
                <c:pt idx="5">
                  <c:v>15042.423885065233</c:v>
                </c:pt>
                <c:pt idx="6">
                  <c:v>14128.349053011087</c:v>
                </c:pt>
                <c:pt idx="7">
                  <c:v>16364.718311718403</c:v>
                </c:pt>
                <c:pt idx="8">
                  <c:v>18652.661480083072</c:v>
                </c:pt>
                <c:pt idx="9">
                  <c:v>20993.332400980755</c:v>
                </c:pt>
                <c:pt idx="10">
                  <c:v>28034.372903566444</c:v>
                </c:pt>
                <c:pt idx="11">
                  <c:v>25255.254089396985</c:v>
                </c:pt>
                <c:pt idx="12">
                  <c:v>26228.53393957224</c:v>
                </c:pt>
                <c:pt idx="13">
                  <c:v>23420.143904044497</c:v>
                </c:pt>
                <c:pt idx="14">
                  <c:v>24236.584006561257</c:v>
                </c:pt>
                <c:pt idx="15">
                  <c:v>25049.798980703679</c:v>
                </c:pt>
                <c:pt idx="16">
                  <c:v>25859.32195645044</c:v>
                </c:pt>
                <c:pt idx="17">
                  <c:v>26664.666359426832</c:v>
                </c:pt>
                <c:pt idx="18">
                  <c:v>27465.325205853675</c:v>
                </c:pt>
                <c:pt idx="19">
                  <c:v>24010.770373285748</c:v>
                </c:pt>
                <c:pt idx="20">
                  <c:v>73189.325336004258</c:v>
                </c:pt>
                <c:pt idx="21">
                  <c:v>18091.799718324182</c:v>
                </c:pt>
                <c:pt idx="22">
                  <c:v>17217.355388358556</c:v>
                </c:pt>
                <c:pt idx="23">
                  <c:v>16315.126934210624</c:v>
                </c:pt>
                <c:pt idx="24">
                  <c:v>15384.220764345286</c:v>
                </c:pt>
                <c:pt idx="25">
                  <c:v>14423.714177901129</c:v>
                </c:pt>
                <c:pt idx="26">
                  <c:v>26632.654403926688</c:v>
                </c:pt>
                <c:pt idx="27">
                  <c:v>25610.057608488365</c:v>
                </c:pt>
                <c:pt idx="28">
                  <c:v>41527.079147729382</c:v>
                </c:pt>
                <c:pt idx="29">
                  <c:v>58787.883228051956</c:v>
                </c:pt>
                <c:pt idx="30">
                  <c:v>58028.399521782107</c:v>
                </c:pt>
                <c:pt idx="31">
                  <c:v>57246.578059445543</c:v>
                </c:pt>
                <c:pt idx="32">
                  <c:v>56441.761848216702</c:v>
                </c:pt>
                <c:pt idx="33">
                  <c:v>55613.274571951712</c:v>
                </c:pt>
                <c:pt idx="34">
                  <c:v>54760.420022855411</c:v>
                </c:pt>
                <c:pt idx="35">
                  <c:v>-17039.562353702495</c:v>
                </c:pt>
                <c:pt idx="36">
                  <c:v>-19081.909091867936</c:v>
                </c:pt>
                <c:pt idx="37">
                  <c:v>-21119.364230848456</c:v>
                </c:pt>
                <c:pt idx="38">
                  <c:v>-23153.083112497712</c:v>
                </c:pt>
                <c:pt idx="39">
                  <c:v>-25184.229075063769</c:v>
                </c:pt>
                <c:pt idx="40">
                  <c:v>-27213.974208062064</c:v>
                </c:pt>
                <c:pt idx="41">
                  <c:v>-29243.500118957032</c:v>
                </c:pt>
                <c:pt idx="42">
                  <c:v>-31273.998712207103</c:v>
                </c:pt>
                <c:pt idx="43">
                  <c:v>-33306.672981240838</c:v>
                </c:pt>
                <c:pt idx="44">
                  <c:v>-35342.737813944033</c:v>
                </c:pt>
                <c:pt idx="45">
                  <c:v>-31310.592033543202</c:v>
                </c:pt>
                <c:pt idx="46">
                  <c:v>-33357.134347736937</c:v>
                </c:pt>
                <c:pt idx="47">
                  <c:v>-35410.791526083973</c:v>
                </c:pt>
                <c:pt idx="48">
                  <c:v>-37472.834380431777</c:v>
                </c:pt>
                <c:pt idx="49">
                  <c:v>-39544.549868424088</c:v>
                </c:pt>
                <c:pt idx="50">
                  <c:v>-41627.241992997755</c:v>
                </c:pt>
              </c:numCache>
            </c:numRef>
          </c:val>
          <c:smooth val="0"/>
          <c:extLst>
            <c:ext xmlns:c16="http://schemas.microsoft.com/office/drawing/2014/chart" uri="{C3380CC4-5D6E-409C-BE32-E72D297353CC}">
              <c16:uniqueId val="{00000004-41C3-4CEF-950E-09604FA435EF}"/>
            </c:ext>
          </c:extLst>
        </c:ser>
        <c:ser>
          <c:idx val="1"/>
          <c:order val="1"/>
          <c:tx>
            <c:strRef>
              <c:f>'base scenario'!$FO$1</c:f>
              <c:strCache>
                <c:ptCount val="1"/>
                <c:pt idx="0">
                  <c:v>Cash flow</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scenario'!$FO$2:$FO$52</c:f>
              <c:numCache>
                <c:formatCode>[$EUR]\ #,##0</c:formatCode>
                <c:ptCount val="51"/>
                <c:pt idx="0">
                  <c:v>11231.540739142583</c:v>
                </c:pt>
                <c:pt idx="1">
                  <c:v>23212.92406498699</c:v>
                </c:pt>
                <c:pt idx="2">
                  <c:v>8791.8848223588284</c:v>
                </c:pt>
                <c:pt idx="3">
                  <c:v>22709.388768529854</c:v>
                </c:pt>
                <c:pt idx="4">
                  <c:v>24000</c:v>
                </c:pt>
                <c:pt idx="5">
                  <c:v>24000</c:v>
                </c:pt>
                <c:pt idx="6">
                  <c:v>24000</c:v>
                </c:pt>
                <c:pt idx="7">
                  <c:v>24000</c:v>
                </c:pt>
                <c:pt idx="8">
                  <c:v>24000</c:v>
                </c:pt>
                <c:pt idx="9">
                  <c:v>24000</c:v>
                </c:pt>
                <c:pt idx="10">
                  <c:v>24000</c:v>
                </c:pt>
                <c:pt idx="11">
                  <c:v>24000</c:v>
                </c:pt>
                <c:pt idx="12">
                  <c:v>24000</c:v>
                </c:pt>
                <c:pt idx="13">
                  <c:v>24000</c:v>
                </c:pt>
                <c:pt idx="14">
                  <c:v>24000</c:v>
                </c:pt>
                <c:pt idx="15">
                  <c:v>24000</c:v>
                </c:pt>
                <c:pt idx="16">
                  <c:v>24000</c:v>
                </c:pt>
                <c:pt idx="17">
                  <c:v>24000</c:v>
                </c:pt>
                <c:pt idx="18">
                  <c:v>24000</c:v>
                </c:pt>
                <c:pt idx="19">
                  <c:v>24000</c:v>
                </c:pt>
                <c:pt idx="20">
                  <c:v>24000</c:v>
                </c:pt>
                <c:pt idx="21">
                  <c:v>24000</c:v>
                </c:pt>
                <c:pt idx="22">
                  <c:v>24000</c:v>
                </c:pt>
                <c:pt idx="23">
                  <c:v>24000</c:v>
                </c:pt>
                <c:pt idx="24">
                  <c:v>24000</c:v>
                </c:pt>
                <c:pt idx="25">
                  <c:v>24000</c:v>
                </c:pt>
                <c:pt idx="26">
                  <c:v>24000</c:v>
                </c:pt>
                <c:pt idx="27">
                  <c:v>24000</c:v>
                </c:pt>
                <c:pt idx="28">
                  <c:v>24000</c:v>
                </c:pt>
                <c:pt idx="29">
                  <c:v>24000</c:v>
                </c:pt>
                <c:pt idx="30">
                  <c:v>24000</c:v>
                </c:pt>
                <c:pt idx="31">
                  <c:v>24000</c:v>
                </c:pt>
                <c:pt idx="32">
                  <c:v>24000</c:v>
                </c:pt>
                <c:pt idx="33">
                  <c:v>24000</c:v>
                </c:pt>
                <c:pt idx="34">
                  <c:v>24000</c:v>
                </c:pt>
                <c:pt idx="35">
                  <c:v>6960.4376462975051</c:v>
                </c:pt>
                <c:pt idx="36">
                  <c:v>-12121.471445570431</c:v>
                </c:pt>
                <c:pt idx="37">
                  <c:v>-34210.553392064518</c:v>
                </c:pt>
                <c:pt idx="38">
                  <c:v>-60100.48077592739</c:v>
                </c:pt>
                <c:pt idx="39">
                  <c:v>-90092.748313065356</c:v>
                </c:pt>
                <c:pt idx="40">
                  <c:v>-124514.14238617265</c:v>
                </c:pt>
                <c:pt idx="41">
                  <c:v>-163718.77389602349</c:v>
                </c:pt>
                <c:pt idx="42">
                  <c:v>-208090.27451991246</c:v>
                </c:pt>
                <c:pt idx="43">
                  <c:v>-258044.1694627463</c:v>
                </c:pt>
                <c:pt idx="44">
                  <c:v>-314030.44083371008</c:v>
                </c:pt>
                <c:pt idx="45">
                  <c:v>-370463.46813395008</c:v>
                </c:pt>
                <c:pt idx="46">
                  <c:v>-433457.67993240303</c:v>
                </c:pt>
                <c:pt idx="47">
                  <c:v>-503545.08585307922</c:v>
                </c:pt>
                <c:pt idx="48">
                  <c:v>-581301.52710175735</c:v>
                </c:pt>
                <c:pt idx="49">
                  <c:v>-667350.19913832203</c:v>
                </c:pt>
                <c:pt idx="50">
                  <c:v>-762365.45706238551</c:v>
                </c:pt>
              </c:numCache>
            </c:numRef>
          </c:val>
          <c:smooth val="0"/>
          <c:extLst>
            <c:ext xmlns:c16="http://schemas.microsoft.com/office/drawing/2014/chart" uri="{C3380CC4-5D6E-409C-BE32-E72D297353CC}">
              <c16:uniqueId val="{00000005-41C3-4CEF-950E-09604FA435EF}"/>
            </c:ext>
          </c:extLst>
        </c:ser>
        <c:ser>
          <c:idx val="2"/>
          <c:order val="2"/>
          <c:tx>
            <c:strRef>
              <c:f>'base scenario'!$FT$1</c:f>
              <c:strCache>
                <c:ptCount val="1"/>
                <c:pt idx="0">
                  <c:v>Total money invested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'base scenario'!$FT$2:$FT$52</c:f>
              <c:numCache>
                <c:formatCode>[$EUR]\ #,##0</c:formatCode>
                <c:ptCount val="51"/>
                <c:pt idx="0">
                  <c:v>0</c:v>
                </c:pt>
                <c:pt idx="1">
                  <c:v>0</c:v>
                </c:pt>
                <c:pt idx="2">
                  <c:v>0</c:v>
                </c:pt>
                <c:pt idx="3">
                  <c:v>0</c:v>
                </c:pt>
                <c:pt idx="4">
                  <c:v>11615.22532709621</c:v>
                </c:pt>
                <c:pt idx="5">
                  <c:v>27469.088202799481</c:v>
                </c:pt>
                <c:pt idx="6">
                  <c:v>43469.336353283135</c:v>
                </c:pt>
                <c:pt idx="7">
                  <c:v>62721.782342745137</c:v>
                </c:pt>
                <c:pt idx="8">
                  <c:v>85433.61485713294</c:v>
                </c:pt>
                <c:pt idx="9">
                  <c:v>111809.50430395863</c:v>
                </c:pt>
                <c:pt idx="10">
                  <c:v>146696.51573461364</c:v>
                </c:pt>
                <c:pt idx="11">
                  <c:v>180691.10174738252</c:v>
                </c:pt>
                <c:pt idx="12">
                  <c:v>217374.41271130755</c:v>
                </c:pt>
                <c:pt idx="13">
                  <c:v>252999.18610662787</c:v>
                </c:pt>
                <c:pt idx="14">
                  <c:v>291006.8630667578</c:v>
                </c:pt>
                <c:pt idx="15">
                  <c:v>331397.69611725531</c:v>
                </c:pt>
                <c:pt idx="16">
                  <c:v>374159.22886054887</c:v>
                </c:pt>
                <c:pt idx="17">
                  <c:v>419265.64813602681</c:v>
                </c:pt>
                <c:pt idx="18">
                  <c:v>466677.21358821751</c:v>
                </c:pt>
                <c:pt idx="19">
                  <c:v>512089.77483227727</c:v>
                </c:pt>
                <c:pt idx="20">
                  <c:v>607885.64036816021</c:v>
                </c:pt>
                <c:pt idx="21">
                  <c:v>651770.86216014531</c:v>
                </c:pt>
                <c:pt idx="22">
                  <c:v>695526.42833942804</c:v>
                </c:pt>
                <c:pt idx="23">
                  <c:v>738969.03423217719</c:v>
                </c:pt>
                <c:pt idx="24">
                  <c:v>781908.31321416609</c:v>
                </c:pt>
                <c:pt idx="25">
                  <c:v>824147.81332433608</c:v>
                </c:pt>
                <c:pt idx="26">
                  <c:v>878686.06651667913</c:v>
                </c:pt>
                <c:pt idx="27">
                  <c:v>932542.06614014076</c:v>
                </c:pt>
                <c:pt idx="28">
                  <c:v>1002447.6803202134</c:v>
                </c:pt>
                <c:pt idx="29">
                  <c:v>1090022.9406312988</c:v>
                </c:pt>
                <c:pt idx="30">
                  <c:v>1177485.0128356742</c:v>
                </c:pt>
                <c:pt idx="31">
                  <c:v>1264508.4387827404</c:v>
                </c:pt>
                <c:pt idx="32">
                  <c:v>1350760.013014138</c:v>
                </c:pt>
                <c:pt idx="33">
                  <c:v>1435900.8257977492</c:v>
                </c:pt>
                <c:pt idx="34">
                  <c:v>1519588.4131571243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c:ext xmlns:c16="http://schemas.microsoft.com/office/drawing/2014/chart" uri="{C3380CC4-5D6E-409C-BE32-E72D297353CC}">
              <c16:uniqueId val="{00000000-3E18-4F39-ACAA-F3CC71A629EA}"/>
            </c:ext>
          </c:extLst>
        </c:ser>
        <c:ser>
          <c:idx val="3"/>
          <c:order val="3"/>
          <c:tx>
            <c:strRef>
              <c:f>'base scenario'!$FL$1</c:f>
              <c:strCache>
                <c:ptCount val="1"/>
                <c:pt idx="0">
                  <c:v>Real yearly expenses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'base scenario'!$FL$2:$FL$52</c:f>
              <c:numCache>
                <c:formatCode>[$EUR]\ #,##0</c:formatCode>
                <c:ptCount val="51"/>
                <c:pt idx="0">
                  <c:v>-78633.459260857417</c:v>
                </c:pt>
                <c:pt idx="1">
                  <c:v>-103421.99902709677</c:v>
                </c:pt>
                <c:pt idx="2">
                  <c:v>-82334.694086918826</c:v>
                </c:pt>
                <c:pt idx="3">
                  <c:v>-107172.29051919295</c:v>
                </c:pt>
                <c:pt idx="4">
                  <c:v>-111135.5576645598</c:v>
                </c:pt>
                <c:pt idx="5">
                  <c:v>-112025.28885837735</c:v>
                </c:pt>
                <c:pt idx="6">
                  <c:v>-116042.30218702859</c:v>
                </c:pt>
                <c:pt idx="7">
                  <c:v>-116987.44126834543</c:v>
                </c:pt>
                <c:pt idx="8">
                  <c:v>-117961.5760569266</c:v>
                </c:pt>
                <c:pt idx="9">
                  <c:v>-118965.6036751543</c:v>
                </c:pt>
                <c:pt idx="10">
                  <c:v>-113927.62049203184</c:v>
                </c:pt>
                <c:pt idx="11">
                  <c:v>-118744.23812294459</c:v>
                </c:pt>
                <c:pt idx="12">
                  <c:v>-119843.61167061845</c:v>
                </c:pt>
                <c:pt idx="13">
                  <c:v>-124760.54006671841</c:v>
                </c:pt>
                <c:pt idx="14">
                  <c:v>-126089.27143062447</c:v>
                </c:pt>
                <c:pt idx="15">
                  <c:v>-127458.62741019863</c:v>
                </c:pt>
                <c:pt idx="16">
                  <c:v>-128869.85998549126</c:v>
                </c:pt>
                <c:pt idx="17">
                  <c:v>-130324.26007361669</c:v>
                </c:pt>
                <c:pt idx="18">
                  <c:v>-131823.15875218349</c:v>
                </c:pt>
                <c:pt idx="19">
                  <c:v>-137617.92852160212</c:v>
                </c:pt>
                <c:pt idx="20">
                  <c:v>-139209.98460752075</c:v>
                </c:pt>
                <c:pt idx="21">
                  <c:v>-145100.78630468019</c:v>
                </c:pt>
                <c:pt idx="22">
                  <c:v>-146791.83836352165</c:v>
                </c:pt>
                <c:pt idx="23">
                  <c:v>-148534.69242092414</c:v>
                </c:pt>
                <c:pt idx="24">
                  <c:v>-150330.94847649269</c:v>
                </c:pt>
                <c:pt idx="25">
                  <c:v>-152182.25641586661</c:v>
                </c:pt>
                <c:pt idx="26">
                  <c:v>-140890.31758256286</c:v>
                </c:pt>
                <c:pt idx="27">
                  <c:v>-142856.88639992071</c:v>
                </c:pt>
                <c:pt idx="28">
                  <c:v>-127911.60076559684</c:v>
                </c:pt>
                <c:pt idx="29">
                  <c:v>-111651.11305798312</c:v>
                </c:pt>
                <c:pt idx="30">
                  <c:v>-113440.33420674737</c:v>
                </c:pt>
                <c:pt idx="31">
                  <c:v>-115282.1795069458</c:v>
                </c:pt>
                <c:pt idx="32">
                  <c:v>-117178.19672773834</c:v>
                </c:pt>
                <c:pt idx="33">
                  <c:v>-119129.97916090713</c:v>
                </c:pt>
                <c:pt idx="34">
                  <c:v>-121139.16695975735</c:v>
                </c:pt>
                <c:pt idx="35">
                  <c:v>-82773.523974315438</c:v>
                </c:pt>
                <c:pt idx="36">
                  <c:v>-83501.191480068621</c:v>
                </c:pt>
                <c:pt idx="37">
                  <c:v>-84250.260971285126</c:v>
                </c:pt>
                <c:pt idx="38">
                  <c:v>-85021.361918125651</c:v>
                </c:pt>
                <c:pt idx="39">
                  <c:v>-85815.142304579145</c:v>
                </c:pt>
                <c:pt idx="40">
                  <c:v>-86632.269172987129</c:v>
                </c:pt>
                <c:pt idx="41">
                  <c:v>-87473.429184583598</c:v>
                </c:pt>
                <c:pt idx="42">
                  <c:v>-88339.329196521139</c:v>
                </c:pt>
                <c:pt idx="43">
                  <c:v>-89230.696855868591</c:v>
                </c:pt>
                <c:pt idx="44">
                  <c:v>-90148.281211079229</c:v>
                </c:pt>
                <c:pt idx="45">
                  <c:v>-85020.024562735693</c:v>
                </c:pt>
                <c:pt idx="46">
                  <c:v>-85992.37822634558</c:v>
                </c:pt>
                <c:pt idx="47">
                  <c:v>-86993.330527120444</c:v>
                </c:pt>
                <c:pt idx="48">
                  <c:v>-88023.722601447516</c:v>
                </c:pt>
                <c:pt idx="49">
                  <c:v>-89084.420325019513</c:v>
                </c:pt>
                <c:pt idx="50">
                  <c:v>-90176.315040461268</c:v>
                </c:pt>
              </c:numCache>
            </c:numRef>
          </c:val>
          <c:smooth val="0"/>
          <c:extLst>
            <c:ext xmlns:c16="http://schemas.microsoft.com/office/drawing/2014/chart" uri="{C3380CC4-5D6E-409C-BE32-E72D297353CC}">
              <c16:uniqueId val="{00000000-4172-4A25-AAF9-F3253BEDE6A5}"/>
            </c:ext>
          </c:extLst>
        </c:ser>
        <c:ser>
          <c:idx val="4"/>
          <c:order val="4"/>
          <c:tx>
            <c:strRef>
              <c:f>'base scenario'!$FM$1</c:f>
              <c:strCache>
                <c:ptCount val="1"/>
                <c:pt idx="0">
                  <c:v>Real yearly income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'base scenario'!$FM$2:$FM$52</c:f>
              <c:numCache>
                <c:formatCode>[$EUR]\ #,##0</c:formatCode>
                <c:ptCount val="51"/>
                <c:pt idx="0">
                  <c:v>65865</c:v>
                </c:pt>
                <c:pt idx="1">
                  <c:v>115403.38235294117</c:v>
                </c:pt>
                <c:pt idx="2">
                  <c:v>67913.654844290664</c:v>
                </c:pt>
                <c:pt idx="3">
                  <c:v>121089.79446536397</c:v>
                </c:pt>
                <c:pt idx="4">
                  <c:v>124041.39422312616</c:v>
                </c:pt>
                <c:pt idx="5">
                  <c:v>127067.71274344258</c:v>
                </c:pt>
                <c:pt idx="6">
                  <c:v>130170.65124003968</c:v>
                </c:pt>
                <c:pt idx="7">
                  <c:v>133352.15958006383</c:v>
                </c:pt>
                <c:pt idx="8">
                  <c:v>136614.23753700967</c:v>
                </c:pt>
                <c:pt idx="9">
                  <c:v>139958.93607613505</c:v>
                </c:pt>
                <c:pt idx="10">
                  <c:v>141961.99339559829</c:v>
                </c:pt>
                <c:pt idx="11">
                  <c:v>143999.49221234157</c:v>
                </c:pt>
                <c:pt idx="12">
                  <c:v>146072.1456101907</c:v>
                </c:pt>
                <c:pt idx="13">
                  <c:v>148180.68397076291</c:v>
                </c:pt>
                <c:pt idx="14">
                  <c:v>150325.85543718573</c:v>
                </c:pt>
                <c:pt idx="15">
                  <c:v>152508.42639090231</c:v>
                </c:pt>
                <c:pt idx="16">
                  <c:v>154729.1819419417</c:v>
                </c:pt>
                <c:pt idx="17">
                  <c:v>156988.92643304353</c:v>
                </c:pt>
                <c:pt idx="18">
                  <c:v>159288.48395803716</c:v>
                </c:pt>
                <c:pt idx="19">
                  <c:v>161628.69889488787</c:v>
                </c:pt>
                <c:pt idx="20">
                  <c:v>212399.309943525</c:v>
                </c:pt>
                <c:pt idx="21">
                  <c:v>163192.58602300438</c:v>
                </c:pt>
                <c:pt idx="22">
                  <c:v>164009.1937518802</c:v>
                </c:pt>
                <c:pt idx="23">
                  <c:v>164849.81935513476</c:v>
                </c:pt>
                <c:pt idx="24">
                  <c:v>165715.16924083797</c:v>
                </c:pt>
                <c:pt idx="25">
                  <c:v>166605.97059376774</c:v>
                </c:pt>
                <c:pt idx="26">
                  <c:v>167522.97198648955</c:v>
                </c:pt>
                <c:pt idx="27">
                  <c:v>168466.94400840907</c:v>
                </c:pt>
                <c:pt idx="28">
                  <c:v>169438.67991332622</c:v>
                </c:pt>
                <c:pt idx="29">
                  <c:v>170438.99628603508</c:v>
                </c:pt>
                <c:pt idx="30">
                  <c:v>171468.73372852948</c:v>
                </c:pt>
                <c:pt idx="31">
                  <c:v>172528.75756639134</c:v>
                </c:pt>
                <c:pt idx="32">
                  <c:v>173619.95857595504</c:v>
                </c:pt>
                <c:pt idx="33">
                  <c:v>174743.25373285884</c:v>
                </c:pt>
                <c:pt idx="34">
                  <c:v>175899.58698261276</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smooth val="0"/>
          <c:extLst>
            <c:ext xmlns:c16="http://schemas.microsoft.com/office/drawing/2014/chart" uri="{C3380CC4-5D6E-409C-BE32-E72D297353CC}">
              <c16:uniqueId val="{00000001-4172-4A25-AAF9-F3253BEDE6A5}"/>
            </c:ext>
          </c:extLst>
        </c:ser>
        <c:dLbls>
          <c:showLegendKey val="0"/>
          <c:showVal val="0"/>
          <c:showCatName val="0"/>
          <c:showSerName val="0"/>
          <c:showPercent val="0"/>
          <c:showBubbleSize val="0"/>
        </c:dLbls>
        <c:smooth val="0"/>
        <c:axId val="448967520"/>
        <c:axId val="448977120"/>
        <c:extLst/>
      </c:lineChart>
      <c:catAx>
        <c:axId val="448967520"/>
        <c:scaling>
          <c:orientation val="minMax"/>
        </c:scaling>
        <c:delete val="0"/>
        <c:axPos val="t"/>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inMax"/>
          <c:max val="300000"/>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e-DE" sz="1800" baseline="0"/>
              <a:t>Interest rate on mortgage</a:t>
            </a:r>
            <a:r>
              <a:rPr lang="de-DE" sz="1800" b="0" i="0" u="none" strike="noStrike" kern="1200" spc="0" baseline="0">
                <a:solidFill>
                  <a:sysClr val="windowText" lastClr="000000">
                    <a:lumMod val="65000"/>
                    <a:lumOff val="35000"/>
                  </a:sysClr>
                </a:solidFill>
              </a:rPr>
              <a:t> (20% change)</a:t>
            </a:r>
            <a:endParaRPr lang="de-DE" sz="1800"/>
          </a:p>
        </c:rich>
      </c:tx>
      <c:overlay val="0"/>
      <c:spPr>
        <a:noFill/>
        <a:ln>
          <a:noFill/>
        </a:ln>
        <a:effectLst/>
      </c:spPr>
    </c:title>
    <c:autoTitleDeleted val="0"/>
    <c:plotArea>
      <c:layout/>
      <c:lineChart>
        <c:grouping val="standard"/>
        <c:varyColors val="0"/>
        <c:ser>
          <c:idx val="6"/>
          <c:order val="0"/>
          <c:tx>
            <c:v>Buy low interest rate</c:v>
          </c:tx>
          <c:spPr>
            <a:ln>
              <a:solidFill>
                <a:schemeClr val="tx2">
                  <a:lumMod val="25000"/>
                  <a:lumOff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interest rate'!$C$2:$C$52</c:f>
              <c:numCache>
                <c:formatCode>[$EUR]\ #,##0</c:formatCode>
                <c:ptCount val="51"/>
                <c:pt idx="0">
                  <c:v>-406530.03678821714</c:v>
                </c:pt>
                <c:pt idx="1">
                  <c:v>-352401.38436276832</c:v>
                </c:pt>
                <c:pt idx="2">
                  <c:v>-324456.59233513568</c:v>
                </c:pt>
                <c:pt idx="3">
                  <c:v>-270074.60036182753</c:v>
                </c:pt>
                <c:pt idx="4">
                  <c:v>-216516.54373415475</c:v>
                </c:pt>
                <c:pt idx="5">
                  <c:v>-160726.70674744609</c:v>
                </c:pt>
                <c:pt idx="6">
                  <c:v>-105604.57664546611</c:v>
                </c:pt>
                <c:pt idx="7">
                  <c:v>-48081.257126945173</c:v>
                </c:pt>
                <c:pt idx="8">
                  <c:v>12058.004969589223</c:v>
                </c:pt>
                <c:pt idx="9">
                  <c:v>75045.490741174042</c:v>
                </c:pt>
                <c:pt idx="10">
                  <c:v>139706.04859160935</c:v>
                </c:pt>
                <c:pt idx="11">
                  <c:v>202862.75785418265</c:v>
                </c:pt>
                <c:pt idx="12">
                  <c:v>268115.4339674224</c:v>
                </c:pt>
                <c:pt idx="13">
                  <c:v>331850.69530257006</c:v>
                </c:pt>
                <c:pt idx="14">
                  <c:v>397664.86890429613</c:v>
                </c:pt>
                <c:pt idx="15">
                  <c:v>465690.72751290677</c:v>
                </c:pt>
                <c:pt idx="16">
                  <c:v>536070.36433536501</c:v>
                </c:pt>
                <c:pt idx="17">
                  <c:v>608955.8965487855</c:v>
                </c:pt>
                <c:pt idx="18">
                  <c:v>684510.22379769199</c:v>
                </c:pt>
                <c:pt idx="19">
                  <c:v>758657.84604611632</c:v>
                </c:pt>
                <c:pt idx="20">
                  <c:v>883884.61898306385</c:v>
                </c:pt>
                <c:pt idx="21">
                  <c:v>959912.47026048903</c:v>
                </c:pt>
                <c:pt idx="22">
                  <c:v>1036614.437068391</c:v>
                </c:pt>
                <c:pt idx="23">
                  <c:v>1114010.3463341361</c:v>
                </c:pt>
                <c:pt idx="24">
                  <c:v>1192120.6081300143</c:v>
                </c:pt>
                <c:pt idx="25">
                  <c:v>1270966.2328245586</c:v>
                </c:pt>
                <c:pt idx="26">
                  <c:v>1363768.8487383181</c:v>
                </c:pt>
                <c:pt idx="27">
                  <c:v>1457865.2949911112</c:v>
                </c:pt>
                <c:pt idx="28">
                  <c:v>1566440.462639661</c:v>
                </c:pt>
                <c:pt idx="29">
                  <c:v>1676640.5288519717</c:v>
                </c:pt>
                <c:pt idx="30">
                  <c:v>1788396.3287330072</c:v>
                </c:pt>
                <c:pt idx="31">
                  <c:v>1901575.739908519</c:v>
                </c:pt>
                <c:pt idx="32">
                  <c:v>2016920.8496398453</c:v>
                </c:pt>
                <c:pt idx="33">
                  <c:v>2134311.6746216398</c:v>
                </c:pt>
                <c:pt idx="34">
                  <c:v>2253562.5981340366</c:v>
                </c:pt>
                <c:pt idx="35">
                  <c:v>2309195.6556724538</c:v>
                </c:pt>
                <c:pt idx="36">
                  <c:v>2364671.9798305682</c:v>
                </c:pt>
                <c:pt idx="37">
                  <c:v>2412202.2834784435</c:v>
                </c:pt>
                <c:pt idx="38">
                  <c:v>2456491.5615816447</c:v>
                </c:pt>
                <c:pt idx="39">
                  <c:v>2500151.4627839923</c:v>
                </c:pt>
                <c:pt idx="40">
                  <c:v>2543240.7422017744</c:v>
                </c:pt>
                <c:pt idx="41">
                  <c:v>2585818.3377189012</c:v>
                </c:pt>
                <c:pt idx="42">
                  <c:v>2627943.4062689082</c:v>
                </c:pt>
                <c:pt idx="43">
                  <c:v>2669675.3605659371</c:v>
                </c:pt>
                <c:pt idx="44">
                  <c:v>2711073.906310284</c:v>
                </c:pt>
                <c:pt idx="45">
                  <c:v>2752199.0798945688</c:v>
                </c:pt>
                <c:pt idx="46">
                  <c:v>2793111.2866371349</c:v>
                </c:pt>
                <c:pt idx="47">
                  <c:v>2833871.3395698154</c:v>
                </c:pt>
                <c:pt idx="48">
                  <c:v>2874540.4988077772</c:v>
                </c:pt>
                <c:pt idx="49">
                  <c:v>2915180.5115297372</c:v>
                </c:pt>
                <c:pt idx="50">
                  <c:v>2955853.6525974488</c:v>
                </c:pt>
              </c:numCache>
            </c:numRef>
          </c:val>
          <c:smooth val="0"/>
          <c:extLst>
            <c:ext xmlns:c16="http://schemas.microsoft.com/office/drawing/2014/chart" uri="{C3380CC4-5D6E-409C-BE32-E72D297353CC}">
              <c16:uniqueId val="{00000000-2208-4BA8-96AA-BB35B1B30DCF}"/>
            </c:ext>
          </c:extLst>
        </c:ser>
        <c:ser>
          <c:idx val="7"/>
          <c:order val="1"/>
          <c:tx>
            <c:strRef>
              <c:f>'base scenario'!$C$1</c:f>
              <c:strCache>
                <c:ptCount val="1"/>
                <c:pt idx="0">
                  <c:v>Buy</c:v>
                </c:pt>
              </c:strCache>
            </c:strRef>
          </c:tx>
          <c:spPr>
            <a:ln>
              <a:solidFill>
                <a:schemeClr val="tx2">
                  <a:lumMod val="50000"/>
                  <a:lumOff val="5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1-2208-4BA8-96AA-BB35B1B30DCF}"/>
            </c:ext>
          </c:extLst>
        </c:ser>
        <c:ser>
          <c:idx val="8"/>
          <c:order val="2"/>
          <c:tx>
            <c:v>Buy high interest rate</c:v>
          </c:tx>
          <c:spPr>
            <a:ln>
              <a:solidFill>
                <a:schemeClr val="tx2">
                  <a:lumMod val="75000"/>
                  <a:lumOff val="2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interest rate'!$C$2:$C$52</c:f>
              <c:numCache>
                <c:formatCode>[$EUR]\ #,##0</c:formatCode>
                <c:ptCount val="51"/>
                <c:pt idx="0">
                  <c:v>-542275.39417673636</c:v>
                </c:pt>
                <c:pt idx="1">
                  <c:v>-489004.29980644264</c:v>
                </c:pt>
                <c:pt idx="2">
                  <c:v>-462843.22853353288</c:v>
                </c:pt>
                <c:pt idx="3">
                  <c:v>-411245.21303048066</c:v>
                </c:pt>
                <c:pt idx="4">
                  <c:v>-361551.40904583957</c:v>
                </c:pt>
                <c:pt idx="5">
                  <c:v>-310792.52296876023</c:v>
                </c:pt>
                <c:pt idx="6">
                  <c:v>-261961.37790433527</c:v>
                </c:pt>
                <c:pt idx="7">
                  <c:v>-212089.88028152907</c:v>
                </c:pt>
                <c:pt idx="8">
                  <c:v>-161072.1438875217</c:v>
                </c:pt>
                <c:pt idx="9">
                  <c:v>-108793.46392982136</c:v>
                </c:pt>
                <c:pt idx="10">
                  <c:v>-56555.974413536402</c:v>
                </c:pt>
                <c:pt idx="11">
                  <c:v>-7637.6772238455596</c:v>
                </c:pt>
                <c:pt idx="12">
                  <c:v>41416.015578681137</c:v>
                </c:pt>
                <c:pt idx="13">
                  <c:v>86834.876666258846</c:v>
                </c:pt>
                <c:pt idx="14">
                  <c:v>132045.83972860908</c:v>
                </c:pt>
                <c:pt idx="15">
                  <c:v>176998.73268269404</c:v>
                </c:pt>
                <c:pt idx="16">
                  <c:v>221638.0683262645</c:v>
                </c:pt>
                <c:pt idx="17">
                  <c:v>265902.57699448615</c:v>
                </c:pt>
                <c:pt idx="18">
                  <c:v>309724.70054257795</c:v>
                </c:pt>
                <c:pt idx="19">
                  <c:v>348780.04452212236</c:v>
                </c:pt>
                <c:pt idx="20">
                  <c:v>435285.65865667944</c:v>
                </c:pt>
                <c:pt idx="21">
                  <c:v>468725.81368372845</c:v>
                </c:pt>
                <c:pt idx="22">
                  <c:v>499041.70579754259</c:v>
                </c:pt>
                <c:pt idx="23">
                  <c:v>525917.95726802223</c:v>
                </c:pt>
                <c:pt idx="24">
                  <c:v>549012.03553792275</c:v>
                </c:pt>
                <c:pt idx="25">
                  <c:v>567952.0242305448</c:v>
                </c:pt>
                <c:pt idx="26">
                  <c:v>595461.49614484503</c:v>
                </c:pt>
                <c:pt idx="27">
                  <c:v>619391.5293409935</c:v>
                </c:pt>
                <c:pt idx="28">
                  <c:v>655788.47078881436</c:v>
                </c:pt>
                <c:pt idx="29">
                  <c:v>692371.80566596997</c:v>
                </c:pt>
                <c:pt idx="30">
                  <c:v>729076.28774426342</c:v>
                </c:pt>
                <c:pt idx="31">
                  <c:v>765829.09351775551</c:v>
                </c:pt>
                <c:pt idx="32">
                  <c:v>802549.1466799716</c:v>
                </c:pt>
                <c:pt idx="33">
                  <c:v>839146.38651985838</c:v>
                </c:pt>
                <c:pt idx="34">
                  <c:v>875520.97569000267</c:v>
                </c:pt>
                <c:pt idx="35">
                  <c:v>845828.4808145375</c:v>
                </c:pt>
                <c:pt idx="36">
                  <c:v>809107.43257099716</c:v>
                </c:pt>
                <c:pt idx="37">
                  <c:v>764723.64984677103</c:v>
                </c:pt>
                <c:pt idx="38">
                  <c:v>711988.80321478797</c:v>
                </c:pt>
                <c:pt idx="39">
                  <c:v>650156.00864597666</c:v>
                </c:pt>
                <c:pt idx="40">
                  <c:v>578415.06601014314</c:v>
                </c:pt>
                <c:pt idx="41">
                  <c:v>495887.31387907243</c:v>
                </c:pt>
                <c:pt idx="42">
                  <c:v>401620.06986451219</c:v>
                </c:pt>
                <c:pt idx="43">
                  <c:v>294580.62326000677</c:v>
                </c:pt>
                <c:pt idx="44">
                  <c:v>173649.74409469869</c:v>
                </c:pt>
                <c:pt idx="45">
                  <c:v>37614.669833422173</c:v>
                </c:pt>
                <c:pt idx="46">
                  <c:v>-114838.47214634204</c:v>
                </c:pt>
                <c:pt idx="47">
                  <c:v>-285132.85152220773</c:v>
                </c:pt>
                <c:pt idx="48">
                  <c:v>-474809.78028125782</c:v>
                </c:pt>
                <c:pt idx="49">
                  <c:v>-685538.26901304908</c:v>
                </c:pt>
                <c:pt idx="50">
                  <c:v>-919125.35121621797</c:v>
                </c:pt>
              </c:numCache>
            </c:numRef>
          </c:val>
          <c:smooth val="0"/>
          <c:extLst>
            <c:ext xmlns:c16="http://schemas.microsoft.com/office/drawing/2014/chart" uri="{C3380CC4-5D6E-409C-BE32-E72D297353CC}">
              <c16:uniqueId val="{00000002-2208-4BA8-96AA-BB35B1B30DCF}"/>
            </c:ext>
          </c:extLst>
        </c:ser>
        <c:ser>
          <c:idx val="9"/>
          <c:order val="3"/>
          <c:tx>
            <c:v>Rent low interest rate</c:v>
          </c:tx>
          <c:spPr>
            <a:ln>
              <a:solidFill>
                <a:schemeClr val="accent2">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interest rate'!$E$2:$E$52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3-2208-4BA8-96AA-BB35B1B30DCF}"/>
            </c:ext>
          </c:extLst>
        </c:ser>
        <c:ser>
          <c:idx val="10"/>
          <c:order val="4"/>
          <c:tx>
            <c:strRef>
              <c:f>'base scenario'!$E$1</c:f>
              <c:strCache>
                <c:ptCount val="1"/>
                <c:pt idx="0">
                  <c:v>Rent</c:v>
                </c:pt>
              </c:strCache>
            </c:strRef>
          </c:tx>
          <c:spPr>
            <a:ln>
              <a:solidFill>
                <a:schemeClr val="accent2">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4-2208-4BA8-96AA-BB35B1B30DCF}"/>
            </c:ext>
          </c:extLst>
        </c:ser>
        <c:ser>
          <c:idx val="11"/>
          <c:order val="5"/>
          <c:tx>
            <c:v>Rent high interest rate</c:v>
          </c:tx>
          <c:spPr>
            <a:ln>
              <a:solidFill>
                <a:schemeClr val="accent2">
                  <a:lumMod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interest rate'!$E$2:$E$52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5-2208-4BA8-96AA-BB35B1B30DCF}"/>
            </c:ext>
          </c:extLst>
        </c:ser>
        <c:ser>
          <c:idx val="1"/>
          <c:order val="6"/>
          <c:tx>
            <c:v>Buy+Sell+Lease low interest rate</c:v>
          </c:tx>
          <c:spPr>
            <a:ln>
              <a:solidFill>
                <a:schemeClr val="accent5">
                  <a:lumMod val="40000"/>
                  <a:lumOff val="60000"/>
                </a:schemeClr>
              </a:solidFill>
            </a:ln>
          </c:spPr>
          <c:marker>
            <c:symbol val="none"/>
          </c:marker>
          <c:val>
            <c:numRef>
              <c:f>'low interest rate'!$G$2:$G$52</c:f>
              <c:numCache>
                <c:formatCode>[$EUR]\ #,##0</c:formatCode>
                <c:ptCount val="51"/>
                <c:pt idx="0">
                  <c:v>-203092.47164424756</c:v>
                </c:pt>
                <c:pt idx="1">
                  <c:v>-152016.11427825314</c:v>
                </c:pt>
                <c:pt idx="2">
                  <c:v>-126740.50524832892</c:v>
                </c:pt>
                <c:pt idx="3">
                  <c:v>-72717.078800258125</c:v>
                </c:pt>
                <c:pt idx="4">
                  <c:v>-19049.471713047064</c:v>
                </c:pt>
                <c:pt idx="5">
                  <c:v>38237.076850677076</c:v>
                </c:pt>
                <c:pt idx="6">
                  <c:v>96272.922129912695</c:v>
                </c:pt>
                <c:pt idx="7">
                  <c:v>158181.96803657425</c:v>
                </c:pt>
                <c:pt idx="8">
                  <c:v>224189.32479429716</c:v>
                </c:pt>
                <c:pt idx="9">
                  <c:v>294517.35403649637</c:v>
                </c:pt>
                <c:pt idx="10">
                  <c:v>367957.69305286778</c:v>
                </c:pt>
                <c:pt idx="11">
                  <c:v>441183.37479759601</c:v>
                </c:pt>
                <c:pt idx="12">
                  <c:v>517792.19271398452</c:v>
                </c:pt>
                <c:pt idx="13">
                  <c:v>594053.13707806775</c:v>
                </c:pt>
                <c:pt idx="14">
                  <c:v>673423.46579121298</c:v>
                </c:pt>
                <c:pt idx="15">
                  <c:v>755918.7707198757</c:v>
                </c:pt>
                <c:pt idx="16">
                  <c:v>841541.42114769935</c:v>
                </c:pt>
                <c:pt idx="17">
                  <c:v>930279.88567838795</c:v>
                </c:pt>
                <c:pt idx="18">
                  <c:v>1022108.1383118869</c:v>
                </c:pt>
                <c:pt idx="19">
                  <c:v>1112735.1596420757</c:v>
                </c:pt>
                <c:pt idx="20">
                  <c:v>1254555.7980434792</c:v>
                </c:pt>
                <c:pt idx="21">
                  <c:v>1345288.0554248902</c:v>
                </c:pt>
                <c:pt idx="22">
                  <c:v>1436724.2906020242</c:v>
                </c:pt>
                <c:pt idx="23">
                  <c:v>1528692.0110077199</c:v>
                </c:pt>
                <c:pt idx="24">
                  <c:v>1621011.1346677272</c:v>
                </c:pt>
                <c:pt idx="25">
                  <c:v>1713495.0087021133</c:v>
                </c:pt>
                <c:pt idx="26">
                  <c:v>1819151.531451086</c:v>
                </c:pt>
                <c:pt idx="27">
                  <c:v>1925008.6939182992</c:v>
                </c:pt>
                <c:pt idx="28">
                  <c:v>2044034.8969071379</c:v>
                </c:pt>
                <c:pt idx="29">
                  <c:v>2163172.9578813203</c:v>
                </c:pt>
                <c:pt idx="30">
                  <c:v>2282148.5487917652</c:v>
                </c:pt>
                <c:pt idx="31">
                  <c:v>2400650.0406091446</c:v>
                </c:pt>
                <c:pt idx="32">
                  <c:v>2519069.8194214972</c:v>
                </c:pt>
                <c:pt idx="33">
                  <c:v>2637149.3150375169</c:v>
                </c:pt>
                <c:pt idx="34">
                  <c:v>2754562.2535093836</c:v>
                </c:pt>
                <c:pt idx="35">
                  <c:v>1857668.0049153226</c:v>
                </c:pt>
                <c:pt idx="36">
                  <c:v>1900633.3481216377</c:v>
                </c:pt>
                <c:pt idx="37">
                  <c:v>1942273.5470732725</c:v>
                </c:pt>
                <c:pt idx="38">
                  <c:v>1981828.3467182214</c:v>
                </c:pt>
                <c:pt idx="39">
                  <c:v>2019047.7547648037</c:v>
                </c:pt>
                <c:pt idx="40">
                  <c:v>2053658.0858818344</c:v>
                </c:pt>
                <c:pt idx="41">
                  <c:v>2085359.9825737907</c:v>
                </c:pt>
                <c:pt idx="42">
                  <c:v>2113826.2747656601</c:v>
                </c:pt>
                <c:pt idx="43">
                  <c:v>2138699.6651171576</c:v>
                </c:pt>
                <c:pt idx="44">
                  <c:v>2159590.2260451093</c:v>
                </c:pt>
                <c:pt idx="45">
                  <c:v>2176072.6933085704</c:v>
                </c:pt>
                <c:pt idx="46">
                  <c:v>2188151.505086367</c:v>
                </c:pt>
                <c:pt idx="47">
                  <c:v>2195359.1449415949</c:v>
                </c:pt>
                <c:pt idx="48">
                  <c:v>2197186.2446301398</c:v>
                </c:pt>
                <c:pt idx="49">
                  <c:v>2193078.1262902953</c:v>
                </c:pt>
                <c:pt idx="50">
                  <c:v>2182431.0643574595</c:v>
                </c:pt>
              </c:numCache>
            </c:numRef>
          </c:val>
          <c:smooth val="0"/>
          <c:extLst>
            <c:ext xmlns:c16="http://schemas.microsoft.com/office/drawing/2014/chart" uri="{C3380CC4-5D6E-409C-BE32-E72D297353CC}">
              <c16:uniqueId val="{00000000-79AC-4BA7-929C-F3EB1626D769}"/>
            </c:ext>
          </c:extLst>
        </c:ser>
        <c:ser>
          <c:idx val="3"/>
          <c:order val="7"/>
          <c:tx>
            <c:strRef>
              <c:f>'base scenario'!$G$1</c:f>
              <c:strCache>
                <c:ptCount val="1"/>
                <c:pt idx="0">
                  <c:v>Buy+Lease+Sell</c:v>
                </c:pt>
              </c:strCache>
            </c:strRef>
          </c:tx>
          <c:spPr>
            <a:ln>
              <a:solidFill>
                <a:schemeClr val="accent5">
                  <a:lumMod val="60000"/>
                  <a:lumOff val="40000"/>
                </a:schemeClr>
              </a:solidFill>
            </a:ln>
          </c:spPr>
          <c:marker>
            <c:symbol val="none"/>
          </c:marker>
          <c:val>
            <c:numRef>
              <c:f>'base scenario'!$G$2:$G$52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1-79AC-4BA7-929C-F3EB1626D769}"/>
            </c:ext>
          </c:extLst>
        </c:ser>
        <c:ser>
          <c:idx val="5"/>
          <c:order val="8"/>
          <c:tx>
            <c:v>Buy+Sell+Lease  high interest rate</c:v>
          </c:tx>
          <c:spPr>
            <a:ln>
              <a:solidFill>
                <a:schemeClr val="accent5">
                  <a:lumMod val="75000"/>
                </a:schemeClr>
              </a:solidFill>
            </a:ln>
          </c:spPr>
          <c:marker>
            <c:symbol val="none"/>
          </c:marker>
          <c:val>
            <c:numRef>
              <c:f>'high interest rate'!$G$2:$G$52</c:f>
              <c:numCache>
                <c:formatCode>[$EUR]\ #,##0</c:formatCode>
                <c:ptCount val="51"/>
                <c:pt idx="0">
                  <c:v>-278265.57516573137</c:v>
                </c:pt>
                <c:pt idx="1">
                  <c:v>-224701.97661673976</c:v>
                </c:pt>
                <c:pt idx="2">
                  <c:v>-197209.25004148233</c:v>
                </c:pt>
                <c:pt idx="3">
                  <c:v>-141038.06336657226</c:v>
                </c:pt>
                <c:pt idx="4">
                  <c:v>-85530.083675279311</c:v>
                </c:pt>
                <c:pt idx="5">
                  <c:v>-27372.676458538102</c:v>
                </c:pt>
                <c:pt idx="6">
                  <c:v>31134.273193200275</c:v>
                </c:pt>
                <c:pt idx="7">
                  <c:v>93101.386140392104</c:v>
                </c:pt>
                <c:pt idx="8">
                  <c:v>158741.41567916312</c:v>
                </c:pt>
                <c:pt idx="9">
                  <c:v>228265.42855531452</c:v>
                </c:pt>
                <c:pt idx="10">
                  <c:v>300454.96487344697</c:v>
                </c:pt>
                <c:pt idx="11">
                  <c:v>372001.14499395556</c:v>
                </c:pt>
                <c:pt idx="12">
                  <c:v>446494.46754681721</c:v>
                </c:pt>
                <c:pt idx="13">
                  <c:v>520198.07870518812</c:v>
                </c:pt>
                <c:pt idx="14">
                  <c:v>596564.95490764105</c:v>
                </c:pt>
                <c:pt idx="15">
                  <c:v>675608.07378404343</c:v>
                </c:pt>
                <c:pt idx="16">
                  <c:v>757328.95328696934</c:v>
                </c:pt>
                <c:pt idx="17">
                  <c:v>841717.05881313095</c:v>
                </c:pt>
                <c:pt idx="18">
                  <c:v>928749.28251459333</c:v>
                </c:pt>
                <c:pt idx="19">
                  <c:v>1014139.5042790282</c:v>
                </c:pt>
                <c:pt idx="20">
                  <c:v>1150289.4978545709</c:v>
                </c:pt>
                <c:pt idx="21">
                  <c:v>1234926.2454055513</c:v>
                </c:pt>
                <c:pt idx="22">
                  <c:v>1319853.1523830183</c:v>
                </c:pt>
                <c:pt idx="23">
                  <c:v>1404910.8324061995</c:v>
                </c:pt>
                <c:pt idx="24">
                  <c:v>1489934.3432277658</c:v>
                </c:pt>
                <c:pt idx="25">
                  <c:v>1574754.1593748331</c:v>
                </c:pt>
                <c:pt idx="26">
                  <c:v>1672356.6664618093</c:v>
                </c:pt>
                <c:pt idx="27">
                  <c:v>1769975.8272643313</c:v>
                </c:pt>
                <c:pt idx="28">
                  <c:v>1881708.4114900269</c:v>
                </c:pt>
                <c:pt idx="29">
                  <c:v>1994493.3916765798</c:v>
                </c:pt>
                <c:pt idx="30">
                  <c:v>2108047.8297162591</c:v>
                </c:pt>
                <c:pt idx="31">
                  <c:v>2222079.7154233595</c:v>
                </c:pt>
                <c:pt idx="32">
                  <c:v>2336289.836373629</c:v>
                </c:pt>
                <c:pt idx="33">
                  <c:v>2450373.7717999974</c:v>
                </c:pt>
                <c:pt idx="34">
                  <c:v>2564023.994005858</c:v>
                </c:pt>
                <c:pt idx="35">
                  <c:v>1853160.532020919</c:v>
                </c:pt>
                <c:pt idx="36">
                  <c:v>1896125.8752272341</c:v>
                </c:pt>
                <c:pt idx="37">
                  <c:v>1937693.9546125582</c:v>
                </c:pt>
                <c:pt idx="38">
                  <c:v>1977134.8053427364</c:v>
                </c:pt>
                <c:pt idx="39">
                  <c:v>2014195.0887782113</c:v>
                </c:pt>
                <c:pt idx="40">
                  <c:v>2048597.5055320908</c:v>
                </c:pt>
                <c:pt idx="41">
                  <c:v>2080038.794928689</c:v>
                </c:pt>
                <c:pt idx="42">
                  <c:v>2108187.5714584161</c:v>
                </c:pt>
                <c:pt idx="43">
                  <c:v>2132681.9851116445</c:v>
                </c:pt>
                <c:pt idx="44">
                  <c:v>2153127.1914223102</c:v>
                </c:pt>
                <c:pt idx="45">
                  <c:v>2169092.6159159471</c:v>
                </c:pt>
                <c:pt idx="46">
                  <c:v>2180613.0215023342</c:v>
                </c:pt>
                <c:pt idx="47">
                  <c:v>2187217.5826708395</c:v>
                </c:pt>
                <c:pt idx="48">
                  <c:v>2188393.3573777238</c:v>
                </c:pt>
                <c:pt idx="49">
                  <c:v>2183581.8080576863</c:v>
                </c:pt>
                <c:pt idx="50">
                  <c:v>2172175.0406662417</c:v>
                </c:pt>
              </c:numCache>
            </c:numRef>
          </c:val>
          <c:smooth val="0"/>
          <c:extLst>
            <c:ext xmlns:c16="http://schemas.microsoft.com/office/drawing/2014/chart" uri="{C3380CC4-5D6E-409C-BE32-E72D297353CC}">
              <c16:uniqueId val="{00000002-79AC-4BA7-929C-F3EB1626D769}"/>
            </c:ext>
          </c:extLst>
        </c:ser>
        <c:ser>
          <c:idx val="4"/>
          <c:order val="9"/>
          <c:tx>
            <c:v>Buy+Lease low interest rate</c:v>
          </c:tx>
          <c:spPr>
            <a:ln>
              <a:solidFill>
                <a:schemeClr val="accent6">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interest rate'!$I$2:$I$52</c:f>
              <c:numCache>
                <c:formatCode>[$EUR]\ #,##0</c:formatCode>
                <c:ptCount val="51"/>
                <c:pt idx="0">
                  <c:v>-203092.47164424756</c:v>
                </c:pt>
                <c:pt idx="1">
                  <c:v>-152016.11427825314</c:v>
                </c:pt>
                <c:pt idx="2">
                  <c:v>-126740.50524832892</c:v>
                </c:pt>
                <c:pt idx="3">
                  <c:v>-72717.078800258125</c:v>
                </c:pt>
                <c:pt idx="4">
                  <c:v>-19049.471713047064</c:v>
                </c:pt>
                <c:pt idx="5">
                  <c:v>38237.076850677076</c:v>
                </c:pt>
                <c:pt idx="6">
                  <c:v>96272.922129912695</c:v>
                </c:pt>
                <c:pt idx="7">
                  <c:v>158181.96803657425</c:v>
                </c:pt>
                <c:pt idx="8">
                  <c:v>224189.32479429716</c:v>
                </c:pt>
                <c:pt idx="9">
                  <c:v>294517.35403649637</c:v>
                </c:pt>
                <c:pt idx="10">
                  <c:v>367957.69305286778</c:v>
                </c:pt>
                <c:pt idx="11">
                  <c:v>441183.37479759601</c:v>
                </c:pt>
                <c:pt idx="12">
                  <c:v>517792.19271398452</c:v>
                </c:pt>
                <c:pt idx="13">
                  <c:v>594053.13707806775</c:v>
                </c:pt>
                <c:pt idx="14">
                  <c:v>673423.46579121298</c:v>
                </c:pt>
                <c:pt idx="15">
                  <c:v>755918.7707198757</c:v>
                </c:pt>
                <c:pt idx="16">
                  <c:v>841541.42114769935</c:v>
                </c:pt>
                <c:pt idx="17">
                  <c:v>930279.88567838795</c:v>
                </c:pt>
                <c:pt idx="18">
                  <c:v>1022108.1383118869</c:v>
                </c:pt>
                <c:pt idx="19">
                  <c:v>1112735.1596420757</c:v>
                </c:pt>
                <c:pt idx="20">
                  <c:v>1254555.7980434792</c:v>
                </c:pt>
                <c:pt idx="21">
                  <c:v>1345288.0554248902</c:v>
                </c:pt>
                <c:pt idx="22">
                  <c:v>1436724.2906020242</c:v>
                </c:pt>
                <c:pt idx="23">
                  <c:v>1528692.0110077199</c:v>
                </c:pt>
                <c:pt idx="24">
                  <c:v>1621011.1346677272</c:v>
                </c:pt>
                <c:pt idx="25">
                  <c:v>1713495.0087021133</c:v>
                </c:pt>
                <c:pt idx="26">
                  <c:v>1819151.531451086</c:v>
                </c:pt>
                <c:pt idx="27">
                  <c:v>1925008.6939182992</c:v>
                </c:pt>
                <c:pt idx="28">
                  <c:v>2044034.8969071379</c:v>
                </c:pt>
                <c:pt idx="29">
                  <c:v>2163172.9578813203</c:v>
                </c:pt>
                <c:pt idx="30">
                  <c:v>2282148.5487917652</c:v>
                </c:pt>
                <c:pt idx="31">
                  <c:v>2400650.0406091446</c:v>
                </c:pt>
                <c:pt idx="32">
                  <c:v>2519069.8194214972</c:v>
                </c:pt>
                <c:pt idx="33">
                  <c:v>2637149.3150375169</c:v>
                </c:pt>
                <c:pt idx="34">
                  <c:v>2754562.2535093836</c:v>
                </c:pt>
                <c:pt idx="35">
                  <c:v>2807152.5087942085</c:v>
                </c:pt>
                <c:pt idx="36">
                  <c:v>2826241.5965326005</c:v>
                </c:pt>
                <c:pt idx="37">
                  <c:v>2840312.7657247931</c:v>
                </c:pt>
                <c:pt idx="38">
                  <c:v>2852597.2951152227</c:v>
                </c:pt>
                <c:pt idx="39">
                  <c:v>2863121.4795372905</c:v>
                </c:pt>
                <c:pt idx="40">
                  <c:v>2871910.8103405936</c:v>
                </c:pt>
                <c:pt idx="41">
                  <c:v>2878989.9832962723</c:v>
                </c:pt>
                <c:pt idx="42">
                  <c:v>2884382.906104126</c:v>
                </c:pt>
                <c:pt idx="43">
                  <c:v>2888112.7055023946</c:v>
                </c:pt>
                <c:pt idx="44">
                  <c:v>2890201.7339808848</c:v>
                </c:pt>
                <c:pt idx="45">
                  <c:v>2890671.5760978907</c:v>
                </c:pt>
                <c:pt idx="46">
                  <c:v>2889543.0544011258</c:v>
                </c:pt>
                <c:pt idx="47">
                  <c:v>2886836.2349526566</c:v>
                </c:pt>
                <c:pt idx="48">
                  <c:v>2882570.432457597</c:v>
                </c:pt>
                <c:pt idx="49">
                  <c:v>2876764.2149960781</c:v>
                </c:pt>
                <c:pt idx="50">
                  <c:v>2869435.4083577828</c:v>
                </c:pt>
              </c:numCache>
            </c:numRef>
          </c:val>
          <c:smooth val="0"/>
          <c:extLst>
            <c:ext xmlns:c16="http://schemas.microsoft.com/office/drawing/2014/chart" uri="{C3380CC4-5D6E-409C-BE32-E72D297353CC}">
              <c16:uniqueId val="{00000006-2208-4BA8-96AA-BB35B1B30DCF}"/>
            </c:ext>
          </c:extLst>
        </c:ser>
        <c:ser>
          <c:idx val="2"/>
          <c:order val="10"/>
          <c:tx>
            <c:strRef>
              <c:f>'base scenario'!$I$1</c:f>
              <c:strCache>
                <c:ptCount val="1"/>
                <c:pt idx="0">
                  <c:v>Buy+Lease+Hold</c:v>
                </c:pt>
              </c:strCache>
            </c:strRef>
          </c:tx>
          <c:spPr>
            <a:ln>
              <a:solidFill>
                <a:schemeClr val="accent6">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scenario'!$I$2:$I$52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2706169.1840881221</c:v>
                </c:pt>
                <c:pt idx="36">
                  <c:v>2725258.271826514</c:v>
                </c:pt>
                <c:pt idx="37">
                  <c:v>2739329.4410187062</c:v>
                </c:pt>
                <c:pt idx="38">
                  <c:v>2751613.9704091363</c:v>
                </c:pt>
                <c:pt idx="39">
                  <c:v>2762138.1548312041</c:v>
                </c:pt>
                <c:pt idx="40">
                  <c:v>2770927.4856345071</c:v>
                </c:pt>
                <c:pt idx="41">
                  <c:v>2778006.6585901855</c:v>
                </c:pt>
                <c:pt idx="42">
                  <c:v>2783399.5813980391</c:v>
                </c:pt>
                <c:pt idx="43">
                  <c:v>2787129.3807963077</c:v>
                </c:pt>
                <c:pt idx="44">
                  <c:v>2789218.4092747979</c:v>
                </c:pt>
                <c:pt idx="45">
                  <c:v>2789688.2513918038</c:v>
                </c:pt>
                <c:pt idx="46">
                  <c:v>2788559.7296950389</c:v>
                </c:pt>
                <c:pt idx="47">
                  <c:v>2785852.9102465697</c:v>
                </c:pt>
                <c:pt idx="48">
                  <c:v>2781587.1077515101</c:v>
                </c:pt>
                <c:pt idx="49">
                  <c:v>2775780.8902899916</c:v>
                </c:pt>
                <c:pt idx="50">
                  <c:v>2768452.0836516963</c:v>
                </c:pt>
              </c:numCache>
            </c:numRef>
          </c:val>
          <c:smooth val="0"/>
          <c:extLst>
            <c:ext xmlns:c16="http://schemas.microsoft.com/office/drawing/2014/chart" uri="{C3380CC4-5D6E-409C-BE32-E72D297353CC}">
              <c16:uniqueId val="{00000007-2208-4BA8-96AA-BB35B1B30DCF}"/>
            </c:ext>
          </c:extLst>
        </c:ser>
        <c:ser>
          <c:idx val="0"/>
          <c:order val="11"/>
          <c:tx>
            <c:v>Buy+Lease high interest rate</c:v>
          </c:tx>
          <c:spPr>
            <a:ln w="38100" cap="rnd">
              <a:solidFill>
                <a:schemeClr val="accent6">
                  <a:lumMod val="75000"/>
                </a:schemeClr>
              </a:solidFill>
              <a:round/>
            </a:ln>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interest rate'!$I$2:$I$52</c:f>
              <c:numCache>
                <c:formatCode>[$EUR]\ #,##0</c:formatCode>
                <c:ptCount val="51"/>
                <c:pt idx="0">
                  <c:v>-278265.57516573137</c:v>
                </c:pt>
                <c:pt idx="1">
                  <c:v>-224701.97661673976</c:v>
                </c:pt>
                <c:pt idx="2">
                  <c:v>-197209.25004148233</c:v>
                </c:pt>
                <c:pt idx="3">
                  <c:v>-141038.06336657226</c:v>
                </c:pt>
                <c:pt idx="4">
                  <c:v>-85530.083675279311</c:v>
                </c:pt>
                <c:pt idx="5">
                  <c:v>-27372.676458538102</c:v>
                </c:pt>
                <c:pt idx="6">
                  <c:v>31134.273193200275</c:v>
                </c:pt>
                <c:pt idx="7">
                  <c:v>93101.386140392104</c:v>
                </c:pt>
                <c:pt idx="8">
                  <c:v>158741.41567916312</c:v>
                </c:pt>
                <c:pt idx="9">
                  <c:v>228265.42855531452</c:v>
                </c:pt>
                <c:pt idx="10">
                  <c:v>300454.96487344697</c:v>
                </c:pt>
                <c:pt idx="11">
                  <c:v>372001.14499395556</c:v>
                </c:pt>
                <c:pt idx="12">
                  <c:v>446494.46754681721</c:v>
                </c:pt>
                <c:pt idx="13">
                  <c:v>520198.07870518812</c:v>
                </c:pt>
                <c:pt idx="14">
                  <c:v>596564.95490764105</c:v>
                </c:pt>
                <c:pt idx="15">
                  <c:v>675608.07378404343</c:v>
                </c:pt>
                <c:pt idx="16">
                  <c:v>757328.95328696934</c:v>
                </c:pt>
                <c:pt idx="17">
                  <c:v>841717.05881313095</c:v>
                </c:pt>
                <c:pt idx="18">
                  <c:v>928749.28251459333</c:v>
                </c:pt>
                <c:pt idx="19">
                  <c:v>1014139.5042790282</c:v>
                </c:pt>
                <c:pt idx="20">
                  <c:v>1150289.4978545709</c:v>
                </c:pt>
                <c:pt idx="21">
                  <c:v>1234926.2454055513</c:v>
                </c:pt>
                <c:pt idx="22">
                  <c:v>1319853.1523830183</c:v>
                </c:pt>
                <c:pt idx="23">
                  <c:v>1404910.8324061995</c:v>
                </c:pt>
                <c:pt idx="24">
                  <c:v>1489934.3432277658</c:v>
                </c:pt>
                <c:pt idx="25">
                  <c:v>1574754.1593748331</c:v>
                </c:pt>
                <c:pt idx="26">
                  <c:v>1672356.6664618093</c:v>
                </c:pt>
                <c:pt idx="27">
                  <c:v>1769975.8272643313</c:v>
                </c:pt>
                <c:pt idx="28">
                  <c:v>1881708.4114900269</c:v>
                </c:pt>
                <c:pt idx="29">
                  <c:v>1994493.3916765798</c:v>
                </c:pt>
                <c:pt idx="30">
                  <c:v>2108047.8297162591</c:v>
                </c:pt>
                <c:pt idx="31">
                  <c:v>2222079.7154233595</c:v>
                </c:pt>
                <c:pt idx="32">
                  <c:v>2336289.836373629</c:v>
                </c:pt>
                <c:pt idx="33">
                  <c:v>2450373.7717999974</c:v>
                </c:pt>
                <c:pt idx="34">
                  <c:v>2564023.994005858</c:v>
                </c:pt>
                <c:pt idx="35">
                  <c:v>2612878.2049866924</c:v>
                </c:pt>
                <c:pt idx="36">
                  <c:v>2631967.2927250843</c:v>
                </c:pt>
                <c:pt idx="37">
                  <c:v>2646038.4619172765</c:v>
                </c:pt>
                <c:pt idx="38">
                  <c:v>2658322.9913077066</c:v>
                </c:pt>
                <c:pt idx="39">
                  <c:v>2668847.1757297744</c:v>
                </c:pt>
                <c:pt idx="40">
                  <c:v>2677636.5065330775</c:v>
                </c:pt>
                <c:pt idx="41">
                  <c:v>2684715.6794887558</c:v>
                </c:pt>
                <c:pt idx="42">
                  <c:v>2690108.6022966094</c:v>
                </c:pt>
                <c:pt idx="43">
                  <c:v>2693838.401694878</c:v>
                </c:pt>
                <c:pt idx="44">
                  <c:v>2695927.4301733682</c:v>
                </c:pt>
                <c:pt idx="45">
                  <c:v>2696397.2722903742</c:v>
                </c:pt>
                <c:pt idx="46">
                  <c:v>2695268.7505936092</c:v>
                </c:pt>
                <c:pt idx="47">
                  <c:v>2692561.93114514</c:v>
                </c:pt>
                <c:pt idx="48">
                  <c:v>2688296.1286500804</c:v>
                </c:pt>
                <c:pt idx="49">
                  <c:v>2682489.9111885615</c:v>
                </c:pt>
                <c:pt idx="50">
                  <c:v>2675161.1045502662</c:v>
                </c:pt>
              </c:numCache>
            </c:numRef>
          </c:val>
          <c:smooth val="0"/>
          <c:extLst>
            <c:ext xmlns:c16="http://schemas.microsoft.com/office/drawing/2014/chart" uri="{C3380CC4-5D6E-409C-BE32-E72D297353CC}">
              <c16:uniqueId val="{00000008-2208-4BA8-96AA-BB35B1B30DCF}"/>
            </c:ext>
          </c:extLst>
        </c:ser>
        <c:dLbls>
          <c:showLegendKey val="0"/>
          <c:showVal val="0"/>
          <c:showCatName val="0"/>
          <c:showSerName val="0"/>
          <c:showPercent val="0"/>
          <c:showBubbleSize val="0"/>
        </c:dLbls>
        <c:smooth val="0"/>
        <c:axId val="153806976"/>
        <c:axId val="153800736"/>
      </c:lineChart>
      <c:catAx>
        <c:axId val="1538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0736"/>
        <c:crosses val="autoZero"/>
        <c:auto val="1"/>
        <c:lblAlgn val="ctr"/>
        <c:lblOffset val="100"/>
        <c:noMultiLvlLbl val="0"/>
      </c:catAx>
      <c:valAx>
        <c:axId val="153800736"/>
        <c:scaling>
          <c:orientation val="minMax"/>
          <c:max val="3000000"/>
          <c:min val="-1000000"/>
        </c:scaling>
        <c:delete val="0"/>
        <c:axPos val="l"/>
        <c:majorGridlines>
          <c:spPr>
            <a:ln w="9525" cap="flat" cmpd="sng" algn="ctr">
              <a:solidFill>
                <a:schemeClr val="tx1">
                  <a:lumMod val="15000"/>
                  <a:lumOff val="85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3806976"/>
        <c:crosses val="autoZero"/>
        <c:crossBetween val="between"/>
      </c:valAx>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e-DE" sz="1800" baseline="0"/>
              <a:t>Property value</a:t>
            </a:r>
            <a:r>
              <a:rPr lang="de-DE" sz="1800" b="0" i="0" u="none" strike="noStrike" kern="1200" spc="0" baseline="0">
                <a:solidFill>
                  <a:sysClr val="windowText" lastClr="000000">
                    <a:lumMod val="65000"/>
                    <a:lumOff val="35000"/>
                  </a:sysClr>
                </a:solidFill>
              </a:rPr>
              <a:t> (20% change)</a:t>
            </a:r>
            <a:endParaRPr lang="de-DE" sz="1800"/>
          </a:p>
        </c:rich>
      </c:tx>
      <c:overlay val="0"/>
      <c:spPr>
        <a:noFill/>
        <a:ln>
          <a:noFill/>
        </a:ln>
        <a:effectLst/>
      </c:spPr>
    </c:title>
    <c:autoTitleDeleted val="0"/>
    <c:plotArea>
      <c:layout/>
      <c:lineChart>
        <c:grouping val="standard"/>
        <c:varyColors val="0"/>
        <c:ser>
          <c:idx val="6"/>
          <c:order val="0"/>
          <c:tx>
            <c:v>Buy low property value</c:v>
          </c:tx>
          <c:spPr>
            <a:ln>
              <a:solidFill>
                <a:schemeClr val="tx2">
                  <a:lumMod val="25000"/>
                  <a:lumOff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value'!$C$2:$C$52</c:f>
              <c:numCache>
                <c:formatCode>[$EUR]\ #,##0</c:formatCode>
                <c:ptCount val="51"/>
                <c:pt idx="0">
                  <c:v>-308531.4140753345</c:v>
                </c:pt>
                <c:pt idx="1">
                  <c:v>-257581.85525180501</c:v>
                </c:pt>
                <c:pt idx="2">
                  <c:v>-232411.25404073234</c:v>
                </c:pt>
                <c:pt idx="3">
                  <c:v>-179558.44763534589</c:v>
                </c:pt>
                <c:pt idx="4">
                  <c:v>-126680.28692194101</c:v>
                </c:pt>
                <c:pt idx="5">
                  <c:v>-70641.856663318424</c:v>
                </c:pt>
                <c:pt idx="6">
                  <c:v>-14256.777538694067</c:v>
                </c:pt>
                <c:pt idx="7">
                  <c:v>45119.34707089897</c:v>
                </c:pt>
                <c:pt idx="8">
                  <c:v>107532.37213830632</c:v>
                </c:pt>
                <c:pt idx="9">
                  <c:v>173288.30352137849</c:v>
                </c:pt>
                <c:pt idx="10">
                  <c:v>241702.15891331574</c:v>
                </c:pt>
                <c:pt idx="11">
                  <c:v>309489.31383853708</c:v>
                </c:pt>
                <c:pt idx="12">
                  <c:v>380281.16703275242</c:v>
                </c:pt>
                <c:pt idx="13">
                  <c:v>450418.66654738039</c:v>
                </c:pt>
                <c:pt idx="14">
                  <c:v>523530.67606615002</c:v>
                </c:pt>
                <c:pt idx="15">
                  <c:v>599693.36343678064</c:v>
                </c:pt>
                <c:pt idx="16">
                  <c:v>678974.22356945975</c:v>
                </c:pt>
                <c:pt idx="17">
                  <c:v>761431.236542586</c:v>
                </c:pt>
                <c:pt idx="18">
                  <c:v>847112.06403730216</c:v>
                </c:pt>
                <c:pt idx="19">
                  <c:v>931803.29466330353</c:v>
                </c:pt>
                <c:pt idx="20">
                  <c:v>1067981.0031918781</c:v>
                </c:pt>
                <c:pt idx="21">
                  <c:v>1153447.6889846802</c:v>
                </c:pt>
                <c:pt idx="22">
                  <c:v>1240083.0879640142</c:v>
                </c:pt>
                <c:pt idx="23">
                  <c:v>1327804.5307328783</c:v>
                </c:pt>
                <c:pt idx="24">
                  <c:v>1416523.7312631467</c:v>
                </c:pt>
                <c:pt idx="25">
                  <c:v>1506147.2954983539</c:v>
                </c:pt>
                <c:pt idx="26">
                  <c:v>1609777.3006384713</c:v>
                </c:pt>
                <c:pt idx="27">
                  <c:v>1714536.265026933</c:v>
                </c:pt>
                <c:pt idx="28">
                  <c:v>1833417.2280525765</c:v>
                </c:pt>
                <c:pt idx="29">
                  <c:v>1953727.4567557336</c:v>
                </c:pt>
                <c:pt idx="30">
                  <c:v>2075803.3291493407</c:v>
                </c:pt>
                <c:pt idx="31">
                  <c:v>2199381.8794039488</c:v>
                </c:pt>
                <c:pt idx="32">
                  <c:v>2324189.6308529563</c:v>
                </c:pt>
                <c:pt idx="33">
                  <c:v>2449944.3592170691</c:v>
                </c:pt>
                <c:pt idx="34">
                  <c:v>2576356.9884821768</c:v>
                </c:pt>
                <c:pt idx="35">
                  <c:v>2638857.845696792</c:v>
                </c:pt>
                <c:pt idx="36">
                  <c:v>2701238.899149423</c:v>
                </c:pt>
                <c:pt idx="37">
                  <c:v>2763556.9138891893</c:v>
                </c:pt>
                <c:pt idx="38">
                  <c:v>2825868.933706556</c:v>
                </c:pt>
                <c:pt idx="39">
                  <c:v>2888232.3135196501</c:v>
                </c:pt>
                <c:pt idx="40">
                  <c:v>2922811.845811246</c:v>
                </c:pt>
                <c:pt idx="41">
                  <c:v>2955344.8115717233</c:v>
                </c:pt>
                <c:pt idx="42">
                  <c:v>2987129.8200781196</c:v>
                </c:pt>
                <c:pt idx="43">
                  <c:v>3018217.5949184913</c:v>
                </c:pt>
                <c:pt idx="44">
                  <c:v>3048658.8971045143</c:v>
                </c:pt>
                <c:pt idx="45">
                  <c:v>3078504.5552611127</c:v>
                </c:pt>
                <c:pt idx="46">
                  <c:v>3107805.4961222364</c:v>
                </c:pt>
                <c:pt idx="47">
                  <c:v>3136612.7753534326</c:v>
                </c:pt>
                <c:pt idx="48">
                  <c:v>3164977.6087222192</c:v>
                </c:pt>
                <c:pt idx="49">
                  <c:v>3192951.4036376756</c:v>
                </c:pt>
                <c:pt idx="50">
                  <c:v>3220585.7910810448</c:v>
                </c:pt>
              </c:numCache>
            </c:numRef>
          </c:val>
          <c:smooth val="0"/>
          <c:extLst>
            <c:ext xmlns:c16="http://schemas.microsoft.com/office/drawing/2014/chart" uri="{C3380CC4-5D6E-409C-BE32-E72D297353CC}">
              <c16:uniqueId val="{00000000-D2CD-4DA7-AA92-865D680FE220}"/>
            </c:ext>
          </c:extLst>
        </c:ser>
        <c:ser>
          <c:idx val="7"/>
          <c:order val="1"/>
          <c:tx>
            <c:strRef>
              <c:f>'base scenario'!$C$1</c:f>
              <c:strCache>
                <c:ptCount val="1"/>
                <c:pt idx="0">
                  <c:v>Buy</c:v>
                </c:pt>
              </c:strCache>
            </c:strRef>
          </c:tx>
          <c:spPr>
            <a:ln>
              <a:solidFill>
                <a:schemeClr val="tx2">
                  <a:lumMod val="50000"/>
                  <a:lumOff val="5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scenario'!$C$2:$C$52</c:f>
              <c:numCache>
                <c:formatCode>[$EUR]\ #,##0</c:formatCode>
                <c:ptCount val="51"/>
                <c:pt idx="0">
                  <c:v>-477273.913326359</c:v>
                </c:pt>
                <c:pt idx="1">
                  <c:v>-423573.87104983191</c:v>
                </c:pt>
                <c:pt idx="2">
                  <c:v>-396520.58813195693</c:v>
                </c:pt>
                <c:pt idx="3">
                  <c:v>-343530.03614610882</c:v>
                </c:pt>
                <c:pt idx="4">
                  <c:v>-291903.34485381481</c:v>
                </c:pt>
                <c:pt idx="5">
                  <c:v>-238627.99257823703</c:v>
                </c:pt>
                <c:pt idx="6">
                  <c:v>-186650.11611320038</c:v>
                </c:pt>
                <c:pt idx="7">
                  <c:v>-132951.20067150012</c:v>
                </c:pt>
                <c:pt idx="8">
                  <c:v>-77370.905126854035</c:v>
                </c:pt>
                <c:pt idx="9">
                  <c:v>-19735.713380230474</c:v>
                </c:pt>
                <c:pt idx="10">
                  <c:v>38715.756774324895</c:v>
                </c:pt>
                <c:pt idx="11">
                  <c:v>94755.902189347777</c:v>
                </c:pt>
                <c:pt idx="12">
                  <c:v>151911.94021123304</c:v>
                </c:pt>
                <c:pt idx="13">
                  <c:v>206492.083271718</c:v>
                </c:pt>
                <c:pt idx="14">
                  <c:v>262007.98000080817</c:v>
                </c:pt>
                <c:pt idx="15">
                  <c:v>318500.9504509723</c:v>
                </c:pt>
                <c:pt idx="16">
                  <c:v>376014.31892630807</c:v>
                </c:pt>
                <c:pt idx="17">
                  <c:v>434593.53218883643</c:v>
                </c:pt>
                <c:pt idx="18">
                  <c:v>494286.28583477938</c:v>
                </c:pt>
                <c:pt idx="19">
                  <c:v>550892.65945600299</c:v>
                </c:pt>
                <c:pt idx="20">
                  <c:v>656764.13473957381</c:v>
                </c:pt>
                <c:pt idx="21">
                  <c:v>711530.16894355742</c:v>
                </c:pt>
                <c:pt idx="22">
                  <c:v>765288.75970446132</c:v>
                </c:pt>
                <c:pt idx="23">
                  <c:v>817893.87484979734</c:v>
                </c:pt>
                <c:pt idx="24">
                  <c:v>869185.87502454338</c:v>
                </c:pt>
                <c:pt idx="25">
                  <c:v>918990.36851039785</c:v>
                </c:pt>
                <c:pt idx="26">
                  <c:v>980316.97276569519</c:v>
                </c:pt>
                <c:pt idx="27">
                  <c:v>1040813.9751746545</c:v>
                </c:pt>
                <c:pt idx="28">
                  <c:v>1113436.7083406434</c:v>
                </c:pt>
                <c:pt idx="29">
                  <c:v>1186631.9022219453</c:v>
                </c:pt>
                <c:pt idx="30">
                  <c:v>1262877.1920247169</c:v>
                </c:pt>
                <c:pt idx="31">
                  <c:v>1342334.0701406451</c:v>
                </c:pt>
                <c:pt idx="32">
                  <c:v>1425174.5214326927</c:v>
                </c:pt>
                <c:pt idx="33">
                  <c:v>1511581.791252797</c:v>
                </c:pt>
                <c:pt idx="34">
                  <c:v>1601751.2128015764</c:v>
                </c:pt>
                <c:pt idx="35">
                  <c:v>1630157.136895037</c:v>
                </c:pt>
                <c:pt idx="36">
                  <c:v>1656182.3811379366</c:v>
                </c:pt>
                <c:pt idx="37">
                  <c:v>1679564.5942990659</c:v>
                </c:pt>
                <c:pt idx="38">
                  <c:v>1700017.0232232665</c:v>
                </c:pt>
                <c:pt idx="39">
                  <c:v>1717226.4862551331</c:v>
                </c:pt>
                <c:pt idx="40">
                  <c:v>1730851.1818280322</c:v>
                </c:pt>
                <c:pt idx="41">
                  <c:v>1740518.3189623929</c:v>
                </c:pt>
                <c:pt idx="42">
                  <c:v>1745821.5553544983</c:v>
                </c:pt>
                <c:pt idx="43">
                  <c:v>1746318.2275891919</c:v>
                </c:pt>
                <c:pt idx="44">
                  <c:v>1741526.3567702188</c:v>
                </c:pt>
                <c:pt idx="45">
                  <c:v>1730921.4115229836</c:v>
                </c:pt>
                <c:pt idx="46">
                  <c:v>1713932.8088783845</c:v>
                </c:pt>
                <c:pt idx="47">
                  <c:v>1689940.131984497</c:v>
                </c:pt>
                <c:pt idx="48">
                  <c:v>1658269.0419059834</c:v>
                </c:pt>
                <c:pt idx="49">
                  <c:v>1618186.8589491718</c:v>
                </c:pt>
                <c:pt idx="50">
                  <c:v>1568897.7869829808</c:v>
                </c:pt>
              </c:numCache>
            </c:numRef>
          </c:val>
          <c:smooth val="0"/>
          <c:extLst>
            <c:ext xmlns:c16="http://schemas.microsoft.com/office/drawing/2014/chart" uri="{C3380CC4-5D6E-409C-BE32-E72D297353CC}">
              <c16:uniqueId val="{00000001-D2CD-4DA7-AA92-865D680FE220}"/>
            </c:ext>
          </c:extLst>
        </c:ser>
        <c:ser>
          <c:idx val="8"/>
          <c:order val="2"/>
          <c:tx>
            <c:v>Buy high property value</c:v>
          </c:tx>
          <c:spPr>
            <a:ln>
              <a:solidFill>
                <a:schemeClr val="tx2">
                  <a:lumMod val="75000"/>
                  <a:lumOff val="2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value'!$C$2:$C$52</c:f>
              <c:numCache>
                <c:formatCode>[$EUR]\ #,##0</c:formatCode>
                <c:ptCount val="51"/>
                <c:pt idx="0">
                  <c:v>-646016.4125773831</c:v>
                </c:pt>
                <c:pt idx="1">
                  <c:v>-589781.3004655618</c:v>
                </c:pt>
                <c:pt idx="2">
                  <c:v>-561368.81969511928</c:v>
                </c:pt>
                <c:pt idx="3">
                  <c:v>-508299.63392656454</c:v>
                </c:pt>
                <c:pt idx="4">
                  <c:v>-457988.25279695709</c:v>
                </c:pt>
                <c:pt idx="5">
                  <c:v>-407544.92650532571</c:v>
                </c:pt>
                <c:pt idx="6">
                  <c:v>-360048.71654085052</c:v>
                </c:pt>
                <c:pt idx="7">
                  <c:v>-312625.00759406493</c:v>
                </c:pt>
                <c:pt idx="8">
                  <c:v>-265269.22080512613</c:v>
                </c:pt>
                <c:pt idx="9">
                  <c:v>-217976.42447178334</c:v>
                </c:pt>
                <c:pt idx="10">
                  <c:v>-172167.67930766242</c:v>
                </c:pt>
                <c:pt idx="11">
                  <c:v>-131268.00951887335</c:v>
                </c:pt>
                <c:pt idx="12">
                  <c:v>-91963.806463901768</c:v>
                </c:pt>
                <c:pt idx="13">
                  <c:v>-58177.960660928977</c:v>
                </c:pt>
                <c:pt idx="14">
                  <c:v>-26648.832142410218</c:v>
                </c:pt>
                <c:pt idx="15">
                  <c:v>2394.4600333945127</c:v>
                </c:pt>
                <c:pt idx="16">
                  <c:v>28702.723535863915</c:v>
                </c:pt>
                <c:pt idx="17">
                  <c:v>52005.031754768803</c:v>
                </c:pt>
                <c:pt idx="18">
                  <c:v>72006.92824323161</c:v>
                </c:pt>
                <c:pt idx="19">
                  <c:v>84138.485797234694</c:v>
                </c:pt>
                <c:pt idx="20">
                  <c:v>140351.08198114869</c:v>
                </c:pt>
                <c:pt idx="21">
                  <c:v>139841.55020611966</c:v>
                </c:pt>
                <c:pt idx="22">
                  <c:v>132240.12791855936</c:v>
                </c:pt>
                <c:pt idx="23">
                  <c:v>116895.06002186215</c:v>
                </c:pt>
                <c:pt idx="24">
                  <c:v>93099.968545351876</c:v>
                </c:pt>
                <c:pt idx="25">
                  <c:v>60089.409800640773</c:v>
                </c:pt>
                <c:pt idx="26">
                  <c:v>30234.073963035829</c:v>
                </c:pt>
                <c:pt idx="27">
                  <c:v>-9508.4015911691822</c:v>
                </c:pt>
                <c:pt idx="28">
                  <c:v>-46962.227544057649</c:v>
                </c:pt>
                <c:pt idx="29">
                  <c:v>-94247.547381988261</c:v>
                </c:pt>
                <c:pt idx="30">
                  <c:v>-148934.40647976659</c:v>
                </c:pt>
                <c:pt idx="31">
                  <c:v>-211721.36073326226</c:v>
                </c:pt>
                <c:pt idx="32">
                  <c:v>-283365.98088516528</c:v>
                </c:pt>
                <c:pt idx="33">
                  <c:v>-364689.66578258714</c:v>
                </c:pt>
                <c:pt idx="34">
                  <c:v>-456582.84340320947</c:v>
                </c:pt>
                <c:pt idx="35">
                  <c:v>-625744.55237171892</c:v>
                </c:pt>
                <c:pt idx="36">
                  <c:v>-814060.02561708866</c:v>
                </c:pt>
                <c:pt idx="37">
                  <c:v>-1023161.9221182</c:v>
                </c:pt>
                <c:pt idx="38">
                  <c:v>-1254817.7644857438</c:v>
                </c:pt>
                <c:pt idx="39">
                  <c:v>-1510940.8270953833</c:v>
                </c:pt>
                <c:pt idx="40">
                  <c:v>-1793601.898704275</c:v>
                </c:pt>
                <c:pt idx="41">
                  <c:v>-2105041.9896001825</c:v>
                </c:pt>
                <c:pt idx="42">
                  <c:v>-2447686.0589392278</c:v>
                </c:pt>
                <c:pt idx="43">
                  <c:v>-2824157.8439837694</c:v>
                </c:pt>
                <c:pt idx="44">
                  <c:v>-3237295.8794918382</c:v>
                </c:pt>
                <c:pt idx="45">
                  <c:v>-3690170.802572805</c:v>
                </c:pt>
                <c:pt idx="46">
                  <c:v>-4186104.0459523271</c:v>
                </c:pt>
                <c:pt idx="47">
                  <c:v>-4728688.030828381</c:v>
                </c:pt>
                <c:pt idx="48">
                  <c:v>-5321807.979398096</c:v>
                </c:pt>
                <c:pt idx="49">
                  <c:v>-5969665.4767449964</c:v>
                </c:pt>
                <c:pt idx="50">
                  <c:v>-6676803.9221550077</c:v>
                </c:pt>
              </c:numCache>
            </c:numRef>
          </c:val>
          <c:smooth val="0"/>
          <c:extLst>
            <c:ext xmlns:c16="http://schemas.microsoft.com/office/drawing/2014/chart" uri="{C3380CC4-5D6E-409C-BE32-E72D297353CC}">
              <c16:uniqueId val="{00000002-D2CD-4DA7-AA92-865D680FE220}"/>
            </c:ext>
          </c:extLst>
        </c:ser>
        <c:ser>
          <c:idx val="9"/>
          <c:order val="3"/>
          <c:tx>
            <c:v>Rent low property value</c:v>
          </c:tx>
          <c:spPr>
            <a:ln>
              <a:solidFill>
                <a:schemeClr val="accent2">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value'!$E$2:$E$52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3-D2CD-4DA7-AA92-865D680FE220}"/>
            </c:ext>
          </c:extLst>
        </c:ser>
        <c:ser>
          <c:idx val="10"/>
          <c:order val="4"/>
          <c:tx>
            <c:strRef>
              <c:f>'base scenario'!$E$1</c:f>
              <c:strCache>
                <c:ptCount val="1"/>
                <c:pt idx="0">
                  <c:v>Rent</c:v>
                </c:pt>
              </c:strCache>
            </c:strRef>
          </c:tx>
          <c:spPr>
            <a:ln>
              <a:solidFill>
                <a:schemeClr val="accent2">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4-D2CD-4DA7-AA92-865D680FE220}"/>
            </c:ext>
          </c:extLst>
        </c:ser>
        <c:ser>
          <c:idx val="11"/>
          <c:order val="5"/>
          <c:tx>
            <c:v>Rent high property value</c:v>
          </c:tx>
          <c:spPr>
            <a:ln>
              <a:solidFill>
                <a:schemeClr val="accent2">
                  <a:lumMod val="75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value'!$E$2:$E$52</c:f>
              <c:numCache>
                <c:formatCode>[$EUR]\ #,##0</c:formatCode>
                <c:ptCount val="51"/>
                <c:pt idx="0">
                  <c:v>52939.215686274518</c:v>
                </c:pt>
                <c:pt idx="1">
                  <c:v>80687.583303125168</c:v>
                </c:pt>
                <c:pt idx="2">
                  <c:v>83940.902535110043</c:v>
                </c:pt>
                <c:pt idx="3">
                  <c:v>115620.31302744204</c:v>
                </c:pt>
                <c:pt idx="4">
                  <c:v>148249.98570310793</c:v>
                </c:pt>
                <c:pt idx="5">
                  <c:v>185006.38017291311</c:v>
                </c:pt>
                <c:pt idx="6">
                  <c:v>223005.40140994103</c:v>
                </c:pt>
                <c:pt idx="7">
                  <c:v>265351.20260454051</c:v>
                </c:pt>
                <c:pt idx="8">
                  <c:v>312243.52769868047</c:v>
                </c:pt>
                <c:pt idx="9">
                  <c:v>363873.46426930919</c:v>
                </c:pt>
                <c:pt idx="10">
                  <c:v>418995.20299716713</c:v>
                </c:pt>
                <c:pt idx="11">
                  <c:v>473889.44147897937</c:v>
                </c:pt>
                <c:pt idx="12">
                  <c:v>532103.4119152088</c:v>
                </c:pt>
                <c:pt idx="13">
                  <c:v>589884.3565052069</c:v>
                </c:pt>
                <c:pt idx="14">
                  <c:v>650757.84191216214</c:v>
                </c:pt>
                <c:pt idx="15">
                  <c:v>714687.17090717575</c:v>
                </c:pt>
                <c:pt idx="16">
                  <c:v>781617.50755653845</c:v>
                </c:pt>
                <c:pt idx="17">
                  <c:v>851475.22030811093</c:v>
                </c:pt>
                <c:pt idx="18">
                  <c:v>924167.34882575355</c:v>
                </c:pt>
                <c:pt idx="19">
                  <c:v>995331.20698917622</c:v>
                </c:pt>
                <c:pt idx="20">
                  <c:v>1117285.3879814148</c:v>
                </c:pt>
                <c:pt idx="21">
                  <c:v>1187667.2366441698</c:v>
                </c:pt>
                <c:pt idx="22">
                  <c:v>1258184.282270076</c:v>
                </c:pt>
                <c:pt idx="23">
                  <c:v>1328575.3021546253</c:v>
                </c:pt>
                <c:pt idx="24">
                  <c:v>1398567.8969063496</c:v>
                </c:pt>
                <c:pt idx="25">
                  <c:v>1467879.8622985028</c:v>
                </c:pt>
                <c:pt idx="26">
                  <c:v>1549420.702730926</c:v>
                </c:pt>
                <c:pt idx="27">
                  <c:v>1630117.5994139973</c:v>
                </c:pt>
                <c:pt idx="28">
                  <c:v>1722836.1865288515</c:v>
                </c:pt>
                <c:pt idx="29">
                  <c:v>1814415.0457534187</c:v>
                </c:pt>
                <c:pt idx="30">
                  <c:v>1904474.6562625396</c:v>
                </c:pt>
                <c:pt idx="31">
                  <c:v>1992630.8537387501</c:v>
                </c:pt>
                <c:pt idx="32">
                  <c:v>2078497.2966448728</c:v>
                </c:pt>
                <c:pt idx="33">
                  <c:v>2161688.0254255747</c:v>
                </c:pt>
                <c:pt idx="34">
                  <c:v>2241820.0911195469</c:v>
                </c:pt>
                <c:pt idx="35">
                  <c:v>2210344.639879398</c:v>
                </c:pt>
                <c:pt idx="36">
                  <c:v>2169253.8717228705</c:v>
                </c:pt>
                <c:pt idx="37">
                  <c:v>2124863.2536664922</c:v>
                </c:pt>
                <c:pt idx="38">
                  <c:v>2077156.1834064082</c:v>
                </c:pt>
                <c:pt idx="39">
                  <c:v>2026113.9612936091</c:v>
                </c:pt>
                <c:pt idx="40">
                  <c:v>1971715.7608281516</c:v>
                </c:pt>
                <c:pt idx="41">
                  <c:v>1913938.5976419444</c:v>
                </c:pt>
                <c:pt idx="42">
                  <c:v>1852757.2969385185</c:v>
                </c:pt>
                <c:pt idx="43">
                  <c:v>1788144.4593570139</c:v>
                </c:pt>
                <c:pt idx="44">
                  <c:v>1720070.4252263997</c:v>
                </c:pt>
                <c:pt idx="45">
                  <c:v>1648503.2371746951</c:v>
                </c:pt>
                <c:pt idx="46">
                  <c:v>1573408.6010566838</c:v>
                </c:pt>
                <c:pt idx="47">
                  <c:v>1494749.8451622992</c:v>
                </c:pt>
                <c:pt idx="48">
                  <c:v>1412487.8776665181</c:v>
                </c:pt>
                <c:pt idx="49">
                  <c:v>1326581.1422802128</c:v>
                </c:pt>
                <c:pt idx="50">
                  <c:v>1236985.5720600046</c:v>
                </c:pt>
              </c:numCache>
            </c:numRef>
          </c:val>
          <c:smooth val="0"/>
          <c:extLst>
            <c:ext xmlns:c16="http://schemas.microsoft.com/office/drawing/2014/chart" uri="{C3380CC4-5D6E-409C-BE32-E72D297353CC}">
              <c16:uniqueId val="{00000005-D2CD-4DA7-AA92-865D680FE220}"/>
            </c:ext>
          </c:extLst>
        </c:ser>
        <c:ser>
          <c:idx val="1"/>
          <c:order val="6"/>
          <c:tx>
            <c:v>Buy+Sell+Lease low property value</c:v>
          </c:tx>
          <c:spPr>
            <a:ln>
              <a:solidFill>
                <a:schemeClr val="accent5">
                  <a:lumMod val="40000"/>
                  <a:lumOff val="60000"/>
                </a:schemeClr>
              </a:solidFill>
            </a:ln>
          </c:spPr>
          <c:marker>
            <c:symbol val="none"/>
          </c:marker>
          <c:val>
            <c:numRef>
              <c:f>'low property value'!$G$2:$G$52</c:f>
              <c:numCache>
                <c:formatCode>[$EUR]\ #,##0</c:formatCode>
                <c:ptCount val="51"/>
                <c:pt idx="0">
                  <c:v>-167079.10088523824</c:v>
                </c:pt>
                <c:pt idx="1">
                  <c:v>-118356.58661884732</c:v>
                </c:pt>
                <c:pt idx="2">
                  <c:v>-95028.017462769014</c:v>
                </c:pt>
                <c:pt idx="3">
                  <c:v>-42980.794665861074</c:v>
                </c:pt>
                <c:pt idx="4">
                  <c:v>9057.4240869347705</c:v>
                </c:pt>
                <c:pt idx="5">
                  <c:v>64778.577558798832</c:v>
                </c:pt>
                <c:pt idx="6">
                  <c:v>121302.92081760459</c:v>
                </c:pt>
                <c:pt idx="7">
                  <c:v>181742.76081035979</c:v>
                </c:pt>
                <c:pt idx="8">
                  <c:v>246310.06620227179</c:v>
                </c:pt>
                <c:pt idx="9">
                  <c:v>315212.47372673807</c:v>
                </c:pt>
                <c:pt idx="10">
                  <c:v>387225.28375393135</c:v>
                </c:pt>
                <c:pt idx="11">
                  <c:v>459016.86336186831</c:v>
                </c:pt>
                <c:pt idx="12">
                  <c:v>534165.40816997038</c:v>
                </c:pt>
                <c:pt idx="13">
                  <c:v>608952.39845891984</c:v>
                </c:pt>
                <c:pt idx="14">
                  <c:v>686940.94315406214</c:v>
                </c:pt>
                <c:pt idx="15">
                  <c:v>768135.19684901112</c:v>
                </c:pt>
                <c:pt idx="16">
                  <c:v>852524.46478296677</c:v>
                </c:pt>
                <c:pt idx="17">
                  <c:v>940082.4988981497</c:v>
                </c:pt>
                <c:pt idx="18">
                  <c:v>1030766.8898483565</c:v>
                </c:pt>
                <c:pt idx="19">
                  <c:v>1120268.5666781322</c:v>
                </c:pt>
                <c:pt idx="20">
                  <c:v>1260962.6697028265</c:v>
                </c:pt>
                <c:pt idx="21">
                  <c:v>1350545.8617064292</c:v>
                </c:pt>
                <c:pt idx="22">
                  <c:v>1440787.5709103772</c:v>
                </c:pt>
                <c:pt idx="23">
                  <c:v>1531490.8366821771</c:v>
                </c:pt>
                <c:pt idx="24">
                  <c:v>1622449.6400002744</c:v>
                </c:pt>
                <c:pt idx="25">
                  <c:v>1713450.0048524509</c:v>
                </c:pt>
                <c:pt idx="26">
                  <c:v>1817471.2174055586</c:v>
                </c:pt>
                <c:pt idx="27">
                  <c:v>1921511.4781958009</c:v>
                </c:pt>
                <c:pt idx="28">
                  <c:v>2038466.169714788</c:v>
                </c:pt>
                <c:pt idx="29">
                  <c:v>2155456.0241767871</c:v>
                </c:pt>
                <c:pt idx="30">
                  <c:v>2272712.0739832004</c:v>
                </c:pt>
                <c:pt idx="31">
                  <c:v>2389894.2463054429</c:v>
                </c:pt>
                <c:pt idx="32">
                  <c:v>2506655.7918102164</c:v>
                </c:pt>
                <c:pt idx="33">
                  <c:v>2622645.5830437583</c:v>
                </c:pt>
                <c:pt idx="34">
                  <c:v>2737510.520613939</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1-75C8-4328-B8B4-7D2B9B30B2EF}"/>
            </c:ext>
          </c:extLst>
        </c:ser>
        <c:ser>
          <c:idx val="3"/>
          <c:order val="7"/>
          <c:tx>
            <c:strRef>
              <c:f>'base scenario'!$G$1</c:f>
              <c:strCache>
                <c:ptCount val="1"/>
                <c:pt idx="0">
                  <c:v>Buy+Lease+Sell</c:v>
                </c:pt>
              </c:strCache>
            </c:strRef>
          </c:tx>
          <c:spPr>
            <a:ln>
              <a:solidFill>
                <a:schemeClr val="accent5">
                  <a:lumMod val="60000"/>
                  <a:lumOff val="40000"/>
                </a:schemeClr>
              </a:solidFill>
            </a:ln>
          </c:spPr>
          <c:marker>
            <c:symbol val="none"/>
          </c:marker>
          <c:val>
            <c:numRef>
              <c:f>'base scenario'!$G$2:$G$52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2-75C8-4328-B8B4-7D2B9B30B2EF}"/>
            </c:ext>
          </c:extLst>
        </c:ser>
        <c:ser>
          <c:idx val="5"/>
          <c:order val="8"/>
          <c:tx>
            <c:v>Buy+Sell+Lease high property value</c:v>
          </c:tx>
          <c:spPr>
            <a:ln>
              <a:solidFill>
                <a:schemeClr val="accent5">
                  <a:lumMod val="75000"/>
                </a:schemeClr>
              </a:solidFill>
            </a:ln>
          </c:spPr>
          <c:marker>
            <c:symbol val="none"/>
          </c:marker>
          <c:val>
            <c:numRef>
              <c:f>'high property value'!$G$2:$G$52</c:f>
              <c:numCache>
                <c:formatCode>[$EUR]\ #,##0</c:formatCode>
                <c:ptCount val="51"/>
                <c:pt idx="0">
                  <c:v>-328322.60306040221</c:v>
                </c:pt>
                <c:pt idx="1">
                  <c:v>-271885.61523322342</c:v>
                </c:pt>
                <c:pt idx="2">
                  <c:v>-241465.79470520356</c:v>
                </c:pt>
                <c:pt idx="3">
                  <c:v>-182954.72132040362</c:v>
                </c:pt>
                <c:pt idx="4">
                  <c:v>-124445.1429679384</c:v>
                </c:pt>
                <c:pt idx="5">
                  <c:v>-63338.652094721532</c:v>
                </c:pt>
                <c:pt idx="6">
                  <c:v>-2714.9460349775982</c:v>
                </c:pt>
                <c:pt idx="7">
                  <c:v>60588.756087855567</c:v>
                </c:pt>
                <c:pt idx="8">
                  <c:v>127297.36159319129</c:v>
                </c:pt>
                <c:pt idx="9">
                  <c:v>197630.35640557908</c:v>
                </c:pt>
                <c:pt idx="10">
                  <c:v>270371.81660594873</c:v>
                </c:pt>
                <c:pt idx="11">
                  <c:v>342203.90071638249</c:v>
                </c:pt>
                <c:pt idx="12">
                  <c:v>416723.87599335698</c:v>
                </c:pt>
                <c:pt idx="13">
                  <c:v>490237.81215627148</c:v>
                </c:pt>
                <c:pt idx="14">
                  <c:v>566339.13199280226</c:v>
                </c:pt>
                <c:pt idx="15">
                  <c:v>645068.19998779253</c:v>
                </c:pt>
                <c:pt idx="16">
                  <c:v>726456.56002717721</c:v>
                </c:pt>
                <c:pt idx="17">
                  <c:v>810526.32167285704</c:v>
                </c:pt>
                <c:pt idx="18">
                  <c:v>897289.5965446129</c:v>
                </c:pt>
                <c:pt idx="19">
                  <c:v>982497.99355260213</c:v>
                </c:pt>
                <c:pt idx="20">
                  <c:v>1118593.4359553645</c:v>
                </c:pt>
                <c:pt idx="21">
                  <c:v>1203345.3632842256</c:v>
                </c:pt>
                <c:pt idx="22">
                  <c:v>1288601.8100452404</c:v>
                </c:pt>
                <c:pt idx="23">
                  <c:v>1374250.0312087873</c:v>
                </c:pt>
                <c:pt idx="24">
                  <c:v>1459989.6419315622</c:v>
                </c:pt>
                <c:pt idx="25">
                  <c:v>1545686.1370346779</c:v>
                </c:pt>
                <c:pt idx="26">
                  <c:v>1644406.1968354913</c:v>
                </c:pt>
                <c:pt idx="27">
                  <c:v>1743240.0670048534</c:v>
                </c:pt>
                <c:pt idx="28">
                  <c:v>1855147.0705926083</c:v>
                </c:pt>
                <c:pt idx="29">
                  <c:v>1967508.8952710757</c:v>
                </c:pt>
                <c:pt idx="30">
                  <c:v>2081072.6329676681</c:v>
                </c:pt>
                <c:pt idx="31">
                  <c:v>2195582.6007832279</c:v>
                </c:pt>
                <c:pt idx="32">
                  <c:v>2310775.6095752055</c:v>
                </c:pt>
                <c:pt idx="33">
                  <c:v>2426382.743965229</c:v>
                </c:pt>
                <c:pt idx="34">
                  <c:v>2542131.2497032215</c:v>
                </c:pt>
                <c:pt idx="35">
                  <c:v>1855435.3783000857</c:v>
                </c:pt>
                <c:pt idx="36">
                  <c:v>1898400.7215064005</c:v>
                </c:pt>
                <c:pt idx="37">
                  <c:v>1940005.1984321915</c:v>
                </c:pt>
                <c:pt idx="38">
                  <c:v>1979503.5572763071</c:v>
                </c:pt>
                <c:pt idx="39">
                  <c:v>2016644.1482450676</c:v>
                </c:pt>
                <c:pt idx="40">
                  <c:v>2051151.495905129</c:v>
                </c:pt>
                <c:pt idx="41">
                  <c:v>2082724.3094506369</c:v>
                </c:pt>
                <c:pt idx="42">
                  <c:v>2111033.3308314197</c:v>
                </c:pt>
                <c:pt idx="43">
                  <c:v>2135719.0076940213</c:v>
                </c:pt>
                <c:pt idx="44">
                  <c:v>2156388.9770410443</c:v>
                </c:pt>
                <c:pt idx="45">
                  <c:v>2172615.3443841799</c:v>
                </c:pt>
                <c:pt idx="46">
                  <c:v>2184417.5682480256</c:v>
                </c:pt>
                <c:pt idx="47">
                  <c:v>2191326.4931561858</c:v>
                </c:pt>
                <c:pt idx="48">
                  <c:v>2192830.9807018982</c:v>
                </c:pt>
                <c:pt idx="49">
                  <c:v>2188374.4412477948</c:v>
                </c:pt>
                <c:pt idx="50">
                  <c:v>2177351.0845115585</c:v>
                </c:pt>
              </c:numCache>
            </c:numRef>
          </c:val>
          <c:smooth val="0"/>
          <c:extLst>
            <c:ext xmlns:c16="http://schemas.microsoft.com/office/drawing/2014/chart" uri="{C3380CC4-5D6E-409C-BE32-E72D297353CC}">
              <c16:uniqueId val="{00000003-75C8-4328-B8B4-7D2B9B30B2EF}"/>
            </c:ext>
          </c:extLst>
        </c:ser>
        <c:ser>
          <c:idx val="4"/>
          <c:order val="9"/>
          <c:tx>
            <c:v>Buy+Lease low property value</c:v>
          </c:tx>
          <c:spPr>
            <a:ln>
              <a:solidFill>
                <a:schemeClr val="accent6">
                  <a:lumMod val="40000"/>
                  <a:lumOff val="6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'low property value'!$I$2:$I$52</c:f>
              <c:numCache>
                <c:formatCode>[$EUR]\ #,##0</c:formatCode>
                <c:ptCount val="51"/>
                <c:pt idx="0">
                  <c:v>-167079.10088523824</c:v>
                </c:pt>
                <c:pt idx="1">
                  <c:v>-118356.58661884732</c:v>
                </c:pt>
                <c:pt idx="2">
                  <c:v>-95028.017462769014</c:v>
                </c:pt>
                <c:pt idx="3">
                  <c:v>-42980.794665861074</c:v>
                </c:pt>
                <c:pt idx="4">
                  <c:v>9057.4240869347705</c:v>
                </c:pt>
                <c:pt idx="5">
                  <c:v>64778.577558798832</c:v>
                </c:pt>
                <c:pt idx="6">
                  <c:v>121302.92081760459</c:v>
                </c:pt>
                <c:pt idx="7">
                  <c:v>181742.76081035979</c:v>
                </c:pt>
                <c:pt idx="8">
                  <c:v>246310.06620227179</c:v>
                </c:pt>
                <c:pt idx="9">
                  <c:v>315212.47372673807</c:v>
                </c:pt>
                <c:pt idx="10">
                  <c:v>387225.28375393135</c:v>
                </c:pt>
                <c:pt idx="11">
                  <c:v>459016.86336186831</c:v>
                </c:pt>
                <c:pt idx="12">
                  <c:v>534165.40816997038</c:v>
                </c:pt>
                <c:pt idx="13">
                  <c:v>608952.39845891984</c:v>
                </c:pt>
                <c:pt idx="14">
                  <c:v>686940.94315406214</c:v>
                </c:pt>
                <c:pt idx="15">
                  <c:v>768135.19684901112</c:v>
                </c:pt>
                <c:pt idx="16">
                  <c:v>852524.46478296677</c:v>
                </c:pt>
                <c:pt idx="17">
                  <c:v>940082.4988981497</c:v>
                </c:pt>
                <c:pt idx="18">
                  <c:v>1030766.8898483565</c:v>
                </c:pt>
                <c:pt idx="19">
                  <c:v>1120268.5666781322</c:v>
                </c:pt>
                <c:pt idx="20">
                  <c:v>1260962.6697028265</c:v>
                </c:pt>
                <c:pt idx="21">
                  <c:v>1350545.8617064292</c:v>
                </c:pt>
                <c:pt idx="22">
                  <c:v>1440787.5709103772</c:v>
                </c:pt>
                <c:pt idx="23">
                  <c:v>1531490.8366821771</c:v>
                </c:pt>
                <c:pt idx="24">
                  <c:v>1622449.6400002744</c:v>
                </c:pt>
                <c:pt idx="25">
                  <c:v>1713450.0048524509</c:v>
                </c:pt>
                <c:pt idx="26">
                  <c:v>1817471.2174055586</c:v>
                </c:pt>
                <c:pt idx="27">
                  <c:v>1921511.4781958009</c:v>
                </c:pt>
                <c:pt idx="28">
                  <c:v>2038466.169714788</c:v>
                </c:pt>
                <c:pt idx="29">
                  <c:v>2155456.0241767871</c:v>
                </c:pt>
                <c:pt idx="30">
                  <c:v>2272712.0739832004</c:v>
                </c:pt>
                <c:pt idx="31">
                  <c:v>2389894.2463054429</c:v>
                </c:pt>
                <c:pt idx="32">
                  <c:v>2506655.7918102164</c:v>
                </c:pt>
                <c:pt idx="33">
                  <c:v>2622645.5830437583</c:v>
                </c:pt>
                <c:pt idx="34">
                  <c:v>2737510.520613939</c:v>
                </c:pt>
                <c:pt idx="35">
                  <c:v>2787336.3829957442</c:v>
                </c:pt>
                <c:pt idx="36">
                  <c:v>2798995.4113072604</c:v>
                </c:pt>
                <c:pt idx="37">
                  <c:v>2805456.0061200438</c:v>
                </c:pt>
                <c:pt idx="38">
                  <c:v>2809936.2272028029</c:v>
                </c:pt>
                <c:pt idx="39">
                  <c:v>2812456.6713322243</c:v>
                </c:pt>
                <c:pt idx="40">
                  <c:v>2813036.9642112884</c:v>
                </c:pt>
                <c:pt idx="41">
                  <c:v>2811695.7634455003</c:v>
                </c:pt>
                <c:pt idx="42">
                  <c:v>2808450.7609759178</c:v>
                </c:pt>
                <c:pt idx="43">
                  <c:v>2803318.6849656045</c:v>
                </c:pt>
                <c:pt idx="44">
                  <c:v>2796315.301135805</c:v>
                </c:pt>
                <c:pt idx="45">
                  <c:v>2787455.4135477627</c:v>
                </c:pt>
                <c:pt idx="46">
                  <c:v>2776752.8648257563</c:v>
                </c:pt>
                <c:pt idx="47">
                  <c:v>2764220.535816554</c:v>
                </c:pt>
                <c:pt idx="48">
                  <c:v>2749870.3446801072</c:v>
                </c:pt>
                <c:pt idx="49">
                  <c:v>2733713.2454059403</c:v>
                </c:pt>
                <c:pt idx="50">
                  <c:v>2715759.2257492859</c:v>
                </c:pt>
              </c:numCache>
            </c:numRef>
          </c:val>
          <c:smooth val="0"/>
          <c:extLst>
            <c:ext xmlns:c16="http://schemas.microsoft.com/office/drawing/2014/chart" uri="{C3380CC4-5D6E-409C-BE32-E72D297353CC}">
              <c16:uniqueId val="{00000006-D2CD-4DA7-AA92-865D680FE220}"/>
            </c:ext>
          </c:extLst>
        </c:ser>
        <c:ser>
          <c:idx val="2"/>
          <c:order val="10"/>
          <c:tx>
            <c:strRef>
              <c:f>'base scenario'!$I$1</c:f>
              <c:strCache>
                <c:ptCount val="1"/>
                <c:pt idx="0">
                  <c:v>Buy+Lease+Hold</c:v>
                </c:pt>
              </c:strCache>
            </c:strRef>
          </c:tx>
          <c:spPr>
            <a:ln>
              <a:solidFill>
                <a:schemeClr val="accent6">
                  <a:lumMod val="60000"/>
                  <a:lumOff val="40000"/>
                </a:schemeClr>
              </a:solidFill>
            </a:ln>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scenario'!$I$2:$I$52</c:f>
              <c:numCache>
                <c:formatCode>[$EUR]\ #,##0</c:formatCode>
                <c:ptCount val="51"/>
                <c:pt idx="0">
                  <c:v>-242271.22383835033</c:v>
                </c:pt>
                <c:pt idx="1">
                  <c:v>-189951.24588085728</c:v>
                </c:pt>
                <c:pt idx="2">
                  <c:v>-163674.69395204441</c:v>
                </c:pt>
                <c:pt idx="3">
                  <c:v>-108690.04357288136</c:v>
                </c:pt>
                <c:pt idx="4">
                  <c:v>-54336.636047373438</c:v>
                </c:pt>
                <c:pt idx="5">
                  <c:v>3356.4112861018584</c:v>
                </c:pt>
                <c:pt idx="6">
                  <c:v>61598.975429035883</c:v>
                </c:pt>
                <c:pt idx="7">
                  <c:v>123508.72575547009</c:v>
                </c:pt>
                <c:pt idx="8">
                  <c:v>189305.05649089674</c:v>
                </c:pt>
                <c:pt idx="9">
                  <c:v>259205.20256882982</c:v>
                </c:pt>
                <c:pt idx="10">
                  <c:v>331996.33433283778</c:v>
                </c:pt>
                <c:pt idx="11">
                  <c:v>404361.04764464637</c:v>
                </c:pt>
                <c:pt idx="12">
                  <c:v>479894.19896052417</c:v>
                </c:pt>
                <c:pt idx="13">
                  <c:v>554862.63496814866</c:v>
                </c:pt>
                <c:pt idx="14">
                  <c:v>632722.32098506228</c:v>
                </c:pt>
                <c:pt idx="15">
                  <c:v>713488.46090283734</c:v>
                </c:pt>
                <c:pt idx="16">
                  <c:v>797163.98943597521</c:v>
                </c:pt>
                <c:pt idx="17">
                  <c:v>883738.93721570482</c:v>
                </c:pt>
                <c:pt idx="18">
                  <c:v>973189.87367227231</c:v>
                </c:pt>
                <c:pt idx="19">
                  <c:v>1061229.4379061316</c:v>
                </c:pt>
                <c:pt idx="20">
                  <c:v>1200257.2217109257</c:v>
                </c:pt>
                <c:pt idx="21">
                  <c:v>1287997.0686767902</c:v>
                </c:pt>
                <c:pt idx="22">
                  <c:v>1376248.2818438897</c:v>
                </c:pt>
                <c:pt idx="23">
                  <c:v>1464846.4101211564</c:v>
                </c:pt>
                <c:pt idx="24">
                  <c:v>1553620.4949842659</c:v>
                </c:pt>
                <c:pt idx="25">
                  <c:v>1642394.0633985309</c:v>
                </c:pt>
                <c:pt idx="26">
                  <c:v>1744186.2138597951</c:v>
                </c:pt>
                <c:pt idx="27">
                  <c:v>1846037.1111571463</c:v>
                </c:pt>
                <c:pt idx="28">
                  <c:v>1960870.9851147607</c:v>
                </c:pt>
                <c:pt idx="29">
                  <c:v>2075929.2838021566</c:v>
                </c:pt>
                <c:pt idx="30">
                  <c:v>2191682.7190409689</c:v>
                </c:pt>
                <c:pt idx="31">
                  <c:v>2307829.6069352496</c:v>
                </c:pt>
                <c:pt idx="32">
                  <c:v>2424061.2155240746</c:v>
                </c:pt>
                <c:pt idx="33">
                  <c:v>2540063.8283815077</c:v>
                </c:pt>
                <c:pt idx="34">
                  <c:v>2655520.9158168756</c:v>
                </c:pt>
                <c:pt idx="35">
                  <c:v>2706169.1840881221</c:v>
                </c:pt>
                <c:pt idx="36">
                  <c:v>2725258.271826514</c:v>
                </c:pt>
                <c:pt idx="37">
                  <c:v>2739329.4410187062</c:v>
                </c:pt>
                <c:pt idx="38">
                  <c:v>2751613.9704091363</c:v>
                </c:pt>
                <c:pt idx="39">
                  <c:v>2762138.1548312041</c:v>
                </c:pt>
                <c:pt idx="40">
                  <c:v>2770927.4856345071</c:v>
                </c:pt>
                <c:pt idx="41">
                  <c:v>2778006.6585901855</c:v>
                </c:pt>
                <c:pt idx="42">
                  <c:v>2783399.5813980391</c:v>
                </c:pt>
                <c:pt idx="43">
                  <c:v>2787129.3807963077</c:v>
                </c:pt>
                <c:pt idx="44">
                  <c:v>2789218.4092747979</c:v>
                </c:pt>
                <c:pt idx="45">
                  <c:v>2789688.2513918038</c:v>
                </c:pt>
                <c:pt idx="46">
                  <c:v>2788559.7296950389</c:v>
                </c:pt>
                <c:pt idx="47">
                  <c:v>2785852.9102465697</c:v>
                </c:pt>
                <c:pt idx="48">
                  <c:v>2781587.1077515101</c:v>
                </c:pt>
                <c:pt idx="49">
                  <c:v>2775780.8902899916</c:v>
                </c:pt>
                <c:pt idx="50">
                  <c:v>2768452.0836516963</c:v>
                </c:pt>
              </c:numCache>
            </c:numRef>
          </c:val>
          <c:smooth val="0"/>
          <c:extLst>
            <c:ext xmlns:c16="http://schemas.microsoft.com/office/drawing/2014/chart" uri="{C3380CC4-5D6E-409C-BE32-E72D297353CC}">
              <c16:uniqueId val="{00000007-D2CD-4DA7-AA92-865D680FE220}"/>
            </c:ext>
          </c:extLst>
        </c:ser>
        <c:ser>
          <c:idx val="0"/>
          <c:order val="11"/>
          <c:tx>
            <c:v>Buy+Lease high property value</c:v>
          </c:tx>
          <c:spPr>
            <a:ln w="38100" cap="rnd">
              <a:solidFill>
                <a:schemeClr val="accent6">
                  <a:lumMod val="75000"/>
                </a:schemeClr>
              </a:solidFill>
              <a:round/>
            </a:ln>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'high property value'!$I$2:$I$52</c:f>
              <c:numCache>
                <c:formatCode>[$EUR]\ #,##0</c:formatCode>
                <c:ptCount val="51"/>
                <c:pt idx="0">
                  <c:v>-328322.60306040221</c:v>
                </c:pt>
                <c:pt idx="1">
                  <c:v>-271885.61523322342</c:v>
                </c:pt>
                <c:pt idx="2">
                  <c:v>-241465.79470520356</c:v>
                </c:pt>
                <c:pt idx="3">
                  <c:v>-182954.72132040362</c:v>
                </c:pt>
                <c:pt idx="4">
                  <c:v>-124445.1429679384</c:v>
                </c:pt>
                <c:pt idx="5">
                  <c:v>-63338.652094721532</c:v>
                </c:pt>
                <c:pt idx="6">
                  <c:v>-2714.9460349775982</c:v>
                </c:pt>
                <c:pt idx="7">
                  <c:v>60588.756087855567</c:v>
                </c:pt>
                <c:pt idx="8">
                  <c:v>127297.36159319129</c:v>
                </c:pt>
                <c:pt idx="9">
                  <c:v>197630.35640557908</c:v>
                </c:pt>
                <c:pt idx="10">
                  <c:v>270371.81660594873</c:v>
                </c:pt>
                <c:pt idx="11">
                  <c:v>342203.90071638249</c:v>
                </c:pt>
                <c:pt idx="12">
                  <c:v>416723.87599335698</c:v>
                </c:pt>
                <c:pt idx="13">
                  <c:v>490237.81215627148</c:v>
                </c:pt>
                <c:pt idx="14">
                  <c:v>566339.13199280226</c:v>
                </c:pt>
                <c:pt idx="15">
                  <c:v>645068.19998779253</c:v>
                </c:pt>
                <c:pt idx="16">
                  <c:v>726456.56002717721</c:v>
                </c:pt>
                <c:pt idx="17">
                  <c:v>810526.32167285704</c:v>
                </c:pt>
                <c:pt idx="18">
                  <c:v>897289.5965446129</c:v>
                </c:pt>
                <c:pt idx="19">
                  <c:v>982497.99355260213</c:v>
                </c:pt>
                <c:pt idx="20">
                  <c:v>1118593.4359553645</c:v>
                </c:pt>
                <c:pt idx="21">
                  <c:v>1203345.3632842256</c:v>
                </c:pt>
                <c:pt idx="22">
                  <c:v>1288601.8100452404</c:v>
                </c:pt>
                <c:pt idx="23">
                  <c:v>1374250.0312087873</c:v>
                </c:pt>
                <c:pt idx="24">
                  <c:v>1459989.6419315622</c:v>
                </c:pt>
                <c:pt idx="25">
                  <c:v>1545686.1370346779</c:v>
                </c:pt>
                <c:pt idx="26">
                  <c:v>1644406.1968354913</c:v>
                </c:pt>
                <c:pt idx="27">
                  <c:v>1743240.0670048534</c:v>
                </c:pt>
                <c:pt idx="28">
                  <c:v>1855147.0705926083</c:v>
                </c:pt>
                <c:pt idx="29">
                  <c:v>1967508.8952710757</c:v>
                </c:pt>
                <c:pt idx="30">
                  <c:v>2081072.6329676681</c:v>
                </c:pt>
                <c:pt idx="31">
                  <c:v>2195582.6007832279</c:v>
                </c:pt>
                <c:pt idx="32">
                  <c:v>2310775.6095752055</c:v>
                </c:pt>
                <c:pt idx="33">
                  <c:v>2426382.743965229</c:v>
                </c:pt>
                <c:pt idx="34">
                  <c:v>2542131.2497032215</c:v>
                </c:pt>
                <c:pt idx="35">
                  <c:v>2593337.1838338226</c:v>
                </c:pt>
                <c:pt idx="36">
                  <c:v>2620929.3811570206</c:v>
                </c:pt>
                <c:pt idx="37">
                  <c:v>2643710.2448796965</c:v>
                </c:pt>
                <c:pt idx="38">
                  <c:v>2664926.1818082267</c:v>
                </c:pt>
                <c:pt idx="39">
                  <c:v>2684610.0077468241</c:v>
                </c:pt>
                <c:pt idx="40">
                  <c:v>2702793.9268091577</c:v>
                </c:pt>
                <c:pt idx="41">
                  <c:v>2719509.5449646767</c:v>
                </c:pt>
                <c:pt idx="42">
                  <c:v>2734787.8833526159</c:v>
                </c:pt>
                <c:pt idx="43">
                  <c:v>2748659.3913694578</c:v>
                </c:pt>
                <c:pt idx="44">
                  <c:v>2761153.9595355531</c:v>
                </c:pt>
                <c:pt idx="45">
                  <c:v>2772300.9321465199</c:v>
                </c:pt>
                <c:pt idx="46">
                  <c:v>2782129.1197149646</c:v>
                </c:pt>
                <c:pt idx="47">
                  <c:v>2790666.8112079911</c:v>
                </c:pt>
                <c:pt idx="48">
                  <c:v>2797941.7860858971</c:v>
                </c:pt>
                <c:pt idx="49">
                  <c:v>2803981.3261473877</c:v>
                </c:pt>
                <c:pt idx="50">
                  <c:v>2808812.2271865574</c:v>
                </c:pt>
              </c:numCache>
            </c:numRef>
          </c:val>
          <c:smooth val="0"/>
          <c:extLst>
            <c:ext xmlns:c16="http://schemas.microsoft.com/office/drawing/2014/chart" uri="{C3380CC4-5D6E-409C-BE32-E72D297353CC}">
              <c16:uniqueId val="{00000008-D2CD-4DA7-AA92-865D680FE220}"/>
            </c:ext>
          </c:extLst>
        </c:ser>
        <c:dLbls>
          <c:showLegendKey val="0"/>
          <c:showVal val="0"/>
          <c:showCatName val="0"/>
          <c:showSerName val="0"/>
          <c:showPercent val="0"/>
          <c:showBubbleSize val="0"/>
        </c:dLbls>
        <c:smooth val="0"/>
        <c:axId val="153806976"/>
        <c:axId val="153800736"/>
      </c:lineChart>
      <c:catAx>
        <c:axId val="1538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0736"/>
        <c:crosses val="autoZero"/>
        <c:auto val="1"/>
        <c:lblAlgn val="ctr"/>
        <c:lblOffset val="100"/>
        <c:noMultiLvlLbl val="0"/>
      </c:catAx>
      <c:valAx>
        <c:axId val="153800736"/>
        <c:scaling>
          <c:orientation val="minMax"/>
          <c:max val="3000000"/>
          <c:min val="-1000000"/>
        </c:scaling>
        <c:delete val="0"/>
        <c:axPos val="l"/>
        <c:majorGridlines>
          <c:spPr>
            <a:ln w="9525" cap="flat" cmpd="sng" algn="ctr">
              <a:solidFill>
                <a:schemeClr val="tx1">
                  <a:lumMod val="15000"/>
                  <a:lumOff val="85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3806976"/>
        <c:crosses val="autoZero"/>
        <c:crossBetween val="between"/>
      </c:valAx>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Income description </a:t>
            </a:r>
            <a:r>
              <a:rPr lang="de-DE" baseline="0"/>
              <a:t>when </a:t>
            </a:r>
            <a:r>
              <a:rPr lang="de-DE" baseline="0">
                <a:solidFill>
                  <a:schemeClr val="tx2">
                    <a:lumMod val="50000"/>
                    <a:lumOff val="50000"/>
                  </a:schemeClr>
                </a:solidFill>
              </a:rPr>
              <a:t>buying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8"/>
          <c:order val="0"/>
          <c:tx>
            <c:strRef>
              <c:f>'base scenario'!$M$1</c:f>
              <c:strCache>
                <c:ptCount val="1"/>
                <c:pt idx="0">
                  <c:v>Net annual salaries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extLst xmlns:c15="http://schemas.microsoft.com/office/drawing/2012/chart"/>
            </c:numRef>
          </c:cat>
          <c:val>
            <c:numRef>
              <c:f>'base scenario'!$M$2:$M$52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131467.92324122589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extLst xmlns:c15="http://schemas.microsoft.com/office/drawing/2012/chart">
            <c:ext xmlns:c16="http://schemas.microsoft.com/office/drawing/2014/chart" uri="{C3380CC4-5D6E-409C-BE32-E72D297353CC}">
              <c16:uniqueId val="{00000006-1961-49D8-A6E9-0620B3DD4331}"/>
            </c:ext>
          </c:extLst>
        </c:ser>
        <c:ser>
          <c:idx val="0"/>
          <c:order val="1"/>
          <c:tx>
            <c:strRef>
              <c:f>'base scenario'!$R$1</c:f>
              <c:strCache>
                <c:ptCount val="1"/>
                <c:pt idx="0">
                  <c:v>Lump sums</c:v>
                </c:pt>
              </c:strCache>
            </c:strRef>
          </c:tx>
          <c:spPr>
            <a:solidFill>
              <a:schemeClr val="accent5"/>
            </a:solidFill>
            <a:ln w="25400">
              <a:noFill/>
            </a:ln>
            <a:effectLst>
              <a:outerShdw blurRad="57150" dist="19050" dir="5400000" algn="ctr" rotWithShape="0">
                <a:srgbClr val="000000">
                  <a:alpha val="63000"/>
                </a:srgbClr>
              </a:outerShdw>
            </a:effectLst>
          </c:spPr>
          <c:val>
            <c:numRef>
              <c:f>'base scenario'!$R$2:$R$52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50000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9-1961-49D8-A6E9-0620B3DD4331}"/>
            </c:ext>
          </c:extLst>
        </c:ser>
        <c:ser>
          <c:idx val="2"/>
          <c:order val="2"/>
          <c:tx>
            <c:strRef>
              <c:f>'base scenario'!$CC$1</c:f>
              <c:strCache>
                <c:ptCount val="1"/>
                <c:pt idx="0">
                  <c:v>Return on invested money from previous year</c:v>
                </c:pt>
              </c:strCache>
            </c:strRef>
          </c:tx>
          <c:spPr>
            <a:solidFill>
              <a:schemeClr val="accent1"/>
            </a:solidFill>
            <a:ln w="25400">
              <a:noFill/>
            </a:ln>
            <a:effectLst>
              <a:outerShdw blurRad="57150" dist="19050" dir="5400000" algn="ctr" rotWithShape="0">
                <a:srgbClr val="000000">
                  <a:alpha val="63000"/>
                </a:srgbClr>
              </a:outerShdw>
            </a:effectLst>
          </c:spPr>
          <c:val>
            <c:numRef>
              <c:f>'base scenario'!$CC$2:$CC$52</c:f>
              <c:numCache>
                <c:formatCode>[$EUR]\ #,##0</c:formatCode>
                <c:ptCount val="51"/>
                <c:pt idx="0">
                  <c:v>2039.2156862745142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0-1B06-421F-87C3-DADA0DFE47AF}"/>
            </c:ext>
          </c:extLst>
        </c:ser>
        <c:dLbls>
          <c:showLegendKey val="0"/>
          <c:showVal val="0"/>
          <c:showCatName val="0"/>
          <c:showSerName val="0"/>
          <c:showPercent val="0"/>
          <c:showBubbleSize val="0"/>
        </c:dLbls>
        <c:axId val="448967520"/>
        <c:axId val="448977120"/>
        <c:extLst/>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autoZero"/>
        <c:auto val="1"/>
        <c:lblAlgn val="ctr"/>
        <c:lblOffset val="100"/>
        <c:noMultiLvlLbl val="0"/>
      </c:catAx>
      <c:valAx>
        <c:axId val="448977120"/>
        <c:scaling>
          <c:orientation val="minMax"/>
          <c:max val="25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Income description </a:t>
            </a:r>
            <a:r>
              <a:rPr lang="de-DE" baseline="0"/>
              <a:t>when </a:t>
            </a:r>
            <a:r>
              <a:rPr lang="de-DE" baseline="0">
                <a:solidFill>
                  <a:schemeClr val="accent2">
                    <a:lumMod val="60000"/>
                    <a:lumOff val="40000"/>
                  </a:schemeClr>
                </a:solidFill>
              </a:rPr>
              <a:t>renting</a:t>
            </a:r>
            <a:endParaRPr lang="de-DE">
              <a:solidFill>
                <a:schemeClr val="accent2">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8"/>
          <c:order val="0"/>
          <c:tx>
            <c:strRef>
              <c:f>'base scenario'!$M$1</c:f>
              <c:strCache>
                <c:ptCount val="1"/>
                <c:pt idx="0">
                  <c:v>Net annual salaries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extLst xmlns:c15="http://schemas.microsoft.com/office/drawing/2012/chart"/>
            </c:numRef>
          </c:cat>
          <c:val>
            <c:numRef>
              <c:f>'base scenario'!$M$2:$M$52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131467.92324122589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extLst xmlns:c15="http://schemas.microsoft.com/office/drawing/2012/chart">
            <c:ext xmlns:c16="http://schemas.microsoft.com/office/drawing/2014/chart" uri="{C3380CC4-5D6E-409C-BE32-E72D297353CC}">
              <c16:uniqueId val="{00000002-D973-4AA3-A46C-5FBD012F3695}"/>
            </c:ext>
          </c:extLst>
        </c:ser>
        <c:ser>
          <c:idx val="0"/>
          <c:order val="1"/>
          <c:tx>
            <c:strRef>
              <c:f>'base scenario'!$R$1</c:f>
              <c:strCache>
                <c:ptCount val="1"/>
                <c:pt idx="0">
                  <c:v>Lump sums</c:v>
                </c:pt>
              </c:strCache>
            </c:strRef>
          </c:tx>
          <c:spPr>
            <a:solidFill>
              <a:schemeClr val="accent5"/>
            </a:solidFill>
            <a:ln w="25400">
              <a:noFill/>
            </a:ln>
            <a:effectLst>
              <a:outerShdw blurRad="57150" dist="19050" dir="5400000" algn="ctr" rotWithShape="0">
                <a:srgbClr val="000000">
                  <a:alpha val="63000"/>
                </a:srgbClr>
              </a:outerShdw>
            </a:effectLst>
          </c:spPr>
          <c:val>
            <c:numRef>
              <c:f>'base scenario'!$R$2:$R$52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50000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4-D973-4AA3-A46C-5FBD012F3695}"/>
            </c:ext>
          </c:extLst>
        </c:ser>
        <c:ser>
          <c:idx val="2"/>
          <c:order val="2"/>
          <c:tx>
            <c:strRef>
              <c:f>'base scenario'!$AH$1</c:f>
              <c:strCache>
                <c:ptCount val="1"/>
                <c:pt idx="0">
                  <c:v>Return on invested money from previous year</c:v>
                </c:pt>
              </c:strCache>
            </c:strRef>
          </c:tx>
          <c:spPr>
            <a:solidFill>
              <a:schemeClr val="accent1"/>
            </a:solidFill>
            <a:ln w="25400">
              <a:noFill/>
            </a:ln>
            <a:effectLst>
              <a:outerShdw blurRad="57150" dist="19050" dir="5400000" algn="ctr" rotWithShape="0">
                <a:srgbClr val="000000">
                  <a:alpha val="63000"/>
                </a:srgbClr>
              </a:outerShdw>
            </a:effectLst>
          </c:spPr>
          <c:val>
            <c:numRef>
              <c:f>'base scenario'!$AH$2:$AH$52</c:f>
              <c:numCache>
                <c:formatCode>[$EUR]\ #,##0</c:formatCode>
                <c:ptCount val="51"/>
                <c:pt idx="0">
                  <c:v>2039.2156862745142</c:v>
                </c:pt>
                <c:pt idx="1">
                  <c:v>2220.1323227330199</c:v>
                </c:pt>
                <c:pt idx="2">
                  <c:v>4251.7275364831467</c:v>
                </c:pt>
                <c:pt idx="3">
                  <c:v>4466.1516213095683</c:v>
                </c:pt>
                <c:pt idx="4">
                  <c:v>6557.6533290678008</c:v>
                </c:pt>
                <c:pt idx="5">
                  <c:v>8680.0970404356303</c:v>
                </c:pt>
                <c:pt idx="6">
                  <c:v>10971.885761475185</c:v>
                </c:pt>
                <c:pt idx="7">
                  <c:v>13220.201960331024</c:v>
                </c:pt>
                <c:pt idx="8">
                  <c:v>15619.546736625547</c:v>
                </c:pt>
                <c:pt idx="9">
                  <c:v>18160.149649856419</c:v>
                </c:pt>
                <c:pt idx="10">
                  <c:v>20830.340051015432</c:v>
                </c:pt>
                <c:pt idx="11">
                  <c:v>23531.534950542798</c:v>
                </c:pt>
                <c:pt idx="12">
                  <c:v>26030.577880083558</c:v>
                </c:pt>
                <c:pt idx="13">
                  <c:v>28527.800527810869</c:v>
                </c:pt>
                <c:pt idx="14">
                  <c:v>30801.862228597252</c:v>
                </c:pt>
                <c:pt idx="15">
                  <c:v>33040.847576433989</c:v>
                </c:pt>
                <c:pt idx="16">
                  <c:v>35226.980414223814</c:v>
                </c:pt>
                <c:pt idx="17">
                  <c:v>37341.842193178993</c:v>
                </c:pt>
                <c:pt idx="18">
                  <c:v>39366.496195274536</c:v>
                </c:pt>
                <c:pt idx="19">
                  <c:v>41281.62418760587</c:v>
                </c:pt>
                <c:pt idx="20">
                  <c:v>42880.055524228235</c:v>
                </c:pt>
                <c:pt idx="21">
                  <c:v>46389.59959983905</c:v>
                </c:pt>
                <c:pt idx="22">
                  <c:v>47381.139921175694</c:v>
                </c:pt>
                <c:pt idx="23">
                  <c:v>48136.644107363063</c:v>
                </c:pt>
                <c:pt idx="24">
                  <c:v>48645.676252892015</c:v>
                </c:pt>
                <c:pt idx="25">
                  <c:v>48899.194091626669</c:v>
                </c:pt>
                <c:pt idx="26">
                  <c:v>48889.691247799397</c:v>
                </c:pt>
                <c:pt idx="27">
                  <c:v>49035.652617759646</c:v>
                </c:pt>
                <c:pt idx="28">
                  <c:v>48876.363025304643</c:v>
                </c:pt>
                <c:pt idx="29">
                  <c:v>48785.626286537488</c:v>
                </c:pt>
                <c:pt idx="30">
                  <c:v>48346.221403537987</c:v>
                </c:pt>
                <c:pt idx="31">
                  <c:v>47554.412315793605</c:v>
                </c:pt>
                <c:pt idx="32">
                  <c:v>46408.955924553047</c:v>
                </c:pt>
                <c:pt idx="33">
                  <c:v>44911.195806769494</c:v>
                </c:pt>
                <c:pt idx="34">
                  <c:v>43065.132433783925</c:v>
                </c:pt>
                <c:pt idx="35">
                  <c:v>43486.668453324295</c:v>
                </c:pt>
                <c:pt idx="36">
                  <c:v>43340.090978027256</c:v>
                </c:pt>
                <c:pt idx="37">
                  <c:v>42534.389641624759</c:v>
                </c:pt>
                <c:pt idx="38">
                  <c:v>41663.985366009503</c:v>
                </c:pt>
                <c:pt idx="39">
                  <c:v>40728.552615811779</c:v>
                </c:pt>
                <c:pt idx="40">
                  <c:v>39727.724731247094</c:v>
                </c:pt>
                <c:pt idx="41">
                  <c:v>38661.093349571463</c:v>
                </c:pt>
                <c:pt idx="42">
                  <c:v>37528.207796900737</c:v>
                </c:pt>
                <c:pt idx="43">
                  <c:v>36328.574449774744</c:v>
                </c:pt>
                <c:pt idx="44">
                  <c:v>35061.656065823678</c:v>
                </c:pt>
                <c:pt idx="45">
                  <c:v>33726.871082870464</c:v>
                </c:pt>
                <c:pt idx="46">
                  <c:v>32323.59288577822</c:v>
                </c:pt>
                <c:pt idx="47">
                  <c:v>30851.149040327025</c:v>
                </c:pt>
                <c:pt idx="48">
                  <c:v>29308.820493378313</c:v>
                </c:pt>
                <c:pt idx="49">
                  <c:v>27695.84073855908</c:v>
                </c:pt>
                <c:pt idx="50">
                  <c:v>26011.394946670749</c:v>
                </c:pt>
              </c:numCache>
            </c:numRef>
          </c:val>
          <c:extLst>
            <c:ext xmlns:c16="http://schemas.microsoft.com/office/drawing/2014/chart" uri="{C3380CC4-5D6E-409C-BE32-E72D297353CC}">
              <c16:uniqueId val="{00000008-D973-4AA3-A46C-5FBD012F3695}"/>
            </c:ext>
          </c:extLst>
        </c:ser>
        <c:dLbls>
          <c:showLegendKey val="0"/>
          <c:showVal val="0"/>
          <c:showCatName val="0"/>
          <c:showSerName val="0"/>
          <c:showPercent val="0"/>
          <c:showBubbleSize val="0"/>
        </c:dLbls>
        <c:axId val="448967520"/>
        <c:axId val="448977120"/>
        <c:extLst/>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autoZero"/>
        <c:auto val="1"/>
        <c:lblAlgn val="ctr"/>
        <c:lblOffset val="100"/>
        <c:noMultiLvlLbl val="0"/>
      </c:catAx>
      <c:valAx>
        <c:axId val="448977120"/>
        <c:scaling>
          <c:orientation val="minMax"/>
          <c:max val="25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Income description </a:t>
            </a:r>
            <a:r>
              <a:rPr lang="de-DE" baseline="0"/>
              <a:t>when </a:t>
            </a:r>
            <a:r>
              <a:rPr lang="de-DE" sz="1400" b="1" i="0" u="none" strike="noStrike" kern="1200" spc="100" baseline="0">
                <a:solidFill>
                  <a:schemeClr val="accent5">
                    <a:lumMod val="60000"/>
                    <a:lumOff val="40000"/>
                  </a:schemeClr>
                </a:solidFill>
                <a:effectLst>
                  <a:outerShdw blurRad="50800" dist="38100" dir="5400000" algn="t" rotWithShape="0">
                    <a:prstClr val="black">
                      <a:alpha val="40000"/>
                    </a:prstClr>
                  </a:outerShdw>
                </a:effectLst>
              </a:rPr>
              <a:t>buying+leasing+selling</a:t>
            </a:r>
            <a:endParaRPr lang="de-DE">
              <a:solidFill>
                <a:schemeClr val="accent5">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8"/>
          <c:order val="0"/>
          <c:tx>
            <c:strRef>
              <c:f>'base scenario'!$M$1</c:f>
              <c:strCache>
                <c:ptCount val="1"/>
                <c:pt idx="0">
                  <c:v>Net annual salaries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extLst xmlns:c15="http://schemas.microsoft.com/office/drawing/2012/chart"/>
            </c:numRef>
          </c:cat>
          <c:val>
            <c:numRef>
              <c:f>'base scenario'!$M$2:$M$52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131467.92324122589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extLst xmlns:c15="http://schemas.microsoft.com/office/drawing/2012/chart">
            <c:ext xmlns:c16="http://schemas.microsoft.com/office/drawing/2014/chart" uri="{C3380CC4-5D6E-409C-BE32-E72D297353CC}">
              <c16:uniqueId val="{00000000-BC2E-41F7-8610-A169AF7EA31B}"/>
            </c:ext>
          </c:extLst>
        </c:ser>
        <c:ser>
          <c:idx val="0"/>
          <c:order val="1"/>
          <c:tx>
            <c:strRef>
              <c:f>'base scenario'!$R$1</c:f>
              <c:strCache>
                <c:ptCount val="1"/>
                <c:pt idx="0">
                  <c:v>Lump sums</c:v>
                </c:pt>
              </c:strCache>
            </c:strRef>
          </c:tx>
          <c:spPr>
            <a:solidFill>
              <a:schemeClr val="accent5"/>
            </a:solidFill>
            <a:ln w="25400">
              <a:noFill/>
            </a:ln>
            <a:effectLst>
              <a:outerShdw blurRad="57150" dist="19050" dir="5400000" algn="ctr" rotWithShape="0">
                <a:srgbClr val="000000">
                  <a:alpha val="63000"/>
                </a:srgbClr>
              </a:outerShdw>
            </a:effectLst>
          </c:spPr>
          <c:val>
            <c:numRef>
              <c:f>'base scenario'!$R$2:$R$52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50000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1-BC2E-41F7-8610-A169AF7EA31B}"/>
            </c:ext>
          </c:extLst>
        </c:ser>
        <c:ser>
          <c:idx val="1"/>
          <c:order val="2"/>
          <c:tx>
            <c:strRef>
              <c:f>'base scenario'!$DD$1</c:f>
              <c:strCache>
                <c:ptCount val="1"/>
                <c:pt idx="0">
                  <c:v>Warm rent from lease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val>
            <c:numRef>
              <c:f>'base scenario'!$DD$2:$DD$52</c:f>
              <c:numCache>
                <c:formatCode>[$EUR]\ #,##0</c:formatCode>
                <c:ptCount val="51"/>
                <c:pt idx="0">
                  <c:v>19065</c:v>
                </c:pt>
                <c:pt idx="1">
                  <c:v>19509.264705882357</c:v>
                </c:pt>
                <c:pt idx="2">
                  <c:v>19966.596020761252</c:v>
                </c:pt>
                <c:pt idx="3">
                  <c:v>20437.378256665994</c:v>
                </c:pt>
                <c:pt idx="4">
                  <c:v>20922.007028920878</c:v>
                </c:pt>
                <c:pt idx="5">
                  <c:v>21420.889588595022</c:v>
                </c:pt>
                <c:pt idx="6">
                  <c:v>21934.445164730172</c:v>
                </c:pt>
                <c:pt idx="7">
                  <c:v>22463.105316634003</c:v>
                </c:pt>
                <c:pt idx="8">
                  <c:v>23007.314296535005</c:v>
                </c:pt>
                <c:pt idx="9">
                  <c:v>23567.529422903688</c:v>
                </c:pt>
                <c:pt idx="10">
                  <c:v>24144.221464753799</c:v>
                </c:pt>
                <c:pt idx="11">
                  <c:v>24737.875037246558</c:v>
                </c:pt>
                <c:pt idx="12">
                  <c:v>25348.989008930286</c:v>
                </c:pt>
                <c:pt idx="13">
                  <c:v>25978.076920957647</c:v>
                </c:pt>
                <c:pt idx="14">
                  <c:v>26625.667418632875</c:v>
                </c:pt>
                <c:pt idx="15">
                  <c:v>27292.304695651488</c:v>
                </c:pt>
                <c:pt idx="16">
                  <c:v>27978.548951405948</c:v>
                </c:pt>
                <c:pt idx="17">
                  <c:v>28684.976861741423</c:v>
                </c:pt>
                <c:pt idx="18">
                  <c:v>29412.182063557349</c:v>
                </c:pt>
                <c:pt idx="19">
                  <c:v>30160.775653661982</c:v>
                </c:pt>
                <c:pt idx="20">
                  <c:v>30931.386702299103</c:v>
                </c:pt>
                <c:pt idx="21">
                  <c:v>31724.66278177849</c:v>
                </c:pt>
                <c:pt idx="22">
                  <c:v>32541.270510654329</c:v>
                </c:pt>
                <c:pt idx="23">
                  <c:v>33381.896113908871</c:v>
                </c:pt>
                <c:pt idx="24">
                  <c:v>34247.245999612074</c:v>
                </c:pt>
                <c:pt idx="25">
                  <c:v>35138.047352541849</c:v>
                </c:pt>
                <c:pt idx="26">
                  <c:v>36055.048745263666</c:v>
                </c:pt>
                <c:pt idx="27">
                  <c:v>36999.020767183189</c:v>
                </c:pt>
                <c:pt idx="28">
                  <c:v>37970.756672100346</c:v>
                </c:pt>
                <c:pt idx="29">
                  <c:v>38971.073044809193</c:v>
                </c:pt>
                <c:pt idx="30">
                  <c:v>40000.810487303577</c:v>
                </c:pt>
                <c:pt idx="31">
                  <c:v>41060.834325165451</c:v>
                </c:pt>
                <c:pt idx="32">
                  <c:v>42152.035334729146</c:v>
                </c:pt>
                <c:pt idx="33">
                  <c:v>43275.330491632951</c:v>
                </c:pt>
                <c:pt idx="34">
                  <c:v>44431.663741386867</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2-BC2E-41F7-8610-A169AF7EA31B}"/>
            </c:ext>
          </c:extLst>
        </c:ser>
        <c:ser>
          <c:idx val="2"/>
          <c:order val="3"/>
          <c:tx>
            <c:strRef>
              <c:f>'base scenario'!$FQ$1</c:f>
              <c:strCache>
                <c:ptCount val="1"/>
                <c:pt idx="0">
                  <c:v>Return on invested money from previous year</c:v>
                </c:pt>
              </c:strCache>
            </c:strRef>
          </c:tx>
          <c:spPr>
            <a:solidFill>
              <a:schemeClr val="accent1"/>
            </a:solidFill>
            <a:ln w="25400">
              <a:noFill/>
            </a:ln>
            <a:effectLst>
              <a:outerShdw blurRad="57150" dist="19050" dir="5400000" algn="ctr" rotWithShape="0">
                <a:srgbClr val="000000">
                  <a:alpha val="63000"/>
                </a:srgbClr>
              </a:outerShdw>
            </a:effectLst>
          </c:spPr>
          <c:val>
            <c:numRef>
              <c:f>'base scenario'!$FQ$2:$FQ$52</c:f>
              <c:numCache>
                <c:formatCode>[$EUR]\ #,##0</c:formatCode>
                <c:ptCount val="51"/>
                <c:pt idx="0">
                  <c:v>2039.2156862745142</c:v>
                </c:pt>
                <c:pt idx="1">
                  <c:v>0</c:v>
                </c:pt>
                <c:pt idx="2">
                  <c:v>0</c:v>
                </c:pt>
                <c:pt idx="3">
                  <c:v>0</c:v>
                </c:pt>
                <c:pt idx="4">
                  <c:v>0</c:v>
                </c:pt>
                <c:pt idx="5">
                  <c:v>811.43899063803997</c:v>
                </c:pt>
                <c:pt idx="6">
                  <c:v>1871.8990974725705</c:v>
                </c:pt>
                <c:pt idx="7">
                  <c:v>2887.7276777436018</c:v>
                </c:pt>
                <c:pt idx="8">
                  <c:v>4059.1710343047289</c:v>
                </c:pt>
                <c:pt idx="9">
                  <c:v>5382.5570458449311</c:v>
                </c:pt>
                <c:pt idx="10">
                  <c:v>6852.6385270885794</c:v>
                </c:pt>
                <c:pt idx="11">
                  <c:v>8739.3319233719139</c:v>
                </c:pt>
                <c:pt idx="12">
                  <c:v>10454.77702435279</c:v>
                </c:pt>
                <c:pt idx="13">
                  <c:v>12204.629491275809</c:v>
                </c:pt>
                <c:pt idx="14">
                  <c:v>13771.092953568656</c:v>
                </c:pt>
                <c:pt idx="15">
                  <c:v>15341.034069793841</c:v>
                </c:pt>
                <c:pt idx="16">
                  <c:v>16902.210786843156</c:v>
                </c:pt>
                <c:pt idx="17">
                  <c:v>18441.7529160511</c:v>
                </c:pt>
                <c:pt idx="18">
                  <c:v>19946.240246336994</c:v>
                </c:pt>
                <c:pt idx="19">
                  <c:v>21401.790870774024</c:v>
                </c:pt>
                <c:pt idx="20">
                  <c:v>22606.540199878775</c:v>
                </c:pt>
                <c:pt idx="21">
                  <c:v>25793.422073660866</c:v>
                </c:pt>
                <c:pt idx="22">
                  <c:v>26538.210790924124</c:v>
                </c:pt>
                <c:pt idx="23">
                  <c:v>27127.478958538482</c:v>
                </c:pt>
                <c:pt idx="24">
                  <c:v>27555.058217643662</c:v>
                </c:pt>
                <c:pt idx="25">
                  <c:v>27815.785932268784</c:v>
                </c:pt>
                <c:pt idx="26">
                  <c:v>27905.598788416308</c:v>
                </c:pt>
                <c:pt idx="27">
                  <c:v>28245.942014973276</c:v>
                </c:pt>
                <c:pt idx="28">
                  <c:v>28378.535032343258</c:v>
                </c:pt>
                <c:pt idx="29">
                  <c:v>28787.377083033294</c:v>
                </c:pt>
                <c:pt idx="30">
                  <c:v>29433.672682593231</c:v>
                </c:pt>
                <c:pt idx="31">
                  <c:v>29776.847887620548</c:v>
                </c:pt>
                <c:pt idx="32">
                  <c:v>29809.812383181001</c:v>
                </c:pt>
                <c:pt idx="33">
                  <c:v>29527.538211659419</c:v>
                </c:pt>
                <c:pt idx="34">
                  <c:v>28927.1673365196</c:v>
                </c:pt>
                <c:pt idx="35">
                  <c:v>29795.851238374882</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3-BC2E-41F7-8610-A169AF7EA31B}"/>
            </c:ext>
          </c:extLst>
        </c:ser>
        <c:dLbls>
          <c:showLegendKey val="0"/>
          <c:showVal val="0"/>
          <c:showCatName val="0"/>
          <c:showSerName val="0"/>
          <c:showPercent val="0"/>
          <c:showBubbleSize val="0"/>
        </c:dLbls>
        <c:axId val="448967520"/>
        <c:axId val="448977120"/>
        <c:extLst/>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autoZero"/>
        <c:auto val="1"/>
        <c:lblAlgn val="ctr"/>
        <c:lblOffset val="100"/>
        <c:noMultiLvlLbl val="0"/>
      </c:catAx>
      <c:valAx>
        <c:axId val="448977120"/>
        <c:scaling>
          <c:orientation val="minMax"/>
          <c:max val="25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baseline="0"/>
              <a:t>Cash flow evolution when </a:t>
            </a:r>
            <a:r>
              <a:rPr lang="de-DE" baseline="0">
                <a:solidFill>
                  <a:schemeClr val="accent6">
                    <a:lumMod val="60000"/>
                    <a:lumOff val="40000"/>
                  </a:schemeClr>
                </a:solidFill>
              </a:rPr>
              <a:t>buying+leasing+holding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'base scenario'!$HP$1</c:f>
              <c:strCache>
                <c:ptCount val="1"/>
                <c:pt idx="0">
                  <c:v>Year Cash flow difference</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scenario'!$HP$2:$HP$52</c:f>
              <c:numCache>
                <c:formatCode>[$EUR]\ #,##0</c:formatCode>
                <c:ptCount val="51"/>
                <c:pt idx="0">
                  <c:v>-12768.459260857417</c:v>
                </c:pt>
                <c:pt idx="1">
                  <c:v>11981.383325844406</c:v>
                </c:pt>
                <c:pt idx="2">
                  <c:v>-14421.039242628161</c:v>
                </c:pt>
                <c:pt idx="3">
                  <c:v>13917.503946171026</c:v>
                </c:pt>
                <c:pt idx="4">
                  <c:v>12905.836558566356</c:v>
                </c:pt>
                <c:pt idx="5">
                  <c:v>15042.423885065233</c:v>
                </c:pt>
                <c:pt idx="6">
                  <c:v>14128.349053011087</c:v>
                </c:pt>
                <c:pt idx="7">
                  <c:v>16364.718311718403</c:v>
                </c:pt>
                <c:pt idx="8">
                  <c:v>18652.661480083072</c:v>
                </c:pt>
                <c:pt idx="9">
                  <c:v>20993.332400980755</c:v>
                </c:pt>
                <c:pt idx="10">
                  <c:v>28034.372903566444</c:v>
                </c:pt>
                <c:pt idx="11">
                  <c:v>25255.254089396985</c:v>
                </c:pt>
                <c:pt idx="12">
                  <c:v>26228.53393957224</c:v>
                </c:pt>
                <c:pt idx="13">
                  <c:v>23420.143904044497</c:v>
                </c:pt>
                <c:pt idx="14">
                  <c:v>24236.584006561257</c:v>
                </c:pt>
                <c:pt idx="15">
                  <c:v>25049.798980703679</c:v>
                </c:pt>
                <c:pt idx="16">
                  <c:v>25859.32195645044</c:v>
                </c:pt>
                <c:pt idx="17">
                  <c:v>26664.666359426832</c:v>
                </c:pt>
                <c:pt idx="18">
                  <c:v>27465.325205853675</c:v>
                </c:pt>
                <c:pt idx="19">
                  <c:v>24010.770373285748</c:v>
                </c:pt>
                <c:pt idx="20">
                  <c:v>73189.325336004258</c:v>
                </c:pt>
                <c:pt idx="21">
                  <c:v>18091.799718324182</c:v>
                </c:pt>
                <c:pt idx="22">
                  <c:v>17217.355388358556</c:v>
                </c:pt>
                <c:pt idx="23">
                  <c:v>16315.126934210624</c:v>
                </c:pt>
                <c:pt idx="24">
                  <c:v>15384.220764345286</c:v>
                </c:pt>
                <c:pt idx="25">
                  <c:v>14423.714177901129</c:v>
                </c:pt>
                <c:pt idx="26">
                  <c:v>26632.654403926688</c:v>
                </c:pt>
                <c:pt idx="27">
                  <c:v>25610.057608488365</c:v>
                </c:pt>
                <c:pt idx="28">
                  <c:v>41527.079147729382</c:v>
                </c:pt>
                <c:pt idx="29">
                  <c:v>58787.883228051956</c:v>
                </c:pt>
                <c:pt idx="30">
                  <c:v>58028.399521782107</c:v>
                </c:pt>
                <c:pt idx="31">
                  <c:v>57246.578059445543</c:v>
                </c:pt>
                <c:pt idx="32">
                  <c:v>56441.761848216702</c:v>
                </c:pt>
                <c:pt idx="33">
                  <c:v>55613.274571951712</c:v>
                </c:pt>
                <c:pt idx="34">
                  <c:v>54760.420022855411</c:v>
                </c:pt>
                <c:pt idx="35">
                  <c:v>-11851.480104180213</c:v>
                </c:pt>
                <c:pt idx="36">
                  <c:v>-14069.919563792268</c:v>
                </c:pt>
                <c:pt idx="37">
                  <c:v>-16288.646621909036</c:v>
                </c:pt>
                <c:pt idx="38">
                  <c:v>-18508.968949727903</c:v>
                </c:pt>
                <c:pt idx="39">
                  <c:v>-20732.206695115659</c:v>
                </c:pt>
                <c:pt idx="40">
                  <c:v>-22959.693369253917</c:v>
                </c:pt>
                <c:pt idx="41">
                  <c:v>-25192.776748969452</c:v>
                </c:pt>
                <c:pt idx="42">
                  <c:v>-27432.819795417163</c:v>
                </c:pt>
                <c:pt idx="43">
                  <c:v>-29681.201589801436</c:v>
                </c:pt>
                <c:pt idx="44">
                  <c:v>-31939.318286836075</c:v>
                </c:pt>
                <c:pt idx="45">
                  <c:v>-34208.584086660296</c:v>
                </c:pt>
                <c:pt idx="46">
                  <c:v>-36490.432225945668</c:v>
                </c:pt>
                <c:pt idx="47">
                  <c:v>-38786.31598894592</c:v>
                </c:pt>
                <c:pt idx="48">
                  <c:v>-41097.70973926023</c:v>
                </c:pt>
                <c:pt idx="49">
                  <c:v>-43426.10997310048</c:v>
                </c:pt>
                <c:pt idx="50">
                  <c:v>-45773.036394870491</c:v>
                </c:pt>
              </c:numCache>
            </c:numRef>
          </c:val>
          <c:smooth val="0"/>
          <c:extLst>
            <c:ext xmlns:c16="http://schemas.microsoft.com/office/drawing/2014/chart" uri="{C3380CC4-5D6E-409C-BE32-E72D297353CC}">
              <c16:uniqueId val="{00000000-CCBF-4F08-9130-4ED45224AC6B}"/>
            </c:ext>
          </c:extLst>
        </c:ser>
        <c:ser>
          <c:idx val="1"/>
          <c:order val="1"/>
          <c:tx>
            <c:strRef>
              <c:f>'base scenario'!$HQ$1</c:f>
              <c:strCache>
                <c:ptCount val="1"/>
                <c:pt idx="0">
                  <c:v>Cash flow</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scenario'!$HQ$2:$HQ$52</c:f>
              <c:numCache>
                <c:formatCode>[$EUR]\ #,##0</c:formatCode>
                <c:ptCount val="51"/>
                <c:pt idx="0">
                  <c:v>11231.540739142583</c:v>
                </c:pt>
                <c:pt idx="1">
                  <c:v>23212.92406498699</c:v>
                </c:pt>
                <c:pt idx="2">
                  <c:v>8791.8848223588284</c:v>
                </c:pt>
                <c:pt idx="3">
                  <c:v>22709.388768529854</c:v>
                </c:pt>
                <c:pt idx="4">
                  <c:v>24000</c:v>
                </c:pt>
                <c:pt idx="5">
                  <c:v>24000</c:v>
                </c:pt>
                <c:pt idx="6">
                  <c:v>24000</c:v>
                </c:pt>
                <c:pt idx="7">
                  <c:v>24000</c:v>
                </c:pt>
                <c:pt idx="8">
                  <c:v>24000</c:v>
                </c:pt>
                <c:pt idx="9">
                  <c:v>24000</c:v>
                </c:pt>
                <c:pt idx="10">
                  <c:v>24000</c:v>
                </c:pt>
                <c:pt idx="11">
                  <c:v>24000</c:v>
                </c:pt>
                <c:pt idx="12">
                  <c:v>24000</c:v>
                </c:pt>
                <c:pt idx="13">
                  <c:v>24000</c:v>
                </c:pt>
                <c:pt idx="14">
                  <c:v>24000</c:v>
                </c:pt>
                <c:pt idx="15">
                  <c:v>24000</c:v>
                </c:pt>
                <c:pt idx="16">
                  <c:v>24000</c:v>
                </c:pt>
                <c:pt idx="17">
                  <c:v>24000</c:v>
                </c:pt>
                <c:pt idx="18">
                  <c:v>24000</c:v>
                </c:pt>
                <c:pt idx="19">
                  <c:v>24000</c:v>
                </c:pt>
                <c:pt idx="20">
                  <c:v>24000</c:v>
                </c:pt>
                <c:pt idx="21">
                  <c:v>24000</c:v>
                </c:pt>
                <c:pt idx="22">
                  <c:v>24000</c:v>
                </c:pt>
                <c:pt idx="23">
                  <c:v>24000</c:v>
                </c:pt>
                <c:pt idx="24">
                  <c:v>24000</c:v>
                </c:pt>
                <c:pt idx="25">
                  <c:v>24000</c:v>
                </c:pt>
                <c:pt idx="26">
                  <c:v>24000</c:v>
                </c:pt>
                <c:pt idx="27">
                  <c:v>24000</c:v>
                </c:pt>
                <c:pt idx="28">
                  <c:v>24000</c:v>
                </c:pt>
                <c:pt idx="29">
                  <c:v>24000</c:v>
                </c:pt>
                <c:pt idx="30">
                  <c:v>24000</c:v>
                </c:pt>
                <c:pt idx="31">
                  <c:v>24000</c:v>
                </c:pt>
                <c:pt idx="32">
                  <c:v>24000</c:v>
                </c:pt>
                <c:pt idx="33">
                  <c:v>24000</c:v>
                </c:pt>
                <c:pt idx="34">
                  <c:v>24000</c:v>
                </c:pt>
                <c:pt idx="35">
                  <c:v>12148.519895819787</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smooth val="0"/>
          <c:extLst>
            <c:ext xmlns:c16="http://schemas.microsoft.com/office/drawing/2014/chart" uri="{C3380CC4-5D6E-409C-BE32-E72D297353CC}">
              <c16:uniqueId val="{00000001-CCBF-4F08-9130-4ED45224AC6B}"/>
            </c:ext>
          </c:extLst>
        </c:ser>
        <c:ser>
          <c:idx val="2"/>
          <c:order val="2"/>
          <c:tx>
            <c:strRef>
              <c:f>'base scenario'!$HV$1</c:f>
              <c:strCache>
                <c:ptCount val="1"/>
                <c:pt idx="0">
                  <c:v>Total money invested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'base scenario'!$HV$2:$HV$52</c:f>
              <c:numCache>
                <c:formatCode>[$EUR]\ #,##0</c:formatCode>
                <c:ptCount val="51"/>
                <c:pt idx="0">
                  <c:v>0</c:v>
                </c:pt>
                <c:pt idx="1">
                  <c:v>0</c:v>
                </c:pt>
                <c:pt idx="2">
                  <c:v>0</c:v>
                </c:pt>
                <c:pt idx="3">
                  <c:v>0</c:v>
                </c:pt>
                <c:pt idx="4">
                  <c:v>11615.22532709621</c:v>
                </c:pt>
                <c:pt idx="5">
                  <c:v>27469.088202799481</c:v>
                </c:pt>
                <c:pt idx="6">
                  <c:v>43469.336353283135</c:v>
                </c:pt>
                <c:pt idx="7">
                  <c:v>62721.782342745137</c:v>
                </c:pt>
                <c:pt idx="8">
                  <c:v>85433.61485713294</c:v>
                </c:pt>
                <c:pt idx="9">
                  <c:v>111809.50430395863</c:v>
                </c:pt>
                <c:pt idx="10">
                  <c:v>146696.51573461364</c:v>
                </c:pt>
                <c:pt idx="11">
                  <c:v>180691.10174738252</c:v>
                </c:pt>
                <c:pt idx="12">
                  <c:v>217374.41271130755</c:v>
                </c:pt>
                <c:pt idx="13">
                  <c:v>252999.18610662787</c:v>
                </c:pt>
                <c:pt idx="14">
                  <c:v>291006.8630667578</c:v>
                </c:pt>
                <c:pt idx="15">
                  <c:v>331397.69611725531</c:v>
                </c:pt>
                <c:pt idx="16">
                  <c:v>374159.22886054887</c:v>
                </c:pt>
                <c:pt idx="17">
                  <c:v>419265.64813602681</c:v>
                </c:pt>
                <c:pt idx="18">
                  <c:v>466677.21358821751</c:v>
                </c:pt>
                <c:pt idx="19">
                  <c:v>512089.77483227727</c:v>
                </c:pt>
                <c:pt idx="20">
                  <c:v>607885.64036816021</c:v>
                </c:pt>
                <c:pt idx="21">
                  <c:v>651770.86216014531</c:v>
                </c:pt>
                <c:pt idx="22">
                  <c:v>695526.42833942804</c:v>
                </c:pt>
                <c:pt idx="23">
                  <c:v>738969.03423217719</c:v>
                </c:pt>
                <c:pt idx="24">
                  <c:v>781908.31321416609</c:v>
                </c:pt>
                <c:pt idx="25">
                  <c:v>824147.81332433608</c:v>
                </c:pt>
                <c:pt idx="26">
                  <c:v>878686.06651667913</c:v>
                </c:pt>
                <c:pt idx="27">
                  <c:v>932542.06614014076</c:v>
                </c:pt>
                <c:pt idx="28">
                  <c:v>1002447.6803202134</c:v>
                </c:pt>
                <c:pt idx="29">
                  <c:v>1090022.9406312988</c:v>
                </c:pt>
                <c:pt idx="30">
                  <c:v>1177485.0128356742</c:v>
                </c:pt>
                <c:pt idx="31">
                  <c:v>1264508.4387827404</c:v>
                </c:pt>
                <c:pt idx="32">
                  <c:v>1350760.013014138</c:v>
                </c:pt>
                <c:pt idx="33">
                  <c:v>1435900.8257977492</c:v>
                </c:pt>
                <c:pt idx="34">
                  <c:v>1519588.4131571243</c:v>
                </c:pt>
                <c:pt idx="35">
                  <c:v>1549384.2643954991</c:v>
                </c:pt>
                <c:pt idx="36">
                  <c:v>1546956.0955650988</c:v>
                </c:pt>
                <c:pt idx="37">
                  <c:v>1526371.3183966612</c:v>
                </c:pt>
                <c:pt idx="38">
                  <c:v>1502980.6088864426</c:v>
                </c:pt>
                <c:pt idx="39">
                  <c:v>1476780.2826754902</c:v>
                </c:pt>
                <c:pt idx="40">
                  <c:v>1447764.9701800956</c:v>
                </c:pt>
                <c:pt idx="41">
                  <c:v>1415927.5985635854</c:v>
                </c:pt>
                <c:pt idx="42">
                  <c:v>1381259.3725471271</c:v>
                </c:pt>
                <c:pt idx="43">
                  <c:v>1343749.7540380156</c:v>
                </c:pt>
                <c:pt idx="44">
                  <c:v>1303386.4405530265</c:v>
                </c:pt>
                <c:pt idx="45">
                  <c:v>1260155.3424135095</c:v>
                </c:pt>
                <c:pt idx="46">
                  <c:v>1214040.5586879707</c:v>
                </c:pt>
                <c:pt idx="47">
                  <c:v>1165024.3518569404</c:v>
                </c:pt>
                <c:pt idx="48">
                  <c:v>1113087.1211739504</c:v>
                </c:pt>
                <c:pt idx="49">
                  <c:v>1058207.3746954447</c:v>
                </c:pt>
                <c:pt idx="50">
                  <c:v>1000361.6999514272</c:v>
                </c:pt>
              </c:numCache>
            </c:numRef>
          </c:val>
          <c:smooth val="0"/>
          <c:extLst>
            <c:ext xmlns:c16="http://schemas.microsoft.com/office/drawing/2014/chart" uri="{C3380CC4-5D6E-409C-BE32-E72D297353CC}">
              <c16:uniqueId val="{00000002-CCBF-4F08-9130-4ED45224AC6B}"/>
            </c:ext>
          </c:extLst>
        </c:ser>
        <c:ser>
          <c:idx val="3"/>
          <c:order val="3"/>
          <c:tx>
            <c:strRef>
              <c:f>'base scenario'!$HN$1</c:f>
              <c:strCache>
                <c:ptCount val="1"/>
                <c:pt idx="0">
                  <c:v>Real yearly expenses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'base scenario'!$HN$2:$HN$52</c:f>
              <c:numCache>
                <c:formatCode>[$EUR]\ #,##0</c:formatCode>
                <c:ptCount val="51"/>
                <c:pt idx="0">
                  <c:v>-78633.459260857417</c:v>
                </c:pt>
                <c:pt idx="1">
                  <c:v>-103421.99902709677</c:v>
                </c:pt>
                <c:pt idx="2">
                  <c:v>-82334.694086918826</c:v>
                </c:pt>
                <c:pt idx="3">
                  <c:v>-107172.29051919295</c:v>
                </c:pt>
                <c:pt idx="4">
                  <c:v>-111135.5576645598</c:v>
                </c:pt>
                <c:pt idx="5">
                  <c:v>-112025.28885837735</c:v>
                </c:pt>
                <c:pt idx="6">
                  <c:v>-116042.30218702859</c:v>
                </c:pt>
                <c:pt idx="7">
                  <c:v>-116987.44126834543</c:v>
                </c:pt>
                <c:pt idx="8">
                  <c:v>-117961.5760569266</c:v>
                </c:pt>
                <c:pt idx="9">
                  <c:v>-118965.6036751543</c:v>
                </c:pt>
                <c:pt idx="10">
                  <c:v>-113927.62049203184</c:v>
                </c:pt>
                <c:pt idx="11">
                  <c:v>-118744.23812294459</c:v>
                </c:pt>
                <c:pt idx="12">
                  <c:v>-119843.61167061845</c:v>
                </c:pt>
                <c:pt idx="13">
                  <c:v>-124760.54006671841</c:v>
                </c:pt>
                <c:pt idx="14">
                  <c:v>-126089.27143062447</c:v>
                </c:pt>
                <c:pt idx="15">
                  <c:v>-127458.62741019863</c:v>
                </c:pt>
                <c:pt idx="16">
                  <c:v>-128869.85998549126</c:v>
                </c:pt>
                <c:pt idx="17">
                  <c:v>-130324.26007361669</c:v>
                </c:pt>
                <c:pt idx="18">
                  <c:v>-131823.15875218349</c:v>
                </c:pt>
                <c:pt idx="19">
                  <c:v>-137617.92852160212</c:v>
                </c:pt>
                <c:pt idx="20">
                  <c:v>-139209.98460752075</c:v>
                </c:pt>
                <c:pt idx="21">
                  <c:v>-145100.78630468019</c:v>
                </c:pt>
                <c:pt idx="22">
                  <c:v>-146791.83836352165</c:v>
                </c:pt>
                <c:pt idx="23">
                  <c:v>-148534.69242092414</c:v>
                </c:pt>
                <c:pt idx="24">
                  <c:v>-150330.94847649269</c:v>
                </c:pt>
                <c:pt idx="25">
                  <c:v>-152182.25641586661</c:v>
                </c:pt>
                <c:pt idx="26">
                  <c:v>-140890.31758256286</c:v>
                </c:pt>
                <c:pt idx="27">
                  <c:v>-142856.88639992071</c:v>
                </c:pt>
                <c:pt idx="28">
                  <c:v>-127911.60076559684</c:v>
                </c:pt>
                <c:pt idx="29">
                  <c:v>-111651.11305798312</c:v>
                </c:pt>
                <c:pt idx="30">
                  <c:v>-113440.33420674737</c:v>
                </c:pt>
                <c:pt idx="31">
                  <c:v>-115282.1795069458</c:v>
                </c:pt>
                <c:pt idx="32">
                  <c:v>-117178.19672773834</c:v>
                </c:pt>
                <c:pt idx="33">
                  <c:v>-119129.97916090713</c:v>
                </c:pt>
                <c:pt idx="34">
                  <c:v>-121139.16695975735</c:v>
                </c:pt>
                <c:pt idx="35">
                  <c:v>-123207.44851739729</c:v>
                </c:pt>
                <c:pt idx="36">
                  <c:v>-125336.56188555603</c:v>
                </c:pt>
                <c:pt idx="37">
                  <c:v>-127528.29623513123</c:v>
                </c:pt>
                <c:pt idx="38">
                  <c:v>-129784.49335969389</c:v>
                </c:pt>
                <c:pt idx="39">
                  <c:v>-132107.04922321433</c:v>
                </c:pt>
                <c:pt idx="40">
                  <c:v>-134497.91555330885</c:v>
                </c:pt>
                <c:pt idx="41">
                  <c:v>-136959.10148134734</c:v>
                </c:pt>
                <c:pt idx="42">
                  <c:v>-139492.67523079875</c:v>
                </c:pt>
                <c:pt idx="43">
                  <c:v>-142100.76585523403</c:v>
                </c:pt>
                <c:pt idx="44">
                  <c:v>-144785.56502744684</c:v>
                </c:pt>
                <c:pt idx="45">
                  <c:v>-147549.32888119528</c:v>
                </c:pt>
                <c:pt idx="46">
                  <c:v>-150394.37990711277</c:v>
                </c:pt>
                <c:pt idx="47">
                  <c:v>-153323.10890438082</c:v>
                </c:pt>
                <c:pt idx="48">
                  <c:v>-156337.97698980378</c:v>
                </c:pt>
                <c:pt idx="49">
                  <c:v>-159441.51766597453</c:v>
                </c:pt>
                <c:pt idx="50">
                  <c:v>-162636.33895026788</c:v>
                </c:pt>
              </c:numCache>
            </c:numRef>
          </c:val>
          <c:smooth val="0"/>
          <c:extLst>
            <c:ext xmlns:c16="http://schemas.microsoft.com/office/drawing/2014/chart" uri="{C3380CC4-5D6E-409C-BE32-E72D297353CC}">
              <c16:uniqueId val="{00000003-CCBF-4F08-9130-4ED45224AC6B}"/>
            </c:ext>
          </c:extLst>
        </c:ser>
        <c:ser>
          <c:idx val="4"/>
          <c:order val="4"/>
          <c:tx>
            <c:strRef>
              <c:f>'base scenario'!$HO$1</c:f>
              <c:strCache>
                <c:ptCount val="1"/>
                <c:pt idx="0">
                  <c:v>Real yearly income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'base scenario'!$HO$2:$HO$52</c:f>
              <c:numCache>
                <c:formatCode>[$EUR]\ #,##0</c:formatCode>
                <c:ptCount val="51"/>
                <c:pt idx="0">
                  <c:v>65865</c:v>
                </c:pt>
                <c:pt idx="1">
                  <c:v>115403.38235294117</c:v>
                </c:pt>
                <c:pt idx="2">
                  <c:v>67913.654844290664</c:v>
                </c:pt>
                <c:pt idx="3">
                  <c:v>121089.79446536397</c:v>
                </c:pt>
                <c:pt idx="4">
                  <c:v>124041.39422312616</c:v>
                </c:pt>
                <c:pt idx="5">
                  <c:v>127067.71274344258</c:v>
                </c:pt>
                <c:pt idx="6">
                  <c:v>130170.65124003968</c:v>
                </c:pt>
                <c:pt idx="7">
                  <c:v>133352.15958006383</c:v>
                </c:pt>
                <c:pt idx="8">
                  <c:v>136614.23753700967</c:v>
                </c:pt>
                <c:pt idx="9">
                  <c:v>139958.93607613505</c:v>
                </c:pt>
                <c:pt idx="10">
                  <c:v>141961.99339559829</c:v>
                </c:pt>
                <c:pt idx="11">
                  <c:v>143999.49221234157</c:v>
                </c:pt>
                <c:pt idx="12">
                  <c:v>146072.1456101907</c:v>
                </c:pt>
                <c:pt idx="13">
                  <c:v>148180.68397076291</c:v>
                </c:pt>
                <c:pt idx="14">
                  <c:v>150325.85543718573</c:v>
                </c:pt>
                <c:pt idx="15">
                  <c:v>152508.42639090231</c:v>
                </c:pt>
                <c:pt idx="16">
                  <c:v>154729.1819419417</c:v>
                </c:pt>
                <c:pt idx="17">
                  <c:v>156988.92643304353</c:v>
                </c:pt>
                <c:pt idx="18">
                  <c:v>159288.48395803716</c:v>
                </c:pt>
                <c:pt idx="19">
                  <c:v>161628.69889488787</c:v>
                </c:pt>
                <c:pt idx="20">
                  <c:v>212399.309943525</c:v>
                </c:pt>
                <c:pt idx="21">
                  <c:v>163192.58602300438</c:v>
                </c:pt>
                <c:pt idx="22">
                  <c:v>164009.1937518802</c:v>
                </c:pt>
                <c:pt idx="23">
                  <c:v>164849.81935513476</c:v>
                </c:pt>
                <c:pt idx="24">
                  <c:v>165715.16924083797</c:v>
                </c:pt>
                <c:pt idx="25">
                  <c:v>166605.97059376774</c:v>
                </c:pt>
                <c:pt idx="26">
                  <c:v>167522.97198648955</c:v>
                </c:pt>
                <c:pt idx="27">
                  <c:v>168466.94400840907</c:v>
                </c:pt>
                <c:pt idx="28">
                  <c:v>169438.67991332622</c:v>
                </c:pt>
                <c:pt idx="29">
                  <c:v>170438.99628603508</c:v>
                </c:pt>
                <c:pt idx="30">
                  <c:v>171468.73372852948</c:v>
                </c:pt>
                <c:pt idx="31">
                  <c:v>172528.75756639134</c:v>
                </c:pt>
                <c:pt idx="32">
                  <c:v>173619.95857595504</c:v>
                </c:pt>
                <c:pt idx="33">
                  <c:v>174743.25373285884</c:v>
                </c:pt>
                <c:pt idx="34">
                  <c:v>175899.58698261276</c:v>
                </c:pt>
                <c:pt idx="35">
                  <c:v>111355.96841321708</c:v>
                </c:pt>
                <c:pt idx="36">
                  <c:v>111266.64232176376</c:v>
                </c:pt>
                <c:pt idx="37">
                  <c:v>111239.64961322219</c:v>
                </c:pt>
                <c:pt idx="38">
                  <c:v>111275.52440996599</c:v>
                </c:pt>
                <c:pt idx="39">
                  <c:v>111374.84252809867</c:v>
                </c:pt>
                <c:pt idx="40">
                  <c:v>111538.22218405493</c:v>
                </c:pt>
                <c:pt idx="41">
                  <c:v>111766.32473237789</c:v>
                </c:pt>
                <c:pt idx="42">
                  <c:v>112059.85543538159</c:v>
                </c:pt>
                <c:pt idx="43">
                  <c:v>112419.56426543259</c:v>
                </c:pt>
                <c:pt idx="44">
                  <c:v>112846.24674061076</c:v>
                </c:pt>
                <c:pt idx="45">
                  <c:v>113340.74479453498</c:v>
                </c:pt>
                <c:pt idx="46">
                  <c:v>113903.9476811671</c:v>
                </c:pt>
                <c:pt idx="47">
                  <c:v>114536.7929154349</c:v>
                </c:pt>
                <c:pt idx="48">
                  <c:v>115240.26725054355</c:v>
                </c:pt>
                <c:pt idx="49">
                  <c:v>116015.40769287405</c:v>
                </c:pt>
                <c:pt idx="50">
                  <c:v>116863.30255539739</c:v>
                </c:pt>
              </c:numCache>
            </c:numRef>
          </c:val>
          <c:smooth val="0"/>
          <c:extLst>
            <c:ext xmlns:c16="http://schemas.microsoft.com/office/drawing/2014/chart" uri="{C3380CC4-5D6E-409C-BE32-E72D297353CC}">
              <c16:uniqueId val="{00000004-CCBF-4F08-9130-4ED45224AC6B}"/>
            </c:ext>
          </c:extLst>
        </c:ser>
        <c:dLbls>
          <c:showLegendKey val="0"/>
          <c:showVal val="0"/>
          <c:showCatName val="0"/>
          <c:showSerName val="0"/>
          <c:showPercent val="0"/>
          <c:showBubbleSize val="0"/>
        </c:dLbls>
        <c:smooth val="0"/>
        <c:axId val="448967520"/>
        <c:axId val="448977120"/>
        <c:extLst/>
      </c:lineChart>
      <c:catAx>
        <c:axId val="448967520"/>
        <c:scaling>
          <c:orientation val="minMax"/>
        </c:scaling>
        <c:delete val="0"/>
        <c:axPos val="t"/>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inMax"/>
          <c:max val="300000"/>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Income description </a:t>
            </a:r>
            <a:r>
              <a:rPr lang="de-DE" baseline="0"/>
              <a:t>when </a:t>
            </a:r>
            <a:r>
              <a:rPr lang="de-DE" sz="1400" b="1" i="0" u="none" strike="noStrike" kern="1200" spc="100" baseline="0">
                <a:solidFill>
                  <a:schemeClr val="accent6">
                    <a:lumMod val="60000"/>
                    <a:lumOff val="40000"/>
                  </a:schemeClr>
                </a:solidFill>
                <a:effectLst>
                  <a:outerShdw blurRad="50800" dist="38100" dir="5400000" algn="t" rotWithShape="0">
                    <a:prstClr val="black">
                      <a:alpha val="40000"/>
                    </a:prstClr>
                  </a:outerShdw>
                </a:effectLst>
              </a:rPr>
              <a:t>buying+leasing+holding</a:t>
            </a:r>
            <a:endParaRPr lang="de-DE"/>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8"/>
          <c:order val="0"/>
          <c:tx>
            <c:strRef>
              <c:f>'base scenario'!$M$1</c:f>
              <c:strCache>
                <c:ptCount val="1"/>
                <c:pt idx="0">
                  <c:v>Net annual salaries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extLst xmlns:c15="http://schemas.microsoft.com/office/drawing/2012/chart"/>
            </c:numRef>
          </c:cat>
          <c:val>
            <c:numRef>
              <c:f>'base scenario'!$M$2:$M$52</c:f>
              <c:numCache>
                <c:formatCode>[$EUR]\ #,##0</c:formatCode>
                <c:ptCount val="51"/>
                <c:pt idx="0">
                  <c:v>46800</c:v>
                </c:pt>
                <c:pt idx="1">
                  <c:v>95894.117647058811</c:v>
                </c:pt>
                <c:pt idx="2">
                  <c:v>47947.058823529405</c:v>
                </c:pt>
                <c:pt idx="3">
                  <c:v>100652.41620869798</c:v>
                </c:pt>
                <c:pt idx="4">
                  <c:v>103119.38719420528</c:v>
                </c:pt>
                <c:pt idx="5">
                  <c:v>105646.82315484756</c:v>
                </c:pt>
                <c:pt idx="6">
                  <c:v>108236.2060753095</c:v>
                </c:pt>
                <c:pt idx="7">
                  <c:v>110889.05426342982</c:v>
                </c:pt>
                <c:pt idx="8">
                  <c:v>113606.92324047466</c:v>
                </c:pt>
                <c:pt idx="9">
                  <c:v>116391.40665323137</c:v>
                </c:pt>
                <c:pt idx="10">
                  <c:v>117817.77193084449</c:v>
                </c:pt>
                <c:pt idx="11">
                  <c:v>119261.61717509503</c:v>
                </c:pt>
                <c:pt idx="12">
                  <c:v>120723.1566012604</c:v>
                </c:pt>
                <c:pt idx="13">
                  <c:v>122202.60704980526</c:v>
                </c:pt>
                <c:pt idx="14">
                  <c:v>123700.18801855287</c:v>
                </c:pt>
                <c:pt idx="15">
                  <c:v>125216.12169525081</c:v>
                </c:pt>
                <c:pt idx="16">
                  <c:v>126750.63299053574</c:v>
                </c:pt>
                <c:pt idx="17">
                  <c:v>128303.9495713021</c:v>
                </c:pt>
                <c:pt idx="18">
                  <c:v>129876.30189447982</c:v>
                </c:pt>
                <c:pt idx="19">
                  <c:v>131467.92324122589</c:v>
                </c:pt>
                <c:pt idx="20">
                  <c:v>131467.92324122589</c:v>
                </c:pt>
                <c:pt idx="21">
                  <c:v>131467.92324122589</c:v>
                </c:pt>
                <c:pt idx="22">
                  <c:v>131467.92324122589</c:v>
                </c:pt>
                <c:pt idx="23">
                  <c:v>131467.92324122589</c:v>
                </c:pt>
                <c:pt idx="24">
                  <c:v>131467.92324122589</c:v>
                </c:pt>
                <c:pt idx="25">
                  <c:v>131467.92324122589</c:v>
                </c:pt>
                <c:pt idx="26">
                  <c:v>131467.92324122589</c:v>
                </c:pt>
                <c:pt idx="27">
                  <c:v>131467.92324122589</c:v>
                </c:pt>
                <c:pt idx="28">
                  <c:v>131467.92324122589</c:v>
                </c:pt>
                <c:pt idx="29">
                  <c:v>131467.92324122589</c:v>
                </c:pt>
                <c:pt idx="30">
                  <c:v>131467.92324122589</c:v>
                </c:pt>
                <c:pt idx="31">
                  <c:v>131467.92324122589</c:v>
                </c:pt>
                <c:pt idx="32">
                  <c:v>131467.92324122589</c:v>
                </c:pt>
                <c:pt idx="33">
                  <c:v>131467.92324122589</c:v>
                </c:pt>
                <c:pt idx="34">
                  <c:v>131467.92324122589</c:v>
                </c:pt>
                <c:pt idx="35">
                  <c:v>65733.961620612943</c:v>
                </c:pt>
                <c:pt idx="36">
                  <c:v>64419.282388200685</c:v>
                </c:pt>
                <c:pt idx="37">
                  <c:v>63130.89674043667</c:v>
                </c:pt>
                <c:pt idx="38">
                  <c:v>61868.278805627939</c:v>
                </c:pt>
                <c:pt idx="39">
                  <c:v>60630.913229515376</c:v>
                </c:pt>
                <c:pt idx="40">
                  <c:v>59418.294964925066</c:v>
                </c:pt>
                <c:pt idx="41">
                  <c:v>58229.929065626566</c:v>
                </c:pt>
                <c:pt idx="42">
                  <c:v>57065.330484314036</c:v>
                </c:pt>
                <c:pt idx="43">
                  <c:v>55924.023874627754</c:v>
                </c:pt>
                <c:pt idx="44">
                  <c:v>54805.543397135196</c:v>
                </c:pt>
                <c:pt idx="45">
                  <c:v>53709.432529192491</c:v>
                </c:pt>
                <c:pt idx="46">
                  <c:v>52635.243878608642</c:v>
                </c:pt>
                <c:pt idx="47">
                  <c:v>51582.539001036472</c:v>
                </c:pt>
                <c:pt idx="48">
                  <c:v>50550.888221015739</c:v>
                </c:pt>
                <c:pt idx="49">
                  <c:v>49539.870456595425</c:v>
                </c:pt>
                <c:pt idx="50">
                  <c:v>48549.073047463513</c:v>
                </c:pt>
              </c:numCache>
            </c:numRef>
          </c:val>
          <c:extLst xmlns:c15="http://schemas.microsoft.com/office/drawing/2012/chart">
            <c:ext xmlns:c16="http://schemas.microsoft.com/office/drawing/2014/chart" uri="{C3380CC4-5D6E-409C-BE32-E72D297353CC}">
              <c16:uniqueId val="{00000000-08AA-4398-8586-399AD630E498}"/>
            </c:ext>
          </c:extLst>
        </c:ser>
        <c:ser>
          <c:idx val="0"/>
          <c:order val="1"/>
          <c:tx>
            <c:strRef>
              <c:f>'base scenario'!$R$1</c:f>
              <c:strCache>
                <c:ptCount val="1"/>
                <c:pt idx="0">
                  <c:v>Lump sums</c:v>
                </c:pt>
              </c:strCache>
            </c:strRef>
          </c:tx>
          <c:spPr>
            <a:solidFill>
              <a:schemeClr val="accent5"/>
            </a:solidFill>
            <a:ln w="25400">
              <a:noFill/>
            </a:ln>
            <a:effectLst>
              <a:outerShdw blurRad="57150" dist="19050" dir="5400000" algn="ctr" rotWithShape="0">
                <a:srgbClr val="000000">
                  <a:alpha val="63000"/>
                </a:srgbClr>
              </a:outerShdw>
            </a:effectLst>
          </c:spPr>
          <c:val>
            <c:numRef>
              <c:f>'base scenario'!$R$2:$R$52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50000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1-08AA-4398-8586-399AD630E498}"/>
            </c:ext>
          </c:extLst>
        </c:ser>
        <c:ser>
          <c:idx val="1"/>
          <c:order val="2"/>
          <c:tx>
            <c:strRef>
              <c:f>'base scenario'!$GP$1</c:f>
              <c:strCache>
                <c:ptCount val="1"/>
                <c:pt idx="0">
                  <c:v>Warm rent from lease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val>
            <c:numRef>
              <c:f>'base scenario'!$GP$2:$GP$52</c:f>
              <c:numCache>
                <c:formatCode>[$EUR]\ #,##0</c:formatCode>
                <c:ptCount val="51"/>
                <c:pt idx="0">
                  <c:v>19065</c:v>
                </c:pt>
                <c:pt idx="1">
                  <c:v>19509.264705882357</c:v>
                </c:pt>
                <c:pt idx="2">
                  <c:v>19966.596020761252</c:v>
                </c:pt>
                <c:pt idx="3">
                  <c:v>20437.378256665994</c:v>
                </c:pt>
                <c:pt idx="4">
                  <c:v>20922.007028920878</c:v>
                </c:pt>
                <c:pt idx="5">
                  <c:v>21420.889588595022</c:v>
                </c:pt>
                <c:pt idx="6">
                  <c:v>21934.445164730172</c:v>
                </c:pt>
                <c:pt idx="7">
                  <c:v>22463.105316634003</c:v>
                </c:pt>
                <c:pt idx="8">
                  <c:v>23007.314296535005</c:v>
                </c:pt>
                <c:pt idx="9">
                  <c:v>23567.529422903688</c:v>
                </c:pt>
                <c:pt idx="10">
                  <c:v>24144.221464753799</c:v>
                </c:pt>
                <c:pt idx="11">
                  <c:v>24737.875037246558</c:v>
                </c:pt>
                <c:pt idx="12">
                  <c:v>25348.989008930286</c:v>
                </c:pt>
                <c:pt idx="13">
                  <c:v>25978.076920957647</c:v>
                </c:pt>
                <c:pt idx="14">
                  <c:v>26625.667418632875</c:v>
                </c:pt>
                <c:pt idx="15">
                  <c:v>27292.304695651488</c:v>
                </c:pt>
                <c:pt idx="16">
                  <c:v>27978.548951405948</c:v>
                </c:pt>
                <c:pt idx="17">
                  <c:v>28684.976861741423</c:v>
                </c:pt>
                <c:pt idx="18">
                  <c:v>29412.182063557349</c:v>
                </c:pt>
                <c:pt idx="19">
                  <c:v>30160.775653661982</c:v>
                </c:pt>
                <c:pt idx="20">
                  <c:v>30931.386702299103</c:v>
                </c:pt>
                <c:pt idx="21">
                  <c:v>31724.66278177849</c:v>
                </c:pt>
                <c:pt idx="22">
                  <c:v>32541.270510654329</c:v>
                </c:pt>
                <c:pt idx="23">
                  <c:v>33381.896113908871</c:v>
                </c:pt>
                <c:pt idx="24">
                  <c:v>34247.245999612074</c:v>
                </c:pt>
                <c:pt idx="25">
                  <c:v>35138.047352541849</c:v>
                </c:pt>
                <c:pt idx="26">
                  <c:v>36055.048745263666</c:v>
                </c:pt>
                <c:pt idx="27">
                  <c:v>36999.020767183189</c:v>
                </c:pt>
                <c:pt idx="28">
                  <c:v>37970.756672100346</c:v>
                </c:pt>
                <c:pt idx="29">
                  <c:v>38971.073044809193</c:v>
                </c:pt>
                <c:pt idx="30">
                  <c:v>40000.810487303577</c:v>
                </c:pt>
                <c:pt idx="31">
                  <c:v>41060.834325165451</c:v>
                </c:pt>
                <c:pt idx="32">
                  <c:v>42152.035334729146</c:v>
                </c:pt>
                <c:pt idx="33">
                  <c:v>43275.330491632951</c:v>
                </c:pt>
                <c:pt idx="34">
                  <c:v>44431.663741386867</c:v>
                </c:pt>
                <c:pt idx="35">
                  <c:v>45622.00679260413</c:v>
                </c:pt>
                <c:pt idx="36">
                  <c:v>46847.359933563079</c:v>
                </c:pt>
                <c:pt idx="37">
                  <c:v>48108.752872785524</c:v>
                </c:pt>
                <c:pt idx="38">
                  <c:v>49407.245604338044</c:v>
                </c:pt>
                <c:pt idx="39">
                  <c:v>50743.929298583287</c:v>
                </c:pt>
                <c:pt idx="40">
                  <c:v>52119.927219129859</c:v>
                </c:pt>
                <c:pt idx="41">
                  <c:v>53536.395666751327</c:v>
                </c:pt>
                <c:pt idx="42">
                  <c:v>54994.524951067549</c:v>
                </c:pt>
                <c:pt idx="43">
                  <c:v>56495.540390804832</c:v>
                </c:pt>
                <c:pt idx="44">
                  <c:v>58040.703343475565</c:v>
                </c:pt>
                <c:pt idx="45">
                  <c:v>59631.312265342502</c:v>
                </c:pt>
                <c:pt idx="46">
                  <c:v>61268.703802558462</c:v>
                </c:pt>
                <c:pt idx="47">
                  <c:v>62954.253914398425</c:v>
                </c:pt>
                <c:pt idx="48">
                  <c:v>64689.379029527801</c:v>
                </c:pt>
                <c:pt idx="49">
                  <c:v>66475.537236278629</c:v>
                </c:pt>
                <c:pt idx="50">
                  <c:v>68314.22950793388</c:v>
                </c:pt>
              </c:numCache>
            </c:numRef>
          </c:val>
          <c:extLst>
            <c:ext xmlns:c16="http://schemas.microsoft.com/office/drawing/2014/chart" uri="{C3380CC4-5D6E-409C-BE32-E72D297353CC}">
              <c16:uniqueId val="{00000002-08AA-4398-8586-399AD630E498}"/>
            </c:ext>
          </c:extLst>
        </c:ser>
        <c:ser>
          <c:idx val="2"/>
          <c:order val="3"/>
          <c:tx>
            <c:strRef>
              <c:f>'base scenario'!$HS$1</c:f>
              <c:strCache>
                <c:ptCount val="1"/>
                <c:pt idx="0">
                  <c:v>Return on invested money from previous year</c:v>
                </c:pt>
              </c:strCache>
            </c:strRef>
          </c:tx>
          <c:spPr>
            <a:solidFill>
              <a:schemeClr val="accent1"/>
            </a:solidFill>
            <a:ln w="25400">
              <a:noFill/>
            </a:ln>
            <a:effectLst>
              <a:outerShdw blurRad="57150" dist="19050" dir="5400000" algn="ctr" rotWithShape="0">
                <a:srgbClr val="000000">
                  <a:alpha val="63000"/>
                </a:srgbClr>
              </a:outerShdw>
            </a:effectLst>
          </c:spPr>
          <c:val>
            <c:numRef>
              <c:f>'base scenario'!$HS$2:$HS$52</c:f>
              <c:numCache>
                <c:formatCode>[$EUR]\ #,##0</c:formatCode>
                <c:ptCount val="51"/>
                <c:pt idx="0">
                  <c:v>2039.2156862745142</c:v>
                </c:pt>
                <c:pt idx="1">
                  <c:v>0</c:v>
                </c:pt>
                <c:pt idx="2">
                  <c:v>0</c:v>
                </c:pt>
                <c:pt idx="3">
                  <c:v>0</c:v>
                </c:pt>
                <c:pt idx="4">
                  <c:v>0</c:v>
                </c:pt>
                <c:pt idx="5">
                  <c:v>811.43899063803997</c:v>
                </c:pt>
                <c:pt idx="6">
                  <c:v>1871.8990974725705</c:v>
                </c:pt>
                <c:pt idx="7">
                  <c:v>2887.7276777436018</c:v>
                </c:pt>
                <c:pt idx="8">
                  <c:v>4059.1710343047289</c:v>
                </c:pt>
                <c:pt idx="9">
                  <c:v>5382.5570458449311</c:v>
                </c:pt>
                <c:pt idx="10">
                  <c:v>6852.6385270885794</c:v>
                </c:pt>
                <c:pt idx="11">
                  <c:v>8739.3319233719139</c:v>
                </c:pt>
                <c:pt idx="12">
                  <c:v>10454.77702435279</c:v>
                </c:pt>
                <c:pt idx="13">
                  <c:v>12204.629491275809</c:v>
                </c:pt>
                <c:pt idx="14">
                  <c:v>13771.092953568656</c:v>
                </c:pt>
                <c:pt idx="15">
                  <c:v>15341.034069793841</c:v>
                </c:pt>
                <c:pt idx="16">
                  <c:v>16902.210786843156</c:v>
                </c:pt>
                <c:pt idx="17">
                  <c:v>18441.7529160511</c:v>
                </c:pt>
                <c:pt idx="18">
                  <c:v>19946.240246336994</c:v>
                </c:pt>
                <c:pt idx="19">
                  <c:v>21401.790870774024</c:v>
                </c:pt>
                <c:pt idx="20">
                  <c:v>22606.540199878775</c:v>
                </c:pt>
                <c:pt idx="21">
                  <c:v>25793.422073660866</c:v>
                </c:pt>
                <c:pt idx="22">
                  <c:v>26538.210790924124</c:v>
                </c:pt>
                <c:pt idx="23">
                  <c:v>27127.478958538482</c:v>
                </c:pt>
                <c:pt idx="24">
                  <c:v>27555.058217643662</c:v>
                </c:pt>
                <c:pt idx="25">
                  <c:v>27815.785932268784</c:v>
                </c:pt>
                <c:pt idx="26">
                  <c:v>27905.598788416308</c:v>
                </c:pt>
                <c:pt idx="27">
                  <c:v>28245.942014973276</c:v>
                </c:pt>
                <c:pt idx="28">
                  <c:v>28378.535032343258</c:v>
                </c:pt>
                <c:pt idx="29">
                  <c:v>28787.377083033294</c:v>
                </c:pt>
                <c:pt idx="30">
                  <c:v>29433.672682593231</c:v>
                </c:pt>
                <c:pt idx="31">
                  <c:v>29776.847887620548</c:v>
                </c:pt>
                <c:pt idx="32">
                  <c:v>29809.812383181001</c:v>
                </c:pt>
                <c:pt idx="33">
                  <c:v>29527.538211659419</c:v>
                </c:pt>
                <c:pt idx="34">
                  <c:v>28927.1673365196</c:v>
                </c:pt>
                <c:pt idx="35">
                  <c:v>29795.851238374882</c:v>
                </c:pt>
                <c:pt idx="36">
                  <c:v>30380.083615597916</c:v>
                </c:pt>
                <c:pt idx="37">
                  <c:v>30332.472462060654</c:v>
                </c:pt>
                <c:pt idx="38">
                  <c:v>29928.849380326585</c:v>
                </c:pt>
                <c:pt idx="39">
                  <c:v>29470.208017381123</c:v>
                </c:pt>
                <c:pt idx="40">
                  <c:v>28956.476130891864</c:v>
                </c:pt>
                <c:pt idx="41">
                  <c:v>28387.548434903736</c:v>
                </c:pt>
                <c:pt idx="42">
                  <c:v>27763.286246344713</c:v>
                </c:pt>
                <c:pt idx="43">
                  <c:v>27083.517108767101</c:v>
                </c:pt>
                <c:pt idx="44">
                  <c:v>26348.034392902173</c:v>
                </c:pt>
                <c:pt idx="45">
                  <c:v>25556.596873588664</c:v>
                </c:pt>
                <c:pt idx="46">
                  <c:v>24708.928282617744</c:v>
                </c:pt>
                <c:pt idx="47">
                  <c:v>23804.71683701895</c:v>
                </c:pt>
                <c:pt idx="48">
                  <c:v>22843.61474229287</c:v>
                </c:pt>
                <c:pt idx="49">
                  <c:v>21825.237670077382</c:v>
                </c:pt>
                <c:pt idx="50">
                  <c:v>20749.164209714527</c:v>
                </c:pt>
              </c:numCache>
            </c:numRef>
          </c:val>
          <c:extLst>
            <c:ext xmlns:c16="http://schemas.microsoft.com/office/drawing/2014/chart" uri="{C3380CC4-5D6E-409C-BE32-E72D297353CC}">
              <c16:uniqueId val="{00000003-08AA-4398-8586-399AD630E498}"/>
            </c:ext>
          </c:extLst>
        </c:ser>
        <c:dLbls>
          <c:showLegendKey val="0"/>
          <c:showVal val="0"/>
          <c:showCatName val="0"/>
          <c:showSerName val="0"/>
          <c:showPercent val="0"/>
          <c:showBubbleSize val="0"/>
        </c:dLbls>
        <c:axId val="448967520"/>
        <c:axId val="448977120"/>
        <c:extLst/>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autoZero"/>
        <c:auto val="1"/>
        <c:lblAlgn val="ctr"/>
        <c:lblOffset val="100"/>
        <c:noMultiLvlLbl val="0"/>
      </c:catAx>
      <c:valAx>
        <c:axId val="448977120"/>
        <c:scaling>
          <c:orientation val="minMax"/>
          <c:max val="25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Costs description </a:t>
            </a:r>
            <a:r>
              <a:rPr lang="de-DE" baseline="0"/>
              <a:t>when </a:t>
            </a:r>
            <a:r>
              <a:rPr lang="de-DE" baseline="0">
                <a:solidFill>
                  <a:schemeClr val="accent5">
                    <a:lumMod val="60000"/>
                    <a:lumOff val="40000"/>
                  </a:schemeClr>
                </a:solidFill>
              </a:rPr>
              <a:t>buying+leasing+selling</a:t>
            </a:r>
            <a:endParaRPr lang="de-DE">
              <a:solidFill>
                <a:schemeClr val="accent5">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11"/>
          <c:order val="0"/>
          <c:tx>
            <c:strRef>
              <c:f>'base scenario'!$P$1</c:f>
              <c:strCache>
                <c:ptCount val="1"/>
                <c:pt idx="0">
                  <c:v>Living costs family</c:v>
                </c:pt>
              </c:strCache>
            </c:strRef>
          </c:tx>
          <c:spPr>
            <a:solidFill>
              <a:schemeClr val="bg1"/>
            </a:solidFill>
            <a:ln w="25400">
              <a:noFill/>
            </a:ln>
            <a:effectLst>
              <a:outerShdw blurRad="57150" dist="19050" dir="5400000" algn="ctr" rotWithShape="0">
                <a:srgbClr val="000000">
                  <a:alpha val="63000"/>
                </a:srgbClr>
              </a:outerShdw>
            </a:effectLst>
          </c:spPr>
          <c:val>
            <c:numRef>
              <c:f>'base scenario'!$P$2:$P$52</c:f>
              <c:numCache>
                <c:formatCode>[$EUR]\ #,##0</c:formatCode>
                <c:ptCount val="51"/>
                <c:pt idx="0">
                  <c:v>-1050</c:v>
                </c:pt>
                <c:pt idx="1">
                  <c:v>-1050</c:v>
                </c:pt>
                <c:pt idx="2">
                  <c:v>-2100</c:v>
                </c:pt>
                <c:pt idx="3">
                  <c:v>-2100</c:v>
                </c:pt>
                <c:pt idx="4">
                  <c:v>-3650</c:v>
                </c:pt>
                <c:pt idx="5">
                  <c:v>-3650</c:v>
                </c:pt>
                <c:pt idx="6">
                  <c:v>-5200</c:v>
                </c:pt>
                <c:pt idx="7">
                  <c:v>-5200</c:v>
                </c:pt>
                <c:pt idx="8">
                  <c:v>-5200</c:v>
                </c:pt>
                <c:pt idx="9">
                  <c:v>-5200</c:v>
                </c:pt>
                <c:pt idx="10">
                  <c:v>-5200</c:v>
                </c:pt>
                <c:pt idx="11">
                  <c:v>-7075</c:v>
                </c:pt>
                <c:pt idx="12">
                  <c:v>-7075</c:v>
                </c:pt>
                <c:pt idx="13">
                  <c:v>-8950</c:v>
                </c:pt>
                <c:pt idx="14">
                  <c:v>-8950</c:v>
                </c:pt>
                <c:pt idx="15">
                  <c:v>-8950</c:v>
                </c:pt>
                <c:pt idx="16">
                  <c:v>-8950</c:v>
                </c:pt>
                <c:pt idx="17">
                  <c:v>-8950</c:v>
                </c:pt>
                <c:pt idx="18">
                  <c:v>-8950</c:v>
                </c:pt>
                <c:pt idx="19">
                  <c:v>-11075</c:v>
                </c:pt>
                <c:pt idx="20">
                  <c:v>-11075</c:v>
                </c:pt>
                <c:pt idx="21">
                  <c:v>-13200</c:v>
                </c:pt>
                <c:pt idx="22">
                  <c:v>-13200</c:v>
                </c:pt>
                <c:pt idx="23">
                  <c:v>-13200</c:v>
                </c:pt>
                <c:pt idx="24">
                  <c:v>-13200</c:v>
                </c:pt>
                <c:pt idx="25">
                  <c:v>-13200</c:v>
                </c:pt>
                <c:pt idx="26">
                  <c:v>-6600</c:v>
                </c:pt>
                <c:pt idx="27">
                  <c:v>-6600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0-B215-4A3F-98C4-FD83FC4B7234}"/>
            </c:ext>
          </c:extLst>
        </c:ser>
        <c:ser>
          <c:idx val="1"/>
          <c:order val="1"/>
          <c:tx>
            <c:strRef>
              <c:f>'base scenario'!$CI$1</c:f>
              <c:strCache>
                <c:ptCount val="1"/>
                <c:pt idx="0">
                  <c:v>Rent</c:v>
                </c:pt>
              </c:strCache>
            </c:strRef>
          </c:tx>
          <c:spPr>
            <a:solidFill>
              <a:schemeClr val="accent2"/>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scenario'!$CI$2:$CI$52</c:f>
              <c:numCache>
                <c:formatCode>[$EUR]\ #,##0</c:formatCode>
                <c:ptCount val="51"/>
                <c:pt idx="0">
                  <c:v>-15840</c:v>
                </c:pt>
                <c:pt idx="1">
                  <c:v>-16305.882352941178</c:v>
                </c:pt>
                <c:pt idx="2">
                  <c:v>-16785.467128027685</c:v>
                </c:pt>
                <c:pt idx="3">
                  <c:v>-17279.157337675559</c:v>
                </c:pt>
                <c:pt idx="4">
                  <c:v>-17787.367847607195</c:v>
                </c:pt>
                <c:pt idx="5">
                  <c:v>-18310.525725477997</c:v>
                </c:pt>
                <c:pt idx="6">
                  <c:v>-18849.070599756764</c:v>
                </c:pt>
                <c:pt idx="7">
                  <c:v>-19403.455029161378</c:v>
                </c:pt>
                <c:pt idx="8">
                  <c:v>-19974.144882960245</c:v>
                </c:pt>
                <c:pt idx="9">
                  <c:v>-20561.619732459079</c:v>
                </c:pt>
                <c:pt idx="10">
                  <c:v>-21166.373254001996</c:v>
                </c:pt>
                <c:pt idx="11">
                  <c:v>-21788.913643825585</c:v>
                </c:pt>
                <c:pt idx="12">
                  <c:v>-22429.764045114574</c:v>
                </c:pt>
                <c:pt idx="13">
                  <c:v>-23089.462987617946</c:v>
                </c:pt>
                <c:pt idx="14">
                  <c:v>-23768.564840194947</c:v>
                </c:pt>
                <c:pt idx="15">
                  <c:v>-24467.640276671271</c:v>
                </c:pt>
                <c:pt idx="16">
                  <c:v>-25187.276755396899</c:v>
                </c:pt>
                <c:pt idx="17">
                  <c:v>-25928.079012908576</c:v>
                </c:pt>
                <c:pt idx="18">
                  <c:v>-26690.669572111772</c:v>
                </c:pt>
                <c:pt idx="19">
                  <c:v>-27475.689265409179</c:v>
                </c:pt>
                <c:pt idx="20">
                  <c:v>-28283.797773215334</c:v>
                </c:pt>
                <c:pt idx="21">
                  <c:v>-29115.674178309906</c:v>
                </c:pt>
                <c:pt idx="22">
                  <c:v>-29972.017536495496</c:v>
                </c:pt>
                <c:pt idx="23">
                  <c:v>-30853.547464039486</c:v>
                </c:pt>
                <c:pt idx="24">
                  <c:v>-31761.00474239359</c:v>
                </c:pt>
                <c:pt idx="25">
                  <c:v>-32695.151940699288</c:v>
                </c:pt>
                <c:pt idx="26">
                  <c:v>-33656.774056602211</c:v>
                </c:pt>
                <c:pt idx="27">
                  <c:v>-34646.679175914047</c:v>
                </c:pt>
                <c:pt idx="28">
                  <c:v>-35665.699151676228</c:v>
                </c:pt>
                <c:pt idx="29">
                  <c:v>-36714.690303196119</c:v>
                </c:pt>
                <c:pt idx="30">
                  <c:v>-37794.534135643065</c:v>
                </c:pt>
                <c:pt idx="31">
                  <c:v>-38906.13808080904</c:v>
                </c:pt>
                <c:pt idx="32">
                  <c:v>-40050.436259656366</c:v>
                </c:pt>
                <c:pt idx="33">
                  <c:v>-41228.390267293325</c:v>
                </c:pt>
                <c:pt idx="34">
                  <c:v>-42440.989981037252</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1-B215-4A3F-98C4-FD83FC4B7234}"/>
            </c:ext>
          </c:extLst>
        </c:ser>
        <c:ser>
          <c:idx val="7"/>
          <c:order val="2"/>
          <c:tx>
            <c:strRef>
              <c:f>'base scenario'!$N$1</c:f>
              <c:strCache>
                <c:ptCount val="1"/>
                <c:pt idx="0">
                  <c:v>Living costs</c:v>
                </c:pt>
              </c:strCache>
            </c:strRef>
          </c:tx>
          <c:spPr>
            <a:solidFill>
              <a:schemeClr val="accent1"/>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scenario'!$N$2:$N$52</c:f>
              <c:numCache>
                <c:formatCode>[$EUR]\ #,##0</c:formatCode>
                <c:ptCount val="51"/>
                <c:pt idx="0">
                  <c:v>-25050</c:v>
                </c:pt>
                <c:pt idx="1">
                  <c:v>-49050</c:v>
                </c:pt>
                <c:pt idx="2">
                  <c:v>-26100</c:v>
                </c:pt>
                <c:pt idx="3">
                  <c:v>-50100</c:v>
                </c:pt>
                <c:pt idx="4">
                  <c:v>-51650</c:v>
                </c:pt>
                <c:pt idx="5">
                  <c:v>-51650</c:v>
                </c:pt>
                <c:pt idx="6">
                  <c:v>-53200</c:v>
                </c:pt>
                <c:pt idx="7">
                  <c:v>-53200</c:v>
                </c:pt>
                <c:pt idx="8">
                  <c:v>-53200</c:v>
                </c:pt>
                <c:pt idx="9">
                  <c:v>-53200</c:v>
                </c:pt>
                <c:pt idx="10">
                  <c:v>-53200</c:v>
                </c:pt>
                <c:pt idx="11">
                  <c:v>-55075</c:v>
                </c:pt>
                <c:pt idx="12">
                  <c:v>-55075</c:v>
                </c:pt>
                <c:pt idx="13">
                  <c:v>-56950</c:v>
                </c:pt>
                <c:pt idx="14">
                  <c:v>-56950</c:v>
                </c:pt>
                <c:pt idx="15">
                  <c:v>-56950</c:v>
                </c:pt>
                <c:pt idx="16">
                  <c:v>-56950</c:v>
                </c:pt>
                <c:pt idx="17">
                  <c:v>-56950</c:v>
                </c:pt>
                <c:pt idx="18">
                  <c:v>-56950</c:v>
                </c:pt>
                <c:pt idx="19">
                  <c:v>-59075</c:v>
                </c:pt>
                <c:pt idx="20">
                  <c:v>-59075</c:v>
                </c:pt>
                <c:pt idx="21">
                  <c:v>-61200</c:v>
                </c:pt>
                <c:pt idx="22">
                  <c:v>-61200</c:v>
                </c:pt>
                <c:pt idx="23">
                  <c:v>-61200</c:v>
                </c:pt>
                <c:pt idx="24">
                  <c:v>-61200</c:v>
                </c:pt>
                <c:pt idx="25">
                  <c:v>-61200</c:v>
                </c:pt>
                <c:pt idx="26">
                  <c:v>-54600</c:v>
                </c:pt>
                <c:pt idx="27">
                  <c:v>-54600</c:v>
                </c:pt>
                <c:pt idx="28">
                  <c:v>-48000</c:v>
                </c:pt>
                <c:pt idx="29">
                  <c:v>-48000</c:v>
                </c:pt>
                <c:pt idx="30">
                  <c:v>-48000</c:v>
                </c:pt>
                <c:pt idx="31">
                  <c:v>-48000</c:v>
                </c:pt>
                <c:pt idx="32">
                  <c:v>-48000</c:v>
                </c:pt>
                <c:pt idx="33">
                  <c:v>-48000</c:v>
                </c:pt>
                <c:pt idx="34">
                  <c:v>-48000</c:v>
                </c:pt>
                <c:pt idx="35">
                  <c:v>-48000</c:v>
                </c:pt>
                <c:pt idx="36">
                  <c:v>-48000</c:v>
                </c:pt>
                <c:pt idx="37">
                  <c:v>-48000</c:v>
                </c:pt>
                <c:pt idx="38">
                  <c:v>-48000</c:v>
                </c:pt>
                <c:pt idx="39">
                  <c:v>-48000</c:v>
                </c:pt>
                <c:pt idx="40">
                  <c:v>-48000</c:v>
                </c:pt>
                <c:pt idx="41">
                  <c:v>-48000</c:v>
                </c:pt>
                <c:pt idx="42">
                  <c:v>-48000</c:v>
                </c:pt>
                <c:pt idx="43">
                  <c:v>-48000</c:v>
                </c:pt>
                <c:pt idx="44">
                  <c:v>-48000</c:v>
                </c:pt>
                <c:pt idx="45">
                  <c:v>-48000</c:v>
                </c:pt>
                <c:pt idx="46">
                  <c:v>-48000</c:v>
                </c:pt>
                <c:pt idx="47">
                  <c:v>-48000</c:v>
                </c:pt>
                <c:pt idx="48">
                  <c:v>-48000</c:v>
                </c:pt>
                <c:pt idx="49">
                  <c:v>-48000</c:v>
                </c:pt>
                <c:pt idx="50">
                  <c:v>-48000</c:v>
                </c:pt>
              </c:numCache>
            </c:numRef>
          </c:val>
          <c:extLst>
            <c:ext xmlns:c16="http://schemas.microsoft.com/office/drawing/2014/chart" uri="{C3380CC4-5D6E-409C-BE32-E72D297353CC}">
              <c16:uniqueId val="{00000002-B215-4A3F-98C4-FD83FC4B7234}"/>
            </c:ext>
          </c:extLst>
        </c:ser>
        <c:ser>
          <c:idx val="12"/>
          <c:order val="3"/>
          <c:tx>
            <c:strRef>
              <c:f>'base scenario'!$CJ$1</c:f>
              <c:strCache>
                <c:ptCount val="1"/>
                <c:pt idx="0">
                  <c:v>Fixed housing costs (Nebenkosten)</c:v>
                </c:pt>
              </c:strCache>
            </c:strRef>
          </c:tx>
          <c:spPr>
            <a:solidFill>
              <a:schemeClr val="tx2"/>
            </a:solidFill>
            <a:ln w="25400">
              <a:noFill/>
            </a:ln>
            <a:effectLst>
              <a:outerShdw blurRad="57150" dist="19050" dir="5400000" algn="ctr" rotWithShape="0">
                <a:srgbClr val="000000">
                  <a:alpha val="63000"/>
                </a:srgbClr>
              </a:outerShdw>
            </a:effectLst>
          </c:spPr>
          <c:val>
            <c:numRef>
              <c:f>'base scenario'!$CJ$2:$CJ$52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C-B215-4A3F-98C4-FD83FC4B7234}"/>
            </c:ext>
          </c:extLst>
        </c:ser>
        <c:ser>
          <c:idx val="2"/>
          <c:order val="4"/>
          <c:tx>
            <c:strRef>
              <c:f>'base scenario'!$CP$1</c:f>
              <c:strCache>
                <c:ptCount val="1"/>
                <c:pt idx="0">
                  <c:v>Mortgage principal payment share</c:v>
                </c:pt>
              </c:strCache>
            </c:strRef>
          </c:tx>
          <c:spPr>
            <a:solidFill>
              <a:schemeClr val="accent3">
                <a:lumMod val="75000"/>
              </a:schemeClr>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scenario'!$CP$2:$CP$52</c:f>
              <c:numCache>
                <c:formatCode>[$EUR]\ #,##0</c:formatCode>
                <c:ptCount val="51"/>
                <c:pt idx="0">
                  <c:v>-7740.3100000000013</c:v>
                </c:pt>
                <c:pt idx="1">
                  <c:v>-8026.7014700000018</c:v>
                </c:pt>
                <c:pt idx="2">
                  <c:v>-8323.6894243900024</c:v>
                </c:pt>
                <c:pt idx="3">
                  <c:v>-8631.665933092434</c:v>
                </c:pt>
                <c:pt idx="4">
                  <c:v>-8951.0375726168531</c:v>
                </c:pt>
                <c:pt idx="5">
                  <c:v>-9282.2259628036754</c:v>
                </c:pt>
                <c:pt idx="6">
                  <c:v>-9625.6683234274133</c:v>
                </c:pt>
                <c:pt idx="7">
                  <c:v>-9981.818051394228</c:v>
                </c:pt>
                <c:pt idx="8">
                  <c:v>-10351.145319295816</c:v>
                </c:pt>
                <c:pt idx="9">
                  <c:v>-10734.137696109761</c:v>
                </c:pt>
                <c:pt idx="10">
                  <c:v>-11131.300790865822</c:v>
                </c:pt>
                <c:pt idx="11">
                  <c:v>-11543.158920127858</c:v>
                </c:pt>
                <c:pt idx="12">
                  <c:v>-11970.255800172588</c:v>
                </c:pt>
                <c:pt idx="13">
                  <c:v>-12413.155264778974</c:v>
                </c:pt>
                <c:pt idx="14">
                  <c:v>-12872.442009575796</c:v>
                </c:pt>
                <c:pt idx="15">
                  <c:v>-13348.722363930101</c:v>
                </c:pt>
                <c:pt idx="16">
                  <c:v>-13842.625091395514</c:v>
                </c:pt>
                <c:pt idx="17">
                  <c:v>-14354.802219777148</c:v>
                </c:pt>
                <c:pt idx="18">
                  <c:v>-14885.929901908901</c:v>
                </c:pt>
                <c:pt idx="19">
                  <c:v>-15436.709308279533</c:v>
                </c:pt>
                <c:pt idx="20">
                  <c:v>-16007.867552685875</c:v>
                </c:pt>
                <c:pt idx="21">
                  <c:v>-16600.158652135251</c:v>
                </c:pt>
                <c:pt idx="22">
                  <c:v>-17214.364522264255</c:v>
                </c:pt>
                <c:pt idx="23">
                  <c:v>-17851.296009588033</c:v>
                </c:pt>
                <c:pt idx="24">
                  <c:v>-18511.793961942789</c:v>
                </c:pt>
                <c:pt idx="25">
                  <c:v>-19196.730338534675</c:v>
                </c:pt>
                <c:pt idx="26">
                  <c:v>-19907.009361060456</c:v>
                </c:pt>
                <c:pt idx="27">
                  <c:v>-20643.568707419694</c:v>
                </c:pt>
                <c:pt idx="28">
                  <c:v>-17635.209470426529</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4-B215-4A3F-98C4-FD83FC4B7234}"/>
            </c:ext>
          </c:extLst>
        </c:ser>
        <c:ser>
          <c:idx val="0"/>
          <c:order val="5"/>
          <c:tx>
            <c:strRef>
              <c:f>'base scenario'!$CR$1</c:f>
              <c:strCache>
                <c:ptCount val="1"/>
                <c:pt idx="0">
                  <c:v>Mortgage interest payment share</c:v>
                </c:pt>
              </c:strCache>
            </c:strRef>
          </c:tx>
          <c:spPr>
            <a:solidFill>
              <a:schemeClr val="accent3">
                <a:lumMod val="60000"/>
                <a:lumOff val="40000"/>
              </a:schemeClr>
            </a:solidFill>
            <a:ln w="25400">
              <a:noFill/>
            </a:ln>
            <a:effectLst>
              <a:outerShdw blurRad="57150" dist="19050" dir="5400000" algn="ctr" rotWithShape="0">
                <a:srgbClr val="000000">
                  <a:alpha val="63000"/>
                </a:srgbClr>
              </a:outerShdw>
            </a:effectLst>
          </c:spPr>
          <c:val>
            <c:numRef>
              <c:f>'base scenario'!$CR$2:$CR$52</c:f>
              <c:numCache>
                <c:formatCode>[$EUR]\ #,##0</c:formatCode>
                <c:ptCount val="51"/>
                <c:pt idx="0">
                  <c:v>-14319.573500000002</c:v>
                </c:pt>
                <c:pt idx="1">
                  <c:v>-14033.182030000002</c:v>
                </c:pt>
                <c:pt idx="2">
                  <c:v>-13736.194075610001</c:v>
                </c:pt>
                <c:pt idx="3">
                  <c:v>-13428.21756690757</c:v>
                </c:pt>
                <c:pt idx="4">
                  <c:v>-13108.84592738315</c:v>
                </c:pt>
                <c:pt idx="5">
                  <c:v>-12777.657537196328</c:v>
                </c:pt>
                <c:pt idx="6">
                  <c:v>-12434.21517657259</c:v>
                </c:pt>
                <c:pt idx="7">
                  <c:v>-12078.065448605776</c:v>
                </c:pt>
                <c:pt idx="8">
                  <c:v>-11708.738180704187</c:v>
                </c:pt>
                <c:pt idx="9">
                  <c:v>-11325.745803890242</c:v>
                </c:pt>
                <c:pt idx="10">
                  <c:v>-10928.582709134182</c:v>
                </c:pt>
                <c:pt idx="11">
                  <c:v>-10516.724579872145</c:v>
                </c:pt>
                <c:pt idx="12">
                  <c:v>-10089.627699827415</c:v>
                </c:pt>
                <c:pt idx="13">
                  <c:v>-9646.7282352210295</c:v>
                </c:pt>
                <c:pt idx="14">
                  <c:v>-9187.4414904242076</c:v>
                </c:pt>
                <c:pt idx="15">
                  <c:v>-8711.1611360699026</c:v>
                </c:pt>
                <c:pt idx="16">
                  <c:v>-8217.2584086044899</c:v>
                </c:pt>
                <c:pt idx="17">
                  <c:v>-7705.0812802228556</c:v>
                </c:pt>
                <c:pt idx="18">
                  <c:v>-7173.9535980911014</c:v>
                </c:pt>
                <c:pt idx="19">
                  <c:v>-6623.1741917204718</c:v>
                </c:pt>
                <c:pt idx="20">
                  <c:v>-6052.0159473141293</c:v>
                </c:pt>
                <c:pt idx="21">
                  <c:v>-5459.7248478647516</c:v>
                </c:pt>
                <c:pt idx="22">
                  <c:v>-4845.5189777357473</c:v>
                </c:pt>
                <c:pt idx="23">
                  <c:v>-4208.5874904119701</c:v>
                </c:pt>
                <c:pt idx="24">
                  <c:v>-3548.0895380572133</c:v>
                </c:pt>
                <c:pt idx="25">
                  <c:v>-2863.15316146533</c:v>
                </c:pt>
                <c:pt idx="26">
                  <c:v>-2152.8741389395468</c:v>
                </c:pt>
                <c:pt idx="27">
                  <c:v>-1416.3147925803103</c:v>
                </c:pt>
                <c:pt idx="28">
                  <c:v>-652.50275040578151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5-B215-4A3F-98C4-FD83FC4B7234}"/>
            </c:ext>
          </c:extLst>
        </c:ser>
        <c:ser>
          <c:idx val="3"/>
          <c:order val="6"/>
          <c:tx>
            <c:strRef>
              <c:f>'base scenario'!$CY$1</c:f>
              <c:strCache>
                <c:ptCount val="1"/>
                <c:pt idx="0">
                  <c:v>Payback for family/friends loan plus interest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scenario'!$CY$2:$CY$52</c:f>
              <c:numCache>
                <c:formatCode>[$EUR]\ #,##0</c:formatCode>
                <c:ptCount val="51"/>
                <c:pt idx="0">
                  <c:v>-6072.8287787074187</c:v>
                </c:pt>
                <c:pt idx="1">
                  <c:v>-6072.8287787074187</c:v>
                </c:pt>
                <c:pt idx="2">
                  <c:v>-6072.8287787074187</c:v>
                </c:pt>
                <c:pt idx="3">
                  <c:v>-6072.8287787074187</c:v>
                </c:pt>
                <c:pt idx="4">
                  <c:v>-6072.8287787074187</c:v>
                </c:pt>
                <c:pt idx="5">
                  <c:v>-6072.8287787074187</c:v>
                </c:pt>
                <c:pt idx="6">
                  <c:v>-6072.8287787074187</c:v>
                </c:pt>
                <c:pt idx="7">
                  <c:v>-6072.8287787074187</c:v>
                </c:pt>
                <c:pt idx="8">
                  <c:v>-6072.8287787074187</c:v>
                </c:pt>
                <c:pt idx="9">
                  <c:v>-6072.8287787074187</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6-B215-4A3F-98C4-FD83FC4B7234}"/>
            </c:ext>
          </c:extLst>
        </c:ser>
        <c:ser>
          <c:idx val="5"/>
          <c:order val="7"/>
          <c:tx>
            <c:strRef>
              <c:f>'base scenario'!$DE$1</c:f>
              <c:strCache>
                <c:ptCount val="1"/>
                <c:pt idx="0">
                  <c:v>Property taxes</c:v>
                </c:pt>
              </c:strCache>
            </c:strRef>
          </c:tx>
          <c:spPr>
            <a:solidFill>
              <a:srgbClr val="FFFF00"/>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scenario'!$DE$2:$DE$52</c:f>
              <c:numCache>
                <c:formatCode>[$EUR]\ #,##0</c:formatCode>
                <c:ptCount val="51"/>
                <c:pt idx="0">
                  <c:v>-1245</c:v>
                </c:pt>
                <c:pt idx="1">
                  <c:v>-1281.6176470588236</c:v>
                </c:pt>
                <c:pt idx="2">
                  <c:v>-1319.3122837370245</c:v>
                </c:pt>
                <c:pt idx="3">
                  <c:v>-1358.1155861998782</c:v>
                </c:pt>
                <c:pt idx="4">
                  <c:v>-1398.0601622645806</c:v>
                </c:pt>
                <c:pt idx="5">
                  <c:v>-1439.1795788017746</c:v>
                </c:pt>
                <c:pt idx="6">
                  <c:v>-1481.5083899430033</c:v>
                </c:pt>
                <c:pt idx="7">
                  <c:v>-1525.0821661177977</c:v>
                </c:pt>
                <c:pt idx="8">
                  <c:v>-1569.9375239447918</c:v>
                </c:pt>
                <c:pt idx="9">
                  <c:v>-1616.1121570019916</c:v>
                </c:pt>
                <c:pt idx="10">
                  <c:v>-1663.6448675020506</c:v>
                </c:pt>
                <c:pt idx="11">
                  <c:v>-1712.5755988991698</c:v>
                </c:pt>
                <c:pt idx="12">
                  <c:v>-1762.9454694550279</c:v>
                </c:pt>
                <c:pt idx="13">
                  <c:v>-1814.7968067919405</c:v>
                </c:pt>
                <c:pt idx="14">
                  <c:v>-1868.1731834622917</c:v>
                </c:pt>
                <c:pt idx="15">
                  <c:v>-1923.1194535641241</c:v>
                </c:pt>
                <c:pt idx="16">
                  <c:v>-1979.6817904336576</c:v>
                </c:pt>
                <c:pt idx="17">
                  <c:v>-2037.9077254464123</c:v>
                </c:pt>
                <c:pt idx="18">
                  <c:v>-2097.8461879595425</c:v>
                </c:pt>
                <c:pt idx="19">
                  <c:v>-2159.5475464289407</c:v>
                </c:pt>
                <c:pt idx="20">
                  <c:v>-2223.0636507356749</c:v>
                </c:pt>
                <c:pt idx="21">
                  <c:v>-2288.4478757573124</c:v>
                </c:pt>
                <c:pt idx="22">
                  <c:v>-2355.7551662207634</c:v>
                </c:pt>
                <c:pt idx="23">
                  <c:v>-2425.0420828743154</c:v>
                </c:pt>
                <c:pt idx="24">
                  <c:v>-2496.3668500176777</c:v>
                </c:pt>
                <c:pt idx="25">
                  <c:v>-2569.7894044299628</c:v>
                </c:pt>
                <c:pt idx="26">
                  <c:v>-2645.3714457367264</c:v>
                </c:pt>
                <c:pt idx="27">
                  <c:v>-2723.1764882583952</c:v>
                </c:pt>
                <c:pt idx="28">
                  <c:v>-2803.2699143836421</c:v>
                </c:pt>
                <c:pt idx="29">
                  <c:v>-2885.7190295125733</c:v>
                </c:pt>
                <c:pt idx="30">
                  <c:v>-2970.5931186158846</c:v>
                </c:pt>
                <c:pt idx="31">
                  <c:v>-3057.9635044575284</c:v>
                </c:pt>
                <c:pt idx="32">
                  <c:v>-3147.9036075298095</c:v>
                </c:pt>
                <c:pt idx="33">
                  <c:v>-3240.4890077512746</c:v>
                </c:pt>
                <c:pt idx="34">
                  <c:v>-3335.7975079792541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7-B215-4A3F-98C4-FD83FC4B7234}"/>
            </c:ext>
          </c:extLst>
        </c:ser>
        <c:ser>
          <c:idx val="4"/>
          <c:order val="8"/>
          <c:tx>
            <c:strRef>
              <c:f>'base scenario'!$DG$1</c:f>
              <c:strCache>
                <c:ptCount val="1"/>
                <c:pt idx="0">
                  <c:v>Maintanence cost</c:v>
                </c:pt>
              </c:strCache>
            </c:strRef>
          </c:tx>
          <c:spPr>
            <a:solidFill>
              <a:schemeClr val="accent5"/>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scenario'!$DG$2:$DG$52</c:f>
              <c:numCache>
                <c:formatCode>[$EUR]\ #,##0</c:formatCode>
                <c:ptCount val="51"/>
                <c:pt idx="0">
                  <c:v>-3112.5</c:v>
                </c:pt>
                <c:pt idx="1">
                  <c:v>-3204.044117647059</c:v>
                </c:pt>
                <c:pt idx="2">
                  <c:v>-3298.2807093425608</c:v>
                </c:pt>
                <c:pt idx="3">
                  <c:v>-3395.2889654996952</c:v>
                </c:pt>
                <c:pt idx="4">
                  <c:v>-3495.1504056614517</c:v>
                </c:pt>
                <c:pt idx="5">
                  <c:v>-3597.9489470044359</c:v>
                </c:pt>
                <c:pt idx="6">
                  <c:v>-3703.770974857508</c:v>
                </c:pt>
                <c:pt idx="7">
                  <c:v>-3812.7054152944938</c:v>
                </c:pt>
                <c:pt idx="8">
                  <c:v>-3924.8438098619795</c:v>
                </c:pt>
                <c:pt idx="9">
                  <c:v>-4040.2803925049789</c:v>
                </c:pt>
                <c:pt idx="10">
                  <c:v>-4159.1121687551258</c:v>
                </c:pt>
                <c:pt idx="11">
                  <c:v>-4281.4389972479239</c:v>
                </c:pt>
                <c:pt idx="12">
                  <c:v>-4407.3636736375693</c:v>
                </c:pt>
                <c:pt idx="13">
                  <c:v>-4536.9920169798506</c:v>
                </c:pt>
                <c:pt idx="14">
                  <c:v>-4670.4329586557287</c:v>
                </c:pt>
                <c:pt idx="15">
                  <c:v>-4807.7986339103099</c:v>
                </c:pt>
                <c:pt idx="16">
                  <c:v>-4949.2044760841436</c:v>
                </c:pt>
                <c:pt idx="17">
                  <c:v>-5094.7693136160306</c:v>
                </c:pt>
                <c:pt idx="18">
                  <c:v>-5244.6154698988557</c:v>
                </c:pt>
                <c:pt idx="19">
                  <c:v>-5398.8688660723519</c:v>
                </c:pt>
                <c:pt idx="20">
                  <c:v>-5557.6591268391867</c:v>
                </c:pt>
                <c:pt idx="21">
                  <c:v>-5721.1196893932811</c:v>
                </c:pt>
                <c:pt idx="22">
                  <c:v>-5889.387915551908</c:v>
                </c:pt>
                <c:pt idx="23">
                  <c:v>-6062.6052071857875</c:v>
                </c:pt>
                <c:pt idx="24">
                  <c:v>-6240.9171250441941</c:v>
                </c:pt>
                <c:pt idx="25">
                  <c:v>-6424.4735110749061</c:v>
                </c:pt>
                <c:pt idx="26">
                  <c:v>-6613.4286143418158</c:v>
                </c:pt>
                <c:pt idx="27">
                  <c:v>-6807.9412206459874</c:v>
                </c:pt>
                <c:pt idx="28">
                  <c:v>-7008.1747859591051</c:v>
                </c:pt>
                <c:pt idx="29">
                  <c:v>-7214.2975737814331</c:v>
                </c:pt>
                <c:pt idx="30">
                  <c:v>-7426.4827965397108</c:v>
                </c:pt>
                <c:pt idx="31">
                  <c:v>-7644.9087611438208</c:v>
                </c:pt>
                <c:pt idx="32">
                  <c:v>-7869.7590188245231</c:v>
                </c:pt>
                <c:pt idx="33">
                  <c:v>-8101.222519378186</c:v>
                </c:pt>
                <c:pt idx="34">
                  <c:v>-8339.4937699481343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8-B215-4A3F-98C4-FD83FC4B7234}"/>
            </c:ext>
          </c:extLst>
        </c:ser>
        <c:ser>
          <c:idx val="9"/>
          <c:order val="9"/>
          <c:tx>
            <c:strRef>
              <c:f>'base scenario'!$DI$1</c:f>
              <c:strCache>
                <c:ptCount val="1"/>
                <c:pt idx="0">
                  <c:v>Homeowners Association (HOA) Fees (Hausgeld)</c:v>
                </c:pt>
              </c:strCache>
            </c:strRef>
          </c:tx>
          <c:spPr>
            <a:solidFill>
              <a:schemeClr val="tx2"/>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scenario'!$DI$2:$DI$52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3-B215-4A3F-98C4-FD83FC4B7234}"/>
            </c:ext>
          </c:extLst>
        </c:ser>
        <c:ser>
          <c:idx val="8"/>
          <c:order val="10"/>
          <c:tx>
            <c:strRef>
              <c:f>'base scenario'!$DQ$1</c:f>
              <c:strCache>
                <c:ptCount val="1"/>
                <c:pt idx="0">
                  <c:v>Property Management Fees (of annual rent)</c:v>
                </c:pt>
              </c:strCache>
            </c:strRef>
          </c:tx>
          <c:spPr>
            <a:solidFill>
              <a:schemeClr val="accent2">
                <a:lumMod val="40000"/>
                <a:lumOff val="60000"/>
              </a:schemeClr>
            </a:solidFill>
            <a:ln w="25400">
              <a:noFill/>
            </a:ln>
            <a:effectLst>
              <a:outerShdw blurRad="57150" dist="19050" dir="5400000" algn="ctr" rotWithShape="0">
                <a:srgbClr val="000000">
                  <a:alpha val="63000"/>
                </a:srgbClr>
              </a:outerShdw>
            </a:effectLst>
          </c:spPr>
          <c:val>
            <c:numRef>
              <c:f>'base scenario'!$DQ$2:$DQ$52</c:f>
              <c:numCache>
                <c:formatCode>[$EUR]\ #,##0</c:formatCode>
                <c:ptCount val="51"/>
                <c:pt idx="0">
                  <c:v>-1039.5</c:v>
                </c:pt>
                <c:pt idx="1">
                  <c:v>-1070.0735294117649</c:v>
                </c:pt>
                <c:pt idx="2">
                  <c:v>-1101.5462802768168</c:v>
                </c:pt>
                <c:pt idx="3">
                  <c:v>-1133.9447002849586</c:v>
                </c:pt>
                <c:pt idx="4">
                  <c:v>-1167.2960149992223</c:v>
                </c:pt>
                <c:pt idx="5">
                  <c:v>-1201.6282507344936</c:v>
                </c:pt>
                <c:pt idx="6">
                  <c:v>-1236.9702581090376</c:v>
                </c:pt>
                <c:pt idx="7">
                  <c:v>-1273.3517362887153</c:v>
                </c:pt>
                <c:pt idx="8">
                  <c:v>-1310.8032579442661</c:v>
                </c:pt>
                <c:pt idx="9">
                  <c:v>-1349.3562949426271</c:v>
                </c:pt>
                <c:pt idx="10">
                  <c:v>-1389.0432447938811</c:v>
                </c:pt>
                <c:pt idx="11">
                  <c:v>-1429.8974578760542</c:v>
                </c:pt>
                <c:pt idx="12">
                  <c:v>-1471.9532654606442</c:v>
                </c:pt>
                <c:pt idx="13">
                  <c:v>-1515.246008562428</c:v>
                </c:pt>
                <c:pt idx="14">
                  <c:v>-1559.8120676377937</c:v>
                </c:pt>
                <c:pt idx="15">
                  <c:v>-1605.6888931565525</c:v>
                </c:pt>
                <c:pt idx="16">
                  <c:v>-1652.9150370729219</c:v>
                </c:pt>
                <c:pt idx="17">
                  <c:v>-1701.5301852221257</c:v>
                </c:pt>
                <c:pt idx="18">
                  <c:v>-1751.5751906698356</c:v>
                </c:pt>
                <c:pt idx="19">
                  <c:v>-1803.092108042478</c:v>
                </c:pt>
                <c:pt idx="20">
                  <c:v>-1856.124228867257</c:v>
                </c:pt>
                <c:pt idx="21">
                  <c:v>-1910.7161179515883</c:v>
                </c:pt>
                <c:pt idx="22">
                  <c:v>-1966.9136508325173</c:v>
                </c:pt>
                <c:pt idx="23">
                  <c:v>-2024.7640523275916</c:v>
                </c:pt>
                <c:pt idx="24">
                  <c:v>-2084.3159362195797</c:v>
                </c:pt>
                <c:pt idx="25">
                  <c:v>-2145.6193461083913</c:v>
                </c:pt>
                <c:pt idx="26">
                  <c:v>-2208.7257974645204</c:v>
                </c:pt>
                <c:pt idx="27">
                  <c:v>-2273.6883209193597</c:v>
                </c:pt>
                <c:pt idx="28">
                  <c:v>-2340.561506828753</c:v>
                </c:pt>
                <c:pt idx="29">
                  <c:v>-2409.4015511472458</c:v>
                </c:pt>
                <c:pt idx="30">
                  <c:v>-2480.266302651577</c:v>
                </c:pt>
                <c:pt idx="31">
                  <c:v>-2553.2153115530941</c:v>
                </c:pt>
                <c:pt idx="32">
                  <c:v>-2628.3098795399505</c:v>
                </c:pt>
                <c:pt idx="33">
                  <c:v>-2705.6131112911257</c:v>
                </c:pt>
                <c:pt idx="34">
                  <c:v>-2785.1899675055711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9-B215-4A3F-98C4-FD83FC4B7234}"/>
            </c:ext>
          </c:extLst>
        </c:ser>
        <c:ser>
          <c:idx val="10"/>
          <c:order val="11"/>
          <c:tx>
            <c:strRef>
              <c:f>'base scenario'!$DT$1</c:f>
              <c:strCache>
                <c:ptCount val="1"/>
                <c:pt idx="0">
                  <c:v>Vacancy costs (vacant month/year)</c:v>
                </c:pt>
              </c:strCache>
            </c:strRef>
          </c:tx>
          <c:spPr>
            <a:solidFill>
              <a:schemeClr val="bg1">
                <a:lumMod val="50000"/>
              </a:schemeClr>
            </a:solidFill>
            <a:ln w="25400">
              <a:noFill/>
            </a:ln>
            <a:effectLst>
              <a:outerShdw blurRad="57150" dist="19050" dir="5400000" algn="ctr" rotWithShape="0">
                <a:srgbClr val="000000">
                  <a:alpha val="63000"/>
                </a:srgbClr>
              </a:outerShdw>
            </a:effectLst>
          </c:spPr>
          <c:val>
            <c:numRef>
              <c:f>'base scenario'!$DT$2:$DT$52</c:f>
              <c:numCache>
                <c:formatCode>[$EUR]\ #,##0</c:formatCode>
                <c:ptCount val="51"/>
                <c:pt idx="0">
                  <c:v>-1588.75</c:v>
                </c:pt>
                <c:pt idx="1">
                  <c:v>-1625.7720588235297</c:v>
                </c:pt>
                <c:pt idx="2">
                  <c:v>-1663.8830017301043</c:v>
                </c:pt>
                <c:pt idx="3">
                  <c:v>-1703.1148547221662</c:v>
                </c:pt>
                <c:pt idx="4">
                  <c:v>-1743.5005857434064</c:v>
                </c:pt>
                <c:pt idx="5">
                  <c:v>-1785.0741323829186</c:v>
                </c:pt>
                <c:pt idx="6">
                  <c:v>-1827.8704303941811</c:v>
                </c:pt>
                <c:pt idx="7">
                  <c:v>-1871.9254430528335</c:v>
                </c:pt>
                <c:pt idx="8">
                  <c:v>-1917.276191377917</c:v>
                </c:pt>
                <c:pt idx="9">
                  <c:v>-1963.960785241974</c:v>
                </c:pt>
                <c:pt idx="10">
                  <c:v>-2012.0184553961499</c:v>
                </c:pt>
                <c:pt idx="11">
                  <c:v>-2061.4895864372133</c:v>
                </c:pt>
                <c:pt idx="12">
                  <c:v>-2112.4157507441905</c:v>
                </c:pt>
                <c:pt idx="13">
                  <c:v>-2164.8397434131371</c:v>
                </c:pt>
                <c:pt idx="14">
                  <c:v>-2218.8056182194064</c:v>
                </c:pt>
                <c:pt idx="15">
                  <c:v>-2274.3587246376242</c:v>
                </c:pt>
                <c:pt idx="16">
                  <c:v>-2331.5457459504955</c:v>
                </c:pt>
                <c:pt idx="17">
                  <c:v>-2390.4147384784519</c:v>
                </c:pt>
                <c:pt idx="18">
                  <c:v>-2451.0151719631126</c:v>
                </c:pt>
                <c:pt idx="19">
                  <c:v>-2513.3979711384986</c:v>
                </c:pt>
                <c:pt idx="20">
                  <c:v>-2577.6155585249253</c:v>
                </c:pt>
                <c:pt idx="21">
                  <c:v>-2643.7218984815408</c:v>
                </c:pt>
                <c:pt idx="22">
                  <c:v>-2711.7725425545273</c:v>
                </c:pt>
                <c:pt idx="23">
                  <c:v>-2781.8246761590726</c:v>
                </c:pt>
                <c:pt idx="24">
                  <c:v>-2853.9371666343395</c:v>
                </c:pt>
                <c:pt idx="25">
                  <c:v>-2928.1706127118209</c:v>
                </c:pt>
                <c:pt idx="26">
                  <c:v>-3004.5873954386389</c:v>
                </c:pt>
                <c:pt idx="27">
                  <c:v>-3083.2517305985989</c:v>
                </c:pt>
                <c:pt idx="28">
                  <c:v>-3164.2297226750288</c:v>
                </c:pt>
                <c:pt idx="29">
                  <c:v>-3247.5894204007659</c:v>
                </c:pt>
                <c:pt idx="30">
                  <c:v>-3333.4008739419646</c:v>
                </c:pt>
                <c:pt idx="31">
                  <c:v>-3421.7361937637875</c:v>
                </c:pt>
                <c:pt idx="32">
                  <c:v>-3512.669611227429</c:v>
                </c:pt>
                <c:pt idx="33">
                  <c:v>-3606.2775409694127</c:v>
                </c:pt>
                <c:pt idx="34">
                  <c:v>-3702.6386451155722</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A-B215-4A3F-98C4-FD83FC4B7234}"/>
            </c:ext>
          </c:extLst>
        </c:ser>
        <c:ser>
          <c:idx val="6"/>
          <c:order val="12"/>
          <c:tx>
            <c:strRef>
              <c:f>'base scenario'!$DS$1</c:f>
              <c:strCache>
                <c:ptCount val="1"/>
                <c:pt idx="0">
                  <c:v>Income taxes correction</c:v>
                </c:pt>
              </c:strCache>
            </c:strRef>
          </c:tx>
          <c:spPr>
            <a:solidFill>
              <a:srgbClr val="FF0000"/>
            </a:solidFill>
            <a:ln w="25400">
              <a:noFill/>
            </a:ln>
            <a:effectLst>
              <a:outerShdw blurRad="57150" dist="19050" dir="5400000" algn="ctr" rotWithShape="0">
                <a:srgbClr val="000000">
                  <a:alpha val="63000"/>
                </a:srgbClr>
              </a:outerShdw>
            </a:effectLst>
          </c:spPr>
          <c:val>
            <c:numRef>
              <c:f>'base scenario'!$DS$2:$DS$52</c:f>
              <c:numCache>
                <c:formatCode>[$EUR]\ #,##0</c:formatCode>
                <c:ptCount val="51"/>
                <c:pt idx="0">
                  <c:v>6345.0030178500001</c:v>
                </c:pt>
                <c:pt idx="1">
                  <c:v>6218.1029574929998</c:v>
                </c:pt>
                <c:pt idx="2">
                  <c:v>6086.5075949027905</c:v>
                </c:pt>
                <c:pt idx="3">
                  <c:v>5950.0432038967429</c:v>
                </c:pt>
                <c:pt idx="4">
                  <c:v>5808.5296304234735</c:v>
                </c:pt>
                <c:pt idx="5">
                  <c:v>5661.780054731692</c:v>
                </c:pt>
                <c:pt idx="6">
                  <c:v>5509.600744739314</c:v>
                </c:pt>
                <c:pt idx="7">
                  <c:v>5351.7908002772183</c:v>
                </c:pt>
                <c:pt idx="8">
                  <c:v>5188.1418878700251</c:v>
                </c:pt>
                <c:pt idx="9">
                  <c:v>5018.4379657037653</c:v>
                </c:pt>
                <c:pt idx="10">
                  <c:v>4842.4549984173555</c:v>
                </c:pt>
                <c:pt idx="11">
                  <c:v>4659.9606613413471</c:v>
                </c:pt>
                <c:pt idx="12">
                  <c:v>4470.7140337935271</c:v>
                </c:pt>
                <c:pt idx="13">
                  <c:v>4240.6809966469054</c:v>
                </c:pt>
                <c:pt idx="14">
                  <c:v>3876.4007375456822</c:v>
                </c:pt>
                <c:pt idx="15">
                  <c:v>3499.8620717412514</c:v>
                </c:pt>
                <c:pt idx="16">
                  <c:v>3110.6473194468767</c:v>
                </c:pt>
                <c:pt idx="17">
                  <c:v>2708.3244020549218</c:v>
                </c:pt>
                <c:pt idx="18">
                  <c:v>2292.446340419639</c:v>
                </c:pt>
                <c:pt idx="19">
                  <c:v>1862.5507354893243</c:v>
                </c:pt>
                <c:pt idx="20">
                  <c:v>1418.1592306616387</c:v>
                </c:pt>
                <c:pt idx="21">
                  <c:v>958.77695521346573</c:v>
                </c:pt>
                <c:pt idx="22">
                  <c:v>483.89194813355584</c:v>
                </c:pt>
                <c:pt idx="23">
                  <c:v>-7.0254383378801322</c:v>
                </c:pt>
                <c:pt idx="24">
                  <c:v>-514.523156183315</c:v>
                </c:pt>
                <c:pt idx="25">
                  <c:v>-1039.1681008422524</c:v>
                </c:pt>
                <c:pt idx="26">
                  <c:v>-1581.5467729789434</c:v>
                </c:pt>
                <c:pt idx="27">
                  <c:v>-2142.2659635843406</c:v>
                </c:pt>
                <c:pt idx="28">
                  <c:v>-2721.9534632417785</c:v>
                </c:pt>
                <c:pt idx="29">
                  <c:v>-3259.4151799450092</c:v>
                </c:pt>
                <c:pt idx="30">
                  <c:v>-3515.0569793551572</c:v>
                </c:pt>
                <c:pt idx="31">
                  <c:v>-3778.2176552185483</c:v>
                </c:pt>
                <c:pt idx="32">
                  <c:v>-4049.1183509602702</c:v>
                </c:pt>
                <c:pt idx="33">
                  <c:v>-4327.9867142238081</c:v>
                </c:pt>
                <c:pt idx="34">
                  <c:v>-4615.0570881715676</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B-B215-4A3F-98C4-FD83FC4B7234}"/>
            </c:ext>
          </c:extLst>
        </c:ser>
        <c:ser>
          <c:idx val="13"/>
          <c:order val="13"/>
          <c:tx>
            <c:strRef>
              <c:f>'base scenario'!$EG$1</c:f>
              <c:strCache>
                <c:ptCount val="1"/>
                <c:pt idx="0">
                  <c:v>Mortgage principal payment share</c:v>
                </c:pt>
              </c:strCache>
            </c:strRef>
          </c:tx>
          <c:spPr>
            <a:solidFill>
              <a:schemeClr val="accent3">
                <a:lumMod val="75000"/>
              </a:schemeClr>
            </a:solidFill>
            <a:ln w="25400">
              <a:noFill/>
            </a:ln>
            <a:effectLst>
              <a:outerShdw blurRad="57150" dist="19050" dir="5400000" algn="ctr" rotWithShape="0">
                <a:srgbClr val="000000">
                  <a:alpha val="63000"/>
                </a:srgbClr>
              </a:outerShdw>
            </a:effectLst>
          </c:spPr>
          <c:val>
            <c:numRef>
              <c:f>'base scenario'!$EG$2:$EG$52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D-B215-4A3F-98C4-FD83FC4B7234}"/>
            </c:ext>
          </c:extLst>
        </c:ser>
        <c:ser>
          <c:idx val="14"/>
          <c:order val="14"/>
          <c:tx>
            <c:strRef>
              <c:f>'base scenario'!$EJ$1</c:f>
              <c:strCache>
                <c:ptCount val="1"/>
                <c:pt idx="0">
                  <c:v>Mortgage interest payment share</c:v>
                </c:pt>
              </c:strCache>
            </c:strRef>
          </c:tx>
          <c:spPr>
            <a:solidFill>
              <a:schemeClr val="accent3">
                <a:lumMod val="60000"/>
                <a:lumOff val="40000"/>
              </a:schemeClr>
            </a:solidFill>
            <a:ln w="25400">
              <a:noFill/>
            </a:ln>
            <a:effectLst>
              <a:outerShdw blurRad="57150" dist="19050" dir="5400000" algn="ctr" rotWithShape="0">
                <a:srgbClr val="000000">
                  <a:alpha val="63000"/>
                </a:srgbClr>
              </a:outerShdw>
            </a:effectLst>
          </c:spPr>
          <c:val>
            <c:numRef>
              <c:f>'base scenario'!$EJ$2:$EJ$52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E-B215-4A3F-98C4-FD83FC4B7234}"/>
            </c:ext>
          </c:extLst>
        </c:ser>
        <c:ser>
          <c:idx val="15"/>
          <c:order val="15"/>
          <c:tx>
            <c:strRef>
              <c:f>'base scenario'!$EP$1</c:f>
              <c:strCache>
                <c:ptCount val="1"/>
                <c:pt idx="0">
                  <c:v>Payback for family/friends loan plus interest</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val>
            <c:numRef>
              <c:f>'base scenario'!$EP$2:$EP$52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-6072.8287787074187</c:v>
                </c:pt>
                <c:pt idx="36">
                  <c:v>-6072.8287787074187</c:v>
                </c:pt>
                <c:pt idx="37">
                  <c:v>-6072.8287787074187</c:v>
                </c:pt>
                <c:pt idx="38">
                  <c:v>-6072.8287787074187</c:v>
                </c:pt>
                <c:pt idx="39">
                  <c:v>-6072.8287787074187</c:v>
                </c:pt>
                <c:pt idx="40">
                  <c:v>-6072.8287787074187</c:v>
                </c:pt>
                <c:pt idx="41">
                  <c:v>-6072.8287787074187</c:v>
                </c:pt>
                <c:pt idx="42">
                  <c:v>-6072.8287787074187</c:v>
                </c:pt>
                <c:pt idx="43">
                  <c:v>-6072.8287787074187</c:v>
                </c:pt>
                <c:pt idx="44">
                  <c:v>-6072.8287787074187</c:v>
                </c:pt>
                <c:pt idx="45">
                  <c:v>0</c:v>
                </c:pt>
                <c:pt idx="46">
                  <c:v>0</c:v>
                </c:pt>
                <c:pt idx="47">
                  <c:v>0</c:v>
                </c:pt>
                <c:pt idx="48">
                  <c:v>0</c:v>
                </c:pt>
                <c:pt idx="49">
                  <c:v>0</c:v>
                </c:pt>
                <c:pt idx="50">
                  <c:v>0</c:v>
                </c:pt>
              </c:numCache>
            </c:numRef>
          </c:val>
          <c:extLst>
            <c:ext xmlns:c16="http://schemas.microsoft.com/office/drawing/2014/chart" uri="{C3380CC4-5D6E-409C-BE32-E72D297353CC}">
              <c16:uniqueId val="{0000000F-B215-4A3F-98C4-FD83FC4B7234}"/>
            </c:ext>
          </c:extLst>
        </c:ser>
        <c:ser>
          <c:idx val="16"/>
          <c:order val="16"/>
          <c:tx>
            <c:strRef>
              <c:f>'base scenario'!$ES$1</c:f>
              <c:strCache>
                <c:ptCount val="1"/>
                <c:pt idx="0">
                  <c:v>Property taxes</c:v>
                </c:pt>
              </c:strCache>
            </c:strRef>
          </c:tx>
          <c:spPr>
            <a:solidFill>
              <a:srgbClr val="FFFF00"/>
            </a:solidFill>
            <a:ln w="25400">
              <a:noFill/>
            </a:ln>
            <a:effectLst>
              <a:outerShdw blurRad="57150" dist="19050" dir="5400000" algn="ctr" rotWithShape="0">
                <a:srgbClr val="000000">
                  <a:alpha val="63000"/>
                </a:srgbClr>
              </a:outerShdw>
            </a:effectLst>
          </c:spPr>
          <c:val>
            <c:numRef>
              <c:f>'base scenario'!$ES$2:$ES$52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-5709.3911989864646</c:v>
                </c:pt>
                <c:pt idx="36">
                  <c:v>-5877.3144695448909</c:v>
                </c:pt>
                <c:pt idx="37">
                  <c:v>-6050.1766598256245</c:v>
                </c:pt>
                <c:pt idx="38">
                  <c:v>-6228.1230321734374</c:v>
                </c:pt>
                <c:pt idx="39">
                  <c:v>-6411.3031213550103</c:v>
                </c:pt>
                <c:pt idx="40">
                  <c:v>-6599.8708602183942</c:v>
                </c:pt>
                <c:pt idx="41">
                  <c:v>-6793.9847090483481</c:v>
                </c:pt>
                <c:pt idx="42">
                  <c:v>-6993.8077887262407</c:v>
                </c:pt>
                <c:pt idx="43">
                  <c:v>-7199.5080178064254</c:v>
                </c:pt>
                <c:pt idx="44">
                  <c:v>-7411.2582536242635</c:v>
                </c:pt>
                <c:pt idx="45">
                  <c:v>-7629.2364375543902</c:v>
                </c:pt>
                <c:pt idx="46">
                  <c:v>-7853.6257445412857</c:v>
                </c:pt>
                <c:pt idx="47">
                  <c:v>-8084.6147370277959</c:v>
                </c:pt>
                <c:pt idx="48">
                  <c:v>-8322.3975234109676</c:v>
                </c:pt>
                <c:pt idx="49">
                  <c:v>-8567.1739211583499</c:v>
                </c:pt>
                <c:pt idx="50">
                  <c:v>-8819.1496247218329</c:v>
                </c:pt>
              </c:numCache>
            </c:numRef>
          </c:val>
          <c:extLst>
            <c:ext xmlns:c16="http://schemas.microsoft.com/office/drawing/2014/chart" uri="{C3380CC4-5D6E-409C-BE32-E72D297353CC}">
              <c16:uniqueId val="{00000010-B215-4A3F-98C4-FD83FC4B7234}"/>
            </c:ext>
          </c:extLst>
        </c:ser>
        <c:ser>
          <c:idx val="17"/>
          <c:order val="17"/>
          <c:tx>
            <c:strRef>
              <c:f>'base scenario'!$EU$1</c:f>
              <c:strCache>
                <c:ptCount val="1"/>
                <c:pt idx="0">
                  <c:v>Maintanence cost</c:v>
                </c:pt>
              </c:strCache>
            </c:strRef>
          </c:tx>
          <c:spPr>
            <a:solidFill>
              <a:schemeClr val="accent5"/>
            </a:solidFill>
            <a:ln w="25400">
              <a:noFill/>
            </a:ln>
            <a:effectLst>
              <a:outerShdw blurRad="57150" dist="19050" dir="5400000" algn="ctr" rotWithShape="0">
                <a:srgbClr val="000000">
                  <a:alpha val="63000"/>
                </a:srgbClr>
              </a:outerShdw>
            </a:effectLst>
          </c:spPr>
          <c:val>
            <c:numRef>
              <c:f>'base scenario'!$EU$2:$EU$52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-19031.303996621551</c:v>
                </c:pt>
                <c:pt idx="36">
                  <c:v>-19591.048231816305</c:v>
                </c:pt>
                <c:pt idx="37">
                  <c:v>-20167.255532752079</c:v>
                </c:pt>
                <c:pt idx="38">
                  <c:v>-20760.410107244792</c:v>
                </c:pt>
                <c:pt idx="39">
                  <c:v>-21371.010404516703</c:v>
                </c:pt>
                <c:pt idx="40">
                  <c:v>-21999.569534061313</c:v>
                </c:pt>
                <c:pt idx="41">
                  <c:v>-22646.615696827826</c:v>
                </c:pt>
                <c:pt idx="42">
                  <c:v>-23312.692629087469</c:v>
                </c:pt>
                <c:pt idx="43">
                  <c:v>-23998.360059354753</c:v>
                </c:pt>
                <c:pt idx="44">
                  <c:v>-24704.194178747544</c:v>
                </c:pt>
                <c:pt idx="45">
                  <c:v>-25430.788125181301</c:v>
                </c:pt>
                <c:pt idx="46">
                  <c:v>-26178.752481804288</c:v>
                </c:pt>
                <c:pt idx="47">
                  <c:v>-26948.715790092654</c:v>
                </c:pt>
                <c:pt idx="48">
                  <c:v>-27741.325078036556</c:v>
                </c:pt>
                <c:pt idx="49">
                  <c:v>-28557.246403861169</c:v>
                </c:pt>
                <c:pt idx="50">
                  <c:v>-29397.165415739441</c:v>
                </c:pt>
              </c:numCache>
            </c:numRef>
          </c:val>
          <c:extLst>
            <c:ext xmlns:c16="http://schemas.microsoft.com/office/drawing/2014/chart" uri="{C3380CC4-5D6E-409C-BE32-E72D297353CC}">
              <c16:uniqueId val="{00000011-B215-4A3F-98C4-FD83FC4B7234}"/>
            </c:ext>
          </c:extLst>
        </c:ser>
        <c:ser>
          <c:idx val="18"/>
          <c:order val="18"/>
          <c:tx>
            <c:strRef>
              <c:f>'base scenario'!$EW$1</c:f>
              <c:strCache>
                <c:ptCount val="1"/>
                <c:pt idx="0">
                  <c:v>Homeowners Association (HOA) Fees (Hausgeld)</c:v>
                </c:pt>
              </c:strCache>
            </c:strRef>
          </c:tx>
          <c:spPr>
            <a:solidFill>
              <a:schemeClr val="tx2"/>
            </a:solidFill>
            <a:ln w="25400">
              <a:noFill/>
            </a:ln>
            <a:effectLst>
              <a:outerShdw blurRad="57150" dist="19050" dir="5400000" algn="ctr" rotWithShape="0">
                <a:srgbClr val="000000">
                  <a:alpha val="63000"/>
                </a:srgbClr>
              </a:outerShdw>
            </a:effectLst>
          </c:spPr>
          <c:val>
            <c:numRef>
              <c:f>'base scenario'!$EW$2:$EW$52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-3960</c:v>
                </c:pt>
                <c:pt idx="36">
                  <c:v>-3960</c:v>
                </c:pt>
                <c:pt idx="37">
                  <c:v>-3960</c:v>
                </c:pt>
                <c:pt idx="38">
                  <c:v>-3960</c:v>
                </c:pt>
                <c:pt idx="39">
                  <c:v>-3960</c:v>
                </c:pt>
                <c:pt idx="40">
                  <c:v>-3960</c:v>
                </c:pt>
                <c:pt idx="41">
                  <c:v>-3960</c:v>
                </c:pt>
                <c:pt idx="42">
                  <c:v>-3960</c:v>
                </c:pt>
                <c:pt idx="43">
                  <c:v>-3960</c:v>
                </c:pt>
                <c:pt idx="44">
                  <c:v>-3960</c:v>
                </c:pt>
                <c:pt idx="45">
                  <c:v>-3960</c:v>
                </c:pt>
                <c:pt idx="46">
                  <c:v>-3960</c:v>
                </c:pt>
                <c:pt idx="47">
                  <c:v>-3960</c:v>
                </c:pt>
                <c:pt idx="48">
                  <c:v>-3960</c:v>
                </c:pt>
                <c:pt idx="49">
                  <c:v>-3960</c:v>
                </c:pt>
                <c:pt idx="50">
                  <c:v>-3960</c:v>
                </c:pt>
              </c:numCache>
            </c:numRef>
          </c:val>
          <c:extLst>
            <c:ext xmlns:c16="http://schemas.microsoft.com/office/drawing/2014/chart" uri="{C3380CC4-5D6E-409C-BE32-E72D297353CC}">
              <c16:uniqueId val="{00000012-B215-4A3F-98C4-FD83FC4B7234}"/>
            </c:ext>
          </c:extLst>
        </c:ser>
        <c:ser>
          <c:idx val="19"/>
          <c:order val="19"/>
          <c:tx>
            <c:strRef>
              <c:f>'base scenario'!$FD$1</c:f>
              <c:strCache>
                <c:ptCount val="1"/>
                <c:pt idx="0">
                  <c:v>Income taxes over property and leasing costs</c:v>
                </c:pt>
              </c:strCache>
            </c:strRef>
          </c:tx>
          <c:spPr>
            <a:solidFill>
              <a:srgbClr val="FF0000"/>
            </a:solidFill>
            <a:ln w="25400">
              <a:noFill/>
            </a:ln>
            <a:effectLst>
              <a:outerShdw blurRad="57150" dist="19050" dir="5400000" algn="ctr" rotWithShape="0">
                <a:srgbClr val="000000">
                  <a:alpha val="63000"/>
                </a:srgbClr>
              </a:outerShdw>
            </a:effectLst>
          </c:spPr>
          <c:val>
            <c:numRef>
              <c:f>'base scenario'!$FD$2:$FD$52</c:f>
              <c:numCache>
                <c:formatCode>[$EUR]\ #,##0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13-B215-4A3F-98C4-FD83FC4B7234}"/>
            </c:ext>
          </c:extLst>
        </c:ser>
        <c:dLbls>
          <c:showLegendKey val="0"/>
          <c:showVal val="0"/>
          <c:showCatName val="0"/>
          <c:showSerName val="0"/>
          <c:showPercent val="0"/>
          <c:showBubbleSize val="0"/>
        </c:dLbls>
        <c:axId val="448967520"/>
        <c:axId val="448977120"/>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axMin"/>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de-DE"/>
              <a:t>Costs description </a:t>
            </a:r>
            <a:r>
              <a:rPr lang="de-DE" baseline="0"/>
              <a:t>when </a:t>
            </a:r>
            <a:r>
              <a:rPr lang="de-DE" baseline="0">
                <a:solidFill>
                  <a:schemeClr val="accent3">
                    <a:lumMod val="60000"/>
                    <a:lumOff val="40000"/>
                  </a:schemeClr>
                </a:solidFill>
              </a:rPr>
              <a:t>buying+leasing+holding</a:t>
            </a:r>
            <a:endParaRPr lang="de-DE">
              <a:solidFill>
                <a:schemeClr val="accent3">
                  <a:lumMod val="60000"/>
                  <a:lumOff val="4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11"/>
          <c:order val="0"/>
          <c:tx>
            <c:strRef>
              <c:f>'base scenario'!$P$1</c:f>
              <c:strCache>
                <c:ptCount val="1"/>
                <c:pt idx="0">
                  <c:v>Living costs family</c:v>
                </c:pt>
              </c:strCache>
            </c:strRef>
          </c:tx>
          <c:spPr>
            <a:solidFill>
              <a:schemeClr val="bg1"/>
            </a:solidFill>
            <a:ln w="25400">
              <a:noFill/>
            </a:ln>
            <a:effectLst>
              <a:outerShdw blurRad="57150" dist="19050" dir="5400000" algn="ctr" rotWithShape="0">
                <a:srgbClr val="000000">
                  <a:alpha val="63000"/>
                </a:srgbClr>
              </a:outerShdw>
            </a:effectLst>
          </c:spPr>
          <c:val>
            <c:numRef>
              <c:f>'base scenario'!$P$2:$P$52</c:f>
              <c:numCache>
                <c:formatCode>[$EUR]\ #,##0</c:formatCode>
                <c:ptCount val="51"/>
                <c:pt idx="0">
                  <c:v>-1050</c:v>
                </c:pt>
                <c:pt idx="1">
                  <c:v>-1050</c:v>
                </c:pt>
                <c:pt idx="2">
                  <c:v>-2100</c:v>
                </c:pt>
                <c:pt idx="3">
                  <c:v>-2100</c:v>
                </c:pt>
                <c:pt idx="4">
                  <c:v>-3650</c:v>
                </c:pt>
                <c:pt idx="5">
                  <c:v>-3650</c:v>
                </c:pt>
                <c:pt idx="6">
                  <c:v>-5200</c:v>
                </c:pt>
                <c:pt idx="7">
                  <c:v>-5200</c:v>
                </c:pt>
                <c:pt idx="8">
                  <c:v>-5200</c:v>
                </c:pt>
                <c:pt idx="9">
                  <c:v>-5200</c:v>
                </c:pt>
                <c:pt idx="10">
                  <c:v>-5200</c:v>
                </c:pt>
                <c:pt idx="11">
                  <c:v>-7075</c:v>
                </c:pt>
                <c:pt idx="12">
                  <c:v>-7075</c:v>
                </c:pt>
                <c:pt idx="13">
                  <c:v>-8950</c:v>
                </c:pt>
                <c:pt idx="14">
                  <c:v>-8950</c:v>
                </c:pt>
                <c:pt idx="15">
                  <c:v>-8950</c:v>
                </c:pt>
                <c:pt idx="16">
                  <c:v>-8950</c:v>
                </c:pt>
                <c:pt idx="17">
                  <c:v>-8950</c:v>
                </c:pt>
                <c:pt idx="18">
                  <c:v>-8950</c:v>
                </c:pt>
                <c:pt idx="19">
                  <c:v>-11075</c:v>
                </c:pt>
                <c:pt idx="20">
                  <c:v>-11075</c:v>
                </c:pt>
                <c:pt idx="21">
                  <c:v>-13200</c:v>
                </c:pt>
                <c:pt idx="22">
                  <c:v>-13200</c:v>
                </c:pt>
                <c:pt idx="23">
                  <c:v>-13200</c:v>
                </c:pt>
                <c:pt idx="24">
                  <c:v>-13200</c:v>
                </c:pt>
                <c:pt idx="25">
                  <c:v>-13200</c:v>
                </c:pt>
                <c:pt idx="26">
                  <c:v>-6600</c:v>
                </c:pt>
                <c:pt idx="27">
                  <c:v>-6600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0-9021-4846-AF15-77350662A99E}"/>
            </c:ext>
          </c:extLst>
        </c:ser>
        <c:ser>
          <c:idx val="1"/>
          <c:order val="1"/>
          <c:tx>
            <c:strRef>
              <c:f>'base scenario'!$X$1</c:f>
              <c:strCache>
                <c:ptCount val="1"/>
                <c:pt idx="0">
                  <c:v>Rent</c:v>
                </c:pt>
              </c:strCache>
            </c:strRef>
          </c:tx>
          <c:spPr>
            <a:solidFill>
              <a:schemeClr val="accent2"/>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scenario'!$X$2:$X$52</c:f>
              <c:numCache>
                <c:formatCode>[$EUR]\ #,##0</c:formatCode>
                <c:ptCount val="51"/>
                <c:pt idx="0">
                  <c:v>-15840</c:v>
                </c:pt>
                <c:pt idx="1">
                  <c:v>-16305.882352941178</c:v>
                </c:pt>
                <c:pt idx="2">
                  <c:v>-16785.467128027685</c:v>
                </c:pt>
                <c:pt idx="3">
                  <c:v>-17279.157337675559</c:v>
                </c:pt>
                <c:pt idx="4">
                  <c:v>-17787.367847607195</c:v>
                </c:pt>
                <c:pt idx="5">
                  <c:v>-18310.525725477997</c:v>
                </c:pt>
                <c:pt idx="6">
                  <c:v>-18849.070599756764</c:v>
                </c:pt>
                <c:pt idx="7">
                  <c:v>-19403.455029161378</c:v>
                </c:pt>
                <c:pt idx="8">
                  <c:v>-19974.144882960245</c:v>
                </c:pt>
                <c:pt idx="9">
                  <c:v>-20561.619732459079</c:v>
                </c:pt>
                <c:pt idx="10">
                  <c:v>-21166.373254001996</c:v>
                </c:pt>
                <c:pt idx="11">
                  <c:v>-21788.913643825585</c:v>
                </c:pt>
                <c:pt idx="12">
                  <c:v>-22429.764045114574</c:v>
                </c:pt>
                <c:pt idx="13">
                  <c:v>-23089.462987617946</c:v>
                </c:pt>
                <c:pt idx="14">
                  <c:v>-23768.564840194947</c:v>
                </c:pt>
                <c:pt idx="15">
                  <c:v>-24467.640276671271</c:v>
                </c:pt>
                <c:pt idx="16">
                  <c:v>-25187.276755396899</c:v>
                </c:pt>
                <c:pt idx="17">
                  <c:v>-25928.079012908576</c:v>
                </c:pt>
                <c:pt idx="18">
                  <c:v>-26690.669572111772</c:v>
                </c:pt>
                <c:pt idx="19">
                  <c:v>-27475.689265409179</c:v>
                </c:pt>
                <c:pt idx="20">
                  <c:v>-28283.797773215334</c:v>
                </c:pt>
                <c:pt idx="21">
                  <c:v>-29115.674178309906</c:v>
                </c:pt>
                <c:pt idx="22">
                  <c:v>-29972.017536495496</c:v>
                </c:pt>
                <c:pt idx="23">
                  <c:v>-30853.547464039486</c:v>
                </c:pt>
                <c:pt idx="24">
                  <c:v>-31761.00474239359</c:v>
                </c:pt>
                <c:pt idx="25">
                  <c:v>-32695.151940699288</c:v>
                </c:pt>
                <c:pt idx="26">
                  <c:v>-33656.774056602211</c:v>
                </c:pt>
                <c:pt idx="27">
                  <c:v>-34646.679175914047</c:v>
                </c:pt>
                <c:pt idx="28">
                  <c:v>-35665.699151676228</c:v>
                </c:pt>
                <c:pt idx="29">
                  <c:v>-36714.690303196119</c:v>
                </c:pt>
                <c:pt idx="30">
                  <c:v>-37794.534135643065</c:v>
                </c:pt>
                <c:pt idx="31">
                  <c:v>-38906.13808080904</c:v>
                </c:pt>
                <c:pt idx="32">
                  <c:v>-40050.436259656366</c:v>
                </c:pt>
                <c:pt idx="33">
                  <c:v>-41228.390267293325</c:v>
                </c:pt>
                <c:pt idx="34">
                  <c:v>-42440.989981037252</c:v>
                </c:pt>
                <c:pt idx="35">
                  <c:v>-43689.254392244235</c:v>
                </c:pt>
                <c:pt idx="36">
                  <c:v>-44974.232462604363</c:v>
                </c:pt>
                <c:pt idx="37">
                  <c:v>-46297.004005622141</c:v>
                </c:pt>
                <c:pt idx="38">
                  <c:v>-47658.680594022801</c:v>
                </c:pt>
                <c:pt idx="39">
                  <c:v>-49060.406493847004</c:v>
                </c:pt>
                <c:pt idx="40">
                  <c:v>-50503.359626018981</c:v>
                </c:pt>
                <c:pt idx="41">
                  <c:v>-51988.752556196014</c:v>
                </c:pt>
                <c:pt idx="42">
                  <c:v>-53517.833513731195</c:v>
                </c:pt>
                <c:pt idx="43">
                  <c:v>-55091.887440605649</c:v>
                </c:pt>
                <c:pt idx="44">
                  <c:v>-56712.237071211704</c:v>
                </c:pt>
                <c:pt idx="45">
                  <c:v>-58380.24404389441</c:v>
                </c:pt>
                <c:pt idx="46">
                  <c:v>-60097.310045185426</c:v>
                </c:pt>
                <c:pt idx="47">
                  <c:v>-61864.877987690888</c:v>
                </c:pt>
                <c:pt idx="48">
                  <c:v>-63684.433222622982</c:v>
                </c:pt>
                <c:pt idx="49">
                  <c:v>-65557.504787994258</c:v>
                </c:pt>
                <c:pt idx="50">
                  <c:v>-67485.666693523512</c:v>
                </c:pt>
              </c:numCache>
            </c:numRef>
          </c:val>
          <c:extLst>
            <c:ext xmlns:c16="http://schemas.microsoft.com/office/drawing/2014/chart" uri="{C3380CC4-5D6E-409C-BE32-E72D297353CC}">
              <c16:uniqueId val="{00000001-9021-4846-AF15-77350662A99E}"/>
            </c:ext>
          </c:extLst>
        </c:ser>
        <c:ser>
          <c:idx val="7"/>
          <c:order val="2"/>
          <c:tx>
            <c:strRef>
              <c:f>'base scenario'!$N$1</c:f>
              <c:strCache>
                <c:ptCount val="1"/>
                <c:pt idx="0">
                  <c:v>Living costs</c:v>
                </c:pt>
              </c:strCache>
            </c:strRef>
          </c:tx>
          <c:spPr>
            <a:solidFill>
              <a:schemeClr val="accent1"/>
            </a:solidFill>
            <a:ln>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scenario'!$N$2:$N$52</c:f>
              <c:numCache>
                <c:formatCode>[$EUR]\ #,##0</c:formatCode>
                <c:ptCount val="51"/>
                <c:pt idx="0">
                  <c:v>-25050</c:v>
                </c:pt>
                <c:pt idx="1">
                  <c:v>-49050</c:v>
                </c:pt>
                <c:pt idx="2">
                  <c:v>-26100</c:v>
                </c:pt>
                <c:pt idx="3">
                  <c:v>-50100</c:v>
                </c:pt>
                <c:pt idx="4">
                  <c:v>-51650</c:v>
                </c:pt>
                <c:pt idx="5">
                  <c:v>-51650</c:v>
                </c:pt>
                <c:pt idx="6">
                  <c:v>-53200</c:v>
                </c:pt>
                <c:pt idx="7">
                  <c:v>-53200</c:v>
                </c:pt>
                <c:pt idx="8">
                  <c:v>-53200</c:v>
                </c:pt>
                <c:pt idx="9">
                  <c:v>-53200</c:v>
                </c:pt>
                <c:pt idx="10">
                  <c:v>-53200</c:v>
                </c:pt>
                <c:pt idx="11">
                  <c:v>-55075</c:v>
                </c:pt>
                <c:pt idx="12">
                  <c:v>-55075</c:v>
                </c:pt>
                <c:pt idx="13">
                  <c:v>-56950</c:v>
                </c:pt>
                <c:pt idx="14">
                  <c:v>-56950</c:v>
                </c:pt>
                <c:pt idx="15">
                  <c:v>-56950</c:v>
                </c:pt>
                <c:pt idx="16">
                  <c:v>-56950</c:v>
                </c:pt>
                <c:pt idx="17">
                  <c:v>-56950</c:v>
                </c:pt>
                <c:pt idx="18">
                  <c:v>-56950</c:v>
                </c:pt>
                <c:pt idx="19">
                  <c:v>-59075</c:v>
                </c:pt>
                <c:pt idx="20">
                  <c:v>-59075</c:v>
                </c:pt>
                <c:pt idx="21">
                  <c:v>-61200</c:v>
                </c:pt>
                <c:pt idx="22">
                  <c:v>-61200</c:v>
                </c:pt>
                <c:pt idx="23">
                  <c:v>-61200</c:v>
                </c:pt>
                <c:pt idx="24">
                  <c:v>-61200</c:v>
                </c:pt>
                <c:pt idx="25">
                  <c:v>-61200</c:v>
                </c:pt>
                <c:pt idx="26">
                  <c:v>-54600</c:v>
                </c:pt>
                <c:pt idx="27">
                  <c:v>-54600</c:v>
                </c:pt>
                <c:pt idx="28">
                  <c:v>-48000</c:v>
                </c:pt>
                <c:pt idx="29">
                  <c:v>-48000</c:v>
                </c:pt>
                <c:pt idx="30">
                  <c:v>-48000</c:v>
                </c:pt>
                <c:pt idx="31">
                  <c:v>-48000</c:v>
                </c:pt>
                <c:pt idx="32">
                  <c:v>-48000</c:v>
                </c:pt>
                <c:pt idx="33">
                  <c:v>-48000</c:v>
                </c:pt>
                <c:pt idx="34">
                  <c:v>-48000</c:v>
                </c:pt>
                <c:pt idx="35">
                  <c:v>-48000</c:v>
                </c:pt>
                <c:pt idx="36">
                  <c:v>-48000</c:v>
                </c:pt>
                <c:pt idx="37">
                  <c:v>-48000</c:v>
                </c:pt>
                <c:pt idx="38">
                  <c:v>-48000</c:v>
                </c:pt>
                <c:pt idx="39">
                  <c:v>-48000</c:v>
                </c:pt>
                <c:pt idx="40">
                  <c:v>-48000</c:v>
                </c:pt>
                <c:pt idx="41">
                  <c:v>-48000</c:v>
                </c:pt>
                <c:pt idx="42">
                  <c:v>-48000</c:v>
                </c:pt>
                <c:pt idx="43">
                  <c:v>-48000</c:v>
                </c:pt>
                <c:pt idx="44">
                  <c:v>-48000</c:v>
                </c:pt>
                <c:pt idx="45">
                  <c:v>-48000</c:v>
                </c:pt>
                <c:pt idx="46">
                  <c:v>-48000</c:v>
                </c:pt>
                <c:pt idx="47">
                  <c:v>-48000</c:v>
                </c:pt>
                <c:pt idx="48">
                  <c:v>-48000</c:v>
                </c:pt>
                <c:pt idx="49">
                  <c:v>-48000</c:v>
                </c:pt>
                <c:pt idx="50">
                  <c:v>-48000</c:v>
                </c:pt>
              </c:numCache>
            </c:numRef>
          </c:val>
          <c:extLst>
            <c:ext xmlns:c16="http://schemas.microsoft.com/office/drawing/2014/chart" uri="{C3380CC4-5D6E-409C-BE32-E72D297353CC}">
              <c16:uniqueId val="{00000002-9021-4846-AF15-77350662A99E}"/>
            </c:ext>
          </c:extLst>
        </c:ser>
        <c:ser>
          <c:idx val="12"/>
          <c:order val="3"/>
          <c:tx>
            <c:strRef>
              <c:f>'base scenario'!$Z$1</c:f>
              <c:strCache>
                <c:ptCount val="1"/>
                <c:pt idx="0">
                  <c:v>Fixed housing costs (Nebenkosten)</c:v>
                </c:pt>
              </c:strCache>
            </c:strRef>
          </c:tx>
          <c:spPr>
            <a:solidFill>
              <a:schemeClr val="tx2"/>
            </a:solidFill>
            <a:ln w="25400">
              <a:noFill/>
            </a:ln>
            <a:effectLst>
              <a:outerShdw blurRad="57150" dist="19050" dir="5400000" algn="ctr" rotWithShape="0">
                <a:srgbClr val="000000">
                  <a:alpha val="63000"/>
                </a:srgbClr>
              </a:outerShdw>
            </a:effectLst>
          </c:spPr>
          <c:val>
            <c:numRef>
              <c:f>'base scenario'!$Z$2:$Z$52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-3960</c:v>
                </c:pt>
                <c:pt idx="36">
                  <c:v>-3960</c:v>
                </c:pt>
                <c:pt idx="37">
                  <c:v>-3960</c:v>
                </c:pt>
                <c:pt idx="38">
                  <c:v>-3960</c:v>
                </c:pt>
                <c:pt idx="39">
                  <c:v>-3960</c:v>
                </c:pt>
                <c:pt idx="40">
                  <c:v>-3960</c:v>
                </c:pt>
                <c:pt idx="41">
                  <c:v>-3960</c:v>
                </c:pt>
                <c:pt idx="42">
                  <c:v>-3960</c:v>
                </c:pt>
                <c:pt idx="43">
                  <c:v>-3960</c:v>
                </c:pt>
                <c:pt idx="44">
                  <c:v>-3960</c:v>
                </c:pt>
                <c:pt idx="45">
                  <c:v>-3960</c:v>
                </c:pt>
                <c:pt idx="46">
                  <c:v>-3960</c:v>
                </c:pt>
                <c:pt idx="47">
                  <c:v>-3960</c:v>
                </c:pt>
                <c:pt idx="48">
                  <c:v>-3960</c:v>
                </c:pt>
                <c:pt idx="49">
                  <c:v>-3960</c:v>
                </c:pt>
                <c:pt idx="50">
                  <c:v>-3960</c:v>
                </c:pt>
              </c:numCache>
            </c:numRef>
          </c:val>
          <c:extLst>
            <c:ext xmlns:c16="http://schemas.microsoft.com/office/drawing/2014/chart" uri="{C3380CC4-5D6E-409C-BE32-E72D297353CC}">
              <c16:uniqueId val="{00000003-9021-4846-AF15-77350662A99E}"/>
            </c:ext>
          </c:extLst>
        </c:ser>
        <c:ser>
          <c:idx val="2"/>
          <c:order val="4"/>
          <c:tx>
            <c:strRef>
              <c:f>'base scenario'!$GB$1</c:f>
              <c:strCache>
                <c:ptCount val="1"/>
                <c:pt idx="0">
                  <c:v>Mortgage principal payment share</c:v>
                </c:pt>
              </c:strCache>
            </c:strRef>
          </c:tx>
          <c:spPr>
            <a:solidFill>
              <a:schemeClr val="accent3">
                <a:lumMod val="75000"/>
              </a:schemeClr>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scenario'!$GB$2:$GB$52</c:f>
              <c:numCache>
                <c:formatCode>[$EUR]\ #,##0</c:formatCode>
                <c:ptCount val="51"/>
                <c:pt idx="0">
                  <c:v>-7740.3100000000013</c:v>
                </c:pt>
                <c:pt idx="1">
                  <c:v>-8026.7014700000018</c:v>
                </c:pt>
                <c:pt idx="2">
                  <c:v>-8323.6894243900024</c:v>
                </c:pt>
                <c:pt idx="3">
                  <c:v>-8631.665933092434</c:v>
                </c:pt>
                <c:pt idx="4">
                  <c:v>-8951.0375726168531</c:v>
                </c:pt>
                <c:pt idx="5">
                  <c:v>-9282.2259628036754</c:v>
                </c:pt>
                <c:pt idx="6">
                  <c:v>-9625.6683234274133</c:v>
                </c:pt>
                <c:pt idx="7">
                  <c:v>-9981.818051394228</c:v>
                </c:pt>
                <c:pt idx="8">
                  <c:v>-10351.145319295816</c:v>
                </c:pt>
                <c:pt idx="9">
                  <c:v>-10734.137696109761</c:v>
                </c:pt>
                <c:pt idx="10">
                  <c:v>-11131.300790865822</c:v>
                </c:pt>
                <c:pt idx="11">
                  <c:v>-11543.158920127858</c:v>
                </c:pt>
                <c:pt idx="12">
                  <c:v>-11970.255800172588</c:v>
                </c:pt>
                <c:pt idx="13">
                  <c:v>-12413.155264778974</c:v>
                </c:pt>
                <c:pt idx="14">
                  <c:v>-12872.442009575796</c:v>
                </c:pt>
                <c:pt idx="15">
                  <c:v>-13348.722363930101</c:v>
                </c:pt>
                <c:pt idx="16">
                  <c:v>-13842.625091395514</c:v>
                </c:pt>
                <c:pt idx="17">
                  <c:v>-14354.802219777148</c:v>
                </c:pt>
                <c:pt idx="18">
                  <c:v>-14885.929901908901</c:v>
                </c:pt>
                <c:pt idx="19">
                  <c:v>-15436.709308279533</c:v>
                </c:pt>
                <c:pt idx="20">
                  <c:v>-16007.867552685875</c:v>
                </c:pt>
                <c:pt idx="21">
                  <c:v>-16600.158652135251</c:v>
                </c:pt>
                <c:pt idx="22">
                  <c:v>-17214.364522264255</c:v>
                </c:pt>
                <c:pt idx="23">
                  <c:v>-17851.296009588033</c:v>
                </c:pt>
                <c:pt idx="24">
                  <c:v>-18511.793961942789</c:v>
                </c:pt>
                <c:pt idx="25">
                  <c:v>-19196.730338534675</c:v>
                </c:pt>
                <c:pt idx="26">
                  <c:v>-19907.009361060456</c:v>
                </c:pt>
                <c:pt idx="27">
                  <c:v>-20643.568707419694</c:v>
                </c:pt>
                <c:pt idx="28">
                  <c:v>-17635.209470426529</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4-9021-4846-AF15-77350662A99E}"/>
            </c:ext>
          </c:extLst>
        </c:ser>
        <c:ser>
          <c:idx val="0"/>
          <c:order val="5"/>
          <c:tx>
            <c:strRef>
              <c:f>'base scenario'!$GE$1</c:f>
              <c:strCache>
                <c:ptCount val="1"/>
                <c:pt idx="0">
                  <c:v>Mortgage interest payment share</c:v>
                </c:pt>
              </c:strCache>
            </c:strRef>
          </c:tx>
          <c:spPr>
            <a:solidFill>
              <a:schemeClr val="accent3">
                <a:lumMod val="60000"/>
                <a:lumOff val="40000"/>
              </a:schemeClr>
            </a:solidFill>
            <a:ln w="25400">
              <a:noFill/>
            </a:ln>
            <a:effectLst>
              <a:outerShdw blurRad="57150" dist="19050" dir="5400000" algn="ctr" rotWithShape="0">
                <a:srgbClr val="000000">
                  <a:alpha val="63000"/>
                </a:srgbClr>
              </a:outerShdw>
            </a:effectLst>
          </c:spPr>
          <c:val>
            <c:numRef>
              <c:f>'base scenario'!$GE$2:$GE$52</c:f>
              <c:numCache>
                <c:formatCode>[$EUR]\ #,##0</c:formatCode>
                <c:ptCount val="51"/>
                <c:pt idx="0">
                  <c:v>-14319.573500000002</c:v>
                </c:pt>
                <c:pt idx="1">
                  <c:v>-14033.182030000002</c:v>
                </c:pt>
                <c:pt idx="2">
                  <c:v>-13736.194075610001</c:v>
                </c:pt>
                <c:pt idx="3">
                  <c:v>-13428.21756690757</c:v>
                </c:pt>
                <c:pt idx="4">
                  <c:v>-13108.84592738315</c:v>
                </c:pt>
                <c:pt idx="5">
                  <c:v>-12777.657537196328</c:v>
                </c:pt>
                <c:pt idx="6">
                  <c:v>-12434.21517657259</c:v>
                </c:pt>
                <c:pt idx="7">
                  <c:v>-12078.065448605776</c:v>
                </c:pt>
                <c:pt idx="8">
                  <c:v>-11708.738180704187</c:v>
                </c:pt>
                <c:pt idx="9">
                  <c:v>-11325.745803890242</c:v>
                </c:pt>
                <c:pt idx="10">
                  <c:v>-10928.582709134182</c:v>
                </c:pt>
                <c:pt idx="11">
                  <c:v>-10516.724579872145</c:v>
                </c:pt>
                <c:pt idx="12">
                  <c:v>-10089.627699827415</c:v>
                </c:pt>
                <c:pt idx="13">
                  <c:v>-9646.7282352210295</c:v>
                </c:pt>
                <c:pt idx="14">
                  <c:v>-9187.4414904242076</c:v>
                </c:pt>
                <c:pt idx="15">
                  <c:v>-8711.1611360699026</c:v>
                </c:pt>
                <c:pt idx="16">
                  <c:v>-8217.2584086044899</c:v>
                </c:pt>
                <c:pt idx="17">
                  <c:v>-7705.0812802228556</c:v>
                </c:pt>
                <c:pt idx="18">
                  <c:v>-7173.9535980911014</c:v>
                </c:pt>
                <c:pt idx="19">
                  <c:v>-6623.1741917204718</c:v>
                </c:pt>
                <c:pt idx="20">
                  <c:v>-6052.0159473141293</c:v>
                </c:pt>
                <c:pt idx="21">
                  <c:v>-5459.7248478647516</c:v>
                </c:pt>
                <c:pt idx="22">
                  <c:v>-4845.5189777357473</c:v>
                </c:pt>
                <c:pt idx="23">
                  <c:v>-4208.5874904119701</c:v>
                </c:pt>
                <c:pt idx="24">
                  <c:v>-3548.0895380572133</c:v>
                </c:pt>
                <c:pt idx="25">
                  <c:v>-2863.15316146533</c:v>
                </c:pt>
                <c:pt idx="26">
                  <c:v>-2152.8741389395468</c:v>
                </c:pt>
                <c:pt idx="27">
                  <c:v>-1416.3147925803103</c:v>
                </c:pt>
                <c:pt idx="28">
                  <c:v>-652.50275040578151</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5-9021-4846-AF15-77350662A99E}"/>
            </c:ext>
          </c:extLst>
        </c:ser>
        <c:ser>
          <c:idx val="3"/>
          <c:order val="6"/>
          <c:tx>
            <c:strRef>
              <c:f>'base scenario'!$GK$1</c:f>
              <c:strCache>
                <c:ptCount val="1"/>
                <c:pt idx="0">
                  <c:v>Payback for family/friends loan plus interest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scenario'!$GK$2:$GK$52</c:f>
              <c:numCache>
                <c:formatCode>[$EUR]\ #,##0</c:formatCode>
                <c:ptCount val="51"/>
                <c:pt idx="0">
                  <c:v>-6072.8287787074187</c:v>
                </c:pt>
                <c:pt idx="1">
                  <c:v>-6072.8287787074187</c:v>
                </c:pt>
                <c:pt idx="2">
                  <c:v>-6072.8287787074187</c:v>
                </c:pt>
                <c:pt idx="3">
                  <c:v>-6072.8287787074187</c:v>
                </c:pt>
                <c:pt idx="4">
                  <c:v>-6072.8287787074187</c:v>
                </c:pt>
                <c:pt idx="5">
                  <c:v>-6072.8287787074187</c:v>
                </c:pt>
                <c:pt idx="6">
                  <c:v>-6072.8287787074187</c:v>
                </c:pt>
                <c:pt idx="7">
                  <c:v>-6072.8287787074187</c:v>
                </c:pt>
                <c:pt idx="8">
                  <c:v>-6072.8287787074187</c:v>
                </c:pt>
                <c:pt idx="9">
                  <c:v>-6072.8287787074187</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val>
          <c:extLst>
            <c:ext xmlns:c16="http://schemas.microsoft.com/office/drawing/2014/chart" uri="{C3380CC4-5D6E-409C-BE32-E72D297353CC}">
              <c16:uniqueId val="{00000006-9021-4846-AF15-77350662A99E}"/>
            </c:ext>
          </c:extLst>
        </c:ser>
        <c:ser>
          <c:idx val="5"/>
          <c:order val="7"/>
          <c:tx>
            <c:strRef>
              <c:f>'base scenario'!$GQ$1</c:f>
              <c:strCache>
                <c:ptCount val="1"/>
                <c:pt idx="0">
                  <c:v>Property taxes</c:v>
                </c:pt>
              </c:strCache>
            </c:strRef>
          </c:tx>
          <c:spPr>
            <a:solidFill>
              <a:srgbClr val="FFFF00"/>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scenario'!$GQ$2:$GQ$52</c:f>
              <c:numCache>
                <c:formatCode>[$EUR]\ #,##0</c:formatCode>
                <c:ptCount val="51"/>
                <c:pt idx="0">
                  <c:v>-1245</c:v>
                </c:pt>
                <c:pt idx="1">
                  <c:v>-1281.6176470588236</c:v>
                </c:pt>
                <c:pt idx="2">
                  <c:v>-1319.3122837370245</c:v>
                </c:pt>
                <c:pt idx="3">
                  <c:v>-1358.1155861998782</c:v>
                </c:pt>
                <c:pt idx="4">
                  <c:v>-1398.0601622645806</c:v>
                </c:pt>
                <c:pt idx="5">
                  <c:v>-1439.1795788017746</c:v>
                </c:pt>
                <c:pt idx="6">
                  <c:v>-1481.5083899430033</c:v>
                </c:pt>
                <c:pt idx="7">
                  <c:v>-1525.0821661177977</c:v>
                </c:pt>
                <c:pt idx="8">
                  <c:v>-1569.9375239447918</c:v>
                </c:pt>
                <c:pt idx="9">
                  <c:v>-1616.1121570019916</c:v>
                </c:pt>
                <c:pt idx="10">
                  <c:v>-1663.6448675020506</c:v>
                </c:pt>
                <c:pt idx="11">
                  <c:v>-1712.5755988991698</c:v>
                </c:pt>
                <c:pt idx="12">
                  <c:v>-1762.9454694550279</c:v>
                </c:pt>
                <c:pt idx="13">
                  <c:v>-1814.7968067919405</c:v>
                </c:pt>
                <c:pt idx="14">
                  <c:v>-1868.1731834622917</c:v>
                </c:pt>
                <c:pt idx="15">
                  <c:v>-1923.1194535641241</c:v>
                </c:pt>
                <c:pt idx="16">
                  <c:v>-1979.6817904336576</c:v>
                </c:pt>
                <c:pt idx="17">
                  <c:v>-2037.9077254464123</c:v>
                </c:pt>
                <c:pt idx="18">
                  <c:v>-2097.8461879595425</c:v>
                </c:pt>
                <c:pt idx="19">
                  <c:v>-2159.5475464289407</c:v>
                </c:pt>
                <c:pt idx="20">
                  <c:v>-2223.0636507356749</c:v>
                </c:pt>
                <c:pt idx="21">
                  <c:v>-2288.4478757573124</c:v>
                </c:pt>
                <c:pt idx="22">
                  <c:v>-2355.7551662207634</c:v>
                </c:pt>
                <c:pt idx="23">
                  <c:v>-2425.0420828743154</c:v>
                </c:pt>
                <c:pt idx="24">
                  <c:v>-2496.3668500176777</c:v>
                </c:pt>
                <c:pt idx="25">
                  <c:v>-2569.7894044299628</c:v>
                </c:pt>
                <c:pt idx="26">
                  <c:v>-2645.3714457367264</c:v>
                </c:pt>
                <c:pt idx="27">
                  <c:v>-2723.1764882583952</c:v>
                </c:pt>
                <c:pt idx="28">
                  <c:v>-2803.2699143836421</c:v>
                </c:pt>
                <c:pt idx="29">
                  <c:v>-2885.7190295125733</c:v>
                </c:pt>
                <c:pt idx="30">
                  <c:v>-2970.5931186158846</c:v>
                </c:pt>
                <c:pt idx="31">
                  <c:v>-3057.9635044575284</c:v>
                </c:pt>
                <c:pt idx="32">
                  <c:v>-3147.9036075298095</c:v>
                </c:pt>
                <c:pt idx="33">
                  <c:v>-3240.4890077512746</c:v>
                </c:pt>
                <c:pt idx="34">
                  <c:v>-3335.7975079792541</c:v>
                </c:pt>
                <c:pt idx="35">
                  <c:v>-3433.909199390409</c:v>
                </c:pt>
                <c:pt idx="36">
                  <c:v>-3534.906528784245</c:v>
                </c:pt>
                <c:pt idx="37">
                  <c:v>-3638.8743678661349</c:v>
                </c:pt>
                <c:pt idx="38">
                  <c:v>-3745.9000845680803</c:v>
                </c:pt>
                <c:pt idx="39">
                  <c:v>-3856.0736164671416</c:v>
                </c:pt>
                <c:pt idx="40">
                  <c:v>-3969.4875463632347</c:v>
                </c:pt>
                <c:pt idx="41">
                  <c:v>-4086.237180079801</c:v>
                </c:pt>
                <c:pt idx="42">
                  <c:v>-4206.4206265527373</c:v>
                </c:pt>
                <c:pt idx="43">
                  <c:v>-4330.138880274877</c:v>
                </c:pt>
                <c:pt idx="44">
                  <c:v>-4457.4959061653153</c:v>
                </c:pt>
                <c:pt idx="45">
                  <c:v>-4588.5987269348834</c:v>
                </c:pt>
                <c:pt idx="46">
                  <c:v>-4723.5575130212046</c:v>
                </c:pt>
                <c:pt idx="47">
                  <c:v>-4862.4856751688876</c:v>
                </c:pt>
                <c:pt idx="48">
                  <c:v>-5005.4999597326796</c:v>
                </c:pt>
                <c:pt idx="49">
                  <c:v>-5152.7205467836411</c:v>
                </c:pt>
                <c:pt idx="50">
                  <c:v>-5304.2711511008074</c:v>
                </c:pt>
              </c:numCache>
            </c:numRef>
          </c:val>
          <c:extLst>
            <c:ext xmlns:c16="http://schemas.microsoft.com/office/drawing/2014/chart" uri="{C3380CC4-5D6E-409C-BE32-E72D297353CC}">
              <c16:uniqueId val="{00000007-9021-4846-AF15-77350662A99E}"/>
            </c:ext>
          </c:extLst>
        </c:ser>
        <c:ser>
          <c:idx val="4"/>
          <c:order val="8"/>
          <c:tx>
            <c:strRef>
              <c:f>'base scenario'!$GS$1</c:f>
              <c:strCache>
                <c:ptCount val="1"/>
                <c:pt idx="0">
                  <c:v>Maintanence cost</c:v>
                </c:pt>
              </c:strCache>
            </c:strRef>
          </c:tx>
          <c:spPr>
            <a:solidFill>
              <a:schemeClr val="accent5"/>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scenario'!$GS$2:$GS$52</c:f>
              <c:numCache>
                <c:formatCode>[$EUR]\ #,##0</c:formatCode>
                <c:ptCount val="51"/>
                <c:pt idx="0">
                  <c:v>-3112.5</c:v>
                </c:pt>
                <c:pt idx="1">
                  <c:v>-3204.044117647059</c:v>
                </c:pt>
                <c:pt idx="2">
                  <c:v>-3298.2807093425608</c:v>
                </c:pt>
                <c:pt idx="3">
                  <c:v>-3395.2889654996952</c:v>
                </c:pt>
                <c:pt idx="4">
                  <c:v>-3495.1504056614517</c:v>
                </c:pt>
                <c:pt idx="5">
                  <c:v>-3597.9489470044359</c:v>
                </c:pt>
                <c:pt idx="6">
                  <c:v>-3703.770974857508</c:v>
                </c:pt>
                <c:pt idx="7">
                  <c:v>-3812.7054152944938</c:v>
                </c:pt>
                <c:pt idx="8">
                  <c:v>-3924.8438098619795</c:v>
                </c:pt>
                <c:pt idx="9">
                  <c:v>-4040.2803925049789</c:v>
                </c:pt>
                <c:pt idx="10">
                  <c:v>-4159.1121687551258</c:v>
                </c:pt>
                <c:pt idx="11">
                  <c:v>-4281.4389972479239</c:v>
                </c:pt>
                <c:pt idx="12">
                  <c:v>-4407.3636736375693</c:v>
                </c:pt>
                <c:pt idx="13">
                  <c:v>-4536.9920169798506</c:v>
                </c:pt>
                <c:pt idx="14">
                  <c:v>-4670.4329586557287</c:v>
                </c:pt>
                <c:pt idx="15">
                  <c:v>-4807.7986339103099</c:v>
                </c:pt>
                <c:pt idx="16">
                  <c:v>-4949.2044760841436</c:v>
                </c:pt>
                <c:pt idx="17">
                  <c:v>-5094.7693136160306</c:v>
                </c:pt>
                <c:pt idx="18">
                  <c:v>-5244.6154698988557</c:v>
                </c:pt>
                <c:pt idx="19">
                  <c:v>-5398.8688660723519</c:v>
                </c:pt>
                <c:pt idx="20">
                  <c:v>-5557.6591268391867</c:v>
                </c:pt>
                <c:pt idx="21">
                  <c:v>-5721.1196893932811</c:v>
                </c:pt>
                <c:pt idx="22">
                  <c:v>-5889.387915551908</c:v>
                </c:pt>
                <c:pt idx="23">
                  <c:v>-6062.6052071857875</c:v>
                </c:pt>
                <c:pt idx="24">
                  <c:v>-6240.9171250441941</c:v>
                </c:pt>
                <c:pt idx="25">
                  <c:v>-6424.4735110749061</c:v>
                </c:pt>
                <c:pt idx="26">
                  <c:v>-6613.4286143418158</c:v>
                </c:pt>
                <c:pt idx="27">
                  <c:v>-6807.9412206459874</c:v>
                </c:pt>
                <c:pt idx="28">
                  <c:v>-7008.1747859591051</c:v>
                </c:pt>
                <c:pt idx="29">
                  <c:v>-7214.2975737814331</c:v>
                </c:pt>
                <c:pt idx="30">
                  <c:v>-7426.4827965397108</c:v>
                </c:pt>
                <c:pt idx="31">
                  <c:v>-7644.9087611438208</c:v>
                </c:pt>
                <c:pt idx="32">
                  <c:v>-7869.7590188245231</c:v>
                </c:pt>
                <c:pt idx="33">
                  <c:v>-8101.222519378186</c:v>
                </c:pt>
                <c:pt idx="34">
                  <c:v>-8339.4937699481343</c:v>
                </c:pt>
                <c:pt idx="35">
                  <c:v>-8584.7729984760226</c:v>
                </c:pt>
                <c:pt idx="36">
                  <c:v>-8837.2663219606129</c:v>
                </c:pt>
                <c:pt idx="37">
                  <c:v>-9097.1859196653368</c:v>
                </c:pt>
                <c:pt idx="38">
                  <c:v>-9364.7502114201998</c:v>
                </c:pt>
                <c:pt idx="39">
                  <c:v>-9640.1840411678531</c:v>
                </c:pt>
                <c:pt idx="40">
                  <c:v>-9923.7188659080857</c:v>
                </c:pt>
                <c:pt idx="41">
                  <c:v>-10215.592950199502</c:v>
                </c:pt>
                <c:pt idx="42">
                  <c:v>-10516.051566381842</c:v>
                </c:pt>
                <c:pt idx="43">
                  <c:v>-10825.347200687193</c:v>
                </c:pt>
                <c:pt idx="44">
                  <c:v>-11143.739765413287</c:v>
                </c:pt>
                <c:pt idx="45">
                  <c:v>-11471.496817337209</c:v>
                </c:pt>
                <c:pt idx="46">
                  <c:v>-11808.89378255301</c:v>
                </c:pt>
                <c:pt idx="47">
                  <c:v>-12156.214187922218</c:v>
                </c:pt>
                <c:pt idx="48">
                  <c:v>-12513.749899331697</c:v>
                </c:pt>
                <c:pt idx="49">
                  <c:v>-12881.801366959102</c:v>
                </c:pt>
                <c:pt idx="50">
                  <c:v>-13260.677877752018</c:v>
                </c:pt>
              </c:numCache>
            </c:numRef>
          </c:val>
          <c:extLst>
            <c:ext xmlns:c16="http://schemas.microsoft.com/office/drawing/2014/chart" uri="{C3380CC4-5D6E-409C-BE32-E72D297353CC}">
              <c16:uniqueId val="{00000008-9021-4846-AF15-77350662A99E}"/>
            </c:ext>
          </c:extLst>
        </c:ser>
        <c:ser>
          <c:idx val="9"/>
          <c:order val="9"/>
          <c:tx>
            <c:strRef>
              <c:f>'base scenario'!$GU$1</c:f>
              <c:strCache>
                <c:ptCount val="1"/>
                <c:pt idx="0">
                  <c:v>Homeowners Association (HOA) Fees (Hausgeld)</c:v>
                </c:pt>
              </c:strCache>
            </c:strRef>
          </c:tx>
          <c:spPr>
            <a:solidFill>
              <a:schemeClr val="tx2"/>
            </a:solidFill>
            <a:ln w="25400">
              <a:noFill/>
            </a:ln>
            <a:effectLst>
              <a:outerShdw blurRad="57150" dist="19050" dir="5400000" algn="ctr" rotWithShape="0">
                <a:srgbClr val="000000">
                  <a:alpha val="63000"/>
                </a:srgbClr>
              </a:outerShdw>
            </a:effectLst>
          </c:spPr>
          <c:cat>
            <c:numRef>
              <c:f>'base scenario'!$B$2:$B$52</c:f>
              <c:numCache>
                <c:formatCode>General</c:formatCode>
                <c:ptCount val="51"/>
                <c:pt idx="0">
                  <c:v>2025</c:v>
                </c:pt>
                <c:pt idx="1">
                  <c:v>2026</c:v>
                </c:pt>
                <c:pt idx="2">
                  <c:v>2027</c:v>
                </c:pt>
                <c:pt idx="3">
                  <c:v>2028</c:v>
                </c:pt>
                <c:pt idx="4">
                  <c:v>2029</c:v>
                </c:pt>
                <c:pt idx="5">
                  <c:v>2030</c:v>
                </c:pt>
                <c:pt idx="6">
                  <c:v>2031</c:v>
                </c:pt>
                <c:pt idx="7">
                  <c:v>2032</c:v>
                </c:pt>
                <c:pt idx="8">
                  <c:v>2033</c:v>
                </c:pt>
                <c:pt idx="9">
                  <c:v>2034</c:v>
                </c:pt>
                <c:pt idx="10">
                  <c:v>2035</c:v>
                </c:pt>
                <c:pt idx="11">
                  <c:v>2036</c:v>
                </c:pt>
                <c:pt idx="12">
                  <c:v>2037</c:v>
                </c:pt>
                <c:pt idx="13">
                  <c:v>2038</c:v>
                </c:pt>
                <c:pt idx="14">
                  <c:v>2039</c:v>
                </c:pt>
                <c:pt idx="15">
                  <c:v>2040</c:v>
                </c:pt>
                <c:pt idx="16">
                  <c:v>2041</c:v>
                </c:pt>
                <c:pt idx="17">
                  <c:v>2042</c:v>
                </c:pt>
                <c:pt idx="18">
                  <c:v>2043</c:v>
                </c:pt>
                <c:pt idx="19">
                  <c:v>2044</c:v>
                </c:pt>
                <c:pt idx="20">
                  <c:v>2045</c:v>
                </c:pt>
                <c:pt idx="21">
                  <c:v>2046</c:v>
                </c:pt>
                <c:pt idx="22">
                  <c:v>2047</c:v>
                </c:pt>
                <c:pt idx="23">
                  <c:v>2048</c:v>
                </c:pt>
                <c:pt idx="24">
                  <c:v>2049</c:v>
                </c:pt>
                <c:pt idx="25">
                  <c:v>2050</c:v>
                </c:pt>
                <c:pt idx="26">
                  <c:v>2051</c:v>
                </c:pt>
                <c:pt idx="27">
                  <c:v>2052</c:v>
                </c:pt>
                <c:pt idx="28">
                  <c:v>2053</c:v>
                </c:pt>
                <c:pt idx="29">
                  <c:v>2054</c:v>
                </c:pt>
                <c:pt idx="30">
                  <c:v>2055</c:v>
                </c:pt>
                <c:pt idx="31">
                  <c:v>2056</c:v>
                </c:pt>
                <c:pt idx="32">
                  <c:v>2057</c:v>
                </c:pt>
                <c:pt idx="33">
                  <c:v>2058</c:v>
                </c:pt>
                <c:pt idx="34">
                  <c:v>2059</c:v>
                </c:pt>
                <c:pt idx="35">
                  <c:v>2060</c:v>
                </c:pt>
                <c:pt idx="36">
                  <c:v>2061</c:v>
                </c:pt>
                <c:pt idx="37">
                  <c:v>2062</c:v>
                </c:pt>
                <c:pt idx="38">
                  <c:v>2063</c:v>
                </c:pt>
                <c:pt idx="39">
                  <c:v>2064</c:v>
                </c:pt>
                <c:pt idx="40">
                  <c:v>2065</c:v>
                </c:pt>
                <c:pt idx="41">
                  <c:v>2066</c:v>
                </c:pt>
                <c:pt idx="42">
                  <c:v>2067</c:v>
                </c:pt>
                <c:pt idx="43">
                  <c:v>2068</c:v>
                </c:pt>
                <c:pt idx="44">
                  <c:v>2069</c:v>
                </c:pt>
                <c:pt idx="45">
                  <c:v>2070</c:v>
                </c:pt>
                <c:pt idx="46">
                  <c:v>2071</c:v>
                </c:pt>
                <c:pt idx="47">
                  <c:v>2072</c:v>
                </c:pt>
                <c:pt idx="48">
                  <c:v>2073</c:v>
                </c:pt>
                <c:pt idx="49">
                  <c:v>2074</c:v>
                </c:pt>
                <c:pt idx="50">
                  <c:v>2075</c:v>
                </c:pt>
              </c:numCache>
            </c:numRef>
          </c:cat>
          <c:val>
            <c:numRef>
              <c:f>'base scenario'!$GU$2:$GU$52</c:f>
              <c:numCache>
                <c:formatCode>[$EUR]\ #,##0</c:formatCode>
                <c:ptCount val="51"/>
                <c:pt idx="0">
                  <c:v>-3960</c:v>
                </c:pt>
                <c:pt idx="1">
                  <c:v>-3960</c:v>
                </c:pt>
                <c:pt idx="2">
                  <c:v>-3960</c:v>
                </c:pt>
                <c:pt idx="3">
                  <c:v>-3960</c:v>
                </c:pt>
                <c:pt idx="4">
                  <c:v>-3960</c:v>
                </c:pt>
                <c:pt idx="5">
                  <c:v>-3960</c:v>
                </c:pt>
                <c:pt idx="6">
                  <c:v>-3960</c:v>
                </c:pt>
                <c:pt idx="7">
                  <c:v>-3960</c:v>
                </c:pt>
                <c:pt idx="8">
                  <c:v>-3960</c:v>
                </c:pt>
                <c:pt idx="9">
                  <c:v>-3960</c:v>
                </c:pt>
                <c:pt idx="10">
                  <c:v>-3960</c:v>
                </c:pt>
                <c:pt idx="11">
                  <c:v>-3960</c:v>
                </c:pt>
                <c:pt idx="12">
                  <c:v>-3960</c:v>
                </c:pt>
                <c:pt idx="13">
                  <c:v>-3960</c:v>
                </c:pt>
                <c:pt idx="14">
                  <c:v>-3960</c:v>
                </c:pt>
                <c:pt idx="15">
                  <c:v>-3960</c:v>
                </c:pt>
                <c:pt idx="16">
                  <c:v>-3960</c:v>
                </c:pt>
                <c:pt idx="17">
                  <c:v>-3960</c:v>
                </c:pt>
                <c:pt idx="18">
                  <c:v>-3960</c:v>
                </c:pt>
                <c:pt idx="19">
                  <c:v>-3960</c:v>
                </c:pt>
                <c:pt idx="20">
                  <c:v>-3960</c:v>
                </c:pt>
                <c:pt idx="21">
                  <c:v>-3960</c:v>
                </c:pt>
                <c:pt idx="22">
                  <c:v>-3960</c:v>
                </c:pt>
                <c:pt idx="23">
                  <c:v>-3960</c:v>
                </c:pt>
                <c:pt idx="24">
                  <c:v>-3960</c:v>
                </c:pt>
                <c:pt idx="25">
                  <c:v>-3960</c:v>
                </c:pt>
                <c:pt idx="26">
                  <c:v>-3960</c:v>
                </c:pt>
                <c:pt idx="27">
                  <c:v>-3960</c:v>
                </c:pt>
                <c:pt idx="28">
                  <c:v>-3960</c:v>
                </c:pt>
                <c:pt idx="29">
                  <c:v>-3960</c:v>
                </c:pt>
                <c:pt idx="30">
                  <c:v>-3960</c:v>
                </c:pt>
                <c:pt idx="31">
                  <c:v>-3960</c:v>
                </c:pt>
                <c:pt idx="32">
                  <c:v>-3960</c:v>
                </c:pt>
                <c:pt idx="33">
                  <c:v>-3960</c:v>
                </c:pt>
                <c:pt idx="34">
                  <c:v>-3960</c:v>
                </c:pt>
                <c:pt idx="35">
                  <c:v>-3960</c:v>
                </c:pt>
                <c:pt idx="36">
                  <c:v>-3960</c:v>
                </c:pt>
                <c:pt idx="37">
                  <c:v>-3960</c:v>
                </c:pt>
                <c:pt idx="38">
                  <c:v>-3960</c:v>
                </c:pt>
                <c:pt idx="39">
                  <c:v>-3960</c:v>
                </c:pt>
                <c:pt idx="40">
                  <c:v>-3960</c:v>
                </c:pt>
                <c:pt idx="41">
                  <c:v>-3960</c:v>
                </c:pt>
                <c:pt idx="42">
                  <c:v>-3960</c:v>
                </c:pt>
                <c:pt idx="43">
                  <c:v>-3960</c:v>
                </c:pt>
                <c:pt idx="44">
                  <c:v>-3960</c:v>
                </c:pt>
                <c:pt idx="45">
                  <c:v>-3960</c:v>
                </c:pt>
                <c:pt idx="46">
                  <c:v>-3960</c:v>
                </c:pt>
                <c:pt idx="47">
                  <c:v>-3960</c:v>
                </c:pt>
                <c:pt idx="48">
                  <c:v>-3960</c:v>
                </c:pt>
                <c:pt idx="49">
                  <c:v>-3960</c:v>
                </c:pt>
                <c:pt idx="50">
                  <c:v>-3960</c:v>
                </c:pt>
              </c:numCache>
            </c:numRef>
          </c:val>
          <c:extLst>
            <c:ext xmlns:c16="http://schemas.microsoft.com/office/drawing/2014/chart" uri="{C3380CC4-5D6E-409C-BE32-E72D297353CC}">
              <c16:uniqueId val="{00000009-9021-4846-AF15-77350662A99E}"/>
            </c:ext>
          </c:extLst>
        </c:ser>
        <c:ser>
          <c:idx val="8"/>
          <c:order val="10"/>
          <c:tx>
            <c:strRef>
              <c:f>'base scenario'!$HC$1</c:f>
              <c:strCache>
                <c:ptCount val="1"/>
                <c:pt idx="0">
                  <c:v>Property Management Fees (of annual rent)</c:v>
                </c:pt>
              </c:strCache>
            </c:strRef>
          </c:tx>
          <c:spPr>
            <a:solidFill>
              <a:schemeClr val="accent2">
                <a:lumMod val="40000"/>
                <a:lumOff val="60000"/>
              </a:schemeClr>
            </a:solidFill>
            <a:ln w="25400">
              <a:noFill/>
            </a:ln>
            <a:effectLst>
              <a:outerShdw blurRad="57150" dist="19050" dir="5400000" algn="ctr" rotWithShape="0">
                <a:srgbClr val="000000">
                  <a:alpha val="63000"/>
                </a:srgbClr>
              </a:outerShdw>
            </a:effectLst>
          </c:spPr>
          <c:val>
            <c:numRef>
              <c:f>'base scenario'!$HC$2:$HC$52</c:f>
              <c:numCache>
                <c:formatCode>[$EUR]\ #,##0</c:formatCode>
                <c:ptCount val="51"/>
                <c:pt idx="0">
                  <c:v>-1039.5</c:v>
                </c:pt>
                <c:pt idx="1">
                  <c:v>-1070.0735294117649</c:v>
                </c:pt>
                <c:pt idx="2">
                  <c:v>-1101.5462802768168</c:v>
                </c:pt>
                <c:pt idx="3">
                  <c:v>-1133.9447002849586</c:v>
                </c:pt>
                <c:pt idx="4">
                  <c:v>-1167.2960149992223</c:v>
                </c:pt>
                <c:pt idx="5">
                  <c:v>-1201.6282507344936</c:v>
                </c:pt>
                <c:pt idx="6">
                  <c:v>-1236.9702581090376</c:v>
                </c:pt>
                <c:pt idx="7">
                  <c:v>-1273.3517362887153</c:v>
                </c:pt>
                <c:pt idx="8">
                  <c:v>-1310.8032579442661</c:v>
                </c:pt>
                <c:pt idx="9">
                  <c:v>-1349.3562949426271</c:v>
                </c:pt>
                <c:pt idx="10">
                  <c:v>-1389.0432447938811</c:v>
                </c:pt>
                <c:pt idx="11">
                  <c:v>-1429.8974578760542</c:v>
                </c:pt>
                <c:pt idx="12">
                  <c:v>-1471.9532654606442</c:v>
                </c:pt>
                <c:pt idx="13">
                  <c:v>-1515.246008562428</c:v>
                </c:pt>
                <c:pt idx="14">
                  <c:v>-1559.8120676377937</c:v>
                </c:pt>
                <c:pt idx="15">
                  <c:v>-1605.6888931565525</c:v>
                </c:pt>
                <c:pt idx="16">
                  <c:v>-1652.9150370729219</c:v>
                </c:pt>
                <c:pt idx="17">
                  <c:v>-1701.5301852221257</c:v>
                </c:pt>
                <c:pt idx="18">
                  <c:v>-1751.5751906698356</c:v>
                </c:pt>
                <c:pt idx="19">
                  <c:v>-1803.092108042478</c:v>
                </c:pt>
                <c:pt idx="20">
                  <c:v>-1856.124228867257</c:v>
                </c:pt>
                <c:pt idx="21">
                  <c:v>-1910.7161179515883</c:v>
                </c:pt>
                <c:pt idx="22">
                  <c:v>-1966.9136508325173</c:v>
                </c:pt>
                <c:pt idx="23">
                  <c:v>-2024.7640523275916</c:v>
                </c:pt>
                <c:pt idx="24">
                  <c:v>-2084.3159362195797</c:v>
                </c:pt>
                <c:pt idx="25">
                  <c:v>-2145.6193461083913</c:v>
                </c:pt>
                <c:pt idx="26">
                  <c:v>-2208.7257974645204</c:v>
                </c:pt>
                <c:pt idx="27">
                  <c:v>-2273.6883209193597</c:v>
                </c:pt>
                <c:pt idx="28">
                  <c:v>-2340.561506828753</c:v>
                </c:pt>
                <c:pt idx="29">
                  <c:v>-2409.4015511472458</c:v>
                </c:pt>
                <c:pt idx="30">
                  <c:v>-2480.266302651577</c:v>
                </c:pt>
                <c:pt idx="31">
                  <c:v>-2553.2153115530941</c:v>
                </c:pt>
                <c:pt idx="32">
                  <c:v>-2628.3098795399505</c:v>
                </c:pt>
                <c:pt idx="33">
                  <c:v>-2705.6131112911257</c:v>
                </c:pt>
                <c:pt idx="34">
                  <c:v>-2785.1899675055711</c:v>
                </c:pt>
                <c:pt idx="35">
                  <c:v>-2867.1073194910291</c:v>
                </c:pt>
                <c:pt idx="36">
                  <c:v>-2951.4340053584124</c:v>
                </c:pt>
                <c:pt idx="37">
                  <c:v>-3038.2408878689544</c:v>
                </c:pt>
                <c:pt idx="38">
                  <c:v>-3127.6009139827474</c:v>
                </c:pt>
                <c:pt idx="39">
                  <c:v>-3219.5891761587109</c:v>
                </c:pt>
                <c:pt idx="40">
                  <c:v>-3314.2829754574968</c:v>
                </c:pt>
                <c:pt idx="41">
                  <c:v>-3411.7618865003647</c:v>
                </c:pt>
                <c:pt idx="42">
                  <c:v>-3512.1078243386105</c:v>
                </c:pt>
                <c:pt idx="43">
                  <c:v>-3615.4051132897466</c:v>
                </c:pt>
                <c:pt idx="44">
                  <c:v>-3721.7405577982686</c:v>
                </c:pt>
                <c:pt idx="45">
                  <c:v>-3831.2035153805709</c:v>
                </c:pt>
                <c:pt idx="46">
                  <c:v>-3943.8859717152945</c:v>
                </c:pt>
                <c:pt idx="47">
                  <c:v>-4059.8826179422153</c:v>
                </c:pt>
                <c:pt idx="48">
                  <c:v>-4179.2909302346334</c:v>
                </c:pt>
                <c:pt idx="49">
                  <c:v>-4302.2112517121232</c:v>
                </c:pt>
                <c:pt idx="50">
                  <c:v>-4428.7468767624805</c:v>
                </c:pt>
              </c:numCache>
            </c:numRef>
          </c:val>
          <c:extLst>
            <c:ext xmlns:c16="http://schemas.microsoft.com/office/drawing/2014/chart" uri="{C3380CC4-5D6E-409C-BE32-E72D297353CC}">
              <c16:uniqueId val="{0000000A-9021-4846-AF15-77350662A99E}"/>
            </c:ext>
          </c:extLst>
        </c:ser>
        <c:ser>
          <c:idx val="10"/>
          <c:order val="11"/>
          <c:tx>
            <c:strRef>
              <c:f>'base scenario'!$HF$1</c:f>
              <c:strCache>
                <c:ptCount val="1"/>
                <c:pt idx="0">
                  <c:v>Vacancy costs (vacant month/year)</c:v>
                </c:pt>
              </c:strCache>
            </c:strRef>
          </c:tx>
          <c:spPr>
            <a:solidFill>
              <a:schemeClr val="bg1">
                <a:lumMod val="50000"/>
              </a:schemeClr>
            </a:solidFill>
            <a:ln w="25400">
              <a:noFill/>
            </a:ln>
            <a:effectLst>
              <a:outerShdw blurRad="57150" dist="19050" dir="5400000" algn="ctr" rotWithShape="0">
                <a:srgbClr val="000000">
                  <a:alpha val="63000"/>
                </a:srgbClr>
              </a:outerShdw>
            </a:effectLst>
          </c:spPr>
          <c:val>
            <c:numRef>
              <c:f>'base scenario'!$HF$2:$HF$52</c:f>
              <c:numCache>
                <c:formatCode>[$EUR]\ #,##0</c:formatCode>
                <c:ptCount val="51"/>
                <c:pt idx="0">
                  <c:v>-1588.75</c:v>
                </c:pt>
                <c:pt idx="1">
                  <c:v>-1625.7720588235297</c:v>
                </c:pt>
                <c:pt idx="2">
                  <c:v>-1663.8830017301043</c:v>
                </c:pt>
                <c:pt idx="3">
                  <c:v>-1703.1148547221662</c:v>
                </c:pt>
                <c:pt idx="4">
                  <c:v>-1743.5005857434064</c:v>
                </c:pt>
                <c:pt idx="5">
                  <c:v>-1785.0741323829186</c:v>
                </c:pt>
                <c:pt idx="6">
                  <c:v>-1827.8704303941811</c:v>
                </c:pt>
                <c:pt idx="7">
                  <c:v>-1871.9254430528335</c:v>
                </c:pt>
                <c:pt idx="8">
                  <c:v>-1917.276191377917</c:v>
                </c:pt>
                <c:pt idx="9">
                  <c:v>-1963.960785241974</c:v>
                </c:pt>
                <c:pt idx="10">
                  <c:v>-2012.0184553961499</c:v>
                </c:pt>
                <c:pt idx="11">
                  <c:v>-2061.4895864372133</c:v>
                </c:pt>
                <c:pt idx="12">
                  <c:v>-2112.4157507441905</c:v>
                </c:pt>
                <c:pt idx="13">
                  <c:v>-2164.8397434131371</c:v>
                </c:pt>
                <c:pt idx="14">
                  <c:v>-2218.8056182194064</c:v>
                </c:pt>
                <c:pt idx="15">
                  <c:v>-2274.3587246376242</c:v>
                </c:pt>
                <c:pt idx="16">
                  <c:v>-2331.5457459504955</c:v>
                </c:pt>
                <c:pt idx="17">
                  <c:v>-2390.4147384784519</c:v>
                </c:pt>
                <c:pt idx="18">
                  <c:v>-2451.0151719631126</c:v>
                </c:pt>
                <c:pt idx="19">
                  <c:v>-2513.3979711384986</c:v>
                </c:pt>
                <c:pt idx="20">
                  <c:v>-2577.6155585249253</c:v>
                </c:pt>
                <c:pt idx="21">
                  <c:v>-2643.7218984815408</c:v>
                </c:pt>
                <c:pt idx="22">
                  <c:v>-2711.7725425545273</c:v>
                </c:pt>
                <c:pt idx="23">
                  <c:v>-2781.8246761590726</c:v>
                </c:pt>
                <c:pt idx="24">
                  <c:v>-2853.9371666343395</c:v>
                </c:pt>
                <c:pt idx="25">
                  <c:v>-2928.1706127118209</c:v>
                </c:pt>
                <c:pt idx="26">
                  <c:v>-3004.5873954386389</c:v>
                </c:pt>
                <c:pt idx="27">
                  <c:v>-3083.2517305985989</c:v>
                </c:pt>
                <c:pt idx="28">
                  <c:v>-3164.2297226750288</c:v>
                </c:pt>
                <c:pt idx="29">
                  <c:v>-3247.5894204007659</c:v>
                </c:pt>
                <c:pt idx="30">
                  <c:v>-3333.4008739419646</c:v>
                </c:pt>
                <c:pt idx="31">
                  <c:v>-3421.7361937637875</c:v>
                </c:pt>
                <c:pt idx="32">
                  <c:v>-3512.669611227429</c:v>
                </c:pt>
                <c:pt idx="33">
                  <c:v>-3606.2775409694127</c:v>
                </c:pt>
                <c:pt idx="34">
                  <c:v>-3702.6386451155722</c:v>
                </c:pt>
                <c:pt idx="35">
                  <c:v>-3801.8338993836774</c:v>
                </c:pt>
                <c:pt idx="36">
                  <c:v>-3903.9466611302564</c:v>
                </c:pt>
                <c:pt idx="37">
                  <c:v>-4009.0627393987938</c:v>
                </c:pt>
                <c:pt idx="38">
                  <c:v>-4117.2704670281701</c:v>
                </c:pt>
                <c:pt idx="39">
                  <c:v>-4228.6607748819406</c:v>
                </c:pt>
                <c:pt idx="40">
                  <c:v>-4343.3272682608213</c:v>
                </c:pt>
                <c:pt idx="41">
                  <c:v>-4461.3663055626103</c:v>
                </c:pt>
                <c:pt idx="42">
                  <c:v>-4582.8770792556288</c:v>
                </c:pt>
                <c:pt idx="43">
                  <c:v>-4707.961699233736</c:v>
                </c:pt>
                <c:pt idx="44">
                  <c:v>-4836.7252786229637</c:v>
                </c:pt>
                <c:pt idx="45">
                  <c:v>-4969.2760221118751</c:v>
                </c:pt>
                <c:pt idx="46">
                  <c:v>-5105.7253168798716</c:v>
                </c:pt>
                <c:pt idx="47">
                  <c:v>-5246.1878261998691</c:v>
                </c:pt>
                <c:pt idx="48">
                  <c:v>-5390.7815857939831</c:v>
                </c:pt>
                <c:pt idx="49">
                  <c:v>-5539.6281030232194</c:v>
                </c:pt>
                <c:pt idx="50">
                  <c:v>-5692.85245899449</c:v>
                </c:pt>
              </c:numCache>
            </c:numRef>
          </c:val>
          <c:extLst>
            <c:ext xmlns:c16="http://schemas.microsoft.com/office/drawing/2014/chart" uri="{C3380CC4-5D6E-409C-BE32-E72D297353CC}">
              <c16:uniqueId val="{0000000B-9021-4846-AF15-77350662A99E}"/>
            </c:ext>
          </c:extLst>
        </c:ser>
        <c:ser>
          <c:idx val="6"/>
          <c:order val="12"/>
          <c:tx>
            <c:strRef>
              <c:f>'base scenario'!$HE$1</c:f>
              <c:strCache>
                <c:ptCount val="1"/>
                <c:pt idx="0">
                  <c:v>Income taxes correction</c:v>
                </c:pt>
              </c:strCache>
            </c:strRef>
          </c:tx>
          <c:spPr>
            <a:solidFill>
              <a:srgbClr val="FF0000"/>
            </a:solidFill>
            <a:ln w="25400">
              <a:noFill/>
            </a:ln>
            <a:effectLst>
              <a:outerShdw blurRad="57150" dist="19050" dir="5400000" algn="ctr" rotWithShape="0">
                <a:srgbClr val="000000">
                  <a:alpha val="63000"/>
                </a:srgbClr>
              </a:outerShdw>
            </a:effectLst>
          </c:spPr>
          <c:val>
            <c:numRef>
              <c:f>'base scenario'!$HE$2:$HE$52</c:f>
              <c:numCache>
                <c:formatCode>[$EUR]\ #,##0</c:formatCode>
                <c:ptCount val="51"/>
                <c:pt idx="0">
                  <c:v>6345.0030178500001</c:v>
                </c:pt>
                <c:pt idx="1">
                  <c:v>6218.1029574929998</c:v>
                </c:pt>
                <c:pt idx="2">
                  <c:v>6086.5075949027905</c:v>
                </c:pt>
                <c:pt idx="3">
                  <c:v>5950.0432038967429</c:v>
                </c:pt>
                <c:pt idx="4">
                  <c:v>5808.5296304234735</c:v>
                </c:pt>
                <c:pt idx="5">
                  <c:v>5661.780054731692</c:v>
                </c:pt>
                <c:pt idx="6">
                  <c:v>5509.600744739314</c:v>
                </c:pt>
                <c:pt idx="7">
                  <c:v>5351.7908002772183</c:v>
                </c:pt>
                <c:pt idx="8">
                  <c:v>5188.1418878700251</c:v>
                </c:pt>
                <c:pt idx="9">
                  <c:v>5018.4379657037653</c:v>
                </c:pt>
                <c:pt idx="10">
                  <c:v>4842.4549984173555</c:v>
                </c:pt>
                <c:pt idx="11">
                  <c:v>4659.9606613413471</c:v>
                </c:pt>
                <c:pt idx="12">
                  <c:v>4470.7140337935271</c:v>
                </c:pt>
                <c:pt idx="13">
                  <c:v>4240.6809966469054</c:v>
                </c:pt>
                <c:pt idx="14">
                  <c:v>3876.4007375456822</c:v>
                </c:pt>
                <c:pt idx="15">
                  <c:v>3499.8620717412514</c:v>
                </c:pt>
                <c:pt idx="16">
                  <c:v>3110.6473194468767</c:v>
                </c:pt>
                <c:pt idx="17">
                  <c:v>2708.3244020549218</c:v>
                </c:pt>
                <c:pt idx="18">
                  <c:v>2292.446340419639</c:v>
                </c:pt>
                <c:pt idx="19">
                  <c:v>1862.5507354893243</c:v>
                </c:pt>
                <c:pt idx="20">
                  <c:v>1418.1592306616387</c:v>
                </c:pt>
                <c:pt idx="21">
                  <c:v>958.77695521346573</c:v>
                </c:pt>
                <c:pt idx="22">
                  <c:v>483.89194813355584</c:v>
                </c:pt>
                <c:pt idx="23">
                  <c:v>-7.0254383378801322</c:v>
                </c:pt>
                <c:pt idx="24">
                  <c:v>-514.523156183315</c:v>
                </c:pt>
                <c:pt idx="25">
                  <c:v>-1039.1681008422524</c:v>
                </c:pt>
                <c:pt idx="26">
                  <c:v>-1581.5467729789434</c:v>
                </c:pt>
                <c:pt idx="27">
                  <c:v>-2142.2659635843406</c:v>
                </c:pt>
                <c:pt idx="28">
                  <c:v>-2721.9534632417785</c:v>
                </c:pt>
                <c:pt idx="29">
                  <c:v>-3259.4151799450092</c:v>
                </c:pt>
                <c:pt idx="30">
                  <c:v>-3515.0569793551572</c:v>
                </c:pt>
                <c:pt idx="31">
                  <c:v>-3778.2176552185483</c:v>
                </c:pt>
                <c:pt idx="32">
                  <c:v>-4049.1183509602702</c:v>
                </c:pt>
                <c:pt idx="33">
                  <c:v>-4327.9867142238081</c:v>
                </c:pt>
                <c:pt idx="34">
                  <c:v>-4615.0570881715676</c:v>
                </c:pt>
                <c:pt idx="35">
                  <c:v>-4910.5707084119103</c:v>
                </c:pt>
                <c:pt idx="36">
                  <c:v>-5214.7759057181411</c:v>
                </c:pt>
                <c:pt idx="37">
                  <c:v>-5527.9283147098522</c:v>
                </c:pt>
                <c:pt idx="38">
                  <c:v>-5850.2910886719092</c:v>
                </c:pt>
                <c:pt idx="39">
                  <c:v>-6182.1351206916715</c:v>
                </c:pt>
                <c:pt idx="40">
                  <c:v>-6523.7392713002519</c:v>
                </c:pt>
                <c:pt idx="41">
                  <c:v>-6875.3906028090814</c:v>
                </c:pt>
                <c:pt idx="42">
                  <c:v>-7237.3846205387608</c:v>
                </c:pt>
                <c:pt idx="43">
                  <c:v>-7610.0255211428421</c:v>
                </c:pt>
                <c:pt idx="44">
                  <c:v>-7993.6264482352808</c:v>
                </c:pt>
                <c:pt idx="45">
                  <c:v>-8388.5097555363191</c:v>
                </c:pt>
                <c:pt idx="46">
                  <c:v>-8795.0072777579771</c:v>
                </c:pt>
                <c:pt idx="47">
                  <c:v>-9213.4606094567425</c:v>
                </c:pt>
                <c:pt idx="48">
                  <c:v>-9644.2213920878239</c:v>
                </c:pt>
                <c:pt idx="49">
                  <c:v>-10087.651609502176</c:v>
                </c:pt>
                <c:pt idx="50">
                  <c:v>-10544.123892134594</c:v>
                </c:pt>
              </c:numCache>
            </c:numRef>
          </c:val>
          <c:extLst>
            <c:ext xmlns:c16="http://schemas.microsoft.com/office/drawing/2014/chart" uri="{C3380CC4-5D6E-409C-BE32-E72D297353CC}">
              <c16:uniqueId val="{0000000C-9021-4846-AF15-77350662A99E}"/>
            </c:ext>
          </c:extLst>
        </c:ser>
        <c:dLbls>
          <c:showLegendKey val="0"/>
          <c:showVal val="0"/>
          <c:showCatName val="0"/>
          <c:showSerName val="0"/>
          <c:showPercent val="0"/>
          <c:showBubbleSize val="0"/>
        </c:dLbls>
        <c:axId val="448967520"/>
        <c:axId val="448977120"/>
      </c:areaChart>
      <c:catAx>
        <c:axId val="4489675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977120"/>
        <c:crosses val="max"/>
        <c:auto val="1"/>
        <c:lblAlgn val="ctr"/>
        <c:lblOffset val="100"/>
        <c:noMultiLvlLbl val="0"/>
      </c:catAx>
      <c:valAx>
        <c:axId val="448977120"/>
        <c:scaling>
          <c:orientation val="maxMin"/>
          <c:min val="-300000"/>
        </c:scaling>
        <c:delete val="0"/>
        <c:axPos val="l"/>
        <c:majorGridlines>
          <c:spPr>
            <a:ln w="9525" cap="flat" cmpd="sng" algn="ctr">
              <a:solidFill>
                <a:schemeClr val="lt1">
                  <a:lumMod val="95000"/>
                  <a:alpha val="10000"/>
                </a:schemeClr>
              </a:solidFill>
              <a:round/>
            </a:ln>
            <a:effectLst/>
          </c:spPr>
        </c:majorGridlines>
        <c:numFmt formatCode="[$EUR]\ #,##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89675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14</xdr:col>
      <xdr:colOff>721251</xdr:colOff>
      <xdr:row>0</xdr:row>
      <xdr:rowOff>156034</xdr:rowOff>
    </xdr:from>
    <xdr:to>
      <xdr:col>24</xdr:col>
      <xdr:colOff>256676</xdr:colOff>
      <xdr:row>34</xdr:row>
      <xdr:rowOff>92364</xdr:rowOff>
    </xdr:to>
    <xdr:graphicFrame macro="">
      <xdr:nvGraphicFramePr>
        <xdr:cNvPr id="3" name="Chart 2">
          <a:extLst>
            <a:ext uri="{FF2B5EF4-FFF2-40B4-BE49-F238E27FC236}">
              <a16:creationId xmlns:a16="http://schemas.microsoft.com/office/drawing/2014/main" id="{AC53490C-3696-44BF-BA80-FF3BF3A5E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140073</xdr:colOff>
      <xdr:row>0</xdr:row>
      <xdr:rowOff>168089</xdr:rowOff>
    </xdr:from>
    <xdr:to>
      <xdr:col>14</xdr:col>
      <xdr:colOff>133071</xdr:colOff>
      <xdr:row>34</xdr:row>
      <xdr:rowOff>80818</xdr:rowOff>
    </xdr:to>
    <xdr:graphicFrame macro="">
      <xdr:nvGraphicFramePr>
        <xdr:cNvPr id="6" name="Chart 5">
          <a:extLst>
            <a:ext uri="{FF2B5EF4-FFF2-40B4-BE49-F238E27FC236}">
              <a16:creationId xmlns:a16="http://schemas.microsoft.com/office/drawing/2014/main" id="{717FB36E-8766-4465-AD77-27846679D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513603</xdr:colOff>
      <xdr:row>0</xdr:row>
      <xdr:rowOff>156034</xdr:rowOff>
    </xdr:from>
    <xdr:to>
      <xdr:col>34</xdr:col>
      <xdr:colOff>49029</xdr:colOff>
      <xdr:row>34</xdr:row>
      <xdr:rowOff>92364</xdr:rowOff>
    </xdr:to>
    <xdr:graphicFrame macro="">
      <xdr:nvGraphicFramePr>
        <xdr:cNvPr id="7" name="Chart 6">
          <a:extLst>
            <a:ext uri="{FF2B5EF4-FFF2-40B4-BE49-F238E27FC236}">
              <a16:creationId xmlns:a16="http://schemas.microsoft.com/office/drawing/2014/main" id="{2E1367A8-6E33-4B61-88AB-E869B0616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554588</xdr:colOff>
      <xdr:row>124</xdr:row>
      <xdr:rowOff>52344</xdr:rowOff>
    </xdr:from>
    <xdr:to>
      <xdr:col>14</xdr:col>
      <xdr:colOff>461206</xdr:colOff>
      <xdr:row>151</xdr:row>
      <xdr:rowOff>150091</xdr:rowOff>
    </xdr:to>
    <xdr:graphicFrame macro="">
      <xdr:nvGraphicFramePr>
        <xdr:cNvPr id="18" name="Chart 17">
          <a:extLst>
            <a:ext uri="{FF2B5EF4-FFF2-40B4-BE49-F238E27FC236}">
              <a16:creationId xmlns:a16="http://schemas.microsoft.com/office/drawing/2014/main" id="{8F386495-FD68-4099-904E-9365ED9C8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319548</xdr:colOff>
      <xdr:row>36</xdr:row>
      <xdr:rowOff>105392</xdr:rowOff>
    </xdr:from>
    <xdr:to>
      <xdr:col>19</xdr:col>
      <xdr:colOff>671584</xdr:colOff>
      <xdr:row>62</xdr:row>
      <xdr:rowOff>137470</xdr:rowOff>
    </xdr:to>
    <xdr:graphicFrame macro="">
      <xdr:nvGraphicFramePr>
        <xdr:cNvPr id="24" name="Chart 23">
          <a:extLst>
            <a:ext uri="{FF2B5EF4-FFF2-40B4-BE49-F238E27FC236}">
              <a16:creationId xmlns:a16="http://schemas.microsoft.com/office/drawing/2014/main" id="{FF4ABF47-36B3-403B-8D2D-F8640D5DC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292687</xdr:colOff>
      <xdr:row>36</xdr:row>
      <xdr:rowOff>103060</xdr:rowOff>
    </xdr:from>
    <xdr:to>
      <xdr:col>12</xdr:col>
      <xdr:colOff>107871</xdr:colOff>
      <xdr:row>62</xdr:row>
      <xdr:rowOff>123612</xdr:rowOff>
    </xdr:to>
    <xdr:graphicFrame macro="">
      <xdr:nvGraphicFramePr>
        <xdr:cNvPr id="26" name="Chart 25">
          <a:extLst>
            <a:ext uri="{FF2B5EF4-FFF2-40B4-BE49-F238E27FC236}">
              <a16:creationId xmlns:a16="http://schemas.microsoft.com/office/drawing/2014/main" id="{752CC5ED-6074-4DF1-9001-ABFDB7C0F2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323454</xdr:colOff>
      <xdr:row>92</xdr:row>
      <xdr:rowOff>16547</xdr:rowOff>
    </xdr:from>
    <xdr:to>
      <xdr:col>19</xdr:col>
      <xdr:colOff>729005</xdr:colOff>
      <xdr:row>118</xdr:row>
      <xdr:rowOff>92364</xdr:rowOff>
    </xdr:to>
    <xdr:graphicFrame macro="">
      <xdr:nvGraphicFramePr>
        <xdr:cNvPr id="2" name="Chart 1">
          <a:extLst>
            <a:ext uri="{FF2B5EF4-FFF2-40B4-BE49-F238E27FC236}">
              <a16:creationId xmlns:a16="http://schemas.microsoft.com/office/drawing/2014/main" id="{BD8DC381-1FC1-4186-85A6-962EA80B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307274</xdr:colOff>
      <xdr:row>92</xdr:row>
      <xdr:rowOff>9083</xdr:rowOff>
    </xdr:from>
    <xdr:to>
      <xdr:col>12</xdr:col>
      <xdr:colOff>148366</xdr:colOff>
      <xdr:row>114</xdr:row>
      <xdr:rowOff>23091</xdr:rowOff>
    </xdr:to>
    <xdr:graphicFrame macro="">
      <xdr:nvGraphicFramePr>
        <xdr:cNvPr id="5" name="Chart 4">
          <a:extLst>
            <a:ext uri="{FF2B5EF4-FFF2-40B4-BE49-F238E27FC236}">
              <a16:creationId xmlns:a16="http://schemas.microsoft.com/office/drawing/2014/main" id="{79570ECF-C130-498A-BF3A-3EEE6C86B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854363</xdr:colOff>
      <xdr:row>36</xdr:row>
      <xdr:rowOff>92363</xdr:rowOff>
    </xdr:from>
    <xdr:to>
      <xdr:col>27</xdr:col>
      <xdr:colOff>228872</xdr:colOff>
      <xdr:row>62</xdr:row>
      <xdr:rowOff>127000</xdr:rowOff>
    </xdr:to>
    <xdr:graphicFrame macro="">
      <xdr:nvGraphicFramePr>
        <xdr:cNvPr id="8" name="Chart 7">
          <a:extLst>
            <a:ext uri="{FF2B5EF4-FFF2-40B4-BE49-F238E27FC236}">
              <a16:creationId xmlns:a16="http://schemas.microsoft.com/office/drawing/2014/main" id="{8560C1B3-AD1F-4502-AFCF-A5134BBDB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328083</xdr:colOff>
      <xdr:row>0</xdr:row>
      <xdr:rowOff>162598</xdr:rowOff>
    </xdr:from>
    <xdr:to>
      <xdr:col>43</xdr:col>
      <xdr:colOff>900676</xdr:colOff>
      <xdr:row>34</xdr:row>
      <xdr:rowOff>98928</xdr:rowOff>
    </xdr:to>
    <xdr:graphicFrame macro="">
      <xdr:nvGraphicFramePr>
        <xdr:cNvPr id="14" name="Chart 13">
          <a:extLst>
            <a:ext uri="{FF2B5EF4-FFF2-40B4-BE49-F238E27FC236}">
              <a16:creationId xmlns:a16="http://schemas.microsoft.com/office/drawing/2014/main" id="{117BA1CF-3EC6-4BF8-8DB2-005FA2453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44</xdr:col>
      <xdr:colOff>52917</xdr:colOff>
      <xdr:row>0</xdr:row>
      <xdr:rowOff>151053</xdr:rowOff>
    </xdr:from>
    <xdr:to>
      <xdr:col>53</xdr:col>
      <xdr:colOff>244510</xdr:colOff>
      <xdr:row>34</xdr:row>
      <xdr:rowOff>87383</xdr:rowOff>
    </xdr:to>
    <xdr:graphicFrame macro="">
      <xdr:nvGraphicFramePr>
        <xdr:cNvPr id="15" name="Chart 14">
          <a:extLst>
            <a:ext uri="{FF2B5EF4-FFF2-40B4-BE49-F238E27FC236}">
              <a16:creationId xmlns:a16="http://schemas.microsoft.com/office/drawing/2014/main" id="{55A5EB85-4AD4-41A1-91B9-2FAC328FE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319548</xdr:colOff>
      <xdr:row>64</xdr:row>
      <xdr:rowOff>122920</xdr:rowOff>
    </xdr:from>
    <xdr:to>
      <xdr:col>19</xdr:col>
      <xdr:colOff>710048</xdr:colOff>
      <xdr:row>90</xdr:row>
      <xdr:rowOff>0</xdr:rowOff>
    </xdr:to>
    <xdr:graphicFrame macro="">
      <xdr:nvGraphicFramePr>
        <xdr:cNvPr id="10" name="Chart 9">
          <a:extLst>
            <a:ext uri="{FF2B5EF4-FFF2-40B4-BE49-F238E27FC236}">
              <a16:creationId xmlns:a16="http://schemas.microsoft.com/office/drawing/2014/main" id="{799AEC98-A19D-42E4-8C75-DE9F91EEE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288317</xdr:colOff>
      <xdr:row>64</xdr:row>
      <xdr:rowOff>115457</xdr:rowOff>
    </xdr:from>
    <xdr:to>
      <xdr:col>12</xdr:col>
      <xdr:colOff>129409</xdr:colOff>
      <xdr:row>90</xdr:row>
      <xdr:rowOff>10289</xdr:rowOff>
    </xdr:to>
    <xdr:graphicFrame macro="">
      <xdr:nvGraphicFramePr>
        <xdr:cNvPr id="11" name="Chart 10">
          <a:extLst>
            <a:ext uri="{FF2B5EF4-FFF2-40B4-BE49-F238E27FC236}">
              <a16:creationId xmlns:a16="http://schemas.microsoft.com/office/drawing/2014/main" id="{2651A1B3-A7C6-44AA-8199-E184A017C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861618</xdr:colOff>
      <xdr:row>64</xdr:row>
      <xdr:rowOff>111920</xdr:rowOff>
    </xdr:from>
    <xdr:to>
      <xdr:col>27</xdr:col>
      <xdr:colOff>208421</xdr:colOff>
      <xdr:row>91</xdr:row>
      <xdr:rowOff>66086</xdr:rowOff>
    </xdr:to>
    <xdr:graphicFrame macro="">
      <xdr:nvGraphicFramePr>
        <xdr:cNvPr id="4" name="Chart 3">
          <a:extLst>
            <a:ext uri="{FF2B5EF4-FFF2-40B4-BE49-F238E27FC236}">
              <a16:creationId xmlns:a16="http://schemas.microsoft.com/office/drawing/2014/main" id="{FC2EBF37-3C6C-40FD-A1DD-52F965B34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346923</xdr:colOff>
      <xdr:row>36</xdr:row>
      <xdr:rowOff>107037</xdr:rowOff>
    </xdr:from>
    <xdr:to>
      <xdr:col>34</xdr:col>
      <xdr:colOff>755868</xdr:colOff>
      <xdr:row>62</xdr:row>
      <xdr:rowOff>127000</xdr:rowOff>
    </xdr:to>
    <xdr:graphicFrame macro="">
      <xdr:nvGraphicFramePr>
        <xdr:cNvPr id="12" name="Chart 11">
          <a:extLst>
            <a:ext uri="{FF2B5EF4-FFF2-40B4-BE49-F238E27FC236}">
              <a16:creationId xmlns:a16="http://schemas.microsoft.com/office/drawing/2014/main" id="{5902794E-B048-4B8C-A80D-92A17EF99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337983</xdr:colOff>
      <xdr:row>64</xdr:row>
      <xdr:rowOff>106144</xdr:rowOff>
    </xdr:from>
    <xdr:to>
      <xdr:col>34</xdr:col>
      <xdr:colOff>720492</xdr:colOff>
      <xdr:row>91</xdr:row>
      <xdr:rowOff>61580</xdr:rowOff>
    </xdr:to>
    <xdr:graphicFrame macro="">
      <xdr:nvGraphicFramePr>
        <xdr:cNvPr id="13" name="Chart 12">
          <a:extLst>
            <a:ext uri="{FF2B5EF4-FFF2-40B4-BE49-F238E27FC236}">
              <a16:creationId xmlns:a16="http://schemas.microsoft.com/office/drawing/2014/main" id="{726C247F-CE6F-4296-A578-3F2E0F0F0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854364</xdr:colOff>
      <xdr:row>91</xdr:row>
      <xdr:rowOff>161637</xdr:rowOff>
    </xdr:from>
    <xdr:to>
      <xdr:col>27</xdr:col>
      <xdr:colOff>197952</xdr:colOff>
      <xdr:row>127</xdr:row>
      <xdr:rowOff>115455</xdr:rowOff>
    </xdr:to>
    <xdr:graphicFrame macro="">
      <xdr:nvGraphicFramePr>
        <xdr:cNvPr id="17" name="Chart 16">
          <a:extLst>
            <a:ext uri="{FF2B5EF4-FFF2-40B4-BE49-F238E27FC236}">
              <a16:creationId xmlns:a16="http://schemas.microsoft.com/office/drawing/2014/main" id="{19CE9643-B28D-4211-B076-0A5C801A8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461818</xdr:colOff>
      <xdr:row>92</xdr:row>
      <xdr:rowOff>34636</xdr:rowOff>
    </xdr:from>
    <xdr:to>
      <xdr:col>34</xdr:col>
      <xdr:colOff>844498</xdr:colOff>
      <xdr:row>123</xdr:row>
      <xdr:rowOff>57728</xdr:rowOff>
    </xdr:to>
    <xdr:graphicFrame macro="">
      <xdr:nvGraphicFramePr>
        <xdr:cNvPr id="19" name="Chart 18">
          <a:extLst>
            <a:ext uri="{FF2B5EF4-FFF2-40B4-BE49-F238E27FC236}">
              <a16:creationId xmlns:a16="http://schemas.microsoft.com/office/drawing/2014/main" id="{2330C0F0-6E17-43D7-B88F-4554FF9D9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Carlos Henrique Vieira e Vieira" id="{AFE8373B-5C78-460F-8A31-A6A1B7EDFC9E}" userId="488964c0a0920ad6" providerId="Windows Live"/>
  <person displayName="Carlos Vieira e Vieira" id="{3A1CC615-B0CF-4B37-BBEE-03A5AA4DEF53}" userId="S::carlos.vieiraevieira@bayer.com::92e043dd-95e5-4514-a897-1d949db6e2c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11" dT="2024-10-11T00:22:33.55" personId="{AFE8373B-5C78-460F-8A31-A6A1B7EDFC9E}" id="{6E6CF9F3-A05F-4B4F-8A37-7BA80A920E32}">
    <text>Given your high level of education (PhDs) and your experience in the pharmaceutical industry, where both of you work for major companies (Bayer AG and Clinical Scientific Services), you're in fields that offer substantial salary growth potential, particularly because you have specialized roles that are highly valued in your industry. I'll walk through what you might expect in terms of salary increases, factoring in typical industry standards, your roles, and general market conditions.
### 1. **Factors Impacting Salary Growth**
Several factors will influence your salary trajectory over time, including:
- **Industry Growth:** The pharmaceutical sector tends to offer competitive salaries, especially in Germany, where healthcare and biotech are major industries.
- **Experience:** Early career salary growth is typically faster, especially in your fields, as both of you are still relatively early in your careers but with PhDs and key responsibilities.
- **Company and Positioning:** Working for large, reputable companies like Bayer means salaries can be on the higher end of the industry standard. However, switching companies often leads to the most significant salary bumps.
- **Willingness to Switch:** Both of you are open to switching companies, which could lead to a more substantial salary increase than staying at the same company.
---
### 2. **Salary Growth for Data Scientists/Computational Biologists (Your Role)**
In Germany, **data scientists and computational biologists** with PhDs working for large pharmaceutical companies generally earn salaries on the higher end due to the demand for expertise in machine learning, bioinformatics, and computational biology. The fact that you work at Bayer, a major player, also gives you leverage for future raises or when considering switching companies.
#### Current Salary Range (2024 Estimates):
- For someone with 2 years of experience in a non-junior but not senior role, **€65,000–€80,000 per year** is typical for a data scientist/computational biologist with a PhD in a large pharma company in Berlin.
- In a senior role (which you could be expected to reach in 3–5 years), salaries generally range from **€85,000–€110,000**, depending on the specific responsibilities and the company.
#### Expected Salary Growth:
- **Annual Increase (Staying in Current Role/Company):** In the pharmaceutical industry, you can expect salary increases of around **3–5% per year** if you stay in the same role and company. Larger jumps would be tied to promotions or exceptional performance.
- **Switching Companies:** If you switch to a similar or higher-level role in another company, you can expect a salary increase of **10–20%** on average. In high-demand roles like data science, salary jumps closer to **20–25%** are not uncommon when switching jobs.
**5-Year Projection (Staying and Switching):**
- If you stay at Bayer, and assuming a 4% annual raise, in 5 years, your salary might increase by about **22%**, potentially reaching **€79,300–€97,600**.
- If you switch companies within the next 1–2 years and get a 15% salary bump, you could immediately move to around **€74,750–€92,000**, and over 5 years, with subsequent raises, you could reach **€90,000–€110,000**.
---
### 3. **Salary Growth for Pharmacist and Team Lead (Your Partner’s Role)**
Your partner is a **pharmacist and team lead** with 3 years of experience, which means she is in a leadership role early in her career. This is a good position to leverage for further salary increases, especially since she works for Clinical Scientific Services and manages a team.
#### Current Salary Range (2024 Estimates):
- For a pharmacist with 3 years of experience leading a small team, the salary in Berlin for pharmaceutical professionals can range from **€70,000–€85,000 per year**, especially in leadership roles within large companies.
- For senior leadership positions or managing larger teams, salaries can go up to **€90,000–€120,000** or more.
#### Expected Salary Growth:
- **Annual Increase (Staying in Current Role/Company):** Team leaders in the pharmaceutical industry can expect annual increases of around **4–6%**, slightly higher than average due to the leadership responsibilities.
- **Switching Companies:** If your partner switches to a similar or higher-level role, she could see a salary increase of **15–25%**, particularly given the demand for leadership roles in pharma companies.
**5-Year Projection (Staying and Switching):**
- If she stays in her current company, with a 5% annual raise, she might see her salary grow by **27.6%** over 5 years, reaching **€89,320–€108,600**.
- If she switches companies and gets a 20% salary bump in the next couple of years, her salary could increase to **€84,000–€102,000**, with further raises over 5 years leading her salary into the **€100,000–€120,000** range.
---
### 4. **Salary Comparison: Staying vs. Switching**
Switching companies in both of your cases appears to offer a higher immediate salary boost, which could set a higher base for future salary growth. Here’s a simplified breakdown over 5 years:
- **You (Data Scientist/Computational Biologist):**
  - **Staying:** €79,300–€97,600
  - **Switching:** €90,000–€110,000
- **Your Partner (Pharmacist/Team Lead):**
  - **Staying:** €89,320–€108,600
  - **Switching:** €100,000–€120,000
---
### 5. **General Industry Trends**
Both of you are in **high-demand fields** within the pharmaceutical sector:
- **Data Science/Computational Biology:** The increasing reliance on AI, machine learning, and bioinformatics in drug discovery and personalized medicine is driving demand for your skills, which should continue to result in competitive salaries.
- **Pharmacy/Leadership Roles:** Leadership roles in pharmaceuticals, especially in areas like clinical research and regulatory affairs, remain critical, and demand is expected to stay high as the sector grows. Your partner’s management experience puts her in a good position to command higher salaries, particularly if she leads larger teams or projects.
---
### 6. **Conclusion: Salary Growth Expectations**
Both you and your partner are well-positioned for significant salary increases over the next 5 years. Here's a summary of what to expect:
- **Staying at Current Companies:** You could see **annual raises of 3–6%**, with potential for promotion-based increases.
- **Switching Companies:** Offers the potential for an immediate **15–25% raise**, making it a compelling option if you're aiming for more rapid salary growth.
Given the strong demand for your skills and leadership, exploring job switches within the next 1–2 years could maximize your earning potential, but even staying at your current companies would likely result in solid salary growth over time.
If you need more tailored projections or further insights on any of these factors, feel free to ask!</text>
  </threadedComment>
  <threadedComment ref="A12" dT="2024-10-11T00:22:33.55" personId="{AFE8373B-5C78-460F-8A31-A6A1B7EDFC9E}" id="{0733F3D2-5466-4BB3-8420-13B596492170}">
    <text>Given your high level of education (PhDs) and your experience in the pharmaceutical industry, where both of you work for major companies (Bayer AG and Clinical Scientific Services), you're in fields that offer substantial salary growth potential, particularly because you have specialized roles that are highly valued in your industry. I'll walk through what you might expect in terms of salary increases, factoring in typical industry standards, your roles, and general market conditions.
### 1. **Factors Impacting Salary Growth**
Several factors will influence your salary trajectory over time, including:
- **Industry Growth:** The pharmaceutical sector tends to offer competitive salaries, especially in Germany, where healthcare and biotech are major industries.
- **Experience:** Early career salary growth is typically faster, especially in your fields, as both of you are still relatively early in your careers but with PhDs and key responsibilities.
- **Company and Positioning:** Working for large, reputable companies like Bayer means salaries can be on the higher end of the industry standard. However, switching companies often leads to the most significant salary bumps.
- **Willingness to Switch:** Both of you are open to switching companies, which could lead to a more substantial salary increase than staying at the same company.
---
### 2. **Salary Growth for Data Scientists/Computational Biologists (Your Role)**
In Germany, **data scientists and computational biologists** with PhDs working for large pharmaceutical companies generally earn salaries on the higher end due to the demand for expertise in machine learning, bioinformatics, and computational biology. The fact that you work at Bayer, a major player, also gives you leverage for future raises or when considering switching companies.
#### Current Salary Range (2024 Estimates):
- For someone with 2 years of experience in a non-junior but not senior role, **€65,000–€80,000 per year** is typical for a data scientist/computational biologist with a PhD in a large pharma company in Berlin.
- In a senior role (which you could be expected to reach in 3–5 years), salaries generally range from **€85,000–€110,000**, depending on the specific responsibilities and the company.
#### Expected Salary Growth:
- **Annual Increase (Staying in Current Role/Company):** In the pharmaceutical industry, you can expect salary increases of around **3–5% per year** if you stay in the same role and company. Larger jumps would be tied to promotions or exceptional performance.
- **Switching Companies:** If you switch to a similar or higher-level role in another company, you can expect a salary increase of **10–20%** on average. In high-demand roles like data science, salary jumps closer to **20–25%** are not uncommon when switching jobs.
**5-Year Projection (Staying and Switching):**
- If you stay at Bayer, and assuming a 4% annual raise, in 5 years, your salary might increase by about **22%**, potentially reaching **€79,300–€97,600**.
- If you switch companies within the next 1–2 years and get a 15% salary bump, you could immediately move to around **€74,750–€92,000**, and over 5 years, with subsequent raises, you could reach **€90,000–€110,000**.
---
### 3. **Salary Growth for Pharmacist and Team Lead (Your Partner’s Role)**
Your partner is a **pharmacist and team lead** with 3 years of experience, which means she is in a leadership role early in her career. This is a good position to leverage for further salary increases, especially since she works for Clinical Scientific Services and manages a team.
#### Current Salary Range (2024 Estimates):
- For a pharmacist with 3 years of experience leading a small team, the salary in Berlin for pharmaceutical professionals can range from **€70,000–€85,000 per year**, especially in leadership roles within large companies.
- For senior leadership positions or managing larger teams, salaries can go up to **€90,000–€120,000** or more.
#### Expected Salary Growth:
- **Annual Increase (Staying in Current Role/Company):** Team leaders in the pharmaceutical industry can expect annual increases of around **4–6%**, slightly higher than average due to the leadership responsibilities.
- **Switching Companies:** If your partner switches to a similar or higher-level role, she could see a salary increase of **15–25%**, particularly given the demand for leadership roles in pharma companies.
**5-Year Projection (Staying and Switching):**
- If she stays in her current company, with a 5% annual raise, she might see her salary grow by **27.6%** over 5 years, reaching **€89,320–€108,600**.
- If she switches companies and gets a 20% salary bump in the next couple of years, her salary could increase to **€84,000–€102,000**, with further raises over 5 years leading her salary into the **€100,000–€120,000** range.
---
### 4. **Salary Comparison: Staying vs. Switching**
Switching companies in both of your cases appears to offer a higher immediate salary boost, which could set a higher base for future salary growth. Here’s a simplified breakdown over 5 years:
- **You (Data Scientist/Computational Biologist):**
  - **Staying:** €79,300–€97,600
  - **Switching:** €90,000–€110,000
- **Your Partner (Pharmacist/Team Lead):**
  - **Staying:** €89,320–€108,600
  - **Switching:** €100,000–€120,000
---
### 5. **General Industry Trends**
Both of you are in **high-demand fields** within the pharmaceutical sector:
- **Data Science/Computational Biology:** The increasing reliance on AI, machine learning, and bioinformatics in drug discovery and personalized medicine is driving demand for your skills, which should continue to result in competitive salaries.
- **Pharmacy/Leadership Roles:** Leadership roles in pharmaceuticals, especially in areas like clinical research and regulatory affairs, remain critical, and demand is expected to stay high as the sector grows. Your partner’s management experience puts her in a good position to command higher salaries, particularly if she leads larger teams or projects.
---
### 6. **Conclusion: Salary Growth Expectations**
Both you and your partner are well-positioned for significant salary increases over the next 5 years. Here's a summary of what to expect:
- **Staying at Current Companies:** You could see **annual raises of 3–6%**, with potential for promotion-based increases.
- **Switching Companies:** Offers the potential for an immediate **15–25% raise**, making it a compelling option if you're aiming for more rapid salary growth.
Given the strong demand for your skills and leadership, exploring job switches within the next 1–2 years could maximize your earning potential, but even staying at your current companies would likely result in solid salary growth over time.
If you need more tailored projections or further insights on any of these factors, feel free to ask!</text>
  </threadedComment>
  <threadedComment ref="A19" dT="2024-10-06T16:24:03.94" personId="{AFE8373B-5C78-460F-8A31-A6A1B7EDFC9E}" id="{58605614-32BD-425C-ACC3-F4112ECA43E9}">
    <text>In Germany, investment gains are generally subject to the capital gains tax, which is part of the Abgeltungsteuer (final withholding tax). Here’s how the taxation on investment gains works:
1. Flat Capital Gains Tax Rate: 25%
Capital gains from investments such as stocks, bonds, mutual funds, and other financial assets are taxed at a flat rate of 25%.
2. Solidarity Surcharge (Solidaritätszuschlag)
On top of the 25% flat tax, there is an additional solidarity surcharge of 5.5% on the tax amount.
This means the effective total tax rate increases slightly, bringing the combined rate to approximately 26.375%.</text>
  </threadedComment>
  <threadedComment ref="A31" dT="2024-10-06T16:20:12.88" personId="{AFE8373B-5C78-460F-8A31-A6A1B7EDFC9E}" id="{28595F48-576A-4D67-BDB8-974338E3FCEC}">
    <text>Costs Incurred When Selling Property in Berlin
Real Estate Agent Fees:Typically range from 3% to 7% of the sale price. For a €1,000,000 property, this could amount to €30,000 to €70,000.
Notary Fees:Notary fees for the sale contract usually range from 1% to 1.5% of the sale price. Expect to pay about €10,000 to €15,000.
Property Transfer Tax (Grunderwerbsteuer):This tax is generally around 6% to 7% of the sale price in Berlin. For your flat, this would be approximately €60,000 to €70,000.
Miscellaneous Costs:Additional costs may include property valuation fees (if applicable), marketing costs, and administrative expenses. These can vary widely but might add another €5,000 to €15,000.</text>
  </threadedComment>
  <threadedComment ref="A39" dT="2024-10-25T22:38:10.68" personId="{3A1CC615-B0CF-4B37-BBEE-03A5AA4DEF53}" id="{2F5B275B-F8C2-4D89-9213-139A88DE4D55}">
    <text xml:space="preserve">First Child (Current Prices):
Birth to Age 3 (36 months):
Monthly costs: €250–€300
Total for 3 years: €9,000–€10,800
One-time costs (net after reselling): €250–€500
Ages 4 to 10 (7 years):
Monthly costs: €350–€500
Total for 7 years: €29,400–€42,000
Ages 11 to 18 (8 years):
Monthly costs: €500–€700
Total for 8 years: €48,000–€67,200
Total for First Child (Birth to 18): €86,650–€120,500
Second Child (2 Years Later):
The second child will follow a similar cost pattern but with a slight delay.
Birth to Age 3 (36 months):
Total for 3 years: €9,000–€10,800
One-time costs (minimal due to reused items): €150–€300 after resale.
Ages 4 to 10:
Total for 7 years: €29,400–€42,000
Ages 11 to 18:
Total for 8 years: €48,000–€67,200
Total for Second Child (Birth to 18): €86,550–€120,300
Combined Cost for Two Children (Over 18 Years):
Total for both children combined: €173,200–€240,800
This projection includes an average lifestyle for a family of four in Berlin, with public childcare and schooling, used baby equipment, extracurriculars, moderate clothing costs, and higher vacation costs.
These estimates will vary based on individual choices and inflation, but this should give you a reasonable sense of the financial commitment. Feel free to ask if you need more details on any specific areas!
</text>
  </threadedComment>
  <threadedComment ref="A72" dT="2024-10-06T16:34:00.87" personId="{AFE8373B-5C78-460F-8A31-A6A1B7EDFC9E}" id="{1D316E05-27D0-4768-9B16-422ED79B87AD}">
    <text>Use hypofriend.de to estimate this value</text>
  </threadedComment>
  <threadedComment ref="A75" dT="2024-10-17T07:57:21.96" personId="{3A1CC615-B0CF-4B37-BBEE-03A5AA4DEF53}" id="{D2ADDCB3-4AA6-4431-9CEB-10B456925AD4}">
    <text>According to https://guthmann.estate/en/market-report/berlin/, the real estate market for new buildings in Berlin grew by 8.5%/year in the past 10 years</text>
    <extLst>
      <x:ext xmlns:xltc2="http://schemas.microsoft.com/office/spreadsheetml/2020/threadedcomments2" uri="{F7C98A9C-CBB3-438F-8F68-D28B6AF4A901}">
        <xltc2:checksum>2911033058</xltc2:checksum>
        <xltc2:hyperlink startIndex="13" length="48" url="https://guthmann.estate/en/market-report/berlin/"/>
      </x:ext>
    </extLst>
  </threadedComment>
  <threadedComment ref="A79" dT="2024-10-06T16:22:18.61" personId="{AFE8373B-5C78-460F-8A31-A6A1B7EDFC9E}" id="{17425E1A-B4F6-43E3-A8EB-9BDC57F74447}">
    <text>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ext>
  </threadedComment>
  <threadedComment ref="A80" dT="2024-10-30T07:41:57.20" personId="{3A1CC615-B0CF-4B37-BBEE-03A5AA4DEF53}" id="{74016CA3-EF7E-4309-980F-02AD0BA9C718}">
    <text xml:space="preserve">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
Understanding Hausgeld and Tax Deductions
Hausgeld Deductibility:
As a property owner, you can deduct the entire amount of Hausgeld you pay from your rental income when calculating your taxable income. This applies regardless of whether you pass on a portion of that Hausgeld to your tenants.
This means that even if you charge your tenants for some of the Hausgeld as part of the Nebenkosten, you can still deduct the full amount of Hausgeld you paid from your rental income when filing your taxes.
Example:
Let's say your total Hausgeld for the year is €2,400. You charge your tenants €1,200 as part of the Nebenkosten.
When you report your rental income, you will report the total rental income received (e.g., €10,000 from rent) and then deduct the full €2,400 Hausgeld as an expense.
Your taxable rental income would be calculated as follows:
Rental Income: €10,000
Less: Hausgeld: €2,400
Taxable Income: €10,000 - €2,400 = €7,600
Tax Implications:
This approach allows you to reduce your taxable income, which can lower your overall tax liability.
The portion of Hausgeld that you pass on to tenants does not affect your ability to deduct the full amount you paid. You are essentially getting a deduction for costs incurred, even if those costs are later recouped through tenant charges.
</text>
  </threadedComment>
  <threadedComment ref="A90" dT="2024-10-17T08:54:12.59" personId="{3A1CC615-B0CF-4B37-BBEE-03A5AA4DEF53}" id="{D3C65016-3FC4-4244-95F2-7A65069A50B6}">
    <text>According to https://guthmann.estate/en/market-report/berlin/, the real estate market for new buildings in Berlin grew by 5.5%/year in the past 5 years</text>
    <extLst>
      <x:ext xmlns:xltc2="http://schemas.microsoft.com/office/spreadsheetml/2020/threadedcomments2" uri="{F7C98A9C-CBB3-438F-8F68-D28B6AF4A901}">
        <xltc2:checksum>884836241</xltc2:checksum>
        <xltc2:hyperlink startIndex="13" length="48" url="https://guthmann.estate/en/market-report/berlin/"/>
      </x:ext>
    </extLst>
  </threadedComment>
  <threadedComment ref="A102" dT="2024-10-06T16:34:00.87" personId="{AFE8373B-5C78-460F-8A31-A6A1B7EDFC9E}" id="{B8E21F8F-2587-4648-8C5D-04092648D454}">
    <text>Use hypofriend.de to estimate this value</text>
  </threadedComment>
  <threadedComment ref="A114" dT="2024-10-17T08:54:39.99" personId="{3A1CC615-B0CF-4B37-BBEE-03A5AA4DEF53}" id="{B73DF428-E57F-4CD8-89A8-2E8DB43EE520}">
    <text>According to https://guthmann.estate/en/market-report/berlin/, the real estate market for new buildings in Berlin grew by 5.5%/year in the past 5 years</text>
    <extLst>
      <x:ext xmlns:xltc2="http://schemas.microsoft.com/office/spreadsheetml/2020/threadedcomments2" uri="{F7C98A9C-CBB3-438F-8F68-D28B6AF4A901}">
        <xltc2:checksum>884836241</xltc2:checksum>
        <xltc2:hyperlink startIndex="13" length="48" url="https://guthmann.estate/en/market-report/berlin/"/>
      </x:ext>
    </extLst>
  </threadedComment>
  <threadedComment ref="A119" dT="2024-10-06T16:22:18.61" personId="{AFE8373B-5C78-460F-8A31-A6A1B7EDFC9E}" id="{7E4EBE28-B0A0-4BBC-8DCE-540E48ADDCEF}">
    <text>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ext>
  </threadedComment>
  <threadedComment ref="A120" dT="2024-10-30T07:41:57.20" personId="{3A1CC615-B0CF-4B37-BBEE-03A5AA4DEF53}" id="{C0E01FA0-6430-4D8E-9AF7-D76983993174}">
    <text>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text>
  </threadedComment>
  <threadedComment ref="A136" dT="2024-10-06T16:34:00.87" personId="{AFE8373B-5C78-460F-8A31-A6A1B7EDFC9E}" id="{B405C4A2-8AE7-42E5-9DC5-3D51F56DA053}">
    <text>Use hypofriend.de to estimate this value</text>
  </threadedComment>
  <threadedComment ref="A139" dT="2024-10-17T07:57:21.96" personId="{3A1CC615-B0CF-4B37-BBEE-03A5AA4DEF53}" id="{6BC5B661-544A-473B-ACBE-C08FFD1A3A62}">
    <text>According to https://guthmann.estate/en/market-report/berlin/, the real estate market for new buildings in Berlin grew by 8.5%/year in the past 10 years</text>
    <extLst>
      <x:ext xmlns:xltc2="http://schemas.microsoft.com/office/spreadsheetml/2020/threadedcomments2" uri="{F7C98A9C-CBB3-438F-8F68-D28B6AF4A901}">
        <xltc2:checksum>2911033058</xltc2:checksum>
        <xltc2:hyperlink startIndex="13" length="48" url="https://guthmann.estate/en/market-report/berlin/"/>
      </x:ext>
    </extLst>
  </threadedComment>
  <threadedComment ref="A143" dT="2024-10-06T16:22:18.61" personId="{AFE8373B-5C78-460F-8A31-A6A1B7EDFC9E}" id="{9D68BF09-5EC2-4261-93DD-E43C9B93A9AF}">
    <text>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ext>
  </threadedComment>
  <threadedComment ref="A144" dT="2024-10-30T07:47:34.66" personId="{3A1CC615-B0CF-4B37-BBEE-03A5AA4DEF53}" id="{20A83584-1EF1-42D9-A78F-B720A8F8AAF1}">
    <text>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text>
  </threadedComment>
  <threadedComment ref="A160" dT="2024-10-06T16:34:00.87" personId="{AFE8373B-5C78-460F-8A31-A6A1B7EDFC9E}" id="{E635CC45-97C2-4C3D-A5EC-95B89E5AF198}">
    <text>Use hypofriend.de to estimate this value</text>
  </threadedComment>
  <threadedComment ref="A174" dT="2024-10-17T08:54:39.99" personId="{3A1CC615-B0CF-4B37-BBEE-03A5AA4DEF53}" id="{C1D0827D-272E-4992-BF26-29AAC2A7CAF2}">
    <text>According to https://guthmann.estate/en/market-report/berlin/, the real estate market for new buildings in Berlin grew by 5.5%/year in the past 5 years</text>
    <extLst>
      <x:ext xmlns:xltc2="http://schemas.microsoft.com/office/spreadsheetml/2020/threadedcomments2" uri="{F7C98A9C-CBB3-438F-8F68-D28B6AF4A901}">
        <xltc2:checksum>884836241</xltc2:checksum>
        <xltc2:hyperlink startIndex="13" length="48" url="https://guthmann.estate/en/market-report/berlin/"/>
      </x:ext>
    </extLst>
  </threadedComment>
  <threadedComment ref="A179" dT="2024-10-06T16:22:18.61" personId="{AFE8373B-5C78-460F-8A31-A6A1B7EDFC9E}" id="{67549C82-ABA5-4BE7-B025-E020C0F19360}">
    <text>1% Rule (Basic Estimate)
This rule suggests that you should budget 1% of the home's purchase price annually for maintenance and repairs.
4% Rule (For Older Homes)
Older homes (10-15 years or more) typically require more frequent and expensive repairs, such as roof replacements, plumbing updates, or HVAC system repairs.
The 4% rule suggests that for homes that are over 15 years old or in a high-maintenance area, you may need to budget up to 4% of the home's value each year.</text>
  </threadedComment>
  <threadedComment ref="A180" dT="2024-10-30T07:41:57.20" personId="{3A1CC615-B0CF-4B37-BBEE-03A5AA4DEF53}" id="{F941704A-2C47-4E68-B3D3-0AA4F2747DCE}">
    <text xml:space="preserve">What is Hausgeld?
Components of Hausgeld: Hausgeld typically covers several common expenses, including:
Maintenance Costs: Regular upkeep of the property, such as cleaning, landscaping, and repairs.
Utilities: Costs for water, heating, and sometimes electricity for common areas.
Insurance: Building insurance (e.g., fire insurance) that covers the entire property.
Reserve Fund Contributions: Contributions to a maintenance reserve fund for larger repairs and renovations in the future (e.g., roof repairs, facade work).
Management Fees: Fees paid to property management companies that oversee the day-to-day operations of the building.
Monthly Payment: The amount of Hausgeld can vary significantly based on the size of the property, the services provided, and the specific building. It is typically paid monthly and can be adjusted annually based on the actual expenses incurred.
Tax Implications of Hausgeld
Deductibility:
For investment properties (rental properties), Hausgeld is generally tax-deductible as an expense. This means you can deduct Hausgeld payments from your rental income when calculating your taxable income.
For primary residences, Hausgeld is not deductible from income taxes, as it is considered a personal living expense.
Impact on Rental Income:
If you rent out a property, the Hausgeld you pay can reduce your taxable rental income. For example, if you earn €10,000 in rental income and pay €2,000 in Hausgeld, your taxable income would be reduced to €8,000.
Expected Growth of Hausgeld
Inflation and Cost Increases:
Hausgeld is likely to increase over time due to inflation and rising maintenance costs. You can expect an annual increase ranging from 2% to 5%, depending on the local market conditions and specific property management practices.
Regular assessments and maintenance of the property can also lead to fluctuations in Hausgeld, especially if significant repairs or upgrades are needed.
Market Trends:
In urban areas like Berlin, where property values and demand are rising, Hausgeld may increase more rapidly as property management companies adjust fees to meet higher costs.
Passing on Hausgeld to Rent
Rent Adjustments:
As a landlord, you can pass on certain costs to your tenants, including a portion of the Hausgeld. This is typically done through the rental agreement.
The specific parts of Hausgeld that can be passed on depend on the lease agreement and local rental laws. Generally, costs that are directly related to the maintenance and operation of the property can be included.
Operating Costs:
You can pass on operating costs (e.g., water, heating) as part of the "Nebenkosten" (additional costs) to tenants. This is usually outlined in the rental contract and must comply with local regulations.
Transparency:
It’s important to be transparent with tenants about what is included in the rent and what additional costs they may incur. Providing a detailed breakdown of Hausgeld and its components can help avoid misunderstandings.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1F8A8-4E68-4854-940C-ED95B3AF2225}">
  <dimension ref="A1:AG199"/>
  <sheetViews>
    <sheetView topLeftCell="U61" zoomScale="60" zoomScaleNormal="60" workbookViewId="0">
      <selection activeCell="D124" sqref="D124"/>
    </sheetView>
  </sheetViews>
  <sheetFormatPr defaultColWidth="8.90625" defaultRowHeight="14" x14ac:dyDescent="0.3"/>
  <cols>
    <col min="1" max="1" width="62.26953125" style="9" bestFit="1" customWidth="1"/>
    <col min="2" max="2" width="13.6328125" style="9" bestFit="1" customWidth="1"/>
    <col min="3" max="3" width="14.1796875" style="9" bestFit="1" customWidth="1"/>
    <col min="4" max="4" width="13.6328125" style="9" bestFit="1" customWidth="1"/>
    <col min="5" max="11" width="13.81640625" style="9" bestFit="1" customWidth="1"/>
    <col min="12" max="47" width="14.81640625" style="9" bestFit="1" customWidth="1"/>
    <col min="48" max="53" width="15.81640625" style="9" bestFit="1" customWidth="1"/>
    <col min="54" max="16384" width="8.90625" style="9"/>
  </cols>
  <sheetData>
    <row r="1" spans="1:4" x14ac:dyDescent="0.3">
      <c r="A1" s="71" t="s">
        <v>145</v>
      </c>
      <c r="B1" s="72"/>
      <c r="C1" s="72"/>
      <c r="D1" s="72"/>
    </row>
    <row r="2" spans="1:4" x14ac:dyDescent="0.3">
      <c r="A2" s="10" t="s">
        <v>54</v>
      </c>
      <c r="B2" s="10"/>
      <c r="C2" s="11">
        <f>(4000+3800)</f>
        <v>7800</v>
      </c>
      <c r="D2" s="11"/>
    </row>
    <row r="3" spans="1:4" x14ac:dyDescent="0.3">
      <c r="A3" s="10" t="s">
        <v>55</v>
      </c>
      <c r="B3" s="10"/>
      <c r="C3" s="11">
        <f>-4000</f>
        <v>-4000</v>
      </c>
      <c r="D3" s="11"/>
    </row>
    <row r="4" spans="1:4" x14ac:dyDescent="0.3">
      <c r="A4" s="10" t="s">
        <v>50</v>
      </c>
      <c r="B4" s="10"/>
      <c r="C4" s="60">
        <v>0</v>
      </c>
      <c r="D4" s="12"/>
    </row>
    <row r="5" spans="1:4" x14ac:dyDescent="0.3">
      <c r="A5" s="10" t="s">
        <v>51</v>
      </c>
      <c r="B5" s="10"/>
      <c r="C5" s="11">
        <f>C4*12*C2</f>
        <v>0</v>
      </c>
      <c r="D5" s="11"/>
    </row>
    <row r="6" spans="1:4" x14ac:dyDescent="0.3">
      <c r="A6" s="13" t="s">
        <v>0</v>
      </c>
      <c r="B6" s="13"/>
      <c r="C6" s="11">
        <v>50000</v>
      </c>
      <c r="D6" s="11"/>
    </row>
    <row r="7" spans="1:4" x14ac:dyDescent="0.3">
      <c r="A7" s="13" t="s">
        <v>46</v>
      </c>
      <c r="B7" s="13"/>
      <c r="C7" s="11">
        <f>-6*C3</f>
        <v>24000</v>
      </c>
      <c r="D7" s="11"/>
    </row>
    <row r="8" spans="1:4" x14ac:dyDescent="0.3">
      <c r="A8" s="10" t="s">
        <v>3</v>
      </c>
      <c r="B8" s="12"/>
      <c r="C8" s="60">
        <v>0.02</v>
      </c>
      <c r="D8" s="12"/>
    </row>
    <row r="9" spans="1:4" x14ac:dyDescent="0.3">
      <c r="A9" s="10" t="s">
        <v>98</v>
      </c>
      <c r="B9" s="12"/>
      <c r="C9" s="60">
        <v>0.08</v>
      </c>
      <c r="D9" s="12"/>
    </row>
    <row r="10" spans="1:4" x14ac:dyDescent="0.3">
      <c r="A10" s="10"/>
      <c r="B10" s="12"/>
      <c r="C10" s="12"/>
      <c r="D10" s="12"/>
    </row>
    <row r="11" spans="1:4" x14ac:dyDescent="0.3">
      <c r="A11" s="10" t="s">
        <v>71</v>
      </c>
      <c r="B11" s="12"/>
      <c r="C11" s="60">
        <v>4.4999999999999998E-2</v>
      </c>
      <c r="D11" s="12"/>
    </row>
    <row r="12" spans="1:4" x14ac:dyDescent="0.3">
      <c r="A12" s="10" t="s">
        <v>70</v>
      </c>
      <c r="B12" s="10"/>
      <c r="C12" s="60">
        <v>0.02</v>
      </c>
      <c r="D12" s="12"/>
    </row>
    <row r="13" spans="1:4" x14ac:dyDescent="0.3">
      <c r="A13" s="10" t="s">
        <v>29</v>
      </c>
      <c r="B13" s="10"/>
      <c r="C13" s="14">
        <v>2060</v>
      </c>
      <c r="D13" s="14"/>
    </row>
    <row r="14" spans="1:4" x14ac:dyDescent="0.3">
      <c r="A14" s="10" t="s">
        <v>30</v>
      </c>
      <c r="B14" s="10"/>
      <c r="C14" s="60">
        <v>0.5</v>
      </c>
      <c r="D14" s="12"/>
    </row>
    <row r="15" spans="1:4" x14ac:dyDescent="0.3">
      <c r="A15" s="10"/>
      <c r="B15" s="10"/>
      <c r="C15" s="12"/>
      <c r="D15" s="12"/>
    </row>
    <row r="16" spans="1:4" x14ac:dyDescent="0.3">
      <c r="A16" s="10" t="s">
        <v>34</v>
      </c>
      <c r="B16" s="60">
        <f>C16*0.8</f>
        <v>8.0000000000000016E-2</v>
      </c>
      <c r="C16" s="60">
        <v>0.1</v>
      </c>
      <c r="D16" s="60">
        <f>C16*1.2</f>
        <v>0.12</v>
      </c>
    </row>
    <row r="17" spans="1:4" x14ac:dyDescent="0.3">
      <c r="A17" s="10" t="s">
        <v>33</v>
      </c>
      <c r="B17" s="10"/>
      <c r="C17" s="60">
        <v>0.04</v>
      </c>
      <c r="D17" s="12"/>
    </row>
    <row r="18" spans="1:4" x14ac:dyDescent="0.3">
      <c r="A18" s="10"/>
      <c r="B18" s="10"/>
      <c r="C18" s="12"/>
      <c r="D18" s="12"/>
    </row>
    <row r="19" spans="1:4" x14ac:dyDescent="0.3">
      <c r="A19" s="10" t="s">
        <v>84</v>
      </c>
      <c r="B19" s="10"/>
      <c r="C19" s="60">
        <f>0.25*(1+C20+C21)</f>
        <v>0.26374999999999998</v>
      </c>
      <c r="D19" s="12"/>
    </row>
    <row r="20" spans="1:4" x14ac:dyDescent="0.3">
      <c r="A20" s="10" t="s">
        <v>82</v>
      </c>
      <c r="B20" s="10"/>
      <c r="C20" s="60">
        <v>5.5E-2</v>
      </c>
      <c r="D20" s="12"/>
    </row>
    <row r="21" spans="1:4" x14ac:dyDescent="0.3">
      <c r="A21" s="10" t="s">
        <v>83</v>
      </c>
      <c r="B21" s="10"/>
      <c r="C21" s="60">
        <v>0</v>
      </c>
      <c r="D21" s="12"/>
    </row>
    <row r="22" spans="1:4" x14ac:dyDescent="0.3">
      <c r="A22" s="10"/>
      <c r="B22" s="10"/>
      <c r="C22" s="12"/>
      <c r="D22" s="12"/>
    </row>
    <row r="23" spans="1:4" x14ac:dyDescent="0.3">
      <c r="A23" s="10" t="s">
        <v>134</v>
      </c>
      <c r="B23" s="10"/>
      <c r="C23" s="60">
        <v>3.5700000000000003E-2</v>
      </c>
      <c r="D23" s="12"/>
    </row>
    <row r="24" spans="1:4" x14ac:dyDescent="0.3">
      <c r="A24" s="10" t="s">
        <v>135</v>
      </c>
      <c r="B24" s="10"/>
      <c r="C24" s="60">
        <v>0.02</v>
      </c>
      <c r="D24" s="11"/>
    </row>
    <row r="25" spans="1:4" x14ac:dyDescent="0.3">
      <c r="A25" s="10" t="s">
        <v>158</v>
      </c>
      <c r="B25" s="10"/>
      <c r="C25" s="60">
        <v>0.06</v>
      </c>
      <c r="D25" s="12"/>
    </row>
    <row r="26" spans="1:4" x14ac:dyDescent="0.3">
      <c r="A26" s="10"/>
      <c r="B26" s="10"/>
      <c r="C26" s="12"/>
      <c r="D26" s="12"/>
    </row>
    <row r="27" spans="1:4" x14ac:dyDescent="0.3">
      <c r="A27" s="10"/>
      <c r="B27" s="10"/>
      <c r="C27" s="11"/>
      <c r="D27" s="11"/>
    </row>
    <row r="28" spans="1:4" x14ac:dyDescent="0.3">
      <c r="A28" s="10" t="s">
        <v>89</v>
      </c>
      <c r="B28" s="12"/>
      <c r="C28" s="60">
        <f>0.42*(1+C29+C30)</f>
        <v>0.44309999999999994</v>
      </c>
      <c r="D28" s="12"/>
    </row>
    <row r="29" spans="1:4" x14ac:dyDescent="0.3">
      <c r="A29" s="10" t="s">
        <v>82</v>
      </c>
      <c r="B29" s="12"/>
      <c r="C29" s="60">
        <v>5.5E-2</v>
      </c>
      <c r="D29" s="12"/>
    </row>
    <row r="30" spans="1:4" x14ac:dyDescent="0.3">
      <c r="A30" s="10" t="s">
        <v>83</v>
      </c>
      <c r="B30" s="11"/>
      <c r="C30" s="60">
        <v>0</v>
      </c>
      <c r="D30" s="11"/>
    </row>
    <row r="31" spans="1:4" x14ac:dyDescent="0.3">
      <c r="A31" s="10" t="s">
        <v>11</v>
      </c>
      <c r="B31" s="10"/>
      <c r="C31" s="60">
        <v>0.1275</v>
      </c>
      <c r="D31" s="12"/>
    </row>
    <row r="32" spans="1:4" x14ac:dyDescent="0.3">
      <c r="A32" s="10"/>
      <c r="B32" s="10"/>
      <c r="C32" s="12"/>
      <c r="D32" s="12"/>
    </row>
    <row r="33" spans="1:4" x14ac:dyDescent="0.3">
      <c r="A33" s="71" t="s">
        <v>63</v>
      </c>
      <c r="B33" s="72"/>
      <c r="C33" s="72"/>
      <c r="D33" s="72"/>
    </row>
    <row r="34" spans="1:4" x14ac:dyDescent="0.3">
      <c r="A34" s="10" t="s">
        <v>62</v>
      </c>
      <c r="B34" s="10"/>
      <c r="C34" s="11">
        <v>50000</v>
      </c>
      <c r="D34" s="12"/>
    </row>
    <row r="35" spans="1:4" x14ac:dyDescent="0.3">
      <c r="A35" s="10" t="s">
        <v>86</v>
      </c>
      <c r="B35" s="10"/>
      <c r="C35" s="14">
        <v>2045</v>
      </c>
      <c r="D35" s="12"/>
    </row>
    <row r="36" spans="1:4" x14ac:dyDescent="0.3">
      <c r="A36" s="10" t="s">
        <v>64</v>
      </c>
      <c r="B36" s="10"/>
      <c r="C36" s="11">
        <v>0</v>
      </c>
      <c r="D36" s="12"/>
    </row>
    <row r="37" spans="1:4" x14ac:dyDescent="0.3">
      <c r="A37" s="10" t="s">
        <v>85</v>
      </c>
      <c r="B37" s="10"/>
      <c r="C37" s="14">
        <v>2100</v>
      </c>
      <c r="D37" s="12"/>
    </row>
    <row r="38" spans="1:4" x14ac:dyDescent="0.3">
      <c r="A38" s="10"/>
      <c r="B38" s="10"/>
      <c r="C38" s="11"/>
      <c r="D38" s="11"/>
    </row>
    <row r="39" spans="1:4" x14ac:dyDescent="0.3">
      <c r="A39" s="71" t="s">
        <v>129</v>
      </c>
      <c r="B39" s="72"/>
      <c r="C39" s="72"/>
      <c r="D39" s="72"/>
    </row>
    <row r="40" spans="1:4" x14ac:dyDescent="0.3">
      <c r="A40" s="10" t="s">
        <v>130</v>
      </c>
      <c r="B40" s="10"/>
      <c r="C40" s="11">
        <f>-(10000/3+350/3)</f>
        <v>-3450</v>
      </c>
      <c r="D40" s="11"/>
    </row>
    <row r="41" spans="1:4" x14ac:dyDescent="0.3">
      <c r="A41" s="10" t="s">
        <v>131</v>
      </c>
      <c r="B41" s="10"/>
      <c r="C41" s="11">
        <f>-(35000/7)</f>
        <v>-5000</v>
      </c>
      <c r="D41" s="11"/>
    </row>
    <row r="42" spans="1:4" x14ac:dyDescent="0.3">
      <c r="A42" s="10" t="s">
        <v>132</v>
      </c>
      <c r="B42" s="10"/>
      <c r="C42" s="11">
        <f>-(55000/8)</f>
        <v>-6875</v>
      </c>
      <c r="D42" s="11"/>
    </row>
    <row r="43" spans="1:4" x14ac:dyDescent="0.3">
      <c r="A43" s="10" t="s">
        <v>133</v>
      </c>
      <c r="B43" s="10"/>
      <c r="C43" s="11">
        <f>-750*12</f>
        <v>-9000</v>
      </c>
      <c r="D43" s="11"/>
    </row>
    <row r="44" spans="1:4" x14ac:dyDescent="0.3">
      <c r="A44" s="10" t="s">
        <v>144</v>
      </c>
      <c r="B44" s="10"/>
      <c r="C44" s="11">
        <v>2400</v>
      </c>
      <c r="D44" s="11"/>
    </row>
    <row r="45" spans="1:4" x14ac:dyDescent="0.3">
      <c r="A45" s="10"/>
      <c r="B45" s="10"/>
      <c r="C45" s="14"/>
      <c r="D45" s="11"/>
    </row>
    <row r="46" spans="1:4" x14ac:dyDescent="0.3">
      <c r="A46" s="68" t="s">
        <v>123</v>
      </c>
      <c r="B46" s="68"/>
      <c r="C46" s="68"/>
      <c r="D46" s="68"/>
    </row>
    <row r="47" spans="1:4" x14ac:dyDescent="0.3">
      <c r="A47" s="10" t="s">
        <v>56</v>
      </c>
      <c r="B47" s="10"/>
      <c r="C47" s="14">
        <v>2025</v>
      </c>
      <c r="D47" s="11"/>
    </row>
    <row r="48" spans="1:4" x14ac:dyDescent="0.3">
      <c r="A48" s="10" t="s">
        <v>58</v>
      </c>
      <c r="B48" s="10"/>
      <c r="C48" s="60">
        <v>0.5</v>
      </c>
      <c r="D48" s="11"/>
    </row>
    <row r="49" spans="1:4" x14ac:dyDescent="0.3">
      <c r="A49" s="10" t="s">
        <v>59</v>
      </c>
      <c r="B49" s="10"/>
      <c r="C49" s="60">
        <v>0.5</v>
      </c>
      <c r="D49" s="11"/>
    </row>
    <row r="50" spans="1:4" x14ac:dyDescent="0.3">
      <c r="A50" s="10"/>
      <c r="B50" s="10"/>
      <c r="C50" s="11"/>
      <c r="D50" s="11"/>
    </row>
    <row r="51" spans="1:4" x14ac:dyDescent="0.3">
      <c r="A51" s="68" t="s">
        <v>124</v>
      </c>
      <c r="B51" s="68"/>
      <c r="C51" s="68"/>
      <c r="D51" s="68"/>
    </row>
    <row r="52" spans="1:4" x14ac:dyDescent="0.3">
      <c r="A52" s="10" t="s">
        <v>157</v>
      </c>
      <c r="B52" s="10"/>
      <c r="C52" s="14">
        <v>2027</v>
      </c>
      <c r="D52" s="11"/>
    </row>
    <row r="53" spans="1:4" x14ac:dyDescent="0.3">
      <c r="A53" s="10" t="s">
        <v>58</v>
      </c>
      <c r="B53" s="10"/>
      <c r="C53" s="60">
        <v>0.5</v>
      </c>
      <c r="D53" s="11"/>
    </row>
    <row r="54" spans="1:4" x14ac:dyDescent="0.3">
      <c r="A54" s="10" t="s">
        <v>59</v>
      </c>
      <c r="B54" s="10"/>
      <c r="C54" s="60">
        <v>0.5</v>
      </c>
      <c r="D54" s="11"/>
    </row>
    <row r="55" spans="1:4" x14ac:dyDescent="0.3">
      <c r="A55" s="10"/>
      <c r="B55" s="10"/>
      <c r="C55" s="11"/>
      <c r="D55" s="11"/>
    </row>
    <row r="56" spans="1:4" x14ac:dyDescent="0.3">
      <c r="A56" s="68" t="s">
        <v>125</v>
      </c>
      <c r="B56" s="68"/>
      <c r="C56" s="68"/>
      <c r="D56" s="68"/>
    </row>
    <row r="57" spans="1:4" x14ac:dyDescent="0.3">
      <c r="A57" s="10" t="s">
        <v>126</v>
      </c>
      <c r="B57" s="10"/>
      <c r="C57" s="14">
        <v>0</v>
      </c>
      <c r="D57" s="10"/>
    </row>
    <row r="58" spans="1:4" x14ac:dyDescent="0.3">
      <c r="A58" s="10" t="s">
        <v>127</v>
      </c>
      <c r="B58" s="10"/>
      <c r="C58" s="14">
        <v>2100</v>
      </c>
      <c r="D58" s="11"/>
    </row>
    <row r="59" spans="1:4" x14ac:dyDescent="0.3">
      <c r="A59" s="68" t="s">
        <v>57</v>
      </c>
      <c r="B59" s="68"/>
      <c r="C59" s="14"/>
      <c r="D59" s="11"/>
    </row>
    <row r="60" spans="1:4" x14ac:dyDescent="0.3">
      <c r="A60" s="10" t="s">
        <v>58</v>
      </c>
      <c r="B60" s="10"/>
      <c r="C60" s="60">
        <v>0.5</v>
      </c>
      <c r="D60" s="11"/>
    </row>
    <row r="61" spans="1:4" x14ac:dyDescent="0.3">
      <c r="A61" s="10" t="s">
        <v>59</v>
      </c>
      <c r="B61" s="10"/>
      <c r="C61" s="60">
        <v>0.5</v>
      </c>
      <c r="D61" s="11"/>
    </row>
    <row r="62" spans="1:4" x14ac:dyDescent="0.3">
      <c r="A62" s="10"/>
      <c r="B62" s="10"/>
      <c r="C62" s="11"/>
      <c r="D62" s="11"/>
    </row>
    <row r="64" spans="1:4" x14ac:dyDescent="0.3">
      <c r="A64" s="78" t="s">
        <v>17</v>
      </c>
      <c r="B64" s="79"/>
      <c r="C64" s="79"/>
      <c r="D64" s="79"/>
    </row>
    <row r="65" spans="1:33" x14ac:dyDescent="0.3">
      <c r="A65" s="15" t="s">
        <v>45</v>
      </c>
      <c r="B65" s="16">
        <f>C65-200000</f>
        <v>490000</v>
      </c>
      <c r="C65" s="16">
        <v>690000</v>
      </c>
      <c r="D65" s="16">
        <f>C65+200000</f>
        <v>890000</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x14ac:dyDescent="0.3">
      <c r="A66" s="15" t="s">
        <v>44</v>
      </c>
      <c r="B66" s="15"/>
      <c r="C66" s="18">
        <v>2025</v>
      </c>
      <c r="D66" s="16"/>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x14ac:dyDescent="0.3">
      <c r="A67" s="15"/>
      <c r="B67" s="15"/>
      <c r="C67" s="16"/>
      <c r="D67" s="16"/>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x14ac:dyDescent="0.3">
      <c r="A68" s="15" t="s">
        <v>14</v>
      </c>
      <c r="B68" s="15"/>
      <c r="C68" s="16">
        <v>50000</v>
      </c>
      <c r="D68" s="16"/>
    </row>
    <row r="69" spans="1:33" x14ac:dyDescent="0.3">
      <c r="A69" s="15" t="s">
        <v>13</v>
      </c>
      <c r="B69" s="59">
        <f>B72</f>
        <v>2.9600000000000001E-2</v>
      </c>
      <c r="C69" s="59">
        <f>C72</f>
        <v>3.6999999999999998E-2</v>
      </c>
      <c r="D69" s="59">
        <f>D72</f>
        <v>4.4399999999999995E-2</v>
      </c>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spans="1:33" x14ac:dyDescent="0.3">
      <c r="A70" s="15" t="s">
        <v>15</v>
      </c>
      <c r="B70" s="15"/>
      <c r="C70" s="21">
        <v>10</v>
      </c>
      <c r="D70" s="21"/>
    </row>
    <row r="71" spans="1:33" x14ac:dyDescent="0.3">
      <c r="A71" s="15"/>
      <c r="B71" s="15"/>
      <c r="C71" s="16"/>
      <c r="D71" s="16"/>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x14ac:dyDescent="0.3">
      <c r="A72" s="15" t="s">
        <v>102</v>
      </c>
      <c r="B72" s="59">
        <f>C72*0.8</f>
        <v>2.9600000000000001E-2</v>
      </c>
      <c r="C72" s="59">
        <v>3.6999999999999998E-2</v>
      </c>
      <c r="D72" s="59">
        <f>C72*1.2</f>
        <v>4.4399999999999995E-2</v>
      </c>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x14ac:dyDescent="0.3">
      <c r="A73" s="15" t="s">
        <v>153</v>
      </c>
      <c r="B73" s="19"/>
      <c r="C73" s="59">
        <v>0.02</v>
      </c>
      <c r="D73" s="19"/>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x14ac:dyDescent="0.3">
      <c r="A74" s="15"/>
      <c r="B74" s="19"/>
      <c r="C74" s="19"/>
      <c r="D74" s="19"/>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x14ac:dyDescent="0.3">
      <c r="A75" s="15" t="s">
        <v>5</v>
      </c>
      <c r="B75" s="59">
        <f>C75*0.8</f>
        <v>4.0000000000000008E-2</v>
      </c>
      <c r="C75" s="59">
        <v>0.05</v>
      </c>
      <c r="D75" s="59">
        <f>C75*1.2</f>
        <v>0.06</v>
      </c>
    </row>
    <row r="76" spans="1:33" x14ac:dyDescent="0.3">
      <c r="A76" s="22" t="s">
        <v>81</v>
      </c>
      <c r="B76" s="22"/>
      <c r="C76" s="59">
        <v>0.02</v>
      </c>
      <c r="D76" s="16"/>
    </row>
    <row r="77" spans="1:33" x14ac:dyDescent="0.3">
      <c r="A77" s="15"/>
      <c r="B77" s="15"/>
      <c r="C77" s="21"/>
      <c r="D77" s="21"/>
    </row>
    <row r="78" spans="1:33" x14ac:dyDescent="0.3">
      <c r="A78" s="22" t="s">
        <v>27</v>
      </c>
      <c r="B78" s="22"/>
      <c r="C78" s="59">
        <v>3.0000000000000001E-3</v>
      </c>
      <c r="D78" s="19"/>
    </row>
    <row r="79" spans="1:33" x14ac:dyDescent="0.3">
      <c r="A79" s="22" t="s">
        <v>26</v>
      </c>
      <c r="B79" s="22"/>
      <c r="C79" s="59">
        <v>7.4999999999999997E-3</v>
      </c>
      <c r="D79" s="19"/>
    </row>
    <row r="80" spans="1:33" x14ac:dyDescent="0.3">
      <c r="A80" s="22" t="s">
        <v>149</v>
      </c>
      <c r="B80" s="22"/>
      <c r="C80" s="16">
        <f>SUM(C81:C85)</f>
        <v>-330</v>
      </c>
      <c r="D80" s="16"/>
    </row>
    <row r="81" spans="1:33" x14ac:dyDescent="0.3">
      <c r="A81" s="22" t="s">
        <v>147</v>
      </c>
      <c r="B81" s="22"/>
      <c r="C81" s="16">
        <v>-75</v>
      </c>
      <c r="D81" s="16"/>
    </row>
    <row r="82" spans="1:33" x14ac:dyDescent="0.3">
      <c r="A82" s="22" t="s">
        <v>148</v>
      </c>
      <c r="B82" s="22"/>
      <c r="C82" s="16">
        <v>-125</v>
      </c>
      <c r="D82" s="16"/>
    </row>
    <row r="83" spans="1:33" x14ac:dyDescent="0.3">
      <c r="A83" s="58" t="s">
        <v>150</v>
      </c>
      <c r="B83" s="22"/>
      <c r="C83" s="16">
        <v>-40</v>
      </c>
      <c r="D83" s="16"/>
    </row>
    <row r="84" spans="1:33" x14ac:dyDescent="0.3">
      <c r="A84" s="22" t="s">
        <v>146</v>
      </c>
      <c r="B84" s="22"/>
      <c r="C84" s="16">
        <v>-40</v>
      </c>
      <c r="D84" s="16"/>
    </row>
    <row r="85" spans="1:33" x14ac:dyDescent="0.3">
      <c r="A85" s="22" t="s">
        <v>151</v>
      </c>
      <c r="B85" s="22"/>
      <c r="C85" s="16">
        <v>-50</v>
      </c>
      <c r="D85" s="16"/>
    </row>
    <row r="86" spans="1:33" x14ac:dyDescent="0.3">
      <c r="A86" s="22" t="s">
        <v>155</v>
      </c>
      <c r="B86" s="22"/>
      <c r="C86" s="19"/>
      <c r="D86" s="16"/>
    </row>
    <row r="87" spans="1:33" x14ac:dyDescent="0.3">
      <c r="A87" s="22"/>
      <c r="B87" s="22"/>
      <c r="C87" s="19"/>
      <c r="D87" s="16"/>
    </row>
    <row r="88" spans="1:33" x14ac:dyDescent="0.3">
      <c r="A88" s="75" t="s">
        <v>16</v>
      </c>
      <c r="B88" s="76"/>
      <c r="C88" s="76"/>
      <c r="D88" s="76"/>
    </row>
    <row r="89" spans="1:33" x14ac:dyDescent="0.3">
      <c r="A89" s="23" t="s">
        <v>60</v>
      </c>
      <c r="B89" s="23"/>
      <c r="C89" s="24">
        <v>-1320</v>
      </c>
      <c r="D89" s="24"/>
    </row>
    <row r="90" spans="1:33" x14ac:dyDescent="0.3">
      <c r="A90" s="23" t="s">
        <v>25</v>
      </c>
      <c r="B90" s="61">
        <f>C90*0.8</f>
        <v>4.0000000000000008E-2</v>
      </c>
      <c r="C90" s="61">
        <f>C75</f>
        <v>0.05</v>
      </c>
      <c r="D90" s="61">
        <f>C90*1.2</f>
        <v>0.06</v>
      </c>
    </row>
    <row r="91" spans="1:33" x14ac:dyDescent="0.3">
      <c r="A91" s="23" t="s">
        <v>61</v>
      </c>
      <c r="B91" s="23"/>
      <c r="C91" s="24">
        <f>-330</f>
        <v>-330</v>
      </c>
      <c r="D91" s="24"/>
    </row>
    <row r="92" spans="1:33" x14ac:dyDescent="0.3">
      <c r="A92" s="23" t="s">
        <v>95</v>
      </c>
      <c r="B92" s="23"/>
      <c r="C92" s="61">
        <v>0.02</v>
      </c>
      <c r="D92" s="24"/>
    </row>
    <row r="93" spans="1:33" x14ac:dyDescent="0.3">
      <c r="A93" s="80" t="s">
        <v>107</v>
      </c>
      <c r="B93" s="70"/>
      <c r="C93" s="70"/>
      <c r="D93" s="70"/>
    </row>
    <row r="94" spans="1:33" x14ac:dyDescent="0.3">
      <c r="A94" s="70" t="s">
        <v>106</v>
      </c>
      <c r="B94" s="70"/>
      <c r="C94" s="70"/>
      <c r="D94" s="70"/>
    </row>
    <row r="95" spans="1:33" x14ac:dyDescent="0.3">
      <c r="A95" s="44" t="s">
        <v>73</v>
      </c>
      <c r="B95" s="45">
        <f>C95*0.8</f>
        <v>40</v>
      </c>
      <c r="C95" s="45">
        <v>50</v>
      </c>
      <c r="D95" s="45">
        <f>C95*1.2</f>
        <v>60</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x14ac:dyDescent="0.3">
      <c r="A96" s="44" t="s">
        <v>72</v>
      </c>
      <c r="B96" s="45"/>
      <c r="C96" s="45">
        <v>2017</v>
      </c>
      <c r="D96" s="45"/>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x14ac:dyDescent="0.3">
      <c r="A97" s="44" t="s">
        <v>75</v>
      </c>
      <c r="B97" s="46">
        <f>B95*B98</f>
        <v>323600</v>
      </c>
      <c r="C97" s="46">
        <f>C95*C98</f>
        <v>415000</v>
      </c>
      <c r="D97" s="46">
        <f>D95*D98</f>
        <v>519600</v>
      </c>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x14ac:dyDescent="0.3">
      <c r="A98" s="47" t="s">
        <v>76</v>
      </c>
      <c r="B98" s="46">
        <v>8090</v>
      </c>
      <c r="C98" s="46">
        <v>8300</v>
      </c>
      <c r="D98" s="46">
        <v>8660</v>
      </c>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x14ac:dyDescent="0.3">
      <c r="A99" s="47"/>
      <c r="B99" s="46"/>
      <c r="C99" s="46"/>
      <c r="D99" s="46"/>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x14ac:dyDescent="0.3">
      <c r="A100" s="44" t="s">
        <v>44</v>
      </c>
      <c r="B100" s="44"/>
      <c r="C100" s="45">
        <v>2025</v>
      </c>
      <c r="D100" s="46"/>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x14ac:dyDescent="0.3">
      <c r="A101" s="44" t="s">
        <v>108</v>
      </c>
      <c r="B101" s="44"/>
      <c r="C101" s="45">
        <v>2060</v>
      </c>
      <c r="D101" s="46"/>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x14ac:dyDescent="0.3">
      <c r="A102" s="44" t="s">
        <v>102</v>
      </c>
      <c r="B102" s="62">
        <f>C102*0.8</f>
        <v>2.9600000000000001E-2</v>
      </c>
      <c r="C102" s="62">
        <f>C72</f>
        <v>3.6999999999999998E-2</v>
      </c>
      <c r="D102" s="62">
        <f>C102*1.2</f>
        <v>4.4399999999999995E-2</v>
      </c>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x14ac:dyDescent="0.3">
      <c r="A103" s="44" t="s">
        <v>153</v>
      </c>
      <c r="B103" s="48"/>
      <c r="C103" s="62">
        <v>0.02</v>
      </c>
      <c r="D103" s="48"/>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x14ac:dyDescent="0.3">
      <c r="A104" s="44"/>
      <c r="B104" s="44"/>
      <c r="C104" s="46"/>
      <c r="D104" s="46"/>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x14ac:dyDescent="0.3">
      <c r="A105" s="44" t="s">
        <v>14</v>
      </c>
      <c r="B105" s="44"/>
      <c r="C105" s="46">
        <v>50000</v>
      </c>
      <c r="D105" s="46"/>
    </row>
    <row r="106" spans="1:33" x14ac:dyDescent="0.3">
      <c r="A106" s="44" t="s">
        <v>13</v>
      </c>
      <c r="B106" s="48"/>
      <c r="C106" s="62">
        <f>C102</f>
        <v>3.6999999999999998E-2</v>
      </c>
      <c r="D106" s="48"/>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spans="1:33" x14ac:dyDescent="0.3">
      <c r="A107" s="44" t="s">
        <v>15</v>
      </c>
      <c r="B107" s="44"/>
      <c r="C107" s="49">
        <v>10</v>
      </c>
      <c r="D107" s="49"/>
    </row>
    <row r="108" spans="1:33" x14ac:dyDescent="0.3">
      <c r="A108" s="47"/>
      <c r="B108" s="46"/>
      <c r="C108" s="46"/>
      <c r="D108" s="46"/>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x14ac:dyDescent="0.3">
      <c r="A109" s="47" t="s">
        <v>96</v>
      </c>
      <c r="B109" s="46">
        <f>$C110*B95</f>
        <v>924</v>
      </c>
      <c r="C109" s="46">
        <f>C110*C95</f>
        <v>1155</v>
      </c>
      <c r="D109" s="46">
        <f>$C110*D95</f>
        <v>1386</v>
      </c>
    </row>
    <row r="110" spans="1:33" x14ac:dyDescent="0.3">
      <c r="A110" s="47" t="s">
        <v>97</v>
      </c>
      <c r="B110" s="46"/>
      <c r="C110" s="46">
        <f>IF($C96&gt;2010,23.1,15.2)</f>
        <v>23.1</v>
      </c>
      <c r="D110" s="46"/>
    </row>
    <row r="111" spans="1:33" x14ac:dyDescent="0.3">
      <c r="A111" s="47"/>
      <c r="B111" s="46"/>
      <c r="C111" s="46"/>
      <c r="D111" s="46"/>
    </row>
    <row r="112" spans="1:33" x14ac:dyDescent="0.3">
      <c r="A112" s="47" t="s">
        <v>91</v>
      </c>
      <c r="B112" s="62">
        <f>B75</f>
        <v>4.0000000000000008E-2</v>
      </c>
      <c r="C112" s="62">
        <f>C75</f>
        <v>0.05</v>
      </c>
      <c r="D112" s="62">
        <f>D75</f>
        <v>0.06</v>
      </c>
    </row>
    <row r="113" spans="1:4" x14ac:dyDescent="0.3">
      <c r="A113" s="47" t="s">
        <v>81</v>
      </c>
      <c r="B113" s="48"/>
      <c r="C113" s="62">
        <f>C76</f>
        <v>0.02</v>
      </c>
      <c r="D113" s="48"/>
    </row>
    <row r="114" spans="1:4" x14ac:dyDescent="0.3">
      <c r="A114" s="47" t="s">
        <v>90</v>
      </c>
      <c r="B114" s="62">
        <f>B90</f>
        <v>4.0000000000000008E-2</v>
      </c>
      <c r="C114" s="62">
        <f>C90</f>
        <v>0.05</v>
      </c>
      <c r="D114" s="62">
        <f>D90</f>
        <v>0.06</v>
      </c>
    </row>
    <row r="115" spans="1:4" x14ac:dyDescent="0.3">
      <c r="A115" s="47"/>
      <c r="B115" s="48"/>
      <c r="C115" s="48"/>
      <c r="D115" s="48"/>
    </row>
    <row r="116" spans="1:4" x14ac:dyDescent="0.3">
      <c r="A116" s="47" t="s">
        <v>77</v>
      </c>
      <c r="B116" s="50"/>
      <c r="C116" s="50">
        <v>1</v>
      </c>
      <c r="D116" s="50"/>
    </row>
    <row r="117" spans="1:4" x14ac:dyDescent="0.3">
      <c r="A117" s="47" t="s">
        <v>78</v>
      </c>
      <c r="B117" s="50"/>
      <c r="C117" s="62">
        <v>7.4999999999999997E-2</v>
      </c>
      <c r="D117" s="50"/>
    </row>
    <row r="118" spans="1:4" x14ac:dyDescent="0.3">
      <c r="A118" s="47" t="s">
        <v>27</v>
      </c>
      <c r="B118" s="47"/>
      <c r="C118" s="62">
        <f>C78</f>
        <v>3.0000000000000001E-3</v>
      </c>
      <c r="D118" s="48"/>
    </row>
    <row r="119" spans="1:4" x14ac:dyDescent="0.3">
      <c r="A119" s="47" t="s">
        <v>26</v>
      </c>
      <c r="B119" s="47"/>
      <c r="C119" s="62">
        <f>C79</f>
        <v>7.4999999999999997E-3</v>
      </c>
      <c r="D119" s="48"/>
    </row>
    <row r="120" spans="1:4" x14ac:dyDescent="0.3">
      <c r="A120" s="47" t="s">
        <v>80</v>
      </c>
      <c r="B120" s="47"/>
      <c r="C120" s="46">
        <f>SUM(C121:C125)</f>
        <v>-330</v>
      </c>
      <c r="D120" s="46"/>
    </row>
    <row r="121" spans="1:4" x14ac:dyDescent="0.3">
      <c r="A121" s="47" t="s">
        <v>147</v>
      </c>
      <c r="B121" s="47"/>
      <c r="C121" s="46">
        <v>-75</v>
      </c>
      <c r="D121" s="46"/>
    </row>
    <row r="122" spans="1:4" x14ac:dyDescent="0.3">
      <c r="A122" s="47" t="s">
        <v>148</v>
      </c>
      <c r="B122" s="47"/>
      <c r="C122" s="46">
        <v>-125</v>
      </c>
      <c r="D122" s="46"/>
    </row>
    <row r="123" spans="1:4" x14ac:dyDescent="0.3">
      <c r="A123" s="67" t="s">
        <v>150</v>
      </c>
      <c r="B123" s="47"/>
      <c r="C123" s="46">
        <v>-40</v>
      </c>
      <c r="D123" s="46"/>
    </row>
    <row r="124" spans="1:4" x14ac:dyDescent="0.3">
      <c r="A124" s="47" t="s">
        <v>146</v>
      </c>
      <c r="B124" s="47"/>
      <c r="C124" s="46">
        <v>-40</v>
      </c>
      <c r="D124" s="46"/>
    </row>
    <row r="125" spans="1:4" x14ac:dyDescent="0.3">
      <c r="A125" s="47" t="s">
        <v>151</v>
      </c>
      <c r="B125" s="47"/>
      <c r="C125" s="46">
        <f>C85</f>
        <v>-50</v>
      </c>
      <c r="D125" s="46"/>
    </row>
    <row r="126" spans="1:4" x14ac:dyDescent="0.3">
      <c r="A126" s="47" t="s">
        <v>155</v>
      </c>
      <c r="B126" s="47"/>
      <c r="C126" s="48"/>
      <c r="D126" s="46"/>
    </row>
    <row r="127" spans="1:4" x14ac:dyDescent="0.3">
      <c r="A127" s="47"/>
      <c r="B127" s="48"/>
      <c r="C127" s="48"/>
      <c r="D127" s="48"/>
    </row>
    <row r="128" spans="1:4" x14ac:dyDescent="0.3">
      <c r="A128" s="70" t="s">
        <v>105</v>
      </c>
      <c r="B128" s="70"/>
      <c r="C128" s="70"/>
      <c r="D128" s="70"/>
    </row>
    <row r="129" spans="1:33" x14ac:dyDescent="0.3">
      <c r="A129" s="44" t="s">
        <v>45</v>
      </c>
      <c r="B129" s="46"/>
      <c r="C129" s="46">
        <f>C65</f>
        <v>690000</v>
      </c>
      <c r="D129" s="46"/>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x14ac:dyDescent="0.3">
      <c r="A130" s="44" t="s">
        <v>44</v>
      </c>
      <c r="B130" s="44"/>
      <c r="C130" s="45">
        <f>C101</f>
        <v>2060</v>
      </c>
      <c r="D130" s="46"/>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x14ac:dyDescent="0.3">
      <c r="A131" s="44"/>
      <c r="B131" s="44"/>
      <c r="C131" s="46"/>
      <c r="D131" s="46"/>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x14ac:dyDescent="0.3">
      <c r="A132" s="44" t="s">
        <v>14</v>
      </c>
      <c r="B132" s="44"/>
      <c r="C132" s="46">
        <v>50000</v>
      </c>
      <c r="D132" s="46"/>
    </row>
    <row r="133" spans="1:33" x14ac:dyDescent="0.3">
      <c r="A133" s="44" t="s">
        <v>13</v>
      </c>
      <c r="B133" s="48"/>
      <c r="C133" s="62">
        <f>C136</f>
        <v>3.6999999999999998E-2</v>
      </c>
      <c r="D133" s="48"/>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spans="1:33" x14ac:dyDescent="0.3">
      <c r="A134" s="44" t="s">
        <v>15</v>
      </c>
      <c r="B134" s="44"/>
      <c r="C134" s="49">
        <v>10</v>
      </c>
      <c r="D134" s="49"/>
    </row>
    <row r="135" spans="1:33" x14ac:dyDescent="0.3">
      <c r="A135" s="44"/>
      <c r="B135" s="44"/>
      <c r="C135" s="46"/>
      <c r="D135" s="46"/>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x14ac:dyDescent="0.3">
      <c r="A136" s="44" t="s">
        <v>102</v>
      </c>
      <c r="B136" s="62">
        <f>C136*0.8</f>
        <v>2.9600000000000001E-2</v>
      </c>
      <c r="C136" s="62">
        <f>C72</f>
        <v>3.6999999999999998E-2</v>
      </c>
      <c r="D136" s="62">
        <f>C136*1.2</f>
        <v>4.4399999999999995E-2</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x14ac:dyDescent="0.3">
      <c r="A137" s="44" t="s">
        <v>153</v>
      </c>
      <c r="B137" s="48"/>
      <c r="C137" s="62">
        <v>0.02</v>
      </c>
      <c r="D137" s="48"/>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x14ac:dyDescent="0.3">
      <c r="A138" s="44"/>
      <c r="B138" s="48"/>
      <c r="C138" s="48"/>
      <c r="D138" s="48"/>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x14ac:dyDescent="0.3">
      <c r="A139" s="44" t="s">
        <v>5</v>
      </c>
      <c r="B139" s="62">
        <f>B75</f>
        <v>4.0000000000000008E-2</v>
      </c>
      <c r="C139" s="62">
        <f>C75</f>
        <v>0.05</v>
      </c>
      <c r="D139" s="62">
        <f>D75</f>
        <v>0.06</v>
      </c>
    </row>
    <row r="140" spans="1:33" x14ac:dyDescent="0.3">
      <c r="A140" s="47" t="s">
        <v>81</v>
      </c>
      <c r="B140" s="47"/>
      <c r="C140" s="62">
        <v>0.02</v>
      </c>
      <c r="D140" s="46"/>
    </row>
    <row r="141" spans="1:33" x14ac:dyDescent="0.3">
      <c r="A141" s="44"/>
      <c r="B141" s="44"/>
      <c r="C141" s="49"/>
      <c r="D141" s="49"/>
    </row>
    <row r="142" spans="1:33" x14ac:dyDescent="0.3">
      <c r="A142" s="47" t="s">
        <v>27</v>
      </c>
      <c r="B142" s="47"/>
      <c r="C142" s="62">
        <v>3.0000000000000001E-3</v>
      </c>
      <c r="D142" s="48"/>
    </row>
    <row r="143" spans="1:33" x14ac:dyDescent="0.3">
      <c r="A143" s="47" t="s">
        <v>26</v>
      </c>
      <c r="B143" s="47"/>
      <c r="C143" s="62">
        <v>0.01</v>
      </c>
      <c r="D143" s="48"/>
    </row>
    <row r="144" spans="1:33" x14ac:dyDescent="0.3">
      <c r="A144" s="47" t="s">
        <v>80</v>
      </c>
      <c r="B144" s="47"/>
      <c r="C144" s="46">
        <f>SUM(C145:C149)</f>
        <v>-330</v>
      </c>
      <c r="D144" s="46"/>
    </row>
    <row r="145" spans="1:33" x14ac:dyDescent="0.3">
      <c r="A145" s="47" t="s">
        <v>147</v>
      </c>
      <c r="B145" s="47"/>
      <c r="C145" s="46">
        <v>-75</v>
      </c>
      <c r="D145" s="46"/>
    </row>
    <row r="146" spans="1:33" x14ac:dyDescent="0.3">
      <c r="A146" s="47" t="s">
        <v>148</v>
      </c>
      <c r="B146" s="47"/>
      <c r="C146" s="46">
        <v>-125</v>
      </c>
      <c r="D146" s="46"/>
    </row>
    <row r="147" spans="1:33" x14ac:dyDescent="0.3">
      <c r="A147" s="67" t="s">
        <v>150</v>
      </c>
      <c r="B147" s="47"/>
      <c r="C147" s="46">
        <v>-40</v>
      </c>
      <c r="D147" s="46"/>
    </row>
    <row r="148" spans="1:33" x14ac:dyDescent="0.3">
      <c r="A148" s="47" t="s">
        <v>146</v>
      </c>
      <c r="B148" s="47"/>
      <c r="C148" s="46">
        <v>-40</v>
      </c>
      <c r="D148" s="46"/>
    </row>
    <row r="149" spans="1:33" x14ac:dyDescent="0.3">
      <c r="A149" s="47" t="s">
        <v>151</v>
      </c>
      <c r="B149" s="47"/>
      <c r="C149" s="46">
        <v>-50</v>
      </c>
      <c r="D149" s="46"/>
    </row>
    <row r="150" spans="1:33" x14ac:dyDescent="0.3">
      <c r="A150" s="47" t="s">
        <v>155</v>
      </c>
      <c r="B150" s="47"/>
      <c r="C150" s="48"/>
      <c r="D150" s="46"/>
    </row>
    <row r="151" spans="1:33" x14ac:dyDescent="0.3">
      <c r="A151" s="47"/>
      <c r="B151" s="48"/>
      <c r="C151" s="48"/>
      <c r="D151" s="48"/>
    </row>
    <row r="152" spans="1:33" x14ac:dyDescent="0.3">
      <c r="A152" s="47"/>
      <c r="B152" s="48"/>
      <c r="C152" s="48"/>
      <c r="D152" s="48"/>
    </row>
    <row r="153" spans="1:33" x14ac:dyDescent="0.3">
      <c r="A153" s="73" t="s">
        <v>65</v>
      </c>
      <c r="B153" s="74"/>
      <c r="C153" s="74"/>
      <c r="D153" s="74"/>
    </row>
    <row r="154" spans="1:33" x14ac:dyDescent="0.3">
      <c r="A154" s="25" t="s">
        <v>73</v>
      </c>
      <c r="B154" s="26">
        <f>C154*0.8</f>
        <v>40</v>
      </c>
      <c r="C154" s="26">
        <v>50</v>
      </c>
      <c r="D154" s="26">
        <f>C154*1.2</f>
        <v>60</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x14ac:dyDescent="0.3">
      <c r="A155" s="25" t="s">
        <v>72</v>
      </c>
      <c r="B155" s="26"/>
      <c r="C155" s="26">
        <v>2017</v>
      </c>
      <c r="D155" s="26"/>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x14ac:dyDescent="0.3">
      <c r="A156" s="25" t="s">
        <v>75</v>
      </c>
      <c r="B156" s="27">
        <f>B154*B157</f>
        <v>323600</v>
      </c>
      <c r="C156" s="27">
        <f>C154*C157</f>
        <v>415000</v>
      </c>
      <c r="D156" s="27">
        <f>D154*D157</f>
        <v>519600</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x14ac:dyDescent="0.3">
      <c r="A157" s="28" t="s">
        <v>76</v>
      </c>
      <c r="B157" s="27">
        <v>8090</v>
      </c>
      <c r="C157" s="27">
        <v>8300</v>
      </c>
      <c r="D157" s="27">
        <v>8660</v>
      </c>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x14ac:dyDescent="0.3">
      <c r="A158" s="28"/>
      <c r="B158" s="27"/>
      <c r="C158" s="27"/>
      <c r="D158" s="2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x14ac:dyDescent="0.3">
      <c r="A159" s="25" t="s">
        <v>44</v>
      </c>
      <c r="B159" s="25"/>
      <c r="C159" s="26">
        <v>2025</v>
      </c>
      <c r="D159" s="2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x14ac:dyDescent="0.3">
      <c r="A160" s="25" t="s">
        <v>102</v>
      </c>
      <c r="B160" s="63">
        <f>C160*0.8</f>
        <v>2.9600000000000001E-2</v>
      </c>
      <c r="C160" s="63">
        <f>C72</f>
        <v>3.6999999999999998E-2</v>
      </c>
      <c r="D160" s="63">
        <f>C160*1.2</f>
        <v>4.4399999999999995E-2</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x14ac:dyDescent="0.3">
      <c r="A161" s="25" t="s">
        <v>153</v>
      </c>
      <c r="B161" s="63"/>
      <c r="C161" s="63">
        <v>0.02</v>
      </c>
      <c r="D161" s="63"/>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x14ac:dyDescent="0.3">
      <c r="A162" s="28" t="s">
        <v>61</v>
      </c>
      <c r="B162" s="28"/>
      <c r="C162" s="27">
        <f>-300</f>
        <v>-300</v>
      </c>
      <c r="D162" s="27"/>
    </row>
    <row r="163" spans="1:33" x14ac:dyDescent="0.3">
      <c r="A163" s="28" t="s">
        <v>95</v>
      </c>
      <c r="B163" s="28"/>
      <c r="C163" s="63">
        <f>C8</f>
        <v>0.02</v>
      </c>
      <c r="D163" s="27"/>
    </row>
    <row r="164" spans="1:33" x14ac:dyDescent="0.3">
      <c r="A164" s="25"/>
      <c r="B164" s="25"/>
      <c r="C164" s="27"/>
      <c r="D164" s="2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x14ac:dyDescent="0.3">
      <c r="A165" s="25" t="s">
        <v>14</v>
      </c>
      <c r="B165" s="25"/>
      <c r="C165" s="27">
        <v>50000</v>
      </c>
      <c r="D165" s="27"/>
    </row>
    <row r="166" spans="1:33" x14ac:dyDescent="0.3">
      <c r="A166" s="25" t="s">
        <v>13</v>
      </c>
      <c r="B166" s="63">
        <f>B160</f>
        <v>2.9600000000000001E-2</v>
      </c>
      <c r="C166" s="63">
        <f>C160</f>
        <v>3.6999999999999998E-2</v>
      </c>
      <c r="D166" s="63">
        <f>D160</f>
        <v>4.4399999999999995E-2</v>
      </c>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spans="1:33" x14ac:dyDescent="0.3">
      <c r="A167" s="25" t="s">
        <v>15</v>
      </c>
      <c r="B167" s="25"/>
      <c r="C167" s="30">
        <v>10</v>
      </c>
      <c r="D167" s="30"/>
    </row>
    <row r="168" spans="1:33" x14ac:dyDescent="0.3">
      <c r="A168" s="28"/>
      <c r="B168" s="27"/>
      <c r="C168" s="27"/>
      <c r="D168" s="2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x14ac:dyDescent="0.3">
      <c r="A169" s="28" t="s">
        <v>96</v>
      </c>
      <c r="B169" s="27">
        <f>$C170*B154</f>
        <v>924</v>
      </c>
      <c r="C169" s="27">
        <f>C170*C154</f>
        <v>1155</v>
      </c>
      <c r="D169" s="27">
        <f>$C170*D154</f>
        <v>1386</v>
      </c>
    </row>
    <row r="170" spans="1:33" x14ac:dyDescent="0.3">
      <c r="A170" s="28" t="s">
        <v>97</v>
      </c>
      <c r="B170" s="27"/>
      <c r="C170" s="27">
        <f t="shared" ref="C170" si="0">IF($C155&gt;2010,23.1,15.2)</f>
        <v>23.1</v>
      </c>
      <c r="D170" s="27"/>
    </row>
    <row r="171" spans="1:33" x14ac:dyDescent="0.3">
      <c r="A171" s="28"/>
      <c r="B171" s="27"/>
      <c r="C171" s="27"/>
      <c r="D171" s="27"/>
    </row>
    <row r="172" spans="1:33" x14ac:dyDescent="0.3">
      <c r="A172" s="28" t="s">
        <v>91</v>
      </c>
      <c r="B172" s="63">
        <f>B75</f>
        <v>4.0000000000000008E-2</v>
      </c>
      <c r="C172" s="63">
        <f>C75</f>
        <v>0.05</v>
      </c>
      <c r="D172" s="63">
        <f>D75</f>
        <v>0.06</v>
      </c>
    </row>
    <row r="173" spans="1:33" x14ac:dyDescent="0.3">
      <c r="A173" s="28" t="s">
        <v>81</v>
      </c>
      <c r="B173" s="63"/>
      <c r="C173" s="63">
        <f>C76</f>
        <v>0.02</v>
      </c>
      <c r="D173" s="63"/>
    </row>
    <row r="174" spans="1:33" x14ac:dyDescent="0.3">
      <c r="A174" s="28" t="s">
        <v>90</v>
      </c>
      <c r="B174" s="63">
        <f t="shared" ref="B174:C174" si="1">B90</f>
        <v>4.0000000000000008E-2</v>
      </c>
      <c r="C174" s="63">
        <f t="shared" si="1"/>
        <v>0.05</v>
      </c>
      <c r="D174" s="63">
        <f>D90</f>
        <v>0.06</v>
      </c>
    </row>
    <row r="175" spans="1:33" x14ac:dyDescent="0.3">
      <c r="A175" s="28"/>
      <c r="B175" s="29"/>
      <c r="C175" s="29"/>
      <c r="D175" s="29"/>
    </row>
    <row r="176" spans="1:33" x14ac:dyDescent="0.3">
      <c r="A176" s="28" t="s">
        <v>77</v>
      </c>
      <c r="B176" s="31"/>
      <c r="C176" s="31">
        <v>1</v>
      </c>
      <c r="D176" s="31"/>
    </row>
    <row r="177" spans="1:4" x14ac:dyDescent="0.3">
      <c r="A177" s="28" t="s">
        <v>78</v>
      </c>
      <c r="B177" s="31"/>
      <c r="C177" s="63">
        <v>7.4999999999999997E-2</v>
      </c>
      <c r="D177" s="31"/>
    </row>
    <row r="178" spans="1:4" x14ac:dyDescent="0.3">
      <c r="A178" s="28" t="s">
        <v>27</v>
      </c>
      <c r="B178" s="28"/>
      <c r="C178" s="63">
        <f>C78</f>
        <v>3.0000000000000001E-3</v>
      </c>
      <c r="D178" s="29"/>
    </row>
    <row r="179" spans="1:4" x14ac:dyDescent="0.3">
      <c r="A179" s="28" t="s">
        <v>26</v>
      </c>
      <c r="B179" s="28"/>
      <c r="C179" s="63">
        <f>C79</f>
        <v>7.4999999999999997E-3</v>
      </c>
      <c r="D179" s="29"/>
    </row>
    <row r="180" spans="1:4" x14ac:dyDescent="0.3">
      <c r="A180" s="28" t="s">
        <v>80</v>
      </c>
      <c r="B180" s="28"/>
      <c r="C180" s="27">
        <f>SUM(C181:C185)</f>
        <v>-330</v>
      </c>
      <c r="D180" s="27"/>
    </row>
    <row r="181" spans="1:4" x14ac:dyDescent="0.3">
      <c r="A181" s="28" t="s">
        <v>147</v>
      </c>
      <c r="B181" s="28"/>
      <c r="C181" s="27">
        <v>-75</v>
      </c>
      <c r="D181" s="27"/>
    </row>
    <row r="182" spans="1:4" x14ac:dyDescent="0.3">
      <c r="A182" s="28" t="s">
        <v>148</v>
      </c>
      <c r="B182" s="28"/>
      <c r="C182" s="27">
        <v>-125</v>
      </c>
      <c r="D182" s="27"/>
    </row>
    <row r="183" spans="1:4" x14ac:dyDescent="0.3">
      <c r="A183" s="66" t="s">
        <v>150</v>
      </c>
      <c r="B183" s="28"/>
      <c r="C183" s="27">
        <v>-40</v>
      </c>
      <c r="D183" s="27"/>
    </row>
    <row r="184" spans="1:4" x14ac:dyDescent="0.3">
      <c r="A184" s="28" t="s">
        <v>146</v>
      </c>
      <c r="B184" s="28"/>
      <c r="C184" s="27">
        <v>-40</v>
      </c>
      <c r="D184" s="27"/>
    </row>
    <row r="185" spans="1:4" x14ac:dyDescent="0.3">
      <c r="A185" s="28" t="s">
        <v>151</v>
      </c>
      <c r="B185" s="28"/>
      <c r="C185" s="27">
        <f>C85</f>
        <v>-50</v>
      </c>
      <c r="D185" s="27"/>
    </row>
    <row r="186" spans="1:4" x14ac:dyDescent="0.3">
      <c r="A186" s="28" t="s">
        <v>155</v>
      </c>
      <c r="B186" s="28"/>
      <c r="C186" s="29"/>
      <c r="D186" s="27"/>
    </row>
    <row r="187" spans="1:4" x14ac:dyDescent="0.3">
      <c r="A187" s="28"/>
      <c r="B187" s="29"/>
      <c r="C187" s="29"/>
      <c r="D187" s="29"/>
    </row>
    <row r="188" spans="1:4" x14ac:dyDescent="0.3">
      <c r="A188" s="32"/>
      <c r="B188" s="32"/>
      <c r="C188" s="33"/>
      <c r="D188" s="33"/>
    </row>
    <row r="189" spans="1:4" x14ac:dyDescent="0.3">
      <c r="A189" s="77" t="s">
        <v>19</v>
      </c>
      <c r="B189" s="77"/>
      <c r="C189" s="77"/>
      <c r="D189" s="77"/>
    </row>
    <row r="190" spans="1:4" x14ac:dyDescent="0.3">
      <c r="A190" s="69" t="s">
        <v>43</v>
      </c>
      <c r="B190" s="69"/>
      <c r="C190" s="69"/>
      <c r="D190" s="13"/>
    </row>
    <row r="191" spans="1:4" x14ac:dyDescent="0.3">
      <c r="A191" s="69" t="s">
        <v>67</v>
      </c>
      <c r="B191" s="69"/>
      <c r="C191" s="69"/>
      <c r="D191" s="13"/>
    </row>
    <row r="192" spans="1:4" x14ac:dyDescent="0.3">
      <c r="A192" s="69" t="s">
        <v>21</v>
      </c>
      <c r="B192" s="69"/>
      <c r="C192" s="69"/>
      <c r="D192" s="13"/>
    </row>
    <row r="193" spans="1:4" x14ac:dyDescent="0.3">
      <c r="A193" s="69" t="s">
        <v>22</v>
      </c>
      <c r="B193" s="69"/>
      <c r="C193" s="69"/>
      <c r="D193" s="13"/>
    </row>
    <row r="194" spans="1:4" x14ac:dyDescent="0.3">
      <c r="A194" s="69" t="s">
        <v>32</v>
      </c>
      <c r="B194" s="69"/>
      <c r="C194" s="69"/>
      <c r="D194" s="13"/>
    </row>
    <row r="195" spans="1:4" x14ac:dyDescent="0.3">
      <c r="A195" s="69" t="s">
        <v>31</v>
      </c>
      <c r="B195" s="69"/>
      <c r="C195" s="69"/>
      <c r="D195" s="13"/>
    </row>
    <row r="196" spans="1:4" x14ac:dyDescent="0.3">
      <c r="A196" s="69" t="s">
        <v>68</v>
      </c>
      <c r="B196" s="69"/>
      <c r="C196" s="69"/>
      <c r="D196" s="13"/>
    </row>
    <row r="197" spans="1:4" x14ac:dyDescent="0.3">
      <c r="A197" s="69" t="s">
        <v>24</v>
      </c>
      <c r="B197" s="69"/>
      <c r="C197" s="69"/>
      <c r="D197" s="13"/>
    </row>
    <row r="198" spans="1:4" ht="14" customHeight="1" x14ac:dyDescent="0.3">
      <c r="A198" s="68" t="s">
        <v>69</v>
      </c>
      <c r="B198" s="68"/>
      <c r="C198" s="68"/>
      <c r="D198" s="34"/>
    </row>
    <row r="199" spans="1:4" ht="14" customHeight="1" x14ac:dyDescent="0.3">
      <c r="A199" s="68" t="s">
        <v>74</v>
      </c>
      <c r="B199" s="68"/>
      <c r="C199" s="68"/>
      <c r="D199" s="34"/>
    </row>
  </sheetData>
  <mergeCells count="24">
    <mergeCell ref="A1:D1"/>
    <mergeCell ref="A196:C196"/>
    <mergeCell ref="A190:C190"/>
    <mergeCell ref="A191:C191"/>
    <mergeCell ref="A192:C192"/>
    <mergeCell ref="A194:C194"/>
    <mergeCell ref="A195:C195"/>
    <mergeCell ref="A193:C193"/>
    <mergeCell ref="A33:D33"/>
    <mergeCell ref="A39:D39"/>
    <mergeCell ref="A153:D153"/>
    <mergeCell ref="A88:D88"/>
    <mergeCell ref="A189:D189"/>
    <mergeCell ref="A64:D64"/>
    <mergeCell ref="A93:D93"/>
    <mergeCell ref="A94:D94"/>
    <mergeCell ref="A59:B59"/>
    <mergeCell ref="A46:D46"/>
    <mergeCell ref="A51:D51"/>
    <mergeCell ref="A56:D56"/>
    <mergeCell ref="A199:C199"/>
    <mergeCell ref="A198:C198"/>
    <mergeCell ref="A197:C197"/>
    <mergeCell ref="A128:D128"/>
  </mergeCells>
  <pageMargins left="0.7" right="0.7" top="0.75" bottom="0.75" header="0.3" footer="0.3"/>
  <headerFooter>
    <oddFooter>&amp;R_x000D_&amp;1#&amp;"Calibri"&amp;22&amp;KFF8939 RESTRICTED</oddFooter>
  </headerFooter>
  <ignoredErrors>
    <ignoredError sqref="C169 C109" formula="1"/>
  </ignoredErrors>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8C448-50AF-41B6-973A-57D3F7C1F8F2}">
  <dimension ref="A1:HX52"/>
  <sheetViews>
    <sheetView tabSelected="1" zoomScaleNormal="100" workbookViewId="0">
      <pane xSplit="2" ySplit="1" topLeftCell="M2" activePane="bottomRight" state="frozen"/>
      <selection pane="topRight" activeCell="C1" sqref="C1"/>
      <selection pane="bottomLeft" activeCell="A2" sqref="A2"/>
      <selection pane="bottomRight" activeCell="M2" sqref="M2"/>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8.81640625" style="64" customWidth="1"/>
    <col min="93" max="93" width="13.1796875" style="64" bestFit="1" customWidth="1"/>
    <col min="94" max="95" width="15.81640625" style="1" bestFit="1" customWidth="1"/>
    <col min="96" max="96" width="17.7265625" style="1" bestFit="1" customWidth="1"/>
    <col min="97" max="97" width="18.36328125" style="1" bestFit="1" customWidth="1"/>
    <col min="98" max="98" width="10.08984375" style="65" bestFit="1" customWidth="1"/>
    <col min="99" max="99" width="15"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152</v>
      </c>
      <c r="CO1" s="52" t="s">
        <v>136</v>
      </c>
      <c r="CP1" s="52" t="s">
        <v>141</v>
      </c>
      <c r="CQ1" s="52" t="s">
        <v>142</v>
      </c>
      <c r="CR1" s="52" t="s">
        <v>140</v>
      </c>
      <c r="CS1" s="52" t="s">
        <v>139</v>
      </c>
      <c r="CT1" s="52" t="s">
        <v>154</v>
      </c>
      <c r="CU1" s="52" t="s">
        <v>159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-477273.913326359</v>
      </c>
      <c r="D2" s="1">
        <f>IF($B2&lt;Analysis!C$66, 0, BV2)+AT2+AW2+BC2+CG2+CA2</f>
        <v>-565248.913326359</v>
      </c>
      <c r="E2" s="1">
        <f t="shared" ref="E2" si="1">AK2+AF2</f>
        <v>52939.215686274518</v>
      </c>
      <c r="F2" s="1">
        <f>AL2+AF2</f>
        <v>52401.372549019608</v>
      </c>
      <c r="G2" s="1">
        <f>IF(AND($B2&gt;=Analysis!$C$100, $B2&lt;Analysis!$C$101),$CK2,0)+IF($B2&gt;=Analysis!$C$130,EB2,0)+CQ2+CU2+CZ2+EH2+EK2+EQ2+$FO2+$FT2</f>
        <v>-242271.22383835033</v>
      </c>
      <c r="H2" s="1">
        <f t="shared" ref="H2:H33" si="2">$DZ2+FJ2+CQ2+CU2+CZ2+EH2+EK2+EQ2+$FO2+$FU2</f>
        <v>-295183.72383835039</v>
      </c>
      <c r="I2" s="1">
        <f>IF($B2&lt;Analysis!$C$159,0,$FW2)+$GC2+$GF2+$GL2+$HQ2+$HV2</f>
        <v>-242271.22383835033</v>
      </c>
      <c r="J2" s="1">
        <f t="shared" ref="J2:J33" si="3">$HL2+$GC2+$GF2+$GL2+$HQ2+$HW2</f>
        <v>-295183.72383835039</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((1+Analysis!$C$90)/(1+$S2))-1</f>
        <v>2.941176470588247E-2</v>
      </c>
      <c r="Z2" s="1">
        <f>Analysis!$C$91*12</f>
        <v>-3960</v>
      </c>
      <c r="AA2" s="64">
        <f>((1+Analysis!$C$92)/(1+$S2))-1</f>
        <v>0</v>
      </c>
      <c r="AB2" s="40"/>
      <c r="AC2" s="1">
        <f t="shared" ref="AC2:AC33" si="4">X2+$Z2+$P2+$N2</f>
        <v>-45900</v>
      </c>
      <c r="AD2" s="1">
        <f t="shared" ref="AD2:AD33" si="5">$M2+$R2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33" si="6">IF(AK2-AJ2&gt;0, AK2-$V2*(AK2-AJ2),AK2)</f>
        <v>28401.372549019612</v>
      </c>
      <c r="AM2" s="36"/>
      <c r="AN2" s="1">
        <f>Analysis!$C65</f>
        <v>690000</v>
      </c>
      <c r="AO2" s="64">
        <f>((1+Analysis!$C$75)/(1+$S2))-1</f>
        <v>2.941176470588247E-2</v>
      </c>
      <c r="AP2" s="1">
        <f>IF($B2=Analysis!$C$66,(AN2*(1+Analysis!$C$23+Analysis!$C$24+Analysis!$C$25))-IF($B2=$B$2,(Analysis!$C$6-Analysis!$C$7+Analysis!$C$68), ($CG1-Analysis!$C$7+AY2)),0)</f>
        <v>693833.00000000012</v>
      </c>
      <c r="AQ2" s="65">
        <f>IF($B2=Analysis!$C$66,NPER(AU2,-AX2,-AP2),0)</f>
        <v>28.826407404605138</v>
      </c>
      <c r="AR2" s="64">
        <f>IF($B2=Analysis!$C$66,Analysis!$C$73,0)</f>
        <v>0.02</v>
      </c>
      <c r="AS2" s="1">
        <f>IF($B2&lt;Analysis!$C$66,0,IF($B2=Analysis!$C$66,-AP2*AR2,IF(AX2&gt;=0,0,AX2-AV2)))</f>
        <v>-13876.660000000003</v>
      </c>
      <c r="AT2" s="1">
        <f>IF($B2&lt;Analysis!$C$66,0,IF($B2=Analysis!$C$66,-AP2-AS2,MIN(0,AT1-AS2)))</f>
        <v>-679956.34000000008</v>
      </c>
      <c r="AU2" s="64">
        <f>IF($B2&lt;Analysis!$C$66,0,IF($B2=Analysis!$C$66,Analysis!$C$72,IF(($B2-Analysis!$C$66)&lt;LOOKUP(Analysis!$C$66,$B:$B,AQ:AQ),AU1,0)))</f>
        <v>3.6999999999999998E-2</v>
      </c>
      <c r="AV2" s="1">
        <f>IF($B2&lt;Analysis!$C$66,0,IF($B2=Analysis!$C$66,-AU2*AP2,AU1*AT1))</f>
        <v>-25671.821000000004</v>
      </c>
      <c r="AW2" s="1">
        <f>IF($B2&lt;Analysis!$C$66,0,IF($B2=Analysis!$C$66,PMT(AU2,AQ2,AP2)*AQ2-AX2-AT2,IF(($B2-Analysis!$C$66+1)&lt;LOOKUP(Analysis!$C$66,$B:$B,AQ:AQ),IF(AW1-AV2&lt;0, AW1-AV2,0),0)))</f>
        <v>-420535.80453928467</v>
      </c>
      <c r="AX2" s="1">
        <f>IF($B2&lt;Analysis!$C$66,0,IF($B2=Analysis!$C$66,AS2+AV2,IF(AT1&lt;0,IF(AT1&gt;LOOKUP(Analysis!$C$66,$B:$B,AX:AX), AT1*(1+AU1),AX1),0)))</f>
        <v>-39548.481000000007</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-82926.309778707422</v>
      </c>
      <c r="BY2" s="1">
        <f>$M2+$R2</f>
        <v>46800</v>
      </c>
      <c r="BZ2" s="1">
        <f>BY2+BX2</f>
        <v>-36126.309778707422</v>
      </c>
      <c r="CA2" s="1">
        <f>IF(BZ2&lt;0,Analysis!$C$7+BZ2,Analysis!$C$7)</f>
        <v>-12126.309778707422</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((1+Analysis!$C$112)/(1+$S2))-1</f>
        <v>2.941176470588247E-2</v>
      </c>
      <c r="CM2" s="1">
        <f>IF($B2=Analysis!$C$100,(CK2*(1+Analysis!$C$23+Analysis!$C$24+Analysis!$C$25))-IF($B2=$B$2,(Analysis!$C$6-Analysis!$C$7+Analysis!$C$105), (FU1-Analysis!$C$7+CV2)),0)</f>
        <v>387015.50000000006</v>
      </c>
      <c r="CN2" s="64">
        <f>IF($B2=Analysis!$C$100,Analysis!$C$103,0)</f>
        <v>0.02</v>
      </c>
      <c r="CO2" s="64">
        <f>IF(OR($B2&lt;Analysis!$C$100, $B2&gt;=Analysis!$C$101),0,IF($B2=Analysis!$C$100,Analysis!$C$102,IF(($B2-Analysis!$C$100)&lt;LOOKUP(Analysis!$C$100,$B:$B,CT:CT),CO1,0)))</f>
        <v>3.6999999999999998E-2</v>
      </c>
      <c r="CP2" s="1">
        <f>IF(OR($B2&lt;Analysis!$C$100, $B2&gt;=Analysis!$C$101),0,IF($B2=Analysis!$C$100,-CM2*CN2,IF(CS2&gt;=0,0,CS2-CR2)))</f>
        <v>-7740.3100000000013</v>
      </c>
      <c r="CQ2" s="1">
        <f>IF(OR($B2&lt;Analysis!$C$100, $B2&gt;=Analysis!$C$101),0,IF($B2=Analysis!$C$100,-CM2-CP2,MIN(0,CQ1-CP2)))</f>
        <v>-379275.19000000006</v>
      </c>
      <c r="CR2" s="1">
        <f>IF(OR($B2&lt;Analysis!$C$100, $B2&gt;=Analysis!$C$101),0,IF($B2=Analysis!$C$100,-CO2*CM2,CO1*CQ1))</f>
        <v>-14319.573500000002</v>
      </c>
      <c r="CS2" s="1">
        <f>IF(OR($B2&lt;Analysis!$C$100, $B2&gt;=Analysis!$C$101),0,IF($B2=Analysis!$C$100,CP2+CR2,IF(CQ1&lt;0,IF(CQ1&gt;LOOKUP(Analysis!$C$100,$B:$B,CS:CS), CQ1*(1+CO1),CS1),0)))</f>
        <v>-22059.883500000004</v>
      </c>
      <c r="CT2" s="65">
        <f>IF($B2=Analysis!$C$100,NPER(CO2,-CS2,-CM2),0)</f>
        <v>28.826407404605146</v>
      </c>
      <c r="CU2" s="1">
        <f>IF(OR($B2&lt;Analysis!$C$100, $B2&gt;=Analysis!$C$101),0,IF($B2=Analysis!$C$100,PMT(CO2,CT2,CM2)*CT2-CS2-CQ2,IF(($B2-Analysis!$C$100+1)&lt;LOOKUP(Analysis!$C$100,$B:$B,CT:CT),IF(CU1-CR2&lt;0, CU1-CR2,0),0)))</f>
        <v>-234572.11556912609</v>
      </c>
      <c r="CV2" s="1">
        <f>IF($B2=Analysis!$C$100,Analysis!$C$105,0)</f>
        <v>50000</v>
      </c>
      <c r="CW2" s="1">
        <f>IF($B2=Analysis!$C$100,PMT(CO2,CX2,CV2)*CX2,0)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$B2&gt;=Analysis!$C$101),0,((1+Analysis!$C$114)/(1+$S2))-1)</f>
        <v>2.941176470588247E-2</v>
      </c>
      <c r="DD2" s="1">
        <f t="shared" ref="DD2" si="7">DB2-DI2-DE2</f>
        <v>19065</v>
      </c>
      <c r="DE2" s="1">
        <f t="shared" ref="DE2:DE33" si="8">-DF2*CK2</f>
        <v>-1245</v>
      </c>
      <c r="DF2" s="64">
        <f>IF(OR($B2&lt;Analysis!$C$100, $B2&gt;=Analysis!$C$101),0,Analysis!$C$118)</f>
        <v>3.0000000000000001E-3</v>
      </c>
      <c r="DG2" s="1">
        <f t="shared" ref="DG2:DG33" si="9">-DH2*CK2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MIN(0,-(DB2+DR2)*Analysis!$C$28)-CR2*Analysis!$C$28</f>
        <v>6345.0030178500001</v>
      </c>
      <c r="DT2" s="1">
        <f>-Analysis!$C$116*DD2/12</f>
        <v>-1588.75</v>
      </c>
      <c r="DU2" s="53"/>
      <c r="DV2" s="1">
        <f t="shared" ref="DV2:DV33" si="10">-DW2*CK2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((1+Analysis!$C$112)/(1+$S2))-1</f>
        <v>2.941176470588247E-2</v>
      </c>
      <c r="ED2" s="1">
        <f>MAX(0,IF($B2=Analysis!$C$130,(EB2*(1+Analysis!$C$23+Analysis!$C$24+Analysis!$C$25))-(IF($B2=$B$2,(Analysis!$C$6-Analysis!$C$7+Analysis!$C$132), (FU1-Analysis!$C$7+EM2)) + IF($B2=Analysis!$C$101,DZ1+CQ1+CU1+CZ1,0)),0))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$P2+$N2+IF($B2&lt;Analysis!$C$130,$CI2+$CJ2,0)+CP2+CR2+CY2+DE2+DG2+MIN(DI2,SUM(DJ2:DN2))+DQ2+DS2+DT2+EG2+EJ2+EP2+ES2+EU2+MIN(EW2,SUM(EX2:FB2))+FD2</f>
        <v>-78633.459260857417</v>
      </c>
      <c r="FM2" s="1">
        <f>$M2+$R2+DD2+IF(AND($B2&lt;&gt;Analysis!$C$130,$B2=Analysis!$C$101),DZ1+CQ1+CU1+CZ1,0)</f>
        <v>65865</v>
      </c>
      <c r="FN2" s="1">
        <f>FM2+FL2</f>
        <v>-12768.459260857417</v>
      </c>
      <c r="FO2" s="1">
        <f>IF(FN2&lt;0,Analysis!$C$7+FN2,Analysis!$C$7)</f>
        <v>11231.540739142583</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((1+Analysis!$C$172)/(1+$S2))-1</f>
        <v>2.941176470588247E-2</v>
      </c>
      <c r="FY2" s="1">
        <f>IF($B2=Analysis!$C$159,(FW2*(1+Analysis!$C$23+Analysis!$C$24+Analysis!$C$25))-IF($B2=$B$2,(Analysis!$C$6-Analysis!$C$7+Analysis!$C$165), (HW1-Analysis!$C$7+GH2)),0)</f>
        <v>387015.50000000006</v>
      </c>
      <c r="FZ2" s="65">
        <f>IF($B2=Analysis!$C$159,NPER(GD2,-GG2,-FY2),0)</f>
        <v>28.826407404605146</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IF($B2&lt;Analysis!$C$159,0,IF($B2=Analysis!$C$159,Analysis!$C$160,IF(($B2-Analysis!$C$159)&lt;LOOKUP(Analysis!$C$159,$B:$B,FZ:FZ),GD1,0)))</f>
        <v>3.6999999999999998E-2</v>
      </c>
      <c r="GE2" s="1">
        <f>IF($B2&lt;Analysis!$C$159,0,IF($B2=Analysis!$C$159,-GD2*FY2,GD1*GC1))</f>
        <v>-14319.573500000002</v>
      </c>
      <c r="GF2" s="1">
        <f>IF($B2&lt;Analysis!$C$159,0,IF($B2=Analysis!$C$159,PMT(GD2,FZ2,FY2)*FZ2-GG2-GC2,IF(($B2-Analysis!$C$159+1)&lt;LOOKUP(Analysis!$C$159,$B:$B,FZ:FZ),IF(GF1-GE2&lt;0, GF1-GE2,0),0)))</f>
        <v>-234572.11556912609</v>
      </c>
      <c r="GG2" s="1">
        <f>IF($B2&lt;Analysis!$C$159,0,IF($B2=Analysis!$C$159,GB2+GE2,IF(GC1&lt;0,IF(GC1&gt;LOOKUP(Analysis!$C$159,$B:$B,GG:GG), GC1*(1+GD1),GG1),0)))</f>
        <v>-22059.883500000004</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IF($B2&lt;Analysis!$C$159,0,((1+Analysis!$C$174)/(1+$S2))-1)</f>
        <v>2.941176470588247E-2</v>
      </c>
      <c r="GP2" s="1">
        <f t="shared" ref="GP2" si="11">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6345.0030178500001</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-78633.459260857417</v>
      </c>
      <c r="HO2" s="1">
        <f t="shared" ref="HO2:HO33" si="12">$M2+$R2+$GP2</f>
        <v>65865</v>
      </c>
      <c r="HP2" s="1">
        <f>HO2+HN2</f>
        <v>-12768.459260857417</v>
      </c>
      <c r="HQ2" s="1">
        <f>IF(HP2&lt;0,Analysis!$C$7+HP2,Analysis!$C$7)</f>
        <v>11231.540739142583</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-423573.87104983191</v>
      </c>
      <c r="D3" s="1">
        <f>IF($B3&lt;Analysis!C$66, 0, BV3)+AT3+AW3+BC3+CG3+CA3</f>
        <v>-519488.94457924372</v>
      </c>
      <c r="E3" s="1">
        <f t="shared" ref="E3:E52" si="13">AK3+AF3</f>
        <v>80687.583303125168</v>
      </c>
      <c r="F3" s="1">
        <f t="shared" ref="F3:F52" si="14">AL3+AF3</f>
        <v>79564.180265749426</v>
      </c>
      <c r="G3" s="1">
        <f>IF(AND($B3&gt;=Analysis!$C$100, $B3&lt;Analysis!$C$101),$CK3,0)+IF($B3&gt;=Analysis!$C$130,EB3,0)+CQ3+CU3+CZ3+EH3+EK3+EQ3+$FO3+$FT3</f>
        <v>-189951.24588085728</v>
      </c>
      <c r="H3" s="1">
        <f t="shared" si="2"/>
        <v>-247639.29735144554</v>
      </c>
      <c r="I3" s="1">
        <f>IF($B3&lt;Analysis!$C$159,0,$FW3)+$GC3+$GF3+$GL3+$HQ3+$HV3</f>
        <v>-189951.24588085728</v>
      </c>
      <c r="J3" s="1">
        <f t="shared" si="3"/>
        <v>-247639.29735144554</v>
      </c>
      <c r="K3" s="36"/>
      <c r="L3" s="1">
        <f t="shared" ref="L3:L34" si="15">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22" si="16">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22" si="17">V$2</f>
        <v>0.26374999999999998</v>
      </c>
      <c r="W3" s="36"/>
      <c r="X3" s="1">
        <f>X2+X2*$Y2</f>
        <v>-16305.882352941178</v>
      </c>
      <c r="Y3" s="64">
        <f t="shared" ref="Y3:Y34" si="18">Y$2</f>
        <v>2.941176470588247E-2</v>
      </c>
      <c r="Z3" s="1">
        <f t="shared" ref="Z3:Z52" si="19">Z2*(1+$AA2)</f>
        <v>-3960</v>
      </c>
      <c r="AA3" s="64">
        <f t="shared" ref="AA3:AA34" si="20">AA$2</f>
        <v>0</v>
      </c>
      <c r="AB3" s="40"/>
      <c r="AC3" s="1">
        <f t="shared" si="4"/>
        <v>-70365.882352941175</v>
      </c>
      <c r="AD3" s="1">
        <f t="shared" si="5"/>
        <v>95894.117647058811</v>
      </c>
      <c r="AE3" s="1">
        <f t="shared" ref="AE3:AE52" si="21">AD3+AC3</f>
        <v>25528.235294117636</v>
      </c>
      <c r="AF3" s="1">
        <f>IF(AE3 &lt; 0,
    IF(AF2 + AE3 &gt; 0,
        AF2 + AE3, IF(AK2-ABS(AF2 + AE3)*(1+$V3) &gt;= AF2 + AE3,
        0, AF2 + AE3)),
    MIN(AF2 + AE3, Analysis!$C$7))+IF(AF2&lt;0, AF2*Analysis!$C$9,0)</f>
        <v>24000</v>
      </c>
      <c r="AG3" s="40"/>
      <c r="AH3" s="1">
        <f t="shared" ref="AH3:AH34" si="22">IF(AK2&gt;0,AK2*$U3,0)</f>
        <v>2220.1323227330199</v>
      </c>
      <c r="AI3" s="1">
        <f>IF(AE3 &gt;= 0,
    MAX(0, AF2 + AE3 - Analysis!$C$7),
    0)</f>
        <v>25528.235294117636</v>
      </c>
      <c r="AJ3" s="1">
        <f>MAX(0, AJ2 + AI3 - IF(AE3 &lt; 0, MIN(ABS(AE3), AJ2 + AI3), 0))</f>
        <v>52428.235294117636</v>
      </c>
      <c r="AK3" s="1">
        <f t="shared" ref="AK3:AK34" si="23">IF(AE3 &lt; 0,
    IF(AE3 + AF2 &lt; 0,
        MAX(0, AK2 - (ABS(AE3 + AF2) * (1+$V2))),
        AK2 + AH3),
    AK2 + AI3 + AH3)</f>
        <v>56687.583303125175</v>
      </c>
      <c r="AL3" s="1">
        <f t="shared" si="6"/>
        <v>55564.180265749434</v>
      </c>
      <c r="AM3" s="36"/>
      <c r="AN3" s="1">
        <f>AN2*(1+AO2)</f>
        <v>710294.11764705891</v>
      </c>
      <c r="AO3" s="64">
        <f t="shared" ref="AO3:AO34" si="24">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-14390.096420000005</v>
      </c>
      <c r="AT3" s="1">
        <f>IF($B3&lt;Analysis!$C$66,0,IF($B3=Analysis!$C$66,-AP3-AS3,MIN(0,AT2-AS3)))</f>
        <v>-665566.24358000013</v>
      </c>
      <c r="AU3" s="64">
        <f>IF($B3&lt;Analysis!$C$66,0,IF($B3=Analysis!$C$66,Analysis!$C$72,IF(($B3-Analysis!$C$66)&lt;LOOKUP(Analysis!$C$66,$B:$B,AQ:AQ),AU2,0)))</f>
        <v>3.6999999999999998E-2</v>
      </c>
      <c r="AV3" s="1">
        <f>IF($B3&lt;Analysis!$C$66,0,IF($B3=Analysis!$C$66,-AU3*AP3,AU2*AT2))</f>
        <v>-25158.384580000002</v>
      </c>
      <c r="AW3" s="1">
        <f>IF($B3&lt;Analysis!$C$66,0,IF($B3=Analysis!$C$66,PMT(AU3,AQ3,AP3)*AQ3-AX3-AT3,IF(($B3-Analysis!$C$66+1)&lt;LOOKUP(Analysis!$C$66,$B:$B,AQ:AQ),IF(AW2-AV3&lt;0, AW2-AV3,0),0)))</f>
        <v>-395377.41995928466</v>
      </c>
      <c r="AX3" s="1">
        <f>IF($B3&lt;Analysis!$C$66,0,IF($B3=Analysis!$C$66,AS3+AV3,IF(AT2&lt;0,IF(AT2&gt;LOOKUP(Analysis!$C$66,$B:$B,AX:AX), AT2*(1+AU2),AX2),0)))</f>
        <v>-39548.481000000007</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-2130.8823529411766</v>
      </c>
      <c r="BF3" s="64">
        <f>IF($B3&lt;Analysis!$C$66,0,Analysis!$C$78)</f>
        <v>3.0000000000000001E-3</v>
      </c>
      <c r="BG3" s="1">
        <f>IF($B3&lt;Analysis!$C$66,0,-BH3*AN3)</f>
        <v>-5327.2058823529414</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5">-BS3*AN3</f>
        <v>-90562.500000000015</v>
      </c>
      <c r="BS3" s="64">
        <f>IF($B3&lt;Analysis!C$66,0,Analysis!C$31)</f>
        <v>0.1275</v>
      </c>
      <c r="BT3" s="1">
        <f>IF($B3&lt;Analysis!$C$66,0,AN3+BR3)</f>
        <v>619731.61764705891</v>
      </c>
      <c r="BU3" s="1">
        <f>IF($B3-Analysis!$C$66&gt;3,0,IF($AN3&gt;LOOKUP(Analysis!$C$66,$B:$B, AN:AN),$V3*(LOOKUP(Analysis!$C$66,$B:$B, AN:AN)-AN3),0))</f>
        <v>-5352.5735294117876</v>
      </c>
      <c r="BV3" s="1">
        <f t="shared" ref="BV3:BV52" si="26">BT3+BU3</f>
        <v>614379.04411764711</v>
      </c>
      <c r="BW3" s="42"/>
      <c r="BX3" s="1">
        <f>IF($B3&lt;Analysis!$C$66,$P3+$N3+$X3+$Z3,$P3+$N3+AS3+AV3+BB3+BE3+BG3+MAX(BI3,SUM(BJ3:BN3))+BP3)</f>
        <v>-107139.39801400153</v>
      </c>
      <c r="BY3" s="1">
        <f t="shared" ref="BY3:BY33" si="27">$M3+$R3</f>
        <v>95894.117647058811</v>
      </c>
      <c r="BZ3" s="1">
        <f>BY3+BX3</f>
        <v>-11245.280366942723</v>
      </c>
      <c r="CA3" s="1">
        <f>IF(BZ3 &lt; 0,
    IF(CA2 + BZ3 &gt; 0,
        CA2 + BZ3, IF(CF2-ABS(CA2 + BZ3)*(1+$V3) &gt;= CA2 + BZ3,
        0, CA2 + BZ3)),
    MIN(CA2 + BZ3, Analysis!$C$7))+IF(CA2&lt;0, CA2*Analysis!$C$9,0)</f>
        <v>-24341.694927946737</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8">IF(CF3-CE3&gt;0, CF3-$V3*(CF3-CE3),CF3)</f>
        <v>0</v>
      </c>
      <c r="CH3" s="36"/>
      <c r="CI3" s="1">
        <f>IF(OR($B3&lt;Analysis!$C$100, $B3&gt;=Analysis!$C$130),0,X3)</f>
        <v>-16305.882352941178</v>
      </c>
      <c r="CJ3" s="1">
        <f>IF(OR($B3&lt;Analysis!$C$100, $B3&gt;=Analysis!$C$130),0,Z3)</f>
        <v>-3960</v>
      </c>
      <c r="CK3" s="1">
        <f>CK2*(1+$CL2)</f>
        <v>427205.8823529412</v>
      </c>
      <c r="CL3" s="64">
        <f>$CL$2</f>
        <v>2.941176470588247E-2</v>
      </c>
      <c r="CM3" s="1">
        <f>IF($B3=Analysis!$C$100,(CK3*(1+Analysis!$C$23+Analysis!$C$24+Analysis!$C$25))-IF($B3=$B$2,(Analysis!$C$6-Analysis!$C$7+Analysis!$C$105), (FU2-Analysis!$C$7+CV3)),0)</f>
        <v>0</v>
      </c>
      <c r="CN3" s="64">
        <f>IF($B3=Analysis!$C$100,Analysis!$C$103,0)</f>
        <v>0</v>
      </c>
      <c r="CO3" s="64">
        <f>IF(OR($B3&lt;Analysis!$C$100, $B3&gt;=Analysis!$C$101),0,IF($B3=Analysis!$C$100,Analysis!$C$102,IF(($B3-Analysis!$C$100)&lt;LOOKUP(Analysis!$C$100,$B:$B,CT:CT),CO2,0)))</f>
        <v>3.6999999999999998E-2</v>
      </c>
      <c r="CP3" s="1">
        <f>IF(OR($B3&lt;Analysis!$C$100, $B3&gt;=Analysis!$C$101),0,IF($B3=Analysis!$C$100,-CM3*CN3,IF(CS3&gt;=0,0,CS3-CR3)))</f>
        <v>-8026.7014700000018</v>
      </c>
      <c r="CQ3" s="1">
        <f>IF(OR($B3&lt;Analysis!$C$100, $B3&gt;=Analysis!$C$101),0,IF($B3=Analysis!$C$100,-CM3-CP3,MIN(0,CQ2-CP3)))</f>
        <v>-371248.48853000003</v>
      </c>
      <c r="CR3" s="1">
        <f>IF(OR($B3&lt;Analysis!$C$100, $B3&gt;=Analysis!$C$101),0,IF($B3=Analysis!$C$100,-CO3*CM3,CO2*CQ2))</f>
        <v>-14033.182030000002</v>
      </c>
      <c r="CS3" s="1">
        <f>IF(OR($B3&lt;Analysis!$C$100, $B3&gt;=Analysis!$C$101),0,IF($B3=Analysis!$C$100,CP3+CR3,IF(CQ2&lt;0,IF(CQ2&gt;LOOKUP(Analysis!$C$100,$B:$B,CS:CS), CQ2*(1+CO2),CS2),0)))</f>
        <v>-22059.883500000004</v>
      </c>
      <c r="CT3" s="65">
        <f>IF($B3=Analysis!$C$100,NPER(CO3,-CS3,-CM3),0)</f>
        <v>0</v>
      </c>
      <c r="CU3" s="1">
        <f>IF(OR($B3&lt;Analysis!$C$100, $B3&gt;=Analysis!$C$101),0,IF($B3=Analysis!$C$100,PMT(CO3,CT3,CM3)*CT3-CS3-CQ3,IF(($B3-Analysis!$C$100+1)&lt;LOOKUP(Analysis!$C$100,$B:$B,CT:CT),IF(CU2-CR3&lt;0, CU2-CR3,0),0)))</f>
        <v>-220538.9335391261</v>
      </c>
      <c r="CV3" s="1">
        <f>IF($B3=Analysis!$C$100,Analysis!$C$105,0)</f>
        <v>0</v>
      </c>
      <c r="CW3" s="1">
        <f>IF($B3=Analysis!$C$100,PMT(CO3,CX3,CV3)*CX3,0)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14267.647058823532</v>
      </c>
      <c r="DC3" s="64">
        <f>IF(OR($B3&lt;Analysis!$C$100, $B3&gt;=Analysis!$C$101),0,((1+Analysis!$C$114)/(1+$S3))-1)</f>
        <v>2.941176470588247E-2</v>
      </c>
      <c r="DD3" s="1">
        <f t="shared" ref="DD3:DD52" si="29">DB3-DI3-DE3</f>
        <v>19509.264705882357</v>
      </c>
      <c r="DE3" s="1">
        <f t="shared" si="8"/>
        <v>-1281.6176470588236</v>
      </c>
      <c r="DF3" s="64">
        <f>IF(OR($B3&lt;Analysis!$C$100, $B3&gt;=Analysis!$C$101),0,Analysis!$C$118)</f>
        <v>3.0000000000000001E-3</v>
      </c>
      <c r="DG3" s="1">
        <f t="shared" si="9"/>
        <v>-3204.044117647059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-1070.0735294117649</v>
      </c>
      <c r="DR3" s="1">
        <f t="shared" ref="DR3:DR52" si="30">DE3+DG3+MIN(DI3,SUM(DJ3:DN3))+DP3+DQ3</f>
        <v>-17815.735294117647</v>
      </c>
      <c r="DS3" s="1">
        <f>MIN(0,-(DB3+DR3)*Analysis!$C$28)-CR3*Analysis!$C$28</f>
        <v>6218.1029574929998</v>
      </c>
      <c r="DT3" s="1">
        <f>-Analysis!$C$116*DD3/12</f>
        <v>-1625.7720588235297</v>
      </c>
      <c r="DU3" s="53"/>
      <c r="DV3" s="1">
        <f t="shared" si="10"/>
        <v>-54468.750000000007</v>
      </c>
      <c r="DW3" s="64">
        <f>IF(OR($B3&lt;Analysis!$C$100, $B3&gt;=Analysis!$C$101),0,IF($B3=Analysis!$C$100,Analysis!$C$31,DW2))</f>
        <v>0.1275</v>
      </c>
      <c r="DX3" s="1">
        <f>IF(OR($B3&lt;Analysis!$C$100, $B3&gt;=Analysis!$C$101),0,CK3+DV3)</f>
        <v>372737.1323529412</v>
      </c>
      <c r="DY3" s="1">
        <f>IF(OR($B3&lt;Analysis!$C$100, $B3&gt;=Analysis!$C$101),0,IF($B3-Analysis!$C$100&gt;3,0,IF(CK3&gt;LOOKUP(Analysis!$C$100,$B:$B, CK:CK),$V3*(LOOKUP(Analysis!$C$100,$B:$B, CK:CK)-CK3),0)))</f>
        <v>-3219.3014705882424</v>
      </c>
      <c r="DZ3" s="1">
        <f>DX3+DY3</f>
        <v>369517.83088235295</v>
      </c>
      <c r="EA3" s="53"/>
      <c r="EB3" s="1">
        <f t="shared" ref="EB3:EB34" si="31">EB2*(1+EC2)</f>
        <v>710294.11764705891</v>
      </c>
      <c r="EC3" s="64">
        <f>EC$2</f>
        <v>2.941176470588247E-2</v>
      </c>
      <c r="ED3" s="1">
        <f>MAX(0,IF($B3=Analysis!$C$130,(EB3*(1+Analysis!$C$23+Analysis!$C$24+Analysis!$C$25))-(IF($B3=$B$2,(Analysis!$C$6-Analysis!$C$7+Analysis!$C$132), (FU2-Analysis!$C$7+EM3)) + IF($B3=Analysis!$C$101,DZ2+CQ2+CU2+CZ2,0)),0))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$P3+$N3+IF($B3&lt;Analysis!$C$130,$CI3+$CJ3,0)+CP3+CR3+CY3+DE3+DG3+MIN(DI3,SUM(DJ3:DN3))+DQ3+DS3+DT3+EG3+EJ3+EP3+ES3+EU3+MIN(EW3,SUM(EX3:FB3))+FD3</f>
        <v>-103421.99902709677</v>
      </c>
      <c r="FM3" s="1">
        <f>$M3+$R3+DD3+IF(AND($B3&lt;&gt;Analysis!$C$130,$B3=Analysis!$C$101),DZ2+CQ2+CU2+CZ2,0)</f>
        <v>115403.38235294117</v>
      </c>
      <c r="FN3" s="1">
        <f t="shared" ref="FN3:FN52" si="34">FM3+FL3</f>
        <v>11981.383325844406</v>
      </c>
      <c r="FO3" s="1">
        <f>IF(FN3 &lt; 0,
    IF(FO2 + FN3 &gt; 0,
        FO2 + FN3, IF(FT2-ABS(FO2 + FN3)*(1+$V3) &gt;= FO2 + FN3,
        0, FO2 + FN3)),
    MIN(FO2 + FN3, Analysis!$C$7))+IF(FO2&lt;0, FO2*Analysis!$C$9,0)</f>
        <v>23212.92406498699</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427205.8823529412</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-8026.7014700000018</v>
      </c>
      <c r="GC3" s="1">
        <f>IF($B3&lt;Analysis!$C$159,0,IF($B3=Analysis!$C$159,-FY3-GB3,MIN(0,GC2-GB3)))</f>
        <v>-371248.48853000003</v>
      </c>
      <c r="GD3" s="64">
        <f>IF($B3&lt;Analysis!$C$159,0,IF($B3=Analysis!$C$159,Analysis!$C$160,IF(($B3-Analysis!$C$159)&lt;LOOKUP(Analysis!$C$159,$B:$B,FZ:FZ),GD2,0)))</f>
        <v>3.6999999999999998E-2</v>
      </c>
      <c r="GE3" s="1">
        <f>IF($B3&lt;Analysis!$C$159,0,IF($B3=Analysis!$C$159,-GD3*FY3,GD2*GC2))</f>
        <v>-14033.182030000002</v>
      </c>
      <c r="GF3" s="1">
        <f>IF($B3&lt;Analysis!$C$159,0,IF($B3=Analysis!$C$159,PMT(GD3,FZ3,FY3)*FZ3-GG3-GC3,IF(($B3-Analysis!$C$159+1)&lt;LOOKUP(Analysis!$C$159,$B:$B,FZ:FZ),IF(GF2-GE3&lt;0, GF2-GE3,0),0)))</f>
        <v>-220538.9335391261</v>
      </c>
      <c r="GG3" s="1">
        <f>IF($B3&lt;Analysis!$C$159,0,IF($B3=Analysis!$C$159,GB3+GE3,IF(GC2&lt;0,IF(GC2&gt;LOOKUP(Analysis!$C$159,$B:$B,GG:GG), GC2*(1+GD2),GG2),0)))</f>
        <v>-22059.883500000004</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14267.647058823532</v>
      </c>
      <c r="GO3" s="64">
        <f>IF($B3&lt;Analysis!$C$159,0,((1+Analysis!$C$174)/(1+$S3))-1)</f>
        <v>2.941176470588247E-2</v>
      </c>
      <c r="GP3" s="1">
        <f t="shared" ref="GP3:GP52" si="36">GN3-GU3-GQ3</f>
        <v>19509.264705882357</v>
      </c>
      <c r="GQ3" s="1">
        <f t="shared" ref="GQ3:GQ52" si="37">-GR3*FW3</f>
        <v>-1281.6176470588236</v>
      </c>
      <c r="GR3" s="64">
        <f>IF($B3&lt;Analysis!$C$159,0,Analysis!$C$178)</f>
        <v>3.0000000000000001E-3</v>
      </c>
      <c r="GS3" s="1">
        <f t="shared" ref="GS3:GS52" si="38">-GT3*FW3</f>
        <v>-3204.044117647059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-1070.0735294117649</v>
      </c>
      <c r="HD3" s="1">
        <f t="shared" ref="HD3:HD52" si="39">GQ3+GS3+MIN(GU3,SUM(GV3:GZ3))+HB3+HC3</f>
        <v>-17815.735294117647</v>
      </c>
      <c r="HE3" s="1">
        <f>MIN(0,-(GN3+HD3)*Analysis!$C$28)-GE3*Analysis!$C$28</f>
        <v>6218.1029574929998</v>
      </c>
      <c r="HF3" s="1">
        <f>-Analysis!$C$176*GP3/12</f>
        <v>-1625.7720588235297</v>
      </c>
      <c r="HG3" s="38"/>
      <c r="HH3" s="1">
        <f>IF($B3&lt;Analysis!$C$159,0,-$HI3*$FW3)</f>
        <v>-54468.750000000007</v>
      </c>
      <c r="HI3" s="64">
        <f>IF($B3&lt;Analysis!$C$159,0,IF($B3=Analysis!$C$159,Analysis!$C$31,HI2))</f>
        <v>0.1275</v>
      </c>
      <c r="HJ3" s="1">
        <f>IF($B3&lt;Analysis!$C$159,0,$FW3+HH3)</f>
        <v>372737.1323529412</v>
      </c>
      <c r="HK3" s="1">
        <f>IF($B3-Analysis!$C$159&gt;10,0,IF($FW3&gt;LOOKUP(Analysis!$C$159,$B:$B, FW:FW),$V3*(LOOKUP(Analysis!$C$159,$B:$B, FW:FW)-FW3),0))</f>
        <v>-3219.3014705882424</v>
      </c>
      <c r="HL3" s="1">
        <f t="shared" ref="HL3:HL52" si="40">HJ3+HK3</f>
        <v>369517.83088235295</v>
      </c>
      <c r="HM3" s="38"/>
      <c r="HN3" s="1">
        <f t="shared" ref="HN3:HN52" si="41">$P3+$N3+$X3+$Z3+GB3+GE3+GK3+GQ3+GS3+MIN(GU3,SUM(GV3:GZ3))+HC3+HE3+HF3</f>
        <v>-103421.99902709677</v>
      </c>
      <c r="HO3" s="1">
        <f t="shared" si="12"/>
        <v>115403.38235294117</v>
      </c>
      <c r="HP3" s="1">
        <f t="shared" ref="HP3:HP52" si="42">HO3+HN3</f>
        <v>11981.383325844406</v>
      </c>
      <c r="HQ3" s="1">
        <f>IF(HP3 &lt; 0,
    IF(HQ2 + HP3 &gt; 0,
        HQ2 + HP3, IF(HV2-ABS(HQ2 + HP3)*(1+$V3) &gt;= HQ2 + HP3,
        0, HQ2 + HP3)),
    MIN(HQ2 + HP3, Analysis!$C$7))+IF(HQ2&lt;0, HQ2*Analysis!$C$9,0)</f>
        <v>23212.92406498699</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3">IF(HV3-HU3&gt;0, HV3-$V3*(HV3-HU3),HV3)</f>
        <v>0</v>
      </c>
      <c r="HX3" s="36"/>
    </row>
    <row r="4" spans="1:232" x14ac:dyDescent="0.35">
      <c r="A4">
        <f t="shared" si="0"/>
        <v>37</v>
      </c>
      <c r="B4">
        <v>2027</v>
      </c>
      <c r="C4" s="1">
        <f>IF($B4&lt;Analysis!C$66,0,$AN4)+$AT4+$AW4+$BC4+$CF4+$CA4</f>
        <v>-396520.58813195693</v>
      </c>
      <c r="D4" s="1">
        <f>IF($B4&lt;Analysis!C$66, 0, BV4)+AT4+AW4+BC4+CG4+CA4</f>
        <v>-500609.26676517498</v>
      </c>
      <c r="E4" s="1">
        <f t="shared" si="13"/>
        <v>83940.902535110043</v>
      </c>
      <c r="F4" s="1">
        <f t="shared" si="14"/>
        <v>81432.776169675461</v>
      </c>
      <c r="G4" s="1">
        <f>IF(AND($B4&gt;=Analysis!$C$100, $B4&lt;Analysis!$C$101),$CK4,0)+IF($B4&gt;=Analysis!$C$130,EB4,0)+CQ4+CU4+CZ4+EH4+EK4+EQ4+$FO4+$FT4</f>
        <v>-163674.69395204441</v>
      </c>
      <c r="H4" s="1">
        <f t="shared" si="2"/>
        <v>-226278.75428941468</v>
      </c>
      <c r="I4" s="1">
        <f>IF($B4&lt;Analysis!$C$159,0,$FW4)+$GC4+$GF4+$GL4+$HQ4+$HV4</f>
        <v>-163674.69395204441</v>
      </c>
      <c r="J4" s="1">
        <f t="shared" si="3"/>
        <v>-226278.75428941468</v>
      </c>
      <c r="K4" s="36"/>
      <c r="L4" s="1">
        <f t="shared" si="15"/>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4">Q$2</f>
        <v>0</v>
      </c>
      <c r="R4" s="1">
        <f>IF(AND(AND(B4=Analysis!C$35,Analysis!C$34&lt;&gt;0),AND(B4=Analysis!C$37,Analysis!C$36&lt;&gt;0)),Analysis!C$34+Analysis!C$36,IF(AND(B4=Analysis!C$35,Analysis!C$34&lt;&gt;0),Analysis!C$34,IF(AND(B4=Analysis!C$37,Analysis!C$36&lt;&gt;0),Analysis!C$36,0)))</f>
        <v>0</v>
      </c>
      <c r="S4" s="64">
        <f t="shared" si="16"/>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7"/>
        <v>0.26374999999999998</v>
      </c>
      <c r="W4" s="36"/>
      <c r="X4" s="1">
        <f t="shared" ref="X4:X34" si="45">X3+X3*$Y3</f>
        <v>-16785.467128027685</v>
      </c>
      <c r="Y4" s="64">
        <f t="shared" si="18"/>
        <v>2.941176470588247E-2</v>
      </c>
      <c r="Z4" s="1">
        <f t="shared" si="19"/>
        <v>-3960</v>
      </c>
      <c r="AA4" s="64">
        <f t="shared" si="20"/>
        <v>0</v>
      </c>
      <c r="AB4" s="40"/>
      <c r="AC4" s="1">
        <f t="shared" si="4"/>
        <v>-48945.467128027682</v>
      </c>
      <c r="AD4" s="1">
        <f t="shared" si="5"/>
        <v>47947.058823529405</v>
      </c>
      <c r="AE4" s="1">
        <f t="shared" si="21"/>
        <v>-998.40830449827627</v>
      </c>
      <c r="AF4" s="1">
        <f>IF(AE4 &lt; 0,
    IF(AF3 + AE4 &gt; 0,
        AF3 + AE4, IF(AK3-ABS(AF3 + AE4)*(1+$V4) &gt;= AF3 + AE4,
        0, AF3 + AE4)),
    MIN(AF3 + AE4, Analysis!$C$7))+IF(AF3&lt;0, AF3*Analysis!$C$9,0)</f>
        <v>23001.591695501724</v>
      </c>
      <c r="AG4" s="40"/>
      <c r="AH4" s="1">
        <f t="shared" si="22"/>
        <v>4251.7275364831467</v>
      </c>
      <c r="AI4" s="1">
        <f>IF(AE4 &gt;= 0,
    MAX(0, AF3 + AE4 - Analysis!$C$7),
    0)</f>
        <v>0</v>
      </c>
      <c r="AJ4" s="1">
        <f t="shared" ref="AJ4:AJ52" si="46">MAX(0, AJ3 + AI4 - IF(AE4 &lt; 0, MIN(ABS(AE4), AJ3 + AI4), 0))</f>
        <v>51429.82698961936</v>
      </c>
      <c r="AK4" s="1">
        <f t="shared" si="23"/>
        <v>60939.310839608319</v>
      </c>
      <c r="AL4" s="1">
        <f t="shared" si="6"/>
        <v>58431.18447417373</v>
      </c>
      <c r="AM4" s="36"/>
      <c r="AN4" s="1">
        <f t="shared" ref="AN4:AN52" si="47">AN3*(1+AO3)</f>
        <v>731185.12110726663</v>
      </c>
      <c r="AO4" s="64">
        <f t="shared" si="24"/>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-14922.529987540005</v>
      </c>
      <c r="AT4" s="1">
        <f>IF($B4&lt;Analysis!$C$66,0,IF($B4=Analysis!$C$66,-AP4-AS4,MIN(0,AT3-AS4)))</f>
        <v>-650643.71359246015</v>
      </c>
      <c r="AU4" s="64">
        <f>IF($B4&lt;Analysis!$C$66,0,IF($B4=Analysis!$C$66,Analysis!$C$72,IF(($B4-Analysis!$C$66)&lt;LOOKUP(Analysis!$C$66,$B:$B,AQ:AQ),AU3,0)))</f>
        <v>3.6999999999999998E-2</v>
      </c>
      <c r="AV4" s="1">
        <f>IF($B4&lt;Analysis!$C$66,0,IF($B4=Analysis!$C$66,-AU4*AP4,AU3*AT3))</f>
        <v>-24625.951012460002</v>
      </c>
      <c r="AW4" s="1">
        <f>IF($B4&lt;Analysis!$C$66,0,IF($B4=Analysis!$C$66,PMT(AU4,AQ4,AP4)*AQ4-AX4-AT4,IF(($B4-Analysis!$C$66+1)&lt;LOOKUP(Analysis!$C$66,$B:$B,AQ:AQ),IF(AW3-AV4&lt;0, AW3-AV4,0),0)))</f>
        <v>-370751.46894682467</v>
      </c>
      <c r="AX4" s="1">
        <f>IF($B4&lt;Analysis!$C$66,0,IF($B4=Analysis!$C$66,AS4+AV4,IF(AT3&lt;0,IF(AT3&gt;LOOKUP(Analysis!$C$66,$B:$B,AX:AX), AT3*(1+AU3),AX3),0)))</f>
        <v>-39548.481000000007</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-2193.5553633218001</v>
      </c>
      <c r="BF4" s="64">
        <f>IF($B4&lt;Analysis!$C$66,0,Analysis!$C$78)</f>
        <v>3.0000000000000001E-3</v>
      </c>
      <c r="BG4" s="1">
        <f>IF($B4&lt;Analysis!$C$66,0,-BH4*AN4)</f>
        <v>-5483.8884083044995</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5"/>
        <v>-93226.10294117649</v>
      </c>
      <c r="BS4" s="64">
        <f>IF($B4&lt;Analysis!C$66,0,Analysis!C$31)</f>
        <v>0.1275</v>
      </c>
      <c r="BT4" s="1">
        <f>IF($B4&lt;Analysis!$C$66,0,AN4+BR4)</f>
        <v>637959.01816609013</v>
      </c>
      <c r="BU4" s="1">
        <f>IF($B4-Analysis!$C$66&gt;3,0,IF($AN4&gt;LOOKUP(Analysis!$C$66,$B:$B, AN:AN),$V4*(LOOKUP(Analysis!$C$66,$B:$B, AN:AN)-AN4),0))</f>
        <v>-10862.575692041573</v>
      </c>
      <c r="BV4" s="1">
        <f>BT4+BU4</f>
        <v>627096.44247404858</v>
      </c>
      <c r="BW4" s="42"/>
      <c r="BX4" s="1">
        <f>IF($B4&lt;Analysis!$C$66,$P4+$N4+$X4+$Z4,$P4+$N4+AS4+AV4+BB4+BE4+BG4+MAX(BI4,SUM(BJ4:BN4))+BP4)</f>
        <v>-85458.753550333728</v>
      </c>
      <c r="BY4" s="1">
        <f t="shared" si="27"/>
        <v>47947.058823529405</v>
      </c>
      <c r="BZ4" s="1">
        <f t="shared" ref="BZ4:BZ52" si="48">BY4+BX4</f>
        <v>-37511.694726804322</v>
      </c>
      <c r="CA4" s="1">
        <f>IF(BZ4 &lt; 0,
    IF(CA3 + BZ4 &gt; 0,
        CA3 + BZ4, IF(CF3-ABS(CA3 + BZ4)*(1+$V4) &gt;= CA3 + BZ4,
        0, CA3 + BZ4)),
    MIN(CA3 + BZ4, Analysis!$C$7))+IF(CA3&lt;0, CA3*Analysis!$C$9,0)</f>
        <v>-63800.725248986797</v>
      </c>
      <c r="CB4" s="42"/>
      <c r="CC4" s="1">
        <f t="shared" ref="CC4:CC52" si="49">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8"/>
        <v>0</v>
      </c>
      <c r="CH4" s="36"/>
      <c r="CI4" s="1">
        <f>IF(OR($B4&lt;Analysis!$C$100, $B4&gt;=Analysis!$C$130),0,X4)</f>
        <v>-16785.467128027685</v>
      </c>
      <c r="CJ4" s="1">
        <f>IF(OR($B4&lt;Analysis!$C$100, $B4&gt;=Analysis!$C$130),0,Z4)</f>
        <v>-3960</v>
      </c>
      <c r="CK4" s="1">
        <f t="shared" ref="CK4:CK34" si="50">CK3*(1+$CL3)</f>
        <v>439770.7612456748</v>
      </c>
      <c r="CL4" s="64">
        <f t="shared" ref="CL4:CL52" si="51">$CL$2</f>
        <v>2.941176470588247E-2</v>
      </c>
      <c r="CM4" s="1">
        <f>IF($B4=Analysis!$C$100,(CK4*(1+Analysis!$C$23+Analysis!$C$24+Analysis!$C$25))-IF($B4=$B$2,(Analysis!$C$6-Analysis!$C$7+Analysis!$C$105), (FU3-Analysis!$C$7+CV4)),0)</f>
        <v>0</v>
      </c>
      <c r="CN4" s="64">
        <f>IF($B4=Analysis!$C$100,Analysis!$C$103,0)</f>
        <v>0</v>
      </c>
      <c r="CO4" s="64">
        <f>IF(OR($B4&lt;Analysis!$C$100, $B4&gt;=Analysis!$C$101),0,IF($B4=Analysis!$C$100,Analysis!$C$102,IF(($B4-Analysis!$C$100)&lt;LOOKUP(Analysis!$C$100,$B:$B,CT:CT),CO3,0)))</f>
        <v>3.6999999999999998E-2</v>
      </c>
      <c r="CP4" s="1">
        <f>IF(OR($B4&lt;Analysis!$C$100, $B4&gt;=Analysis!$C$101),0,IF($B4=Analysis!$C$100,-CM4*CN4,IF(CS4&gt;=0,0,CS4-CR4)))</f>
        <v>-8323.6894243900024</v>
      </c>
      <c r="CQ4" s="1">
        <f>IF(OR($B4&lt;Analysis!$C$100, $B4&gt;=Analysis!$C$101),0,IF($B4=Analysis!$C$100,-CM4-CP4,MIN(0,CQ3-CP4)))</f>
        <v>-362924.79910561</v>
      </c>
      <c r="CR4" s="1">
        <f>IF(OR($B4&lt;Analysis!$C$100, $B4&gt;=Analysis!$C$101),0,IF($B4=Analysis!$C$100,-CO4*CM4,CO3*CQ3))</f>
        <v>-13736.194075610001</v>
      </c>
      <c r="CS4" s="1">
        <f>IF(OR($B4&lt;Analysis!$C$100, $B4&gt;=Analysis!$C$101),0,IF($B4=Analysis!$C$100,CP4+CR4,IF(CQ3&lt;0,IF(CQ3&gt;LOOKUP(Analysis!$C$100,$B:$B,CS:CS), CQ3*(1+CO3),CS3),0)))</f>
        <v>-22059.883500000004</v>
      </c>
      <c r="CT4" s="65">
        <f>IF($B4=Analysis!$C$100,NPER(CO4,-CS4,-CM4),0)</f>
        <v>0</v>
      </c>
      <c r="CU4" s="1">
        <f>IF(OR($B4&lt;Analysis!$C$100, $B4&gt;=Analysis!$C$101),0,IF($B4=Analysis!$C$100,PMT(CO4,CT4,CM4)*CT4-CS4-CQ4,IF(($B4-Analysis!$C$100+1)&lt;LOOKUP(Analysis!$C$100,$B:$B,CT:CT),IF(CU3-CR4&lt;0, CU3-CR4,0),0)))</f>
        <v>-206802.7394635161</v>
      </c>
      <c r="CV4" s="1">
        <f>IF($B4=Analysis!$C$100,Analysis!$C$105,0)</f>
        <v>0</v>
      </c>
      <c r="CW4" s="1">
        <f>IF($B4=Analysis!$C$100,PMT(CO4,CX4,CV4)*CX4,0)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14687.283737024225</v>
      </c>
      <c r="DC4" s="64">
        <f>IF(OR($B4&lt;Analysis!$C$100, $B4&gt;=Analysis!$C$101),0,((1+Analysis!$C$114)/(1+$S4))-1)</f>
        <v>2.941176470588247E-2</v>
      </c>
      <c r="DD4" s="1">
        <f t="shared" si="29"/>
        <v>19966.596020761252</v>
      </c>
      <c r="DE4" s="1">
        <f t="shared" si="8"/>
        <v>-1319.3122837370245</v>
      </c>
      <c r="DF4" s="64">
        <f>IF(OR($B4&lt;Analysis!$C$100, $B4&gt;=Analysis!$C$101),0,Analysis!$C$118)</f>
        <v>3.0000000000000001E-3</v>
      </c>
      <c r="DG4" s="1">
        <f t="shared" si="9"/>
        <v>-3298.2807093425608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-1101.5462802768168</v>
      </c>
      <c r="DR4" s="1">
        <f t="shared" si="30"/>
        <v>-17979.139273356403</v>
      </c>
      <c r="DS4" s="1">
        <f>MIN(0,-(DB4+DR4)*Analysis!$C$28)-CR4*Analysis!$C$28</f>
        <v>6086.5075949027905</v>
      </c>
      <c r="DT4" s="1">
        <f>-Analysis!$C$116*DD4/12</f>
        <v>-1663.8830017301043</v>
      </c>
      <c r="DU4" s="53"/>
      <c r="DV4" s="1">
        <f t="shared" si="10"/>
        <v>-56070.772058823539</v>
      </c>
      <c r="DW4" s="64">
        <f>IF(OR($B4&lt;Analysis!$C$100, $B4&gt;=Analysis!$C$101),0,IF($B4=Analysis!$C$100,Analysis!$C$31,DW3))</f>
        <v>0.1275</v>
      </c>
      <c r="DX4" s="1">
        <f>IF(OR($B4&lt;Analysis!$C$100, $B4&gt;=Analysis!$C$101),0,CK4+DV4)</f>
        <v>383699.98918685125</v>
      </c>
      <c r="DY4" s="1">
        <f>IF(OR($B4&lt;Analysis!$C$100, $B4&gt;=Analysis!$C$101),0,IF($B4-Analysis!$C$100&gt;3,0,IF(CK4&gt;LOOKUP(Analysis!$C$100,$B:$B, CK:CK),$V4*(LOOKUP(Analysis!$C$100,$B:$B, CK:CK)-CK4),0)))</f>
        <v>-6533.2882785467291</v>
      </c>
      <c r="DZ4" s="1">
        <f t="shared" ref="DZ4:DZ52" si="52">DX4+DY4</f>
        <v>377166.70090830454</v>
      </c>
      <c r="EA4" s="53"/>
      <c r="EB4" s="1">
        <f t="shared" si="31"/>
        <v>731185.12110726663</v>
      </c>
      <c r="EC4" s="64">
        <f t="shared" ref="EC4:EC52" si="53">EC$2</f>
        <v>2.941176470588247E-2</v>
      </c>
      <c r="ED4" s="1">
        <f>MAX(0,IF($B4=Analysis!$C$130,(EB4*(1+Analysis!$C$23+Analysis!$C$24+Analysis!$C$25))-(IF($B4=$B$2,(Analysis!$C$6-Analysis!$C$7+Analysis!$C$132), (FU3-Analysis!$C$7+EM4)) + IF($B4=Analysis!$C$101,DZ3+CQ3+CU3+CZ3,0)),0))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$P4+$N4+IF($B4&lt;Analysis!$C$130,$CI4+$CJ4,0)+CP4+CR4+CY4+DE4+DG4+MIN(DI4,SUM(DJ4:DN4))+DQ4+DS4+DT4+EG4+EJ4+EP4+ES4+EU4+MIN(EW4,SUM(EX4:FB4))+FD4</f>
        <v>-82334.694086918826</v>
      </c>
      <c r="FM4" s="1">
        <f>$M4+$R4+DD4+IF(AND($B4&lt;&gt;Analysis!$C$130,$B4=Analysis!$C$101),DZ3+CQ3+CU3+CZ3,0)</f>
        <v>67913.654844290664</v>
      </c>
      <c r="FN4" s="1">
        <f t="shared" si="34"/>
        <v>-14421.039242628161</v>
      </c>
      <c r="FO4" s="1">
        <f>IF(FN4 &lt; 0,
    IF(FO3 + FN4 &gt; 0,
        FO3 + FN4, IF(FT3-ABS(FO3 + FN4)*(1+$V4) &gt;= FO3 + FN4,
        0, FO3 + FN4)),
    MIN(FO3 + FN4, Analysis!$C$7))+IF(FO3&lt;0, FO3*Analysis!$C$9,0)</f>
        <v>8791.8848223588284</v>
      </c>
      <c r="FP4" s="53"/>
      <c r="FQ4" s="1">
        <f t="shared" ref="FQ4:FQ52" si="54">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5">FW3*(1+$FX3)</f>
        <v>439770.7612456748</v>
      </c>
      <c r="FX4" s="64">
        <f t="shared" ref="FX4:FX52" si="56">$FX$2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-8323.6894243900024</v>
      </c>
      <c r="GC4" s="1">
        <f>IF($B4&lt;Analysis!$C$159,0,IF($B4=Analysis!$C$159,-FY4-GB4,MIN(0,GC3-GB4)))</f>
        <v>-362924.79910561</v>
      </c>
      <c r="GD4" s="64">
        <f>IF($B4&lt;Analysis!$C$159,0,IF($B4=Analysis!$C$159,Analysis!$C$160,IF(($B4-Analysis!$C$159)&lt;LOOKUP(Analysis!$C$159,$B:$B,FZ:FZ),GD3,0)))</f>
        <v>3.6999999999999998E-2</v>
      </c>
      <c r="GE4" s="1">
        <f>IF($B4&lt;Analysis!$C$159,0,IF($B4=Analysis!$C$159,-GD4*FY4,GD3*GC3))</f>
        <v>-13736.194075610001</v>
      </c>
      <c r="GF4" s="1">
        <f>IF($B4&lt;Analysis!$C$159,0,IF($B4=Analysis!$C$159,PMT(GD4,FZ4,FY4)*FZ4-GG4-GC4,IF(($B4-Analysis!$C$159+1)&lt;LOOKUP(Analysis!$C$159,$B:$B,FZ:FZ),IF(GF3-GE4&lt;0, GF3-GE4,0),0)))</f>
        <v>-206802.7394635161</v>
      </c>
      <c r="GG4" s="1">
        <f>IF($B4&lt;Analysis!$C$159,0,IF($B4=Analysis!$C$159,GB4+GE4,IF(GC3&lt;0,IF(GC3&gt;LOOKUP(Analysis!$C$159,$B:$B,GG:GG), GC3*(1+GD3),GG3),0)))</f>
        <v>-22059.883500000004</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14687.283737024225</v>
      </c>
      <c r="GO4" s="64">
        <f>IF($B4&lt;Analysis!$C$159,0,((1+Analysis!$C$174)/(1+$S4))-1)</f>
        <v>2.941176470588247E-2</v>
      </c>
      <c r="GP4" s="1">
        <f t="shared" si="36"/>
        <v>19966.596020761252</v>
      </c>
      <c r="GQ4" s="1">
        <f t="shared" si="37"/>
        <v>-1319.3122837370245</v>
      </c>
      <c r="GR4" s="64">
        <f>IF($B4&lt;Analysis!$C$159,0,Analysis!$C$178)</f>
        <v>3.0000000000000001E-3</v>
      </c>
      <c r="GS4" s="1">
        <f t="shared" si="38"/>
        <v>-3298.2807093425608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-1101.5462802768168</v>
      </c>
      <c r="HD4" s="1">
        <f t="shared" si="39"/>
        <v>-17979.139273356403</v>
      </c>
      <c r="HE4" s="1">
        <f>MIN(0,-(GN4+HD4)*Analysis!$C$28)-GE4*Analysis!$C$28</f>
        <v>6086.5075949027905</v>
      </c>
      <c r="HF4" s="1">
        <f>-Analysis!$C$176*GP4/12</f>
        <v>-1663.8830017301043</v>
      </c>
      <c r="HG4" s="38"/>
      <c r="HH4" s="1">
        <f>IF($B4&lt;Analysis!$C$159,0,-$HI4*$FW4)</f>
        <v>-56070.772058823539</v>
      </c>
      <c r="HI4" s="64">
        <f>IF($B4&lt;Analysis!$C$159,0,IF($B4=Analysis!$C$159,Analysis!$C$31,HI3))</f>
        <v>0.1275</v>
      </c>
      <c r="HJ4" s="1">
        <f>IF($B4&lt;Analysis!$C$159,0,$FW4+HH4)</f>
        <v>383699.98918685125</v>
      </c>
      <c r="HK4" s="1">
        <f>IF($B4-Analysis!$C$159&gt;10,0,IF($FW4&gt;LOOKUP(Analysis!$C$159,$B:$B, FW:FW),$V4*(LOOKUP(Analysis!$C$159,$B:$B, FW:FW)-FW4),0))</f>
        <v>-6533.2882785467291</v>
      </c>
      <c r="HL4" s="1">
        <f t="shared" si="40"/>
        <v>377166.70090830454</v>
      </c>
      <c r="HM4" s="38"/>
      <c r="HN4" s="1">
        <f t="shared" si="41"/>
        <v>-82334.694086918826</v>
      </c>
      <c r="HO4" s="1">
        <f t="shared" si="12"/>
        <v>67913.654844290664</v>
      </c>
      <c r="HP4" s="1">
        <f t="shared" si="42"/>
        <v>-14421.039242628161</v>
      </c>
      <c r="HQ4" s="1">
        <f>IF(HP4 &lt; 0,
    IF(HQ3 + HP4 &gt; 0,
        HQ3 + HP4, IF(HV3-ABS(HQ3 + HP4)*(1+$V4) &gt;= HQ3 + HP4,
        0, HQ3 + HP4)),
    MIN(HQ3 + HP4, Analysis!$C$7))+IF(HQ3&lt;0, HQ3*Analysis!$C$9,0)</f>
        <v>8791.8848223588284</v>
      </c>
      <c r="HR4" s="38"/>
      <c r="HS4" s="1">
        <f t="shared" ref="HS4:HS52" si="57">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3"/>
        <v>0</v>
      </c>
      <c r="HX4" s="36"/>
    </row>
    <row r="5" spans="1:232" x14ac:dyDescent="0.35">
      <c r="A5">
        <f t="shared" si="0"/>
        <v>38</v>
      </c>
      <c r="B5">
        <v>2028</v>
      </c>
      <c r="C5" s="1">
        <f>IF($B5&lt;Analysis!C$66,0,$AN5)+$AT5+$AW5+$BC5+$CF5+$CA5</f>
        <v>-343530.03614610882</v>
      </c>
      <c r="D5" s="1">
        <f>IF($B5&lt;Analysis!C$66, 0, BV5)+AT5+AW5+BC5+CG5+CA5</f>
        <v>-456032.7200332451</v>
      </c>
      <c r="E5" s="1">
        <f t="shared" si="13"/>
        <v>115620.31302744204</v>
      </c>
      <c r="F5" s="1">
        <f t="shared" si="14"/>
        <v>111934.23917188705</v>
      </c>
      <c r="G5" s="1">
        <f>IF(AND($B5&gt;=Analysis!$C$100, $B5&lt;Analysis!$C$101),$CK5,0)+IF($B5&gt;=Analysis!$C$130,EB5,0)+CQ5+CU5+CZ5+EH5+EK5+EQ5+$FO5+$FT5</f>
        <v>-108690.04357288136</v>
      </c>
      <c r="H5" s="1">
        <f t="shared" si="2"/>
        <v>-176354.70127311553</v>
      </c>
      <c r="I5" s="1">
        <f>IF($B5&lt;Analysis!$C$159,0,$FW5)+$GC5+$GF5+$GL5+$HQ5+$HV5</f>
        <v>-108690.04357288136</v>
      </c>
      <c r="J5" s="1">
        <f t="shared" si="3"/>
        <v>-176354.70127311553</v>
      </c>
      <c r="K5" s="36"/>
      <c r="L5" s="1">
        <f t="shared" si="15"/>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4"/>
        <v>0</v>
      </c>
      <c r="R5" s="1">
        <f>IF(AND(AND(B5=Analysis!C$35,Analysis!C$34&lt;&gt;0),AND(B5=Analysis!C$37,Analysis!C$36&lt;&gt;0)),Analysis!C$34+Analysis!C$36,IF(AND(B5=Analysis!C$35,Analysis!C$34&lt;&gt;0),Analysis!C$34,IF(AND(B5=Analysis!C$37,Analysis!C$36&lt;&gt;0),Analysis!C$36,0)))</f>
        <v>0</v>
      </c>
      <c r="S5" s="64">
        <f t="shared" si="16"/>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7"/>
        <v>0.26374999999999998</v>
      </c>
      <c r="W5" s="36"/>
      <c r="X5" s="1">
        <f t="shared" si="45"/>
        <v>-17279.157337675559</v>
      </c>
      <c r="Y5" s="64">
        <f t="shared" si="18"/>
        <v>2.941176470588247E-2</v>
      </c>
      <c r="Z5" s="1">
        <f t="shared" si="19"/>
        <v>-3960</v>
      </c>
      <c r="AA5" s="64">
        <f t="shared" si="20"/>
        <v>0</v>
      </c>
      <c r="AB5" s="40"/>
      <c r="AC5" s="1">
        <f t="shared" si="4"/>
        <v>-73439.157337675555</v>
      </c>
      <c r="AD5" s="1">
        <f t="shared" si="5"/>
        <v>100652.41620869798</v>
      </c>
      <c r="AE5" s="1">
        <f t="shared" si="21"/>
        <v>27213.258871022423</v>
      </c>
      <c r="AF5" s="1">
        <f>IF(AE5 &lt; 0,
    IF(AF4 + AE5 &gt; 0,
        AF4 + AE5, IF(AK4-ABS(AF4 + AE5)*(1+$V5) &gt;= AF4 + AE5,
        0, AF4 + AE5)),
    MIN(AF4 + AE5, Analysis!$C$7))+IF(AF4&lt;0, AF4*Analysis!$C$9,0)</f>
        <v>24000</v>
      </c>
      <c r="AG5" s="40"/>
      <c r="AH5" s="1">
        <f t="shared" si="22"/>
        <v>4466.1516213095683</v>
      </c>
      <c r="AI5" s="1">
        <f>IF(AE5 &gt;= 0,
    MAX(0, AF4 + AE5 - Analysis!$C$7),
    0)</f>
        <v>26214.850566524146</v>
      </c>
      <c r="AJ5" s="1">
        <f t="shared" si="46"/>
        <v>77644.677556143506</v>
      </c>
      <c r="AK5" s="1">
        <f t="shared" si="23"/>
        <v>91620.31302744204</v>
      </c>
      <c r="AL5" s="1">
        <f t="shared" si="6"/>
        <v>87934.239171887049</v>
      </c>
      <c r="AM5" s="36"/>
      <c r="AN5" s="1">
        <f t="shared" si="47"/>
        <v>752690.5658457157</v>
      </c>
      <c r="AO5" s="64">
        <f t="shared" si="24"/>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-15474.663597078983</v>
      </c>
      <c r="AT5" s="1">
        <f>IF($B5&lt;Analysis!$C$66,0,IF($B5=Analysis!$C$66,-AP5-AS5,MIN(0,AT4-AS5)))</f>
        <v>-635169.04999538115</v>
      </c>
      <c r="AU5" s="64">
        <f>IF($B5&lt;Analysis!$C$66,0,IF($B5=Analysis!$C$66,Analysis!$C$72,IF(($B5-Analysis!$C$66)&lt;LOOKUP(Analysis!$C$66,$B:$B,AQ:AQ),AU4,0)))</f>
        <v>3.6999999999999998E-2</v>
      </c>
      <c r="AV5" s="1">
        <f>IF($B5&lt;Analysis!$C$66,0,IF($B5=Analysis!$C$66,-AU5*AP5,AU4*AT4))</f>
        <v>-24073.817402921024</v>
      </c>
      <c r="AW5" s="1">
        <f>IF($B5&lt;Analysis!$C$66,0,IF($B5=Analysis!$C$66,PMT(AU5,AQ5,AP5)*AQ5-AX5-AT5,IF(($B5-Analysis!$C$66+1)&lt;LOOKUP(Analysis!$C$66,$B:$B,AQ:AQ),IF(AW4-AV5&lt;0, AW4-AV5,0),0)))</f>
        <v>-346677.65154390363</v>
      </c>
      <c r="AX5" s="1">
        <f>IF($B5&lt;Analysis!$C$66,0,IF($B5=Analysis!$C$66,AS5+AV5,IF(AT4&lt;0,IF(AT4&gt;LOOKUP(Analysis!$C$66,$B:$B,AX:AX), AT4*(1+AU4),AX4),0)))</f>
        <v>-39548.481000000007</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-2258.071697537147</v>
      </c>
      <c r="BF5" s="64">
        <f>IF($B5&lt;Analysis!$C$66,0,Analysis!$C$78)</f>
        <v>3.0000000000000001E-3</v>
      </c>
      <c r="BG5" s="1">
        <f>IF($B5&lt;Analysis!$C$66,0,-BH5*AN5)</f>
        <v>-5645.1792438428674</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5"/>
        <v>-95968.047145328746</v>
      </c>
      <c r="BS5" s="64">
        <f>IF($B5&lt;Analysis!C$66,0,Analysis!C$31)</f>
        <v>0.1275</v>
      </c>
      <c r="BT5" s="1">
        <f>IF($B5&lt;Analysis!$C$66,0,AN5+BR5)</f>
        <v>656722.51870038698</v>
      </c>
      <c r="BU5" s="1">
        <f>IF($B5-Analysis!$C$66&gt;3,0,IF($AN5&gt;LOOKUP(Analysis!$C$66,$B:$B, AN:AN),$V5*(LOOKUP(Analysis!$C$66,$B:$B, AN:AN)-AN5),0))</f>
        <v>-16534.636741807513</v>
      </c>
      <c r="BV5" s="1">
        <f t="shared" si="26"/>
        <v>640187.88195857941</v>
      </c>
      <c r="BW5" s="42"/>
      <c r="BX5" s="1">
        <f>IF($B5&lt;Analysis!$C$66,$P5+$N5+$X5+$Z5,$P5+$N5+AS5+AV5+BB5+BE5+BG5+MAX(BI5,SUM(BJ5:BN5))+BP5)</f>
        <v>-109684.56072008744</v>
      </c>
      <c r="BY5" s="1">
        <f t="shared" si="27"/>
        <v>100652.41620869798</v>
      </c>
      <c r="BZ5" s="1">
        <f t="shared" si="48"/>
        <v>-9032.1445113894588</v>
      </c>
      <c r="CA5" s="1">
        <f>IF(BZ5 &lt; 0,
    IF(CA4 + BZ5 &gt; 0,
        CA4 + BZ5, IF(CF4-ABS(CA4 + BZ5)*(1+$V5) &gt;= CA4 + BZ5,
        0, CA4 + BZ5)),
    MIN(CA4 + BZ5, Analysis!$C$7))+IF(CA4&lt;0, CA4*Analysis!$C$9,0)</f>
        <v>-77936.927780295198</v>
      </c>
      <c r="CB5" s="42"/>
      <c r="CC5" s="1">
        <f t="shared" si="49"/>
        <v>0</v>
      </c>
      <c r="CD5" s="1">
        <f>IF(BZ5 &gt;= 0,
    MAX(0, CA4 + BZ5 - Analysis!$C$7),
    0)</f>
        <v>0</v>
      </c>
      <c r="CE5" s="1">
        <f>IF($B5=Analysis!$C$66,0,MAX(0, CE4 + CD5 - IF(BZ5 &lt; 0, MIN(ABS(BZ5), CE4 + CD5), 0)))</f>
        <v>0</v>
      </c>
      <c r="CF5" s="1">
        <f>IF($B5=Analysis!$C$66,0,IF(BZ5 &lt; 0,
    IF(BZ5 + CA4 &lt; 0,
        MAX(0, CF4 - (ABS(BZ5 + CA4) * (1+$V4))),
        CF4 + CC5),
    CF4 + CD5 + CC5))</f>
        <v>0</v>
      </c>
      <c r="CG5" s="1">
        <f t="shared" si="28"/>
        <v>0</v>
      </c>
      <c r="CH5" s="36"/>
      <c r="CI5" s="1">
        <f>IF(OR($B5&lt;Analysis!$C$100, $B5&gt;=Analysis!$C$130),0,X5)</f>
        <v>-17279.157337675559</v>
      </c>
      <c r="CJ5" s="1">
        <f>IF(OR($B5&lt;Analysis!$C$100, $B5&gt;=Analysis!$C$130),0,Z5)</f>
        <v>-3960</v>
      </c>
      <c r="CK5" s="1">
        <f t="shared" si="50"/>
        <v>452705.1953999594</v>
      </c>
      <c r="CL5" s="64">
        <f t="shared" si="51"/>
        <v>2.941176470588247E-2</v>
      </c>
      <c r="CM5" s="1">
        <f>IF($B5=Analysis!$C$100,(CK5*(1+Analysis!$C$23+Analysis!$C$24+Analysis!$C$25))-IF($B5=$B$2,(Analysis!$C$6-Analysis!$C$7+Analysis!$C$105), (FU4-Analysis!$C$7+CV5)),0)</f>
        <v>0</v>
      </c>
      <c r="CN5" s="64">
        <f>IF($B5=Analysis!$C$100,Analysis!$C$103,0)</f>
        <v>0</v>
      </c>
      <c r="CO5" s="64">
        <f>IF(OR($B5&lt;Analysis!$C$100, $B5&gt;=Analysis!$C$101),0,IF($B5=Analysis!$C$100,Analysis!$C$102,IF(($B5-Analysis!$C$100)&lt;LOOKUP(Analysis!$C$100,$B:$B,CT:CT),CO4,0)))</f>
        <v>3.6999999999999998E-2</v>
      </c>
      <c r="CP5" s="1">
        <f>IF(OR($B5&lt;Analysis!$C$100, $B5&gt;=Analysis!$C$101),0,IF($B5=Analysis!$C$100,-CM5*CN5,IF(CS5&gt;=0,0,CS5-CR5)))</f>
        <v>-8631.665933092434</v>
      </c>
      <c r="CQ5" s="1">
        <f>IF(OR($B5&lt;Analysis!$C$100, $B5&gt;=Analysis!$C$101),0,IF($B5=Analysis!$C$100,-CM5-CP5,MIN(0,CQ4-CP5)))</f>
        <v>-354293.13317251758</v>
      </c>
      <c r="CR5" s="1">
        <f>IF(OR($B5&lt;Analysis!$C$100, $B5&gt;=Analysis!$C$101),0,IF($B5=Analysis!$C$100,-CO5*CM5,CO4*CQ4))</f>
        <v>-13428.21756690757</v>
      </c>
      <c r="CS5" s="1">
        <f>IF(OR($B5&lt;Analysis!$C$100, $B5&gt;=Analysis!$C$101),0,IF($B5=Analysis!$C$100,CP5+CR5,IF(CQ4&lt;0,IF(CQ4&gt;LOOKUP(Analysis!$C$100,$B:$B,CS:CS), CQ4*(1+CO4),CS4),0)))</f>
        <v>-22059.883500000004</v>
      </c>
      <c r="CT5" s="65">
        <f>IF($B5=Analysis!$C$100,NPER(CO5,-CS5,-CM5),0)</f>
        <v>0</v>
      </c>
      <c r="CU5" s="1">
        <f>IF(OR($B5&lt;Analysis!$C$100, $B5&gt;=Analysis!$C$101),0,IF($B5=Analysis!$C$100,PMT(CO5,CT5,CM5)*CT5-CS5-CQ5,IF(($B5-Analysis!$C$100+1)&lt;LOOKUP(Analysis!$C$100,$B:$B,CT:CT),IF(CU4-CR5&lt;0, CU4-CR5,0),0)))</f>
        <v>-193374.52189660852</v>
      </c>
      <c r="CV5" s="1">
        <f>IF($B5=Analysis!$C$100,Analysis!$C$105,0)</f>
        <v>0</v>
      </c>
      <c r="CW5" s="1">
        <f>IF($B5=Analysis!$C$100,PMT(CO5,CX5,CV5)*CX5,0)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15119.262670466116</v>
      </c>
      <c r="DC5" s="64">
        <f>IF(OR($B5&lt;Analysis!$C$100, $B5&gt;=Analysis!$C$101),0,((1+Analysis!$C$114)/(1+$S5))-1)</f>
        <v>2.941176470588247E-2</v>
      </c>
      <c r="DD5" s="1">
        <f t="shared" si="29"/>
        <v>20437.378256665994</v>
      </c>
      <c r="DE5" s="1">
        <f t="shared" si="8"/>
        <v>-1358.1155861998782</v>
      </c>
      <c r="DF5" s="64">
        <f>IF(OR($B5&lt;Analysis!$C$100, $B5&gt;=Analysis!$C$101),0,Analysis!$C$118)</f>
        <v>3.0000000000000001E-3</v>
      </c>
      <c r="DG5" s="1">
        <f t="shared" si="9"/>
        <v>-3395.2889654996952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-1133.9447002849586</v>
      </c>
      <c r="DR5" s="1">
        <f t="shared" si="30"/>
        <v>-18147.349251984535</v>
      </c>
      <c r="DS5" s="1">
        <f>MIN(0,-(DB5+DR5)*Analysis!$C$28)-CR5*Analysis!$C$28</f>
        <v>5950.0432038967429</v>
      </c>
      <c r="DT5" s="1">
        <f>-Analysis!$C$116*DD5/12</f>
        <v>-1703.1148547221662</v>
      </c>
      <c r="DU5" s="53"/>
      <c r="DV5" s="1">
        <f t="shared" si="10"/>
        <v>-57719.912413494822</v>
      </c>
      <c r="DW5" s="64">
        <f>IF(OR($B5&lt;Analysis!$C$100, $B5&gt;=Analysis!$C$101),0,IF($B5=Analysis!$C$100,Analysis!$C$31,DW4))</f>
        <v>0.1275</v>
      </c>
      <c r="DX5" s="1">
        <f>IF(OR($B5&lt;Analysis!$C$100, $B5&gt;=Analysis!$C$101),0,CK5+DV5)</f>
        <v>394985.28298646456</v>
      </c>
      <c r="DY5" s="1">
        <f>IF(OR($B5&lt;Analysis!$C$100, $B5&gt;=Analysis!$C$101),0,IF($B5-Analysis!$C$100&gt;3,0,IF(CK5&gt;LOOKUP(Analysis!$C$100,$B:$B, CK:CK),$V5*(LOOKUP(Analysis!$C$100,$B:$B, CK:CK)-CK5),0)))</f>
        <v>-9944.7452867392913</v>
      </c>
      <c r="DZ5" s="1">
        <f t="shared" si="52"/>
        <v>385040.53769972525</v>
      </c>
      <c r="EA5" s="53"/>
      <c r="EB5" s="1">
        <f t="shared" si="31"/>
        <v>752690.5658457157</v>
      </c>
      <c r="EC5" s="64">
        <f t="shared" si="53"/>
        <v>2.941176470588247E-2</v>
      </c>
      <c r="ED5" s="1">
        <f>MAX(0,IF($B5=Analysis!$C$130,(EB5*(1+Analysis!$C$23+Analysis!$C$24+Analysis!$C$25))-(IF($B5=$B$2,(Analysis!$C$6-Analysis!$C$7+Analysis!$C$132), (FU4-Analysis!$C$7+EM5)) + IF($B5=Analysis!$C$101,DZ4+CQ4+CU4+CZ4,0)),0))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$P5+$N5+IF($B5&lt;Analysis!$C$130,$CI5+$CJ5,0)+CP5+CR5+CY5+DE5+DG5+MIN(DI5,SUM(DJ5:DN5))+DQ5+DS5+DT5+EG5+EJ5+EP5+ES5+EU5+MIN(EW5,SUM(EX5:FB5))+FD5</f>
        <v>-107172.29051919295</v>
      </c>
      <c r="FM5" s="1">
        <f>$M5+$R5+DD5+IF(AND($B5&lt;&gt;Analysis!$C$130,$B5=Analysis!$C$101),DZ4+CQ4+CU4+CZ4,0)</f>
        <v>121089.79446536397</v>
      </c>
      <c r="FN5" s="1">
        <f t="shared" si="34"/>
        <v>13917.503946171026</v>
      </c>
      <c r="FO5" s="1">
        <f>IF(FN5 &lt; 0,
    IF(FO4 + FN5 &gt; 0,
        FO4 + FN5, IF(FT4-ABS(FO4 + FN5)*(1+$V5) &gt;= FO4 + FN5,
        0, FO4 + FN5)),
    MIN(FO4 + FN5, Analysis!$C$7))+IF(FO4&lt;0, FO4*Analysis!$C$9,0)</f>
        <v>22709.388768529854</v>
      </c>
      <c r="FP5" s="53"/>
      <c r="FQ5" s="1">
        <f t="shared" si="54"/>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5"/>
        <v>452705.1953999594</v>
      </c>
      <c r="FX5" s="64">
        <f t="shared" si="56"/>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-8631.665933092434</v>
      </c>
      <c r="GC5" s="1">
        <f>IF($B5&lt;Analysis!$C$159,0,IF($B5=Analysis!$C$159,-FY5-GB5,MIN(0,GC4-GB5)))</f>
        <v>-354293.13317251758</v>
      </c>
      <c r="GD5" s="64">
        <f>IF($B5&lt;Analysis!$C$159,0,IF($B5=Analysis!$C$159,Analysis!$C$160,IF(($B5-Analysis!$C$159)&lt;LOOKUP(Analysis!$C$159,$B:$B,FZ:FZ),GD4,0)))</f>
        <v>3.6999999999999998E-2</v>
      </c>
      <c r="GE5" s="1">
        <f>IF($B5&lt;Analysis!$C$159,0,IF($B5=Analysis!$C$159,-GD5*FY5,GD4*GC4))</f>
        <v>-13428.21756690757</v>
      </c>
      <c r="GF5" s="1">
        <f>IF($B5&lt;Analysis!$C$159,0,IF($B5=Analysis!$C$159,PMT(GD5,FZ5,FY5)*FZ5-GG5-GC5,IF(($B5-Analysis!$C$159+1)&lt;LOOKUP(Analysis!$C$159,$B:$B,FZ:FZ),IF(GF4-GE5&lt;0, GF4-GE5,0),0)))</f>
        <v>-193374.52189660852</v>
      </c>
      <c r="GG5" s="1">
        <f>IF($B5&lt;Analysis!$C$159,0,IF($B5=Analysis!$C$159,GB5+GE5,IF(GC4&lt;0,IF(GC4&gt;LOOKUP(Analysis!$C$159,$B:$B,GG:GG), GC4*(1+GD4),GG4),0)))</f>
        <v>-22059.883500000004</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15119.262670466116</v>
      </c>
      <c r="GO5" s="64">
        <f>IF($B5&lt;Analysis!$C$159,0,((1+Analysis!$C$174)/(1+$S5))-1)</f>
        <v>2.941176470588247E-2</v>
      </c>
      <c r="GP5" s="1">
        <f t="shared" si="36"/>
        <v>20437.378256665994</v>
      </c>
      <c r="GQ5" s="1">
        <f t="shared" si="37"/>
        <v>-1358.1155861998782</v>
      </c>
      <c r="GR5" s="64">
        <f>IF($B5&lt;Analysis!$C$159,0,Analysis!$C$178)</f>
        <v>3.0000000000000001E-3</v>
      </c>
      <c r="GS5" s="1">
        <f t="shared" si="38"/>
        <v>-3395.2889654996952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-1133.9447002849586</v>
      </c>
      <c r="HD5" s="1">
        <f t="shared" si="39"/>
        <v>-18147.349251984535</v>
      </c>
      <c r="HE5" s="1">
        <f>MIN(0,-(GN5+HD5)*Analysis!$C$28)-GE5*Analysis!$C$28</f>
        <v>5950.0432038967429</v>
      </c>
      <c r="HF5" s="1">
        <f>-Analysis!$C$176*GP5/12</f>
        <v>-1703.1148547221662</v>
      </c>
      <c r="HG5" s="38"/>
      <c r="HH5" s="1">
        <f>IF($B5&lt;Analysis!$C$159,0,-$HI5*$FW5)</f>
        <v>-57719.912413494822</v>
      </c>
      <c r="HI5" s="64">
        <f>IF($B5&lt;Analysis!$C$159,0,IF($B5=Analysis!$C$159,Analysis!$C$31,HI4))</f>
        <v>0.1275</v>
      </c>
      <c r="HJ5" s="1">
        <f>IF($B5&lt;Analysis!$C$159,0,$FW5+HH5)</f>
        <v>394985.28298646456</v>
      </c>
      <c r="HK5" s="1">
        <f>IF($B5-Analysis!$C$159&gt;10,0,IF($FW5&gt;LOOKUP(Analysis!$C$159,$B:$B, FW:FW),$V5*(LOOKUP(Analysis!$C$159,$B:$B, FW:FW)-FW5),0))</f>
        <v>-9944.7452867392913</v>
      </c>
      <c r="HL5" s="1">
        <f t="shared" si="40"/>
        <v>385040.53769972525</v>
      </c>
      <c r="HM5" s="38"/>
      <c r="HN5" s="1">
        <f t="shared" si="41"/>
        <v>-107172.29051919295</v>
      </c>
      <c r="HO5" s="1">
        <f t="shared" si="12"/>
        <v>121089.79446536397</v>
      </c>
      <c r="HP5" s="1">
        <f t="shared" si="42"/>
        <v>13917.503946171026</v>
      </c>
      <c r="HQ5" s="1">
        <f>IF(HP5 &lt; 0,
    IF(HQ4 + HP5 &gt; 0,
        HQ4 + HP5, IF(HV4-ABS(HQ4 + HP5)*(1+$V5) &gt;= HQ4 + HP5,
        0, HQ4 + HP5)),
    MIN(HQ4 + HP5, Analysis!$C$7))+IF(HQ4&lt;0, HQ4*Analysis!$C$9,0)</f>
        <v>22709.388768529854</v>
      </c>
      <c r="HR5" s="38"/>
      <c r="HS5" s="1">
        <f t="shared" si="57"/>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3"/>
        <v>0</v>
      </c>
      <c r="HX5" s="36"/>
    </row>
    <row r="6" spans="1:232" x14ac:dyDescent="0.35">
      <c r="A6">
        <f t="shared" si="0"/>
        <v>39</v>
      </c>
      <c r="B6">
        <v>2029</v>
      </c>
      <c r="C6" s="1">
        <f>IF($B6&lt;Analysis!C$66,0,$AN6)+$AT6+$AW6+$BC6+$CF6+$CA6</f>
        <v>-291903.34485381481</v>
      </c>
      <c r="D6" s="1">
        <f>IF($B6&lt;Analysis!C$66, 0, BV6)+AT6+AW6+BC6+CG6+CA6</f>
        <v>-390693.98162106494</v>
      </c>
      <c r="E6" s="1">
        <f t="shared" si="13"/>
        <v>148249.98570310793</v>
      </c>
      <c r="F6" s="1">
        <f t="shared" si="14"/>
        <v>142834.33078201133</v>
      </c>
      <c r="G6" s="1">
        <f>IF(AND($B6&gt;=Analysis!$C$100, $B6&lt;Analysis!$C$101),$CK6,0)+IF($B6&gt;=Analysis!$C$130,EB6,0)+CQ6+CU6+CZ6+EH6+EK6+EQ6+$FO6+$FT6</f>
        <v>-54336.636047373438</v>
      </c>
      <c r="H6" s="1">
        <f t="shared" si="2"/>
        <v>-113754.19294361814</v>
      </c>
      <c r="I6" s="1">
        <f>IF($B6&lt;Analysis!$C$159,0,$FW6)+$GC6+$GF6+$GL6+$HQ6+$HV6</f>
        <v>-54336.636047373438</v>
      </c>
      <c r="J6" s="1">
        <f t="shared" si="3"/>
        <v>-127210.73220937917</v>
      </c>
      <c r="K6" s="36"/>
      <c r="L6" s="1">
        <f t="shared" si="15"/>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4"/>
        <v>0</v>
      </c>
      <c r="R6" s="1">
        <f>IF(AND(AND(B6=Analysis!C$35,Analysis!C$34&lt;&gt;0),AND(B6=Analysis!C$37,Analysis!C$36&lt;&gt;0)),Analysis!C$34+Analysis!C$36,IF(AND(B6=Analysis!C$35,Analysis!C$34&lt;&gt;0),Analysis!C$34,IF(AND(B6=Analysis!C$37,Analysis!C$36&lt;&gt;0),Analysis!C$36,0)))</f>
        <v>0</v>
      </c>
      <c r="S6" s="64">
        <f t="shared" si="16"/>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7"/>
        <v>0.26374999999999998</v>
      </c>
      <c r="W6" s="36"/>
      <c r="X6" s="1">
        <f t="shared" si="45"/>
        <v>-17787.367847607195</v>
      </c>
      <c r="Y6" s="64">
        <f t="shared" si="18"/>
        <v>2.941176470588247E-2</v>
      </c>
      <c r="Z6" s="1">
        <f t="shared" si="19"/>
        <v>-3960</v>
      </c>
      <c r="AA6" s="64">
        <f t="shared" si="20"/>
        <v>0</v>
      </c>
      <c r="AB6" s="40"/>
      <c r="AC6" s="1">
        <f t="shared" si="4"/>
        <v>-77047.367847607195</v>
      </c>
      <c r="AD6" s="1">
        <f t="shared" si="5"/>
        <v>103119.38719420528</v>
      </c>
      <c r="AE6" s="1">
        <f t="shared" si="21"/>
        <v>26072.019346598085</v>
      </c>
      <c r="AF6" s="1">
        <f>IF(AE6 &lt; 0,
    IF(AF5 + AE6 &gt; 0,
        AF5 + AE6, IF(AK5-ABS(AF5 + AE6)*(1+$V6) &gt;= AF5 + AE6,
        0, AF5 + AE6)),
    MIN(AF5 + AE6, Analysis!$C$7))+IF(AF5&lt;0, AF5*Analysis!$C$9,0)</f>
        <v>24000</v>
      </c>
      <c r="AG6" s="40"/>
      <c r="AH6" s="1">
        <f t="shared" si="22"/>
        <v>6557.6533290678008</v>
      </c>
      <c r="AI6" s="1">
        <f>IF(AE6 &gt;= 0,
    MAX(0, AF5 + AE6 - Analysis!$C$7),
    0)</f>
        <v>26072.019346598085</v>
      </c>
      <c r="AJ6" s="1">
        <f t="shared" si="46"/>
        <v>103716.69690274159</v>
      </c>
      <c r="AK6" s="1">
        <f t="shared" si="23"/>
        <v>124249.98570310793</v>
      </c>
      <c r="AL6" s="1">
        <f t="shared" si="6"/>
        <v>118834.33078201131</v>
      </c>
      <c r="AM6" s="36"/>
      <c r="AN6" s="1">
        <f t="shared" si="47"/>
        <v>774828.52366470743</v>
      </c>
      <c r="AO6" s="64">
        <f t="shared" si="24"/>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-16047.226150170907</v>
      </c>
      <c r="AT6" s="1">
        <f>IF($B6&lt;Analysis!$C$66,0,IF($B6=Analysis!$C$66,-AP6-AS6,MIN(0,AT5-AS6)))</f>
        <v>-619121.82384521025</v>
      </c>
      <c r="AU6" s="64">
        <f>IF($B6&lt;Analysis!$C$66,0,IF($B6=Analysis!$C$66,Analysis!$C$72,IF(($B6-Analysis!$C$66)&lt;LOOKUP(Analysis!$C$66,$B:$B,AQ:AQ),AU5,0)))</f>
        <v>3.6999999999999998E-2</v>
      </c>
      <c r="AV6" s="1">
        <f>IF($B6&lt;Analysis!$C$66,0,IF($B6=Analysis!$C$66,-AU6*AP6,AU5*AT5))</f>
        <v>-23501.2548498291</v>
      </c>
      <c r="AW6" s="1">
        <f>IF($B6&lt;Analysis!$C$66,0,IF($B6=Analysis!$C$66,PMT(AU6,AQ6,AP6)*AQ6-AX6-AT6,IF(($B6-Analysis!$C$66+1)&lt;LOOKUP(Analysis!$C$66,$B:$B,AQ:AQ),IF(AW5-AV6&lt;0, AW5-AV6,0),0)))</f>
        <v>-323176.3966940745</v>
      </c>
      <c r="AX6" s="1">
        <f>IF($B6&lt;Analysis!$C$66,0,IF($B6=Analysis!$C$66,AS6+AV6,IF(AT5&lt;0,IF(AT5&gt;LOOKUP(Analysis!$C$66,$B:$B,AX:AX), AT5*(1+AU5),AX5),0)))</f>
        <v>-39548.481000000007</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-2324.4855709941226</v>
      </c>
      <c r="BF6" s="64">
        <f>IF($B6&lt;Analysis!$C$66,0,Analysis!$C$78)</f>
        <v>3.0000000000000001E-3</v>
      </c>
      <c r="BG6" s="1">
        <f>IF($B6&lt;Analysis!$C$66,0,-BH6*AN6)</f>
        <v>-5811.2139274853052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5"/>
        <v>-98790.636767250195</v>
      </c>
      <c r="BS6" s="64">
        <f>IF($B6&lt;Analysis!C$66,0,Analysis!C$31)</f>
        <v>0.1275</v>
      </c>
      <c r="BT6" s="1">
        <f>IF($B6&lt;Analysis!$C$66,0,AN6+BR6)</f>
        <v>676037.8868974573</v>
      </c>
      <c r="BU6" s="1">
        <f>IF($B6-Analysis!$C$66&gt;3,0,IF($AN6&gt;LOOKUP(Analysis!$C$66,$B:$B, AN:AN),$V6*(LOOKUP(Analysis!$C$66,$B:$B, AN:AN)-AN6),0))</f>
        <v>0</v>
      </c>
      <c r="BV6" s="1">
        <f t="shared" si="26"/>
        <v>676037.8868974573</v>
      </c>
      <c r="BW6" s="42"/>
      <c r="BX6" s="1">
        <f>IF($B6&lt;Analysis!$C$66,$P6+$N6+$X6+$Z6,$P6+$N6+AS6+AV6+BB6+BE6+BG6+MAX(BI6,SUM(BJ6:BN6))+BP6)</f>
        <v>-113017.00927718685</v>
      </c>
      <c r="BY6" s="1">
        <f t="shared" si="27"/>
        <v>103119.38719420528</v>
      </c>
      <c r="BZ6" s="1">
        <f t="shared" si="48"/>
        <v>-9897.622082981572</v>
      </c>
      <c r="CA6" s="1">
        <f>IF(BZ6 &lt; 0,
    IF(CA5 + BZ6 &gt; 0,
        CA5 + BZ6, IF(CF5-ABS(CA5 + BZ6)*(1+$V6) &gt;= CA5 + BZ6,
        0, CA5 + BZ6)),
    MIN(CA5 + BZ6, Analysis!$C$7))+IF(CA5&lt;0, CA5*Analysis!$C$9,0)</f>
        <v>-94069.504085700391</v>
      </c>
      <c r="CB6" s="42"/>
      <c r="CC6" s="1">
        <f t="shared" si="49"/>
        <v>0</v>
      </c>
      <c r="CD6" s="1">
        <f>IF(BZ6 &gt;= 0,
    MAX(0, CA5 + BZ6 - Analysis!$C$7),
    0)</f>
        <v>0</v>
      </c>
      <c r="CE6" s="1">
        <f>IF($B6=Analysis!$C$66,0,MAX(0, CE5 + CD6 - IF(BZ6 &lt; 0, MIN(ABS(BZ6), CE5 + CD6), 0)))</f>
        <v>0</v>
      </c>
      <c r="CF6" s="1">
        <f>IF($B6=Analysis!$C$66,0,IF(BZ6 &lt; 0,
    IF(BZ6 + CA5 &lt; 0,
        MAX(0, CF5 - (ABS(BZ6 + CA5) * (1+$V5))),
        CF5 + CC6),
    CF5 + CD6 + CC6))</f>
        <v>0</v>
      </c>
      <c r="CG6" s="1">
        <f t="shared" si="28"/>
        <v>0</v>
      </c>
      <c r="CH6" s="36"/>
      <c r="CI6" s="1">
        <f>IF(OR($B6&lt;Analysis!$C$100, $B6&gt;=Analysis!$C$130),0,X6)</f>
        <v>-17787.367847607195</v>
      </c>
      <c r="CJ6" s="1">
        <f>IF(OR($B6&lt;Analysis!$C$100, $B6&gt;=Analysis!$C$130),0,Z6)</f>
        <v>-3960</v>
      </c>
      <c r="CK6" s="1">
        <f t="shared" si="50"/>
        <v>466020.05408819357</v>
      </c>
      <c r="CL6" s="64">
        <f t="shared" si="51"/>
        <v>2.941176470588247E-2</v>
      </c>
      <c r="CM6" s="1">
        <f>IF($B6=Analysis!$C$100,(CK6*(1+Analysis!$C$23+Analysis!$C$24+Analysis!$C$25))-IF($B6=$B$2,(Analysis!$C$6-Analysis!$C$7+Analysis!$C$105), (FU5-Analysis!$C$7+CV6)),0)</f>
        <v>0</v>
      </c>
      <c r="CN6" s="64">
        <f>IF($B6=Analysis!$C$100,Analysis!$C$103,0)</f>
        <v>0</v>
      </c>
      <c r="CO6" s="64">
        <f>IF(OR($B6&lt;Analysis!$C$100, $B6&gt;=Analysis!$C$101),0,IF($B6=Analysis!$C$100,Analysis!$C$102,IF(($B6-Analysis!$C$100)&lt;LOOKUP(Analysis!$C$100,$B:$B,CT:CT),CO5,0)))</f>
        <v>3.6999999999999998E-2</v>
      </c>
      <c r="CP6" s="1">
        <f>IF(OR($B6&lt;Analysis!$C$100, $B6&gt;=Analysis!$C$101),0,IF($B6=Analysis!$C$100,-CM6*CN6,IF(CS6&gt;=0,0,CS6-CR6)))</f>
        <v>-8951.0375726168531</v>
      </c>
      <c r="CQ6" s="1">
        <f>IF(OR($B6&lt;Analysis!$C$100, $B6&gt;=Analysis!$C$101),0,IF($B6=Analysis!$C$100,-CM6-CP6,MIN(0,CQ5-CP6)))</f>
        <v>-345342.09559990076</v>
      </c>
      <c r="CR6" s="1">
        <f>IF(OR($B6&lt;Analysis!$C$100, $B6&gt;=Analysis!$C$101),0,IF($B6=Analysis!$C$100,-CO6*CM6,CO5*CQ5))</f>
        <v>-13108.84592738315</v>
      </c>
      <c r="CS6" s="1">
        <f>IF(OR($B6&lt;Analysis!$C$100, $B6&gt;=Analysis!$C$101),0,IF($B6=Analysis!$C$100,CP6+CR6,IF(CQ5&lt;0,IF(CQ5&gt;LOOKUP(Analysis!$C$100,$B:$B,CS:CS), CQ5*(1+CO5),CS5),0)))</f>
        <v>-22059.883500000004</v>
      </c>
      <c r="CT6" s="65">
        <f>IF($B6=Analysis!$C$100,NPER(CO6,-CS6,-CM6),0)</f>
        <v>0</v>
      </c>
      <c r="CU6" s="1">
        <f>IF(OR($B6&lt;Analysis!$C$100, $B6&gt;=Analysis!$C$101),0,IF($B6=Analysis!$C$100,PMT(CO6,CT6,CM6)*CT6-CS6-CQ6,IF(($B6-Analysis!$C$100+1)&lt;LOOKUP(Analysis!$C$100,$B:$B,CT:CT),IF(CU5-CR6&lt;0, CU5-CR6,0),0)))</f>
        <v>-180265.67596922538</v>
      </c>
      <c r="CV6" s="1">
        <f>IF($B6=Analysis!$C$100,Analysis!$C$105,0)</f>
        <v>0</v>
      </c>
      <c r="CW6" s="1">
        <f>IF($B6=Analysis!$C$100,PMT(CO6,CX6,CV6)*CX6,0)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15563.946866656297</v>
      </c>
      <c r="DC6" s="64">
        <f>IF(OR($B6&lt;Analysis!$C$100, $B6&gt;=Analysis!$C$101),0,((1+Analysis!$C$114)/(1+$S6))-1)</f>
        <v>2.941176470588247E-2</v>
      </c>
      <c r="DD6" s="1">
        <f t="shared" si="29"/>
        <v>20922.007028920878</v>
      </c>
      <c r="DE6" s="1">
        <f t="shared" si="8"/>
        <v>-1398.0601622645806</v>
      </c>
      <c r="DF6" s="64">
        <f>IF(OR($B6&lt;Analysis!$C$100, $B6&gt;=Analysis!$C$101),0,Analysis!$C$118)</f>
        <v>3.0000000000000001E-3</v>
      </c>
      <c r="DG6" s="1">
        <f t="shared" si="9"/>
        <v>-3495.1504056614517</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-1167.2960149992223</v>
      </c>
      <c r="DR6" s="1">
        <f t="shared" si="30"/>
        <v>-18320.506582925253</v>
      </c>
      <c r="DS6" s="1">
        <f>MIN(0,-(DB6+DR6)*Analysis!$C$28)-CR6*Analysis!$C$28</f>
        <v>5808.5296304234735</v>
      </c>
      <c r="DT6" s="1">
        <f>-Analysis!$C$116*DD6/12</f>
        <v>-1743.5005857434064</v>
      </c>
      <c r="DU6" s="53"/>
      <c r="DV6" s="1">
        <f t="shared" si="10"/>
        <v>-59417.556896244685</v>
      </c>
      <c r="DW6" s="64">
        <f>IF(OR($B6&lt;Analysis!$C$100, $B6&gt;=Analysis!$C$101),0,IF($B6=Analysis!$C$100,Analysis!$C$31,DW5))</f>
        <v>0.1275</v>
      </c>
      <c r="DX6" s="1">
        <f>IF(OR($B6&lt;Analysis!$C$100, $B6&gt;=Analysis!$C$101),0,CK6+DV6)</f>
        <v>406602.49719194887</v>
      </c>
      <c r="DY6" s="1">
        <f>IF(OR($B6&lt;Analysis!$C$100, $B6&gt;=Analysis!$C$101),0,IF($B6-Analysis!$C$100&gt;3,0,IF(CK6&gt;LOOKUP(Analysis!$C$100,$B:$B, CK:CK),$V6*(LOOKUP(Analysis!$C$100,$B:$B, CK:CK)-CK6),0)))</f>
        <v>0</v>
      </c>
      <c r="DZ6" s="1">
        <f t="shared" si="52"/>
        <v>406602.49719194887</v>
      </c>
      <c r="EA6" s="53"/>
      <c r="EB6" s="1">
        <f t="shared" si="31"/>
        <v>774828.52366470743</v>
      </c>
      <c r="EC6" s="64">
        <f t="shared" si="53"/>
        <v>2.941176470588247E-2</v>
      </c>
      <c r="ED6" s="1">
        <f>MAX(0,IF($B6=Analysis!$C$130,(EB6*(1+Analysis!$C$23+Analysis!$C$24+Analysis!$C$25))-(IF($B6=$B$2,(Analysis!$C$6-Analysis!$C$7+Analysis!$C$132), (FU5-Analysis!$C$7+EM6)) + IF($B6=Analysis!$C$101,DZ5+CQ5+CU5+CZ5,0)),0))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$P6+$N6+IF($B6&lt;Analysis!$C$130,$CI6+$CJ6,0)+CP6+CR6+CY6+DE6+DG6+MIN(DI6,SUM(DJ6:DN6))+DQ6+DS6+DT6+EG6+EJ6+EP6+ES6+EU6+MIN(EW6,SUM(EX6:FB6))+FD6</f>
        <v>-111135.5576645598</v>
      </c>
      <c r="FM6" s="1">
        <f>$M6+$R6+DD6+IF(AND($B6&lt;&gt;Analysis!$C$130,$B6=Analysis!$C$101),DZ5+CQ5+CU5+CZ5,0)</f>
        <v>124041.39422312616</v>
      </c>
      <c r="FN6" s="1">
        <f t="shared" si="34"/>
        <v>12905.836558566356</v>
      </c>
      <c r="FO6" s="1">
        <f>IF(FN6 &lt; 0,
    IF(FO5 + FN6 &gt; 0,
        FO5 + FN6, IF(FT5-ABS(FO5 + FN6)*(1+$V6) &gt;= FO5 + FN6,
        0, FO5 + FN6)),
    MIN(FO5 + FN6, Analysis!$C$7))+IF(FO5&lt;0, FO5*Analysis!$C$9,0)</f>
        <v>24000</v>
      </c>
      <c r="FP6" s="53"/>
      <c r="FQ6" s="1">
        <f t="shared" si="54"/>
        <v>0</v>
      </c>
      <c r="FR6" s="1">
        <f>IF(OR($B6=Analysis!$C$100, $B6=Analysis!$C$130),0,IF(FN6 &gt;= 0,
    MAX(0, FO5 + FN6 - Analysis!$C$7),
    0))</f>
        <v>11615.22532709621</v>
      </c>
      <c r="FS6" s="1">
        <f>IF(OR($B6=Analysis!$C$100, $B6=Analysis!$C$130),0,MAX(0, FS5 + FR6 - IF(FN6 &lt; 0, MIN(ABS(FN6), FS5 + FR6), 0)))</f>
        <v>11615.22532709621</v>
      </c>
      <c r="FT6" s="1">
        <f>IF(OR($B6=Analysis!$C$100, $B6=Analysis!$C$130),0,IF(FN6 &lt; 0,
    IF(FN6 + FO5 &lt; 0,
        MAX(0, FT5 - (ABS(FN6 + FO5) * (1+$V5))),
        FT5 + FQ6),
    FT5 + FR6 + FQ6))</f>
        <v>11615.22532709621</v>
      </c>
      <c r="FU6" s="1">
        <f t="shared" si="35"/>
        <v>11615.22532709621</v>
      </c>
      <c r="FV6" s="36"/>
      <c r="FW6" s="1">
        <f t="shared" si="55"/>
        <v>466020.05408819357</v>
      </c>
      <c r="FX6" s="64">
        <f t="shared" si="56"/>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-8951.0375726168531</v>
      </c>
      <c r="GC6" s="1">
        <f>IF($B6&lt;Analysis!$C$159,0,IF($B6=Analysis!$C$159,-FY6-GB6,MIN(0,GC5-GB6)))</f>
        <v>-345342.09559990076</v>
      </c>
      <c r="GD6" s="64">
        <f>IF($B6&lt;Analysis!$C$159,0,IF($B6=Analysis!$C$159,Analysis!$C$160,IF(($B6-Analysis!$C$159)&lt;LOOKUP(Analysis!$C$159,$B:$B,FZ:FZ),GD5,0)))</f>
        <v>3.6999999999999998E-2</v>
      </c>
      <c r="GE6" s="1">
        <f>IF($B6&lt;Analysis!$C$159,0,IF($B6=Analysis!$C$159,-GD6*FY6,GD5*GC5))</f>
        <v>-13108.84592738315</v>
      </c>
      <c r="GF6" s="1">
        <f>IF($B6&lt;Analysis!$C$159,0,IF($B6=Analysis!$C$159,PMT(GD6,FZ6,FY6)*FZ6-GG6-GC6,IF(($B6-Analysis!$C$159+1)&lt;LOOKUP(Analysis!$C$159,$B:$B,FZ:FZ),IF(GF5-GE6&lt;0, GF5-GE6,0),0)))</f>
        <v>-180265.67596922538</v>
      </c>
      <c r="GG6" s="1">
        <f>IF($B6&lt;Analysis!$C$159,0,IF($B6=Analysis!$C$159,GB6+GE6,IF(GC5&lt;0,IF(GC5&gt;LOOKUP(Analysis!$C$159,$B:$B,GG:GG), GC5*(1+GD5),GG5),0)))</f>
        <v>-22059.883500000004</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15563.946866656297</v>
      </c>
      <c r="GO6" s="64">
        <f>IF($B6&lt;Analysis!$C$159,0,((1+Analysis!$C$174)/(1+$S6))-1)</f>
        <v>2.941176470588247E-2</v>
      </c>
      <c r="GP6" s="1">
        <f t="shared" si="36"/>
        <v>20922.007028920878</v>
      </c>
      <c r="GQ6" s="1">
        <f t="shared" si="37"/>
        <v>-1398.0601622645806</v>
      </c>
      <c r="GR6" s="64">
        <f>IF($B6&lt;Analysis!$C$159,0,Analysis!$C$178)</f>
        <v>3.0000000000000001E-3</v>
      </c>
      <c r="GS6" s="1">
        <f t="shared" si="38"/>
        <v>-3495.1504056614517</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-1167.2960149992223</v>
      </c>
      <c r="HD6" s="1">
        <f t="shared" si="39"/>
        <v>-18320.506582925253</v>
      </c>
      <c r="HE6" s="1">
        <f>MIN(0,-(GN6+HD6)*Analysis!$C$28)-GE6*Analysis!$C$28</f>
        <v>5808.5296304234735</v>
      </c>
      <c r="HF6" s="1">
        <f>-Analysis!$C$176*GP6/12</f>
        <v>-1743.5005857434064</v>
      </c>
      <c r="HG6" s="38"/>
      <c r="HH6" s="1">
        <f>IF($B6&lt;Analysis!$C$159,0,-$HI6*$FW6)</f>
        <v>-59417.556896244685</v>
      </c>
      <c r="HI6" s="64">
        <f>IF($B6&lt;Analysis!$C$159,0,IF($B6=Analysis!$C$159,Analysis!$C$31,HI5))</f>
        <v>0.1275</v>
      </c>
      <c r="HJ6" s="1">
        <f>IF($B6&lt;Analysis!$C$159,0,$FW6+HH6)</f>
        <v>406602.49719194887</v>
      </c>
      <c r="HK6" s="1">
        <f>IF($B6-Analysis!$C$159&gt;10,0,IF($FW6&gt;LOOKUP(Analysis!$C$159,$B:$B, FW:FW),$V6*(LOOKUP(Analysis!$C$159,$B:$B, FW:FW)-FW6),0))</f>
        <v>-13456.539265761054</v>
      </c>
      <c r="HL6" s="1">
        <f t="shared" si="40"/>
        <v>393145.95792618784</v>
      </c>
      <c r="HM6" s="38"/>
      <c r="HN6" s="1">
        <f t="shared" si="41"/>
        <v>-111135.5576645598</v>
      </c>
      <c r="HO6" s="1">
        <f t="shared" si="12"/>
        <v>124041.39422312616</v>
      </c>
      <c r="HP6" s="1">
        <f t="shared" si="42"/>
        <v>12905.836558566356</v>
      </c>
      <c r="HQ6" s="1">
        <f>IF(HP6 &lt; 0,
    IF(HQ5 + HP6 &gt; 0,
        HQ5 + HP6, IF(HV5-ABS(HQ5 + HP6)*(1+$V6) &gt;= HQ5 + HP6,
        0, HQ5 + HP6)),
    MIN(HQ5 + HP6, Analysis!$C$7))+IF(HQ5&lt;0, HQ5*Analysis!$C$9,0)</f>
        <v>24000</v>
      </c>
      <c r="HR6" s="38"/>
      <c r="HS6" s="1">
        <f t="shared" si="57"/>
        <v>0</v>
      </c>
      <c r="HT6" s="1">
        <f>IF($B6=Analysis!$C$159,0,IF(HP6 &gt;= 0,
    MAX(0, HQ5 + HP6 - Analysis!$C$7),
    0))</f>
        <v>11615.22532709621</v>
      </c>
      <c r="HU6" s="1">
        <f>IF($B6=Analysis!$C$159,0,MAX(0, HU5 + HT6 - IF(HP6 &lt; 0, MIN(ABS(HP6), HU5 + HT6), 0)))</f>
        <v>11615.22532709621</v>
      </c>
      <c r="HV6" s="1">
        <f>IF($B6=Analysis!$C$159,0,IF(HP6 &lt; 0,
    IF(HP6 + HQ5 &lt; 0,
        MAX(0, HV5 - (ABS(HP6 + HQ5) * (1+$V5))),
        HV5 + HS6),
    HV5 + HT6 + HS6))</f>
        <v>11615.22532709621</v>
      </c>
      <c r="HW6" s="1">
        <f>IF(HV6-HU6&gt;0, HV6-$V6*(HV6-HU6),HV6)</f>
        <v>11615.22532709621</v>
      </c>
      <c r="HX6" s="36"/>
    </row>
    <row r="7" spans="1:232" x14ac:dyDescent="0.35">
      <c r="A7">
        <f t="shared" si="0"/>
        <v>40</v>
      </c>
      <c r="B7">
        <v>2030</v>
      </c>
      <c r="C7" s="1">
        <f>IF($B7&lt;Analysis!C$66,0,$AN7)+$AT7+$AW7+$BC7+$CF7+$CA7</f>
        <v>-238627.99257823703</v>
      </c>
      <c r="D7" s="1">
        <f>IF($B7&lt;Analysis!C$66, 0, BV7)+AT7+AW7+BC7+CG7+CA7</f>
        <v>-340324.23630922992</v>
      </c>
      <c r="E7" s="1">
        <f t="shared" si="13"/>
        <v>185006.38017291311</v>
      </c>
      <c r="F7" s="1">
        <f t="shared" si="14"/>
        <v>177301.34965740159</v>
      </c>
      <c r="G7" s="1">
        <f>IF(AND($B7&gt;=Analysis!$C$100, $B7&lt;Analysis!$C$101),$CK7,0)+IF($B7&gt;=Analysis!$C$130,EB7,0)+CQ7+CU7+CZ7+EH7+EK7+EQ7+$FO7+$FT7</f>
        <v>3356.4112861018584</v>
      </c>
      <c r="H7" s="1">
        <f t="shared" si="2"/>
        <v>-58022.737846754331</v>
      </c>
      <c r="I7" s="1">
        <f>IF($B7&lt;Analysis!$C$159,0,$FW7)+$GC7+$GF7+$GL7+$HQ7+$HV7</f>
        <v>3356.4112861018584</v>
      </c>
      <c r="J7" s="1">
        <f t="shared" si="3"/>
        <v>-75094.359149743643</v>
      </c>
      <c r="K7" s="36"/>
      <c r="L7" s="1">
        <f t="shared" si="15"/>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4"/>
        <v>0</v>
      </c>
      <c r="R7" s="1">
        <f>IF(AND(AND(B7=Analysis!C$35,Analysis!C$34&lt;&gt;0),AND(B7=Analysis!C$37,Analysis!C$36&lt;&gt;0)),Analysis!C$34+Analysis!C$36,IF(AND(B7=Analysis!C$35,Analysis!C$34&lt;&gt;0),Analysis!C$34,IF(AND(B7=Analysis!C$37,Analysis!C$36&lt;&gt;0),Analysis!C$36,0)))</f>
        <v>0</v>
      </c>
      <c r="S7" s="64">
        <f t="shared" si="16"/>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7"/>
        <v>0.26374999999999998</v>
      </c>
      <c r="W7" s="36"/>
      <c r="X7" s="1">
        <f t="shared" si="45"/>
        <v>-18310.525725477997</v>
      </c>
      <c r="Y7" s="64">
        <f t="shared" si="18"/>
        <v>2.941176470588247E-2</v>
      </c>
      <c r="Z7" s="1">
        <f t="shared" si="19"/>
        <v>-3960</v>
      </c>
      <c r="AA7" s="64">
        <f t="shared" si="20"/>
        <v>0</v>
      </c>
      <c r="AB7" s="40"/>
      <c r="AC7" s="1">
        <f t="shared" si="4"/>
        <v>-77570.525725478001</v>
      </c>
      <c r="AD7" s="1">
        <f t="shared" si="5"/>
        <v>105646.82315484756</v>
      </c>
      <c r="AE7" s="1">
        <f t="shared" si="21"/>
        <v>28076.297429369559</v>
      </c>
      <c r="AF7" s="1">
        <f>IF(AE7 &lt; 0,
    IF(AF6 + AE7 &gt; 0,
        AF6 + AE7, IF(AK6-ABS(AF6 + AE7)*(1+$V7) &gt;= AF6 + AE7,
        0, AF6 + AE7)),
    MIN(AF6 + AE7, Analysis!$C$7))+IF(AF6&lt;0, AF6*Analysis!$C$9,0)</f>
        <v>24000</v>
      </c>
      <c r="AG7" s="40"/>
      <c r="AH7" s="1">
        <f t="shared" si="22"/>
        <v>8680.0970404356303</v>
      </c>
      <c r="AI7" s="1">
        <f>IF(AE7 &gt;= 0,
    MAX(0, AF6 + AE7 - Analysis!$C$7),
    0)</f>
        <v>28076.297429369559</v>
      </c>
      <c r="AJ7" s="1">
        <f t="shared" si="46"/>
        <v>131792.99433211115</v>
      </c>
      <c r="AK7" s="1">
        <f t="shared" si="23"/>
        <v>161006.38017291311</v>
      </c>
      <c r="AL7" s="1">
        <f t="shared" si="6"/>
        <v>153301.34965740159</v>
      </c>
      <c r="AM7" s="36"/>
      <c r="AN7" s="1">
        <f t="shared" si="47"/>
        <v>797617.59789014014</v>
      </c>
      <c r="AO7" s="64">
        <f t="shared" si="24"/>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-16640.973517727231</v>
      </c>
      <c r="AT7" s="1">
        <f>IF($B7&lt;Analysis!$C$66,0,IF($B7=Analysis!$C$66,-AP7-AS7,MIN(0,AT6-AS7)))</f>
        <v>-602480.85032748303</v>
      </c>
      <c r="AU7" s="64">
        <f>IF($B7&lt;Analysis!$C$66,0,IF($B7=Analysis!$C$66,Analysis!$C$72,IF(($B7-Analysis!$C$66)&lt;LOOKUP(Analysis!$C$66,$B:$B,AQ:AQ),AU6,0)))</f>
        <v>3.6999999999999998E-2</v>
      </c>
      <c r="AV7" s="1">
        <f>IF($B7&lt;Analysis!$C$66,0,IF($B7=Analysis!$C$66,-AU7*AP7,AU6*AT6))</f>
        <v>-22907.507482272777</v>
      </c>
      <c r="AW7" s="1">
        <f>IF($B7&lt;Analysis!$C$66,0,IF($B7=Analysis!$C$66,PMT(AU7,AQ7,AP7)*AQ7-AX7-AT7,IF(($B7-Analysis!$C$66+1)&lt;LOOKUP(Analysis!$C$66,$B:$B,AQ:AQ),IF(AW6-AV7&lt;0, AW6-AV7,0),0)))</f>
        <v>-300268.8892118017</v>
      </c>
      <c r="AX7" s="1">
        <f>IF($B7&lt;Analysis!$C$66,0,IF($B7=Analysis!$C$66,AS7+AV7,IF(AT6&lt;0,IF(AT6&gt;LOOKUP(Analysis!$C$66,$B:$B,AX:AX), AT6*(1+AU6),AX6),0)))</f>
        <v>-39548.481000000007</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-2392.8527936704204</v>
      </c>
      <c r="BF7" s="64">
        <f>IF($B7&lt;Analysis!$C$66,0,Analysis!$C$78)</f>
        <v>3.0000000000000001E-3</v>
      </c>
      <c r="BG7" s="1">
        <f>IF($B7&lt;Analysis!$C$66,0,-BH7*AN7)</f>
        <v>-5982.1319841760505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5"/>
        <v>-101696.24373099286</v>
      </c>
      <c r="BS7" s="64">
        <f>IF($B7&lt;Analysis!C$66,0,Analysis!C$31)</f>
        <v>0.1275</v>
      </c>
      <c r="BT7" s="1">
        <f>IF($B7&lt;Analysis!$C$66,0,AN7+BR7)</f>
        <v>695921.35415914725</v>
      </c>
      <c r="BU7" s="1">
        <f>IF($B7-Analysis!$C$66&gt;3,0,IF($AN7&gt;LOOKUP(Analysis!$C$66,$B:$B, AN:AN),$V7*(LOOKUP(Analysis!$C$66,$B:$B, AN:AN)-AN7),0))</f>
        <v>0</v>
      </c>
      <c r="BV7" s="1">
        <f t="shared" si="26"/>
        <v>695921.35415914725</v>
      </c>
      <c r="BW7" s="42"/>
      <c r="BX7" s="1">
        <f>IF($B7&lt;Analysis!$C$66,$P7+$N7+$X7+$Z7,$P7+$N7+AS7+AV7+BB7+BE7+BG7+MAX(BI7,SUM(BJ7:BN7))+BP7)</f>
        <v>-113256.2945565539</v>
      </c>
      <c r="BY7" s="1">
        <f t="shared" si="27"/>
        <v>105646.82315484756</v>
      </c>
      <c r="BZ7" s="1">
        <f t="shared" si="48"/>
        <v>-7609.4714017063379</v>
      </c>
      <c r="CA7" s="1">
        <f>IF(BZ7 &lt; 0,
    IF(CA6 + BZ7 &gt; 0,
        CA6 + BZ7, IF(CF6-ABS(CA6 + BZ7)*(1+$V7) &gt;= CA6 + BZ7,
        0, CA6 + BZ7)),
    MIN(CA6 + BZ7, Analysis!$C$7))+IF(CA6&lt;0, CA6*Analysis!$C$9,0)</f>
        <v>-109204.53581426277</v>
      </c>
      <c r="CB7" s="42"/>
      <c r="CC7" s="1">
        <f t="shared" si="49"/>
        <v>0</v>
      </c>
      <c r="CD7" s="1">
        <f>IF(BZ7 &gt;= 0,
    MAX(0, CA6 + BZ7 - Analysis!$C$7),
    0)</f>
        <v>0</v>
      </c>
      <c r="CE7" s="1">
        <f>IF($B7=Analysis!$C$66,0,MAX(0, CE6 + CD7 - IF(BZ7 &lt; 0, MIN(ABS(BZ7), CE6 + CD7), 0)))</f>
        <v>0</v>
      </c>
      <c r="CF7" s="1">
        <f>IF($B7=Analysis!$C$66,0,IF(BZ7 &lt; 0,
    IF(BZ7 + CA6 &lt; 0,
        MAX(0, CF6 - (ABS(BZ7 + CA6) * (1+$V6))),
        CF6 + CC7),
    CF6 + CD7 + CC7))</f>
        <v>0</v>
      </c>
      <c r="CG7" s="1">
        <f t="shared" si="28"/>
        <v>0</v>
      </c>
      <c r="CH7" s="36"/>
      <c r="CI7" s="1">
        <f>IF(OR($B7&lt;Analysis!$C$100, $B7&gt;=Analysis!$C$130),0,X7)</f>
        <v>-18310.525725477997</v>
      </c>
      <c r="CJ7" s="1">
        <f>IF(OR($B7&lt;Analysis!$C$100, $B7&gt;=Analysis!$C$130),0,Z7)</f>
        <v>-3960</v>
      </c>
      <c r="CK7" s="1">
        <f t="shared" si="50"/>
        <v>479726.52626725816</v>
      </c>
      <c r="CL7" s="64">
        <f t="shared" si="51"/>
        <v>2.941176470588247E-2</v>
      </c>
      <c r="CM7" s="1">
        <f>IF($B7=Analysis!$C$100,(CK7*(1+Analysis!$C$23+Analysis!$C$24+Analysis!$C$25))-IF($B7=$B$2,(Analysis!$C$6-Analysis!$C$7+Analysis!$C$105), (FU6-Analysis!$C$7+CV7)),0)</f>
        <v>0</v>
      </c>
      <c r="CN7" s="64">
        <f>IF($B7=Analysis!$C$100,Analysis!$C$103,0)</f>
        <v>0</v>
      </c>
      <c r="CO7" s="64">
        <f>IF(OR($B7&lt;Analysis!$C$100, $B7&gt;=Analysis!$C$101),0,IF($B7=Analysis!$C$100,Analysis!$C$102,IF(($B7-Analysis!$C$100)&lt;LOOKUP(Analysis!$C$100,$B:$B,CT:CT),CO6,0)))</f>
        <v>3.6999999999999998E-2</v>
      </c>
      <c r="CP7" s="1">
        <f>IF(OR($B7&lt;Analysis!$C$100, $B7&gt;=Analysis!$C$101),0,IF($B7=Analysis!$C$100,-CM7*CN7,IF(CS7&gt;=0,0,CS7-CR7)))</f>
        <v>-9282.2259628036754</v>
      </c>
      <c r="CQ7" s="1">
        <f>IF(OR($B7&lt;Analysis!$C$100, $B7&gt;=Analysis!$C$101),0,IF($B7=Analysis!$C$100,-CM7-CP7,MIN(0,CQ6-CP7)))</f>
        <v>-336059.86963709706</v>
      </c>
      <c r="CR7" s="1">
        <f>IF(OR($B7&lt;Analysis!$C$100, $B7&gt;=Analysis!$C$101),0,IF($B7=Analysis!$C$100,-CO7*CM7,CO6*CQ6))</f>
        <v>-12777.657537196328</v>
      </c>
      <c r="CS7" s="1">
        <f>IF(OR($B7&lt;Analysis!$C$100, $B7&gt;=Analysis!$C$101),0,IF($B7=Analysis!$C$100,CP7+CR7,IF(CQ6&lt;0,IF(CQ6&gt;LOOKUP(Analysis!$C$100,$B:$B,CS:CS), CQ6*(1+CO6),CS6),0)))</f>
        <v>-22059.883500000004</v>
      </c>
      <c r="CT7" s="65">
        <f>IF($B7=Analysis!$C$100,NPER(CO7,-CS7,-CM7),0)</f>
        <v>0</v>
      </c>
      <c r="CU7" s="1">
        <f>IF(OR($B7&lt;Analysis!$C$100, $B7&gt;=Analysis!$C$101),0,IF($B7=Analysis!$C$100,PMT(CO7,CT7,CM7)*CT7-CS7-CQ7,IF(($B7-Analysis!$C$100+1)&lt;LOOKUP(Analysis!$C$100,$B:$B,CT:CT),IF(CU6-CR7&lt;0, CU6-CR7,0),0)))</f>
        <v>-167488.01843202906</v>
      </c>
      <c r="CV7" s="1">
        <f>IF($B7=Analysis!$C$100,Analysis!$C$105,0)</f>
        <v>0</v>
      </c>
      <c r="CW7" s="1">
        <f>IF($B7=Analysis!$C$100,PMT(CO7,CX7,CV7)*CX7,0)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16021.710009793249</v>
      </c>
      <c r="DC7" s="64">
        <f>IF(OR($B7&lt;Analysis!$C$100, $B7&gt;=Analysis!$C$101),0,((1+Analysis!$C$114)/(1+$S7))-1)</f>
        <v>2.941176470588247E-2</v>
      </c>
      <c r="DD7" s="1">
        <f t="shared" si="29"/>
        <v>21420.889588595022</v>
      </c>
      <c r="DE7" s="1">
        <f t="shared" si="8"/>
        <v>-1439.1795788017746</v>
      </c>
      <c r="DF7" s="64">
        <f>IF(OR($B7&lt;Analysis!$C$100, $B7&gt;=Analysis!$C$101),0,Analysis!$C$118)</f>
        <v>3.0000000000000001E-3</v>
      </c>
      <c r="DG7" s="1">
        <f t="shared" si="9"/>
        <v>-3597.9489470044359</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-1201.6282507344936</v>
      </c>
      <c r="DR7" s="1">
        <f t="shared" si="30"/>
        <v>-18498.756776540708</v>
      </c>
      <c r="DS7" s="1">
        <f>MIN(0,-(DB7+DR7)*Analysis!$C$28)-CR7*Analysis!$C$28</f>
        <v>5661.780054731692</v>
      </c>
      <c r="DT7" s="1">
        <f>-Analysis!$C$116*DD7/12</f>
        <v>-1785.0741323829186</v>
      </c>
      <c r="DU7" s="53"/>
      <c r="DV7" s="1">
        <f t="shared" si="10"/>
        <v>-61165.132099075417</v>
      </c>
      <c r="DW7" s="64">
        <f>IF(OR($B7&lt;Analysis!$C$100, $B7&gt;=Analysis!$C$101),0,IF($B7=Analysis!$C$100,Analysis!$C$31,DW6))</f>
        <v>0.1275</v>
      </c>
      <c r="DX7" s="1">
        <f>IF(OR($B7&lt;Analysis!$C$100, $B7&gt;=Analysis!$C$101),0,CK7+DV7)</f>
        <v>418561.39416818274</v>
      </c>
      <c r="DY7" s="1">
        <f>IF(OR($B7&lt;Analysis!$C$100, $B7&gt;=Analysis!$C$101),0,IF($B7-Analysis!$C$100&gt;3,0,IF(CK7&gt;LOOKUP(Analysis!$C$100,$B:$B, CK:CK),$V7*(LOOKUP(Analysis!$C$100,$B:$B, CK:CK)-CK7),0)))</f>
        <v>0</v>
      </c>
      <c r="DZ7" s="1">
        <f t="shared" si="52"/>
        <v>418561.39416818274</v>
      </c>
      <c r="EA7" s="53"/>
      <c r="EB7" s="1">
        <f t="shared" si="31"/>
        <v>797617.59789014014</v>
      </c>
      <c r="EC7" s="64">
        <f t="shared" si="53"/>
        <v>2.941176470588247E-2</v>
      </c>
      <c r="ED7" s="1">
        <f>MAX(0,IF($B7=Analysis!$C$130,(EB7*(1+Analysis!$C$23+Analysis!$C$24+Analysis!$C$25))-(IF($B7=$B$2,(Analysis!$C$6-Analysis!$C$7+Analysis!$C$132), (FU6-Analysis!$C$7+EM7)) + IF($B7=Analysis!$C$101,DZ6+CQ6+CU6+CZ6,0)),0))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$P7+$N7+IF($B7&lt;Analysis!$C$130,$CI7+$CJ7,0)+CP7+CR7+CY7+DE7+DG7+MIN(DI7,SUM(DJ7:DN7))+DQ7+DS7+DT7+EG7+EJ7+EP7+ES7+EU7+MIN(EW7,SUM(EX7:FB7))+FD7</f>
        <v>-112025.28885837735</v>
      </c>
      <c r="FM7" s="1">
        <f>$M7+$R7+DD7+IF(AND($B7&lt;&gt;Analysis!$C$130,$B7=Analysis!$C$101),DZ6+CQ6+CU6+CZ6,0)</f>
        <v>127067.71274344258</v>
      </c>
      <c r="FN7" s="1">
        <f t="shared" si="34"/>
        <v>15042.423885065233</v>
      </c>
      <c r="FO7" s="1">
        <f>IF(FN7 &lt; 0,
    IF(FO6 + FN7 &gt; 0,
        FO6 + FN7, IF(FT6-ABS(FO6 + FN7)*(1+$V7) &gt;= FO6 + FN7,
        0, FO6 + FN7)),
    MIN(FO6 + FN7, Analysis!$C$7))+IF(FO6&lt;0, FO6*Analysis!$C$9,0)</f>
        <v>24000</v>
      </c>
      <c r="FP7" s="53"/>
      <c r="FQ7" s="1">
        <f t="shared" si="54"/>
        <v>811.43899063803997</v>
      </c>
      <c r="FR7" s="1">
        <f>IF(OR($B7=Analysis!$C$100, $B7=Analysis!$C$130),0,IF(FN7 &gt;= 0,
    MAX(0, FO6 + FN7 - Analysis!$C$7),
    0))</f>
        <v>15042.423885065233</v>
      </c>
      <c r="FS7" s="1">
        <f>IF(OR($B7=Analysis!$C$100, $B7=Analysis!$C$130),0,MAX(0, FS6 + FR7 - IF(FN7 &lt; 0, MIN(ABS(FN7), FS6 + FR7), 0)))</f>
        <v>26657.649212161443</v>
      </c>
      <c r="FT7" s="1">
        <f>IF(OR($B7=Analysis!$C$100, $B7=Analysis!$C$130),0,IF(FN7 &lt; 0,
    IF(FN7 + FO6 &lt; 0,
        MAX(0, FT6 - (ABS(FN7 + FO6) * (1+$V6))),
        FT6 + FQ7),
    FT6 + FR7 + FQ7))</f>
        <v>27469.088202799481</v>
      </c>
      <c r="FU7" s="1">
        <f t="shared" si="35"/>
        <v>27255.071169018698</v>
      </c>
      <c r="FV7" s="36"/>
      <c r="FW7" s="1">
        <f t="shared" si="55"/>
        <v>479726.52626725816</v>
      </c>
      <c r="FX7" s="64">
        <f t="shared" si="56"/>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-9282.2259628036754</v>
      </c>
      <c r="GC7" s="1">
        <f>IF($B7&lt;Analysis!$C$159,0,IF($B7=Analysis!$C$159,-FY7-GB7,MIN(0,GC6-GB7)))</f>
        <v>-336059.86963709706</v>
      </c>
      <c r="GD7" s="64">
        <f>IF($B7&lt;Analysis!$C$159,0,IF($B7=Analysis!$C$159,Analysis!$C$160,IF(($B7-Analysis!$C$159)&lt;LOOKUP(Analysis!$C$159,$B:$B,FZ:FZ),GD6,0)))</f>
        <v>3.6999999999999998E-2</v>
      </c>
      <c r="GE7" s="1">
        <f>IF($B7&lt;Analysis!$C$159,0,IF($B7=Analysis!$C$159,-GD7*FY7,GD6*GC6))</f>
        <v>-12777.657537196328</v>
      </c>
      <c r="GF7" s="1">
        <f>IF($B7&lt;Analysis!$C$159,0,IF($B7=Analysis!$C$159,PMT(GD7,FZ7,FY7)*FZ7-GG7-GC7,IF(($B7-Analysis!$C$159+1)&lt;LOOKUP(Analysis!$C$159,$B:$B,FZ:FZ),IF(GF6-GE7&lt;0, GF6-GE7,0),0)))</f>
        <v>-167488.01843202906</v>
      </c>
      <c r="GG7" s="1">
        <f>IF($B7&lt;Analysis!$C$159,0,IF($B7=Analysis!$C$159,GB7+GE7,IF(GC6&lt;0,IF(GC6&gt;LOOKUP(Analysis!$C$159,$B:$B,GG:GG), GC6*(1+GD6),GG6),0)))</f>
        <v>-22059.883500000004</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16021.710009793249</v>
      </c>
      <c r="GO7" s="64">
        <f>IF($B7&lt;Analysis!$C$159,0,((1+Analysis!$C$174)/(1+$S7))-1)</f>
        <v>2.941176470588247E-2</v>
      </c>
      <c r="GP7" s="1">
        <f t="shared" si="36"/>
        <v>21420.889588595022</v>
      </c>
      <c r="GQ7" s="1">
        <f t="shared" si="37"/>
        <v>-1439.1795788017746</v>
      </c>
      <c r="GR7" s="64">
        <f>IF($B7&lt;Analysis!$C$159,0,Analysis!$C$178)</f>
        <v>3.0000000000000001E-3</v>
      </c>
      <c r="GS7" s="1">
        <f t="shared" si="38"/>
        <v>-3597.9489470044359</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-1201.6282507344936</v>
      </c>
      <c r="HD7" s="1">
        <f t="shared" si="39"/>
        <v>-18498.756776540708</v>
      </c>
      <c r="HE7" s="1">
        <f>MIN(0,-(GN7+HD7)*Analysis!$C$28)-GE7*Analysis!$C$28</f>
        <v>5661.780054731692</v>
      </c>
      <c r="HF7" s="1">
        <f>-Analysis!$C$176*GP7/12</f>
        <v>-1785.0741323829186</v>
      </c>
      <c r="HG7" s="38"/>
      <c r="HH7" s="1">
        <f>IF($B7&lt;Analysis!$C$159,0,-$HI7*$FW7)</f>
        <v>-61165.132099075417</v>
      </c>
      <c r="HI7" s="64">
        <f>IF($B7&lt;Analysis!$C$159,0,IF($B7=Analysis!$C$159,Analysis!$C$31,HI6))</f>
        <v>0.1275</v>
      </c>
      <c r="HJ7" s="1">
        <f>IF($B7&lt;Analysis!$C$159,0,$FW7+HH7)</f>
        <v>418561.39416818274</v>
      </c>
      <c r="HK7" s="1">
        <f>IF($B7-Analysis!$C$159&gt;10,0,IF($FW7&gt;LOOKUP(Analysis!$C$159,$B:$B, FW:FW),$V7*(LOOKUP(Analysis!$C$159,$B:$B, FW:FW)-FW7),0))</f>
        <v>-17071.621302989337</v>
      </c>
      <c r="HL7" s="1">
        <f t="shared" si="40"/>
        <v>401489.77286519343</v>
      </c>
      <c r="HM7" s="38"/>
      <c r="HN7" s="1">
        <f t="shared" si="41"/>
        <v>-112025.28885837735</v>
      </c>
      <c r="HO7" s="1">
        <f t="shared" si="12"/>
        <v>127067.71274344258</v>
      </c>
      <c r="HP7" s="1">
        <f t="shared" si="42"/>
        <v>15042.423885065233</v>
      </c>
      <c r="HQ7" s="1">
        <f>IF(HP7 &lt; 0,
    IF(HQ6 + HP7 &gt; 0,
        HQ6 + HP7, IF(HV6-ABS(HQ6 + HP7)*(1+$V7) &gt;= HQ6 + HP7,
        0, HQ6 + HP7)),
    MIN(HQ6 + HP7, Analysis!$C$7))+IF(HQ6&lt;0, HQ6*Analysis!$C$9,0)</f>
        <v>24000</v>
      </c>
      <c r="HR7" s="38"/>
      <c r="HS7" s="1">
        <f t="shared" si="57"/>
        <v>811.43899063803997</v>
      </c>
      <c r="HT7" s="1">
        <f>IF($B7=Analysis!$C$159,0,IF(HP7 &gt;= 0,
    MAX(0, HQ6 + HP7 - Analysis!$C$7),
    0))</f>
        <v>15042.423885065233</v>
      </c>
      <c r="HU7" s="1">
        <f>IF($B7=Analysis!$C$159,0,MAX(0, HU6 + HT7 - IF(HP7 &lt; 0, MIN(ABS(HP7), HU6 + HT7), 0)))</f>
        <v>26657.649212161443</v>
      </c>
      <c r="HV7" s="1">
        <f>IF($B7=Analysis!$C$159,0,IF(HP7 &lt; 0,
    IF(HP7 + HQ6 &lt; 0,
        MAX(0, HV6 - (ABS(HP7 + HQ6) * (1+$V6))),
        HV6 + HS7),
    HV6 + HT7 + HS7))</f>
        <v>27469.088202799481</v>
      </c>
      <c r="HW7" s="1">
        <f t="shared" si="43"/>
        <v>27255.071169018698</v>
      </c>
      <c r="HX7" s="36"/>
    </row>
    <row r="8" spans="1:232" x14ac:dyDescent="0.35">
      <c r="A8">
        <f t="shared" si="0"/>
        <v>41</v>
      </c>
      <c r="B8">
        <v>2031</v>
      </c>
      <c r="C8" s="1">
        <f>IF($B8&lt;Analysis!C$66,0,$AN8)+$AT8+$AW8+$BC8+$CF8+$CA8</f>
        <v>-186650.11611320038</v>
      </c>
      <c r="D8" s="1">
        <f>IF($B8&lt;Analysis!C$66, 0, BV8)+AT8+AW8+BC8+CG8+CA8</f>
        <v>-291337.42583628127</v>
      </c>
      <c r="E8" s="1">
        <f t="shared" si="13"/>
        <v>223005.40140994103</v>
      </c>
      <c r="F8" s="1">
        <f t="shared" si="14"/>
        <v>212406.53602484043</v>
      </c>
      <c r="G8" s="1">
        <f>IF(AND($B8&gt;=Analysis!$C$100, $B8&lt;Analysis!$C$101),$CK8,0)+IF($B8&gt;=Analysis!$C$130,EB8,0)+CQ8+CU8+CZ8+EH8+EK8+EQ8+$FO8+$FT8</f>
        <v>61598.975429035883</v>
      </c>
      <c r="H8" s="1">
        <f t="shared" si="2"/>
        <v>-2072.8615642809673</v>
      </c>
      <c r="I8" s="1">
        <f>IF($B8&lt;Analysis!$C$159,0,$FW8)+$GC8+$GF8+$GL8+$HQ8+$HV8</f>
        <v>61598.975429035883</v>
      </c>
      <c r="J8" s="1">
        <f t="shared" si="3"/>
        <v>-22865.890846770002</v>
      </c>
      <c r="K8" s="36"/>
      <c r="L8" s="1">
        <f t="shared" si="15"/>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4"/>
        <v>0</v>
      </c>
      <c r="R8" s="1">
        <f>IF(AND(AND(B8=Analysis!C$35,Analysis!C$34&lt;&gt;0),AND(B8=Analysis!C$37,Analysis!C$36&lt;&gt;0)),Analysis!C$34+Analysis!C$36,IF(AND(B8=Analysis!C$35,Analysis!C$34&lt;&gt;0),Analysis!C$34,IF(AND(B8=Analysis!C$37,Analysis!C$36&lt;&gt;0),Analysis!C$36,0)))</f>
        <v>0</v>
      </c>
      <c r="S8" s="64">
        <f t="shared" si="16"/>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7"/>
        <v>0.26374999999999998</v>
      </c>
      <c r="W8" s="36"/>
      <c r="X8" s="1">
        <f t="shared" si="45"/>
        <v>-18849.070599756764</v>
      </c>
      <c r="Y8" s="64">
        <f t="shared" si="18"/>
        <v>2.941176470588247E-2</v>
      </c>
      <c r="Z8" s="1">
        <f t="shared" si="19"/>
        <v>-3960</v>
      </c>
      <c r="AA8" s="64">
        <f t="shared" si="20"/>
        <v>0</v>
      </c>
      <c r="AB8" s="40"/>
      <c r="AC8" s="1">
        <f t="shared" si="4"/>
        <v>-81209.070599756757</v>
      </c>
      <c r="AD8" s="1">
        <f t="shared" si="5"/>
        <v>108236.2060753095</v>
      </c>
      <c r="AE8" s="1">
        <f t="shared" si="21"/>
        <v>27027.135475552743</v>
      </c>
      <c r="AF8" s="1">
        <f>IF(AE8 &lt; 0,
    IF(AF7 + AE8 &gt; 0,
        AF7 + AE8, IF(AK7-ABS(AF7 + AE8)*(1+$V8) &gt;= AF7 + AE8,
        0, AF7 + AE8)),
    MIN(AF7 + AE8, Analysis!$C$7))+IF(AF7&lt;0, AF7*Analysis!$C$9,0)</f>
        <v>24000</v>
      </c>
      <c r="AG8" s="40"/>
      <c r="AH8" s="1">
        <f t="shared" si="22"/>
        <v>10971.885761475185</v>
      </c>
      <c r="AI8" s="1">
        <f>IF(AE8 &gt;= 0,
    MAX(0, AF7 + AE8 - Analysis!$C$7),
    0)</f>
        <v>27027.135475552743</v>
      </c>
      <c r="AJ8" s="1">
        <f t="shared" si="46"/>
        <v>158820.12980766391</v>
      </c>
      <c r="AK8" s="1">
        <f t="shared" si="23"/>
        <v>199005.40140994103</v>
      </c>
      <c r="AL8" s="1">
        <f t="shared" si="6"/>
        <v>188406.53602484043</v>
      </c>
      <c r="AM8" s="36"/>
      <c r="AN8" s="1">
        <f t="shared" si="47"/>
        <v>821076.93900455616</v>
      </c>
      <c r="AO8" s="64">
        <f t="shared" si="24"/>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-17256.689537883136</v>
      </c>
      <c r="AT8" s="1">
        <f>IF($B8&lt;Analysis!$C$66,0,IF($B8=Analysis!$C$66,-AP8-AS8,MIN(0,AT7-AS8)))</f>
        <v>-585224.16078959987</v>
      </c>
      <c r="AU8" s="64">
        <f>IF($B8&lt;Analysis!$C$66,0,IF($B8=Analysis!$C$66,Analysis!$C$72,IF(($B8-Analysis!$C$66)&lt;LOOKUP(Analysis!$C$66,$B:$B,AQ:AQ),AU7,0)))</f>
        <v>3.6999999999999998E-2</v>
      </c>
      <c r="AV8" s="1">
        <f>IF($B8&lt;Analysis!$C$66,0,IF($B8=Analysis!$C$66,-AU8*AP8,AU7*AT7))</f>
        <v>-22291.791462116871</v>
      </c>
      <c r="AW8" s="1">
        <f>IF($B8&lt;Analysis!$C$66,0,IF($B8=Analysis!$C$66,PMT(AU8,AQ8,AP8)*AQ8-AX8-AT8,IF(($B8-Analysis!$C$66+1)&lt;LOOKUP(Analysis!$C$66,$B:$B,AQ:AQ),IF(AW7-AV8&lt;0, AW7-AV8,0),0)))</f>
        <v>-277977.09774968482</v>
      </c>
      <c r="AX8" s="1">
        <f>IF($B8&lt;Analysis!$C$66,0,IF($B8=Analysis!$C$66,AS8+AV8,IF(AT7&lt;0,IF(AT7&gt;LOOKUP(Analysis!$C$66,$B:$B,AX:AX), AT7*(1+AU7),AX7),0)))</f>
        <v>-39548.481000000007</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-2463.2308170136685</v>
      </c>
      <c r="BF8" s="64">
        <f>IF($B8&lt;Analysis!$C$66,0,Analysis!$C$78)</f>
        <v>3.0000000000000001E-3</v>
      </c>
      <c r="BG8" s="1">
        <f>IF($B8&lt;Analysis!$C$66,0,-BH8*AN8)</f>
        <v>-6158.0770425341707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5"/>
        <v>-104687.30972308091</v>
      </c>
      <c r="BS8" s="64">
        <f>IF($B8&lt;Analysis!C$66,0,Analysis!C$31)</f>
        <v>0.1275</v>
      </c>
      <c r="BT8" s="1">
        <f>IF($B8&lt;Analysis!$C$66,0,AN8+BR8)</f>
        <v>716389.62928147521</v>
      </c>
      <c r="BU8" s="1">
        <f>IF($B8-Analysis!$C$66&gt;3,0,IF($AN8&gt;LOOKUP(Analysis!$C$66,$B:$B, AN:AN),$V8*(LOOKUP(Analysis!$C$66,$B:$B, AN:AN)-AN8),0))</f>
        <v>0</v>
      </c>
      <c r="BV8" s="1">
        <f t="shared" si="26"/>
        <v>716389.62928147521</v>
      </c>
      <c r="BW8" s="42"/>
      <c r="BX8" s="1">
        <f>IF($B8&lt;Analysis!$C$66,$P8+$N8+$X8+$Z8,$P8+$N8+AS8+AV8+BB8+BE8+BG8+MAX(BI8,SUM(BJ8:BN8))+BP8)</f>
        <v>-116602.61763825528</v>
      </c>
      <c r="BY8" s="1">
        <f t="shared" si="27"/>
        <v>108236.2060753095</v>
      </c>
      <c r="BZ8" s="1">
        <f t="shared" si="48"/>
        <v>-8366.411562945781</v>
      </c>
      <c r="CA8" s="1">
        <f>IF(BZ8 &lt; 0,
    IF(CA7 + BZ8 &gt; 0,
        CA7 + BZ8, IF(CF7-ABS(CA7 + BZ8)*(1+$V8) &gt;= CA7 + BZ8,
        0, CA7 + BZ8)),
    MIN(CA7 + BZ8, Analysis!$C$7))+IF(CA7&lt;0, CA7*Analysis!$C$9,0)</f>
        <v>-126307.31024234957</v>
      </c>
      <c r="CB8" s="42"/>
      <c r="CC8" s="1">
        <f t="shared" si="49"/>
        <v>0</v>
      </c>
      <c r="CD8" s="1">
        <f>IF(BZ8 &gt;= 0,
    MAX(0, CA7 + BZ8 - Analysis!$C$7),
    0)</f>
        <v>0</v>
      </c>
      <c r="CE8" s="1">
        <f>IF($B8=Analysis!$C$66,0,MAX(0, CE7 + CD8 - IF(BZ8 &lt; 0, MIN(ABS(BZ8), CE7 + CD8), 0)))</f>
        <v>0</v>
      </c>
      <c r="CF8" s="1">
        <f>IF($B8=Analysis!$C$66,0,IF(BZ8 &lt; 0,
    IF(BZ8 + CA7 &lt; 0,
        MAX(0, CF7 - (ABS(BZ8 + CA7) * (1+$V7))),
        CF7 + CC8),
    CF7 + CD8 + CC8))</f>
        <v>0</v>
      </c>
      <c r="CG8" s="1">
        <f t="shared" si="28"/>
        <v>0</v>
      </c>
      <c r="CH8" s="36"/>
      <c r="CI8" s="1">
        <f>IF(OR($B8&lt;Analysis!$C$100, $B8&gt;=Analysis!$C$130),0,X8)</f>
        <v>-18849.070599756764</v>
      </c>
      <c r="CJ8" s="1">
        <f>IF(OR($B8&lt;Analysis!$C$100, $B8&gt;=Analysis!$C$130),0,Z8)</f>
        <v>-3960</v>
      </c>
      <c r="CK8" s="1">
        <f t="shared" si="50"/>
        <v>493836.12998100108</v>
      </c>
      <c r="CL8" s="64">
        <f t="shared" si="51"/>
        <v>2.941176470588247E-2</v>
      </c>
      <c r="CM8" s="1">
        <f>IF($B8=Analysis!$C$100,(CK8*(1+Analysis!$C$23+Analysis!$C$24+Analysis!$C$25))-IF($B8=$B$2,(Analysis!$C$6-Analysis!$C$7+Analysis!$C$105), (FU7-Analysis!$C$7+CV8)),0)</f>
        <v>0</v>
      </c>
      <c r="CN8" s="64">
        <f>IF($B8=Analysis!$C$100,Analysis!$C$103,0)</f>
        <v>0</v>
      </c>
      <c r="CO8" s="64">
        <f>IF(OR($B8&lt;Analysis!$C$100, $B8&gt;=Analysis!$C$101),0,IF($B8=Analysis!$C$100,Analysis!$C$102,IF(($B8-Analysis!$C$100)&lt;LOOKUP(Analysis!$C$100,$B:$B,CT:CT),CO7,0)))</f>
        <v>3.6999999999999998E-2</v>
      </c>
      <c r="CP8" s="1">
        <f>IF(OR($B8&lt;Analysis!$C$100, $B8&gt;=Analysis!$C$101),0,IF($B8=Analysis!$C$100,-CM8*CN8,IF(CS8&gt;=0,0,CS8-CR8)))</f>
        <v>-9625.6683234274133</v>
      </c>
      <c r="CQ8" s="1">
        <f>IF(OR($B8&lt;Analysis!$C$100, $B8&gt;=Analysis!$C$101),0,IF($B8=Analysis!$C$100,-CM8-CP8,MIN(0,CQ7-CP8)))</f>
        <v>-326434.20131366962</v>
      </c>
      <c r="CR8" s="1">
        <f>IF(OR($B8&lt;Analysis!$C$100, $B8&gt;=Analysis!$C$101),0,IF($B8=Analysis!$C$100,-CO8*CM8,CO7*CQ7))</f>
        <v>-12434.21517657259</v>
      </c>
      <c r="CS8" s="1">
        <f>IF(OR($B8&lt;Analysis!$C$100, $B8&gt;=Analysis!$C$101),0,IF($B8=Analysis!$C$100,CP8+CR8,IF(CQ7&lt;0,IF(CQ7&gt;LOOKUP(Analysis!$C$100,$B:$B,CS:CS), CQ7*(1+CO7),CS7),0)))</f>
        <v>-22059.883500000004</v>
      </c>
      <c r="CT8" s="65">
        <f>IF($B8=Analysis!$C$100,NPER(CO8,-CS8,-CM8),0)</f>
        <v>0</v>
      </c>
      <c r="CU8" s="1">
        <f>IF(OR($B8&lt;Analysis!$C$100, $B8&gt;=Analysis!$C$101),0,IF($B8=Analysis!$C$100,PMT(CO8,CT8,CM8)*CT8-CS8-CQ8,IF(($B8-Analysis!$C$100+1)&lt;LOOKUP(Analysis!$C$100,$B:$B,CT:CT),IF(CU7-CR8&lt;0, CU7-CR8,0),0)))</f>
        <v>-155053.80325545647</v>
      </c>
      <c r="CV8" s="1">
        <f>IF($B8=Analysis!$C$100,Analysis!$C$105,0)</f>
        <v>0</v>
      </c>
      <c r="CW8" s="1">
        <f>IF($B8=Analysis!$C$100,PMT(CO8,CX8,CV8)*CX8,0)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16492.936774787169</v>
      </c>
      <c r="DC8" s="64">
        <f>IF(OR($B8&lt;Analysis!$C$100, $B8&gt;=Analysis!$C$101),0,((1+Analysis!$C$114)/(1+$S8))-1)</f>
        <v>2.941176470588247E-2</v>
      </c>
      <c r="DD8" s="1">
        <f t="shared" si="29"/>
        <v>21934.445164730172</v>
      </c>
      <c r="DE8" s="1">
        <f t="shared" si="8"/>
        <v>-1481.5083899430033</v>
      </c>
      <c r="DF8" s="64">
        <f>IF(OR($B8&lt;Analysis!$C$100, $B8&gt;=Analysis!$C$101),0,Analysis!$C$118)</f>
        <v>3.0000000000000001E-3</v>
      </c>
      <c r="DG8" s="1">
        <f t="shared" si="9"/>
        <v>-3703.770974857508</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-1236.9702581090376</v>
      </c>
      <c r="DR8" s="1">
        <f t="shared" si="30"/>
        <v>-18682.249622909549</v>
      </c>
      <c r="DS8" s="1">
        <f>MIN(0,-(DB8+DR8)*Analysis!$C$28)-CR8*Analysis!$C$28</f>
        <v>5509.600744739314</v>
      </c>
      <c r="DT8" s="1">
        <f>-Analysis!$C$116*DD8/12</f>
        <v>-1827.8704303941811</v>
      </c>
      <c r="DU8" s="53"/>
      <c r="DV8" s="1">
        <f t="shared" si="10"/>
        <v>-62964.106572577643</v>
      </c>
      <c r="DW8" s="64">
        <f>IF(OR($B8&lt;Analysis!$C$100, $B8&gt;=Analysis!$C$101),0,IF($B8=Analysis!$C$100,Analysis!$C$31,DW7))</f>
        <v>0.1275</v>
      </c>
      <c r="DX8" s="1">
        <f>IF(OR($B8&lt;Analysis!$C$100, $B8&gt;=Analysis!$C$101),0,CK8+DV8)</f>
        <v>430872.02340842341</v>
      </c>
      <c r="DY8" s="1">
        <f>IF(OR($B8&lt;Analysis!$C$100, $B8&gt;=Analysis!$C$101),0,IF($B8-Analysis!$C$100&gt;3,0,IF(CK8&gt;LOOKUP(Analysis!$C$100,$B:$B, CK:CK),$V8*(LOOKUP(Analysis!$C$100,$B:$B, CK:CK)-CK8),0)))</f>
        <v>0</v>
      </c>
      <c r="DZ8" s="1">
        <f t="shared" si="52"/>
        <v>430872.02340842341</v>
      </c>
      <c r="EA8" s="53"/>
      <c r="EB8" s="1">
        <f t="shared" si="31"/>
        <v>821076.93900455616</v>
      </c>
      <c r="EC8" s="64">
        <f t="shared" si="53"/>
        <v>2.941176470588247E-2</v>
      </c>
      <c r="ED8" s="1">
        <f>MAX(0,IF($B8=Analysis!$C$130,(EB8*(1+Analysis!$C$23+Analysis!$C$24+Analysis!$C$25))-(IF($B8=$B$2,(Analysis!$C$6-Analysis!$C$7+Analysis!$C$132), (FU7-Analysis!$C$7+EM8)) + IF($B8=Analysis!$C$101,DZ7+CQ7+CU7+CZ7,0)),0))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$P8+$N8+IF($B8&lt;Analysis!$C$130,$CI8+$CJ8,0)+CP8+CR8+CY8+DE8+DG8+MIN(DI8,SUM(DJ8:DN8))+DQ8+DS8+DT8+EG8+EJ8+EP8+ES8+EU8+MIN(EW8,SUM(EX8:FB8))+FD8</f>
        <v>-116042.30218702859</v>
      </c>
      <c r="FM8" s="1">
        <f>$M8+$R8+DD8+IF(AND($B8&lt;&gt;Analysis!$C$130,$B8=Analysis!$C$101),DZ7+CQ7+CU7+CZ7,0)</f>
        <v>130170.65124003968</v>
      </c>
      <c r="FN8" s="1">
        <f t="shared" si="34"/>
        <v>14128.349053011087</v>
      </c>
      <c r="FO8" s="1">
        <f>IF(FN8 &lt; 0,
    IF(FO7 + FN8 &gt; 0,
        FO7 + FN8, IF(FT7-ABS(FO7 + FN8)*(1+$V8) &gt;= FO7 + FN8,
        0, FO7 + FN8)),
    MIN(FO7 + FN8, Analysis!$C$7))+IF(FO7&lt;0, FO7*Analysis!$C$9,0)</f>
        <v>24000</v>
      </c>
      <c r="FP8" s="53"/>
      <c r="FQ8" s="1">
        <f t="shared" si="54"/>
        <v>1871.8990974725705</v>
      </c>
      <c r="FR8" s="1">
        <f>IF(OR($B8=Analysis!$C$100, $B8=Analysis!$C$130),0,IF(FN8 &gt;= 0,
    MAX(0, FO7 + FN8 - Analysis!$C$7),
    0))</f>
        <v>14128.349053011087</v>
      </c>
      <c r="FS8" s="1">
        <f>IF(OR($B8=Analysis!$C$100, $B8=Analysis!$C$130),0,MAX(0, FS7 + FR8 - IF(FN8 &lt; 0, MIN(ABS(FN8), FS7 + FR8), 0)))</f>
        <v>40785.998265172529</v>
      </c>
      <c r="FT8" s="1">
        <f>IF(OR($B8=Analysis!$C$100, $B8=Analysis!$C$130),0,IF(FN8 &lt; 0,
    IF(FN8 + FO7 &lt; 0,
        MAX(0, FT7 - (ABS(FN8 + FO7) * (1+$V7))),
        FT7 + FQ8),
    FT7 + FR8 + FQ8))</f>
        <v>43469.336353283135</v>
      </c>
      <c r="FU8" s="1">
        <f t="shared" si="35"/>
        <v>42761.605932543964</v>
      </c>
      <c r="FV8" s="36"/>
      <c r="FW8" s="1">
        <f t="shared" si="55"/>
        <v>493836.12998100108</v>
      </c>
      <c r="FX8" s="64">
        <f t="shared" si="56"/>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-9625.6683234274133</v>
      </c>
      <c r="GC8" s="1">
        <f>IF($B8&lt;Analysis!$C$159,0,IF($B8=Analysis!$C$159,-FY8-GB8,MIN(0,GC7-GB8)))</f>
        <v>-326434.20131366962</v>
      </c>
      <c r="GD8" s="64">
        <f>IF($B8&lt;Analysis!$C$159,0,IF($B8=Analysis!$C$159,Analysis!$C$160,IF(($B8-Analysis!$C$159)&lt;LOOKUP(Analysis!$C$159,$B:$B,FZ:FZ),GD7,0)))</f>
        <v>3.6999999999999998E-2</v>
      </c>
      <c r="GE8" s="1">
        <f>IF($B8&lt;Analysis!$C$159,0,IF($B8=Analysis!$C$159,-GD8*FY8,GD7*GC7))</f>
        <v>-12434.21517657259</v>
      </c>
      <c r="GF8" s="1">
        <f>IF($B8&lt;Analysis!$C$159,0,IF($B8=Analysis!$C$159,PMT(GD8,FZ8,FY8)*FZ8-GG8-GC8,IF(($B8-Analysis!$C$159+1)&lt;LOOKUP(Analysis!$C$159,$B:$B,FZ:FZ),IF(GF7-GE8&lt;0, GF7-GE8,0),0)))</f>
        <v>-155053.80325545647</v>
      </c>
      <c r="GG8" s="1">
        <f>IF($B8&lt;Analysis!$C$159,0,IF($B8=Analysis!$C$159,GB8+GE8,IF(GC7&lt;0,IF(GC7&gt;LOOKUP(Analysis!$C$159,$B:$B,GG:GG), GC7*(1+GD7),GG7),0)))</f>
        <v>-22059.883500000004</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16492.936774787169</v>
      </c>
      <c r="GO8" s="64">
        <f>IF($B8&lt;Analysis!$C$159,0,((1+Analysis!$C$174)/(1+$S8))-1)</f>
        <v>2.941176470588247E-2</v>
      </c>
      <c r="GP8" s="1">
        <f t="shared" si="36"/>
        <v>21934.445164730172</v>
      </c>
      <c r="GQ8" s="1">
        <f t="shared" si="37"/>
        <v>-1481.5083899430033</v>
      </c>
      <c r="GR8" s="64">
        <f>IF($B8&lt;Analysis!$C$159,0,Analysis!$C$178)</f>
        <v>3.0000000000000001E-3</v>
      </c>
      <c r="GS8" s="1">
        <f t="shared" si="38"/>
        <v>-3703.770974857508</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-1236.9702581090376</v>
      </c>
      <c r="HD8" s="1">
        <f t="shared" si="39"/>
        <v>-18682.249622909549</v>
      </c>
      <c r="HE8" s="1">
        <f>MIN(0,-(GN8+HD8)*Analysis!$C$28)-GE8*Analysis!$C$28</f>
        <v>5509.600744739314</v>
      </c>
      <c r="HF8" s="1">
        <f>-Analysis!$C$176*GP8/12</f>
        <v>-1827.8704303941811</v>
      </c>
      <c r="HG8" s="38"/>
      <c r="HH8" s="1">
        <f>IF($B8&lt;Analysis!$C$159,0,-$HI8*$FW8)</f>
        <v>-62964.106572577643</v>
      </c>
      <c r="HI8" s="64">
        <f>IF($B8&lt;Analysis!$C$159,0,IF($B8=Analysis!$C$159,Analysis!$C$31,HI7))</f>
        <v>0.1275</v>
      </c>
      <c r="HJ8" s="1">
        <f>IF($B8&lt;Analysis!$C$159,0,$FW8+HH8)</f>
        <v>430872.02340842341</v>
      </c>
      <c r="HK8" s="1">
        <f>IF($B8-Analysis!$C$159&gt;10,0,IF($FW8&gt;LOOKUP(Analysis!$C$159,$B:$B, FW:FW),$V8*(LOOKUP(Analysis!$C$159,$B:$B, FW:FW)-FW8),0))</f>
        <v>-20793.029282489035</v>
      </c>
      <c r="HL8" s="1">
        <f t="shared" si="40"/>
        <v>410078.99412593438</v>
      </c>
      <c r="HM8" s="38"/>
      <c r="HN8" s="1">
        <f t="shared" si="41"/>
        <v>-116042.30218702859</v>
      </c>
      <c r="HO8" s="1">
        <f t="shared" si="12"/>
        <v>130170.65124003968</v>
      </c>
      <c r="HP8" s="1">
        <f t="shared" si="42"/>
        <v>14128.349053011087</v>
      </c>
      <c r="HQ8" s="1">
        <f>IF(HP8 &lt; 0,
    IF(HQ7 + HP8 &gt; 0,
        HQ7 + HP8, IF(HV7-ABS(HQ7 + HP8)*(1+$V8) &gt;= HQ7 + HP8,
        0, HQ7 + HP8)),
    MIN(HQ7 + HP8, Analysis!$C$7))+IF(HQ7&lt;0, HQ7*Analysis!$C$9,0)</f>
        <v>24000</v>
      </c>
      <c r="HR8" s="38"/>
      <c r="HS8" s="1">
        <f t="shared" si="57"/>
        <v>1871.8990974725705</v>
      </c>
      <c r="HT8" s="1">
        <f>IF($B8=Analysis!$C$159,0,IF(HP8 &gt;= 0,
    MAX(0, HQ7 + HP8 - Analysis!$C$7),
    0))</f>
        <v>14128.349053011087</v>
      </c>
      <c r="HU8" s="1">
        <f>IF($B8=Analysis!$C$159,0,MAX(0, HU7 + HT8 - IF(HP8 &lt; 0, MIN(ABS(HP8), HU7 + HT8), 0)))</f>
        <v>40785.998265172529</v>
      </c>
      <c r="HV8" s="1">
        <f>IF($B8=Analysis!$C$159,0,IF(HP8 &lt; 0,
    IF(HP8 + HQ7 &lt; 0,
        MAX(0, HV7 - (ABS(HP8 + HQ7) * (1+$V7))),
        HV7 + HS8),
    HV7 + HT8 + HS8))</f>
        <v>43469.336353283135</v>
      </c>
      <c r="HW8" s="1">
        <f t="shared" si="43"/>
        <v>42761.605932543964</v>
      </c>
      <c r="HX8" s="36"/>
    </row>
    <row r="9" spans="1:232" x14ac:dyDescent="0.35">
      <c r="A9">
        <f t="shared" si="0"/>
        <v>42</v>
      </c>
      <c r="B9">
        <v>2032</v>
      </c>
      <c r="C9" s="1">
        <f>IF($B9&lt;Analysis!C$66,0,$AN9)+$AT9+$AW9+$BC9+$CF9+$CA9</f>
        <v>-132951.20067150012</v>
      </c>
      <c r="D9" s="1">
        <f>IF($B9&lt;Analysis!C$66, 0, BV9)+AT9+AW9+BC9+CG9+CA9</f>
        <v>-240717.54891584808</v>
      </c>
      <c r="E9" s="1">
        <f t="shared" si="13"/>
        <v>265351.20260454051</v>
      </c>
      <c r="F9" s="1">
        <f t="shared" si="14"/>
        <v>251265.50895240257</v>
      </c>
      <c r="G9" s="1">
        <f>IF(AND($B9&gt;=Analysis!$C$100, $B9&lt;Analysis!$C$101),$CK9,0)+IF($B9&gt;=Analysis!$C$130,EB9,0)+CQ9+CU9+CZ9+EH9+EK9+EQ9+$FO9+$FT9</f>
        <v>123508.72575547009</v>
      </c>
      <c r="H9" s="1">
        <f t="shared" si="2"/>
        <v>57223.365099719624</v>
      </c>
      <c r="I9" s="1">
        <f>IF($B9&lt;Analysis!$C$159,0,$FW9)+$GC9+$GF9+$GL9+$HQ9+$HV9</f>
        <v>123508.72575547009</v>
      </c>
      <c r="J9" s="1">
        <f t="shared" si="3"/>
        <v>32599.474661863249</v>
      </c>
      <c r="K9" s="36"/>
      <c r="L9" s="1">
        <f t="shared" si="15"/>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4"/>
        <v>0</v>
      </c>
      <c r="R9" s="1">
        <f>IF(AND(AND(B9=Analysis!C$35,Analysis!C$34&lt;&gt;0),AND(B9=Analysis!C$37,Analysis!C$36&lt;&gt;0)),Analysis!C$34+Analysis!C$36,IF(AND(B9=Analysis!C$35,Analysis!C$34&lt;&gt;0),Analysis!C$34,IF(AND(B9=Analysis!C$37,Analysis!C$36&lt;&gt;0),Analysis!C$36,0)))</f>
        <v>0</v>
      </c>
      <c r="S9" s="64">
        <f t="shared" si="16"/>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7"/>
        <v>0.26374999999999998</v>
      </c>
      <c r="W9" s="36"/>
      <c r="X9" s="1">
        <f t="shared" si="45"/>
        <v>-19403.455029161378</v>
      </c>
      <c r="Y9" s="64">
        <f t="shared" si="18"/>
        <v>2.941176470588247E-2</v>
      </c>
      <c r="Z9" s="1">
        <f t="shared" si="19"/>
        <v>-3960</v>
      </c>
      <c r="AA9" s="64">
        <f t="shared" si="20"/>
        <v>0</v>
      </c>
      <c r="AB9" s="40"/>
      <c r="AC9" s="1">
        <f t="shared" si="4"/>
        <v>-81763.455029161385</v>
      </c>
      <c r="AD9" s="1">
        <f t="shared" si="5"/>
        <v>110889.05426342982</v>
      </c>
      <c r="AE9" s="1">
        <f t="shared" si="21"/>
        <v>29125.599234268433</v>
      </c>
      <c r="AF9" s="1">
        <f>IF(AE9 &lt; 0,
    IF(AF8 + AE9 &gt; 0,
        AF8 + AE9, IF(AK8-ABS(AF8 + AE9)*(1+$V9) &gt;= AF8 + AE9,
        0, AF8 + AE9)),
    MIN(AF8 + AE9, Analysis!$C$7))+IF(AF8&lt;0, AF8*Analysis!$C$9,0)</f>
        <v>24000</v>
      </c>
      <c r="AG9" s="40"/>
      <c r="AH9" s="1">
        <f t="shared" si="22"/>
        <v>13220.201960331024</v>
      </c>
      <c r="AI9" s="1">
        <f>IF(AE9 &gt;= 0,
    MAX(0, AF8 + AE9 - Analysis!$C$7),
    0)</f>
        <v>29125.599234268433</v>
      </c>
      <c r="AJ9" s="1">
        <f t="shared" si="46"/>
        <v>187945.72904193233</v>
      </c>
      <c r="AK9" s="1">
        <f t="shared" si="23"/>
        <v>241351.20260454048</v>
      </c>
      <c r="AL9" s="1">
        <f t="shared" si="6"/>
        <v>227265.50895240257</v>
      </c>
      <c r="AM9" s="36"/>
      <c r="AN9" s="1">
        <f t="shared" si="47"/>
        <v>845226.26073998434</v>
      </c>
      <c r="AO9" s="64">
        <f t="shared" si="24"/>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-17895.187050784814</v>
      </c>
      <c r="AT9" s="1">
        <f>IF($B9&lt;Analysis!$C$66,0,IF($B9=Analysis!$C$66,-AP9-AS9,MIN(0,AT8-AS9)))</f>
        <v>-567328.97373881505</v>
      </c>
      <c r="AU9" s="64">
        <f>IF($B9&lt;Analysis!$C$66,0,IF($B9=Analysis!$C$66,Analysis!$C$72,IF(($B9-Analysis!$C$66)&lt;LOOKUP(Analysis!$C$66,$B:$B,AQ:AQ),AU8,0)))</f>
        <v>3.6999999999999998E-2</v>
      </c>
      <c r="AV9" s="1">
        <f>IF($B9&lt;Analysis!$C$66,0,IF($B9=Analysis!$C$66,-AU9*AP9,AU8*AT8))</f>
        <v>-21653.293949215193</v>
      </c>
      <c r="AW9" s="1">
        <f>IF($B9&lt;Analysis!$C$66,0,IF($B9=Analysis!$C$66,PMT(AU9,AQ9,AP9)*AQ9-AX9-AT9,IF(($B9-Analysis!$C$66+1)&lt;LOOKUP(Analysis!$C$66,$B:$B,AQ:AQ),IF(AW8-AV9&lt;0, AW8-AV9,0),0)))</f>
        <v>-256323.80380046961</v>
      </c>
      <c r="AX9" s="1">
        <f>IF($B9&lt;Analysis!$C$66,0,IF($B9=Analysis!$C$66,AS9+AV9,IF(AT8&lt;0,IF(AT8&gt;LOOKUP(Analysis!$C$66,$B:$B,AX:AX), AT8*(1+AU8),AX8),0)))</f>
        <v>-39548.481000000007</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-2535.6787822199531</v>
      </c>
      <c r="BF9" s="64">
        <f>IF($B9&lt;Analysis!$C$66,0,Analysis!$C$78)</f>
        <v>3.0000000000000001E-3</v>
      </c>
      <c r="BG9" s="1">
        <f>IF($B9&lt;Analysis!$C$66,0,-BH9*AN9)</f>
        <v>-6339.1969555498827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5"/>
        <v>-107766.348244348</v>
      </c>
      <c r="BS9" s="64">
        <f>IF($B9&lt;Analysis!C$66,0,Analysis!C$31)</f>
        <v>0.1275</v>
      </c>
      <c r="BT9" s="1">
        <f>IF($B9&lt;Analysis!$C$66,0,AN9+BR9)</f>
        <v>737459.91249563638</v>
      </c>
      <c r="BU9" s="1">
        <f>IF($B9-Analysis!$C$66&gt;3,0,IF($AN9&gt;LOOKUP(Analysis!$C$66,$B:$B, AN:AN),$V9*(LOOKUP(Analysis!$C$66,$B:$B, AN:AN)-AN9),0))</f>
        <v>0</v>
      </c>
      <c r="BV9" s="1">
        <f>BT9+BU9</f>
        <v>737459.91249563638</v>
      </c>
      <c r="BW9" s="42"/>
      <c r="BX9" s="1">
        <f>IF($B9&lt;Analysis!$C$66,$P9+$N9+$X9+$Z9,$P9+$N9+AS9+AV9+BB9+BE9+BG9+MAX(BI9,SUM(BJ9:BN9))+BP9)</f>
        <v>-116856.18551647727</v>
      </c>
      <c r="BY9" s="1">
        <f t="shared" si="27"/>
        <v>110889.05426342982</v>
      </c>
      <c r="BZ9" s="1">
        <f t="shared" si="48"/>
        <v>-5967.1312530474534</v>
      </c>
      <c r="CA9" s="1">
        <f>IF(BZ9 &lt; 0,
    IF(CA8 + BZ9 &gt; 0,
        CA8 + BZ9, IF(CF8-ABS(CA8 + BZ9)*(1+$V9) &gt;= CA8 + BZ9,
        0, CA8 + BZ9)),
    MIN(CA8 + BZ9, Analysis!$C$7))+IF(CA8&lt;0, CA8*Analysis!$C$9,0)</f>
        <v>-142379.02631478498</v>
      </c>
      <c r="CB9" s="42"/>
      <c r="CC9" s="1">
        <f t="shared" si="49"/>
        <v>0</v>
      </c>
      <c r="CD9" s="1">
        <f>IF(BZ9 &gt;= 0,
    MAX(0, CA8 + BZ9 - Analysis!$C$7),
    0)</f>
        <v>0</v>
      </c>
      <c r="CE9" s="1">
        <f>IF($B9=Analysis!$C$66,0,MAX(0, CE8 + CD9 - IF(BZ9 &lt; 0, MIN(ABS(BZ9), CE8 + CD9), 0)))</f>
        <v>0</v>
      </c>
      <c r="CF9" s="1">
        <f>IF($B9=Analysis!$C$66,0,IF(BZ9 &lt; 0,
    IF(BZ9 + CA8 &lt; 0,
        MAX(0, CF8 - (ABS(BZ9 + CA8) * (1+$V8))),
        CF8 + CC9),
    CF8 + CD9 + CC9))</f>
        <v>0</v>
      </c>
      <c r="CG9" s="1">
        <f t="shared" si="28"/>
        <v>0</v>
      </c>
      <c r="CH9" s="36"/>
      <c r="CI9" s="1">
        <f>IF(OR($B9&lt;Analysis!$C$100, $B9&gt;=Analysis!$C$130),0,X9)</f>
        <v>-19403.455029161378</v>
      </c>
      <c r="CJ9" s="1">
        <f>IF(OR($B9&lt;Analysis!$C$100, $B9&gt;=Analysis!$C$130),0,Z9)</f>
        <v>-3960</v>
      </c>
      <c r="CK9" s="1">
        <f t="shared" si="50"/>
        <v>508360.72203926585</v>
      </c>
      <c r="CL9" s="64">
        <f t="shared" si="51"/>
        <v>2.941176470588247E-2</v>
      </c>
      <c r="CM9" s="1">
        <f>IF($B9=Analysis!$C$100,(CK9*(1+Analysis!$C$23+Analysis!$C$24+Analysis!$C$25))-IF($B9=$B$2,(Analysis!$C$6-Analysis!$C$7+Analysis!$C$105), (FU8-Analysis!$C$7+CV9)),0)</f>
        <v>0</v>
      </c>
      <c r="CN9" s="64">
        <f>IF($B9=Analysis!$C$100,Analysis!$C$103,0)</f>
        <v>0</v>
      </c>
      <c r="CO9" s="64">
        <f>IF(OR($B9&lt;Analysis!$C$100, $B9&gt;=Analysis!$C$101),0,IF($B9=Analysis!$C$100,Analysis!$C$102,IF(($B9-Analysis!$C$100)&lt;LOOKUP(Analysis!$C$100,$B:$B,CT:CT),CO8,0)))</f>
        <v>3.6999999999999998E-2</v>
      </c>
      <c r="CP9" s="1">
        <f>IF(OR($B9&lt;Analysis!$C$100, $B9&gt;=Analysis!$C$101),0,IF($B9=Analysis!$C$100,-CM9*CN9,IF(CS9&gt;=0,0,CS9-CR9)))</f>
        <v>-9981.818051394228</v>
      </c>
      <c r="CQ9" s="1">
        <f>IF(OR($B9&lt;Analysis!$C$100, $B9&gt;=Analysis!$C$101),0,IF($B9=Analysis!$C$100,-CM9-CP9,MIN(0,CQ8-CP9)))</f>
        <v>-316452.38326227537</v>
      </c>
      <c r="CR9" s="1">
        <f>IF(OR($B9&lt;Analysis!$C$100, $B9&gt;=Analysis!$C$101),0,IF($B9=Analysis!$C$100,-CO9*CM9,CO8*CQ8))</f>
        <v>-12078.065448605776</v>
      </c>
      <c r="CS9" s="1">
        <f>IF(OR($B9&lt;Analysis!$C$100, $B9&gt;=Analysis!$C$101),0,IF($B9=Analysis!$C$100,CP9+CR9,IF(CQ8&lt;0,IF(CQ8&gt;LOOKUP(Analysis!$C$100,$B:$B,CS:CS), CQ8*(1+CO8),CS8),0)))</f>
        <v>-22059.883500000004</v>
      </c>
      <c r="CT9" s="65">
        <f>IF($B9=Analysis!$C$100,NPER(CO9,-CS9,-CM9),0)</f>
        <v>0</v>
      </c>
      <c r="CU9" s="1">
        <f>IF(OR($B9&lt;Analysis!$C$100, $B9&gt;=Analysis!$C$101),0,IF($B9=Analysis!$C$100,PMT(CO9,CT9,CM9)*CT9-CS9-CQ9,IF(($B9-Analysis!$C$100+1)&lt;LOOKUP(Analysis!$C$100,$B:$B,CT:CT),IF(CU8-CR9&lt;0, CU8-CR9,0),0)))</f>
        <v>-142975.7378068507</v>
      </c>
      <c r="CV9" s="1">
        <f>IF($B9=Analysis!$C$100,Analysis!$C$105,0)</f>
        <v>0</v>
      </c>
      <c r="CW9" s="1">
        <f>IF($B9=Analysis!$C$100,PMT(CO9,CX9,CV9)*CX9,0)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16978.023150516205</v>
      </c>
      <c r="DC9" s="64">
        <f>IF(OR($B9&lt;Analysis!$C$100, $B9&gt;=Analysis!$C$101),0,((1+Analysis!$C$114)/(1+$S9))-1)</f>
        <v>2.941176470588247E-2</v>
      </c>
      <c r="DD9" s="1">
        <f t="shared" si="29"/>
        <v>22463.105316634003</v>
      </c>
      <c r="DE9" s="1">
        <f t="shared" si="8"/>
        <v>-1525.0821661177977</v>
      </c>
      <c r="DF9" s="64">
        <f>IF(OR($B9&lt;Analysis!$C$100, $B9&gt;=Analysis!$C$101),0,Analysis!$C$118)</f>
        <v>3.0000000000000001E-3</v>
      </c>
      <c r="DG9" s="1">
        <f t="shared" si="9"/>
        <v>-3812.7054152944938</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-1273.3517362887153</v>
      </c>
      <c r="DR9" s="1">
        <f t="shared" si="30"/>
        <v>-18871.139317701007</v>
      </c>
      <c r="DS9" s="1">
        <f>MIN(0,-(DB9+DR9)*Analysis!$C$28)-CR9*Analysis!$C$28</f>
        <v>5351.7908002772183</v>
      </c>
      <c r="DT9" s="1">
        <f>-Analysis!$C$116*DD9/12</f>
        <v>-1871.9254430528335</v>
      </c>
      <c r="DU9" s="53"/>
      <c r="DV9" s="1">
        <f t="shared" si="10"/>
        <v>-64815.9920600064</v>
      </c>
      <c r="DW9" s="64">
        <f>IF(OR($B9&lt;Analysis!$C$100, $B9&gt;=Analysis!$C$101),0,IF($B9=Analysis!$C$100,Analysis!$C$31,DW8))</f>
        <v>0.1275</v>
      </c>
      <c r="DX9" s="1">
        <f>IF(OR($B9&lt;Analysis!$C$100, $B9&gt;=Analysis!$C$101),0,CK9+DV9)</f>
        <v>443544.72997925943</v>
      </c>
      <c r="DY9" s="1">
        <f>IF(OR($B9&lt;Analysis!$C$100, $B9&gt;=Analysis!$C$101),0,IF($B9-Analysis!$C$100&gt;3,0,IF(CK9&gt;LOOKUP(Analysis!$C$100,$B:$B, CK:CK),$V9*(LOOKUP(Analysis!$C$100,$B:$B, CK:CK)-CK9),0)))</f>
        <v>0</v>
      </c>
      <c r="DZ9" s="1">
        <f t="shared" si="52"/>
        <v>443544.72997925943</v>
      </c>
      <c r="EA9" s="53"/>
      <c r="EB9" s="1">
        <f t="shared" si="31"/>
        <v>845226.26073998434</v>
      </c>
      <c r="EC9" s="64">
        <f t="shared" si="53"/>
        <v>2.941176470588247E-2</v>
      </c>
      <c r="ED9" s="1">
        <f>MAX(0,IF($B9=Analysis!$C$130,(EB9*(1+Analysis!$C$23+Analysis!$C$24+Analysis!$C$25))-(IF($B9=$B$2,(Analysis!$C$6-Analysis!$C$7+Analysis!$C$132), (FU8-Analysis!$C$7+EM9)) + IF($B9=Analysis!$C$101,DZ8+CQ8+CU8+CZ8,0)),0))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$P9+$N9+IF($B9&lt;Analysis!$C$130,$CI9+$CJ9,0)+CP9+CR9+CY9+DE9+DG9+MIN(DI9,SUM(DJ9:DN9))+DQ9+DS9+DT9+EG9+EJ9+EP9+ES9+EU9+MIN(EW9,SUM(EX9:FB9))+FD9</f>
        <v>-116987.44126834543</v>
      </c>
      <c r="FM9" s="1">
        <f>$M9+$R9+DD9+IF(AND($B9&lt;&gt;Analysis!$C$130,$B9=Analysis!$C$101),DZ8+CQ8+CU8+CZ8,0)</f>
        <v>133352.15958006383</v>
      </c>
      <c r="FN9" s="1">
        <f t="shared" si="34"/>
        <v>16364.718311718403</v>
      </c>
      <c r="FO9" s="1">
        <f>IF(FN9 &lt; 0,
    IF(FO8 + FN9 &gt; 0,
        FO8 + FN9, IF(FT8-ABS(FO8 + FN9)*(1+$V9) &gt;= FO8 + FN9,
        0, FO8 + FN9)),
    MIN(FO8 + FN9, Analysis!$C$7))+IF(FO8&lt;0, FO8*Analysis!$C$9,0)</f>
        <v>24000</v>
      </c>
      <c r="FP9" s="53"/>
      <c r="FQ9" s="1">
        <f t="shared" si="54"/>
        <v>2887.7276777436018</v>
      </c>
      <c r="FR9" s="1">
        <f>IF(OR($B9=Analysis!$C$100, $B9=Analysis!$C$130),0,IF(FN9 &gt;= 0,
    MAX(0, FO8 + FN9 - Analysis!$C$7),
    0))</f>
        <v>16364.718311718403</v>
      </c>
      <c r="FS9" s="1">
        <f>IF(OR($B9=Analysis!$C$100, $B9=Analysis!$C$130),0,MAX(0, FS8 + FR9 - IF(FN9 &lt; 0, MIN(ABS(FN9), FS8 + FR9), 0)))</f>
        <v>57150.716576890933</v>
      </c>
      <c r="FT9" s="1">
        <f>IF(OR($B9=Analysis!$C$100, $B9=Analysis!$C$130),0,IF(FN9 &lt; 0,
    IF(FN9 + FO8 &lt; 0,
        MAX(0, FT8 - (ABS(FN9 + FO8) * (1+$V8))),
        FT8 + FQ9),
    FT8 + FR9 + FQ9))</f>
        <v>62721.782342745137</v>
      </c>
      <c r="FU9" s="1">
        <f t="shared" si="35"/>
        <v>61252.41374700109</v>
      </c>
      <c r="FV9" s="36"/>
      <c r="FW9" s="1">
        <f t="shared" si="55"/>
        <v>508360.72203926585</v>
      </c>
      <c r="FX9" s="64">
        <f t="shared" si="56"/>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-9981.818051394228</v>
      </c>
      <c r="GC9" s="1">
        <f>IF($B9&lt;Analysis!$C$159,0,IF($B9=Analysis!$C$159,-FY9-GB9,MIN(0,GC8-GB9)))</f>
        <v>-316452.38326227537</v>
      </c>
      <c r="GD9" s="64">
        <f>IF($B9&lt;Analysis!$C$159,0,IF($B9=Analysis!$C$159,Analysis!$C$160,IF(($B9-Analysis!$C$159)&lt;LOOKUP(Analysis!$C$159,$B:$B,FZ:FZ),GD8,0)))</f>
        <v>3.6999999999999998E-2</v>
      </c>
      <c r="GE9" s="1">
        <f>IF($B9&lt;Analysis!$C$159,0,IF($B9=Analysis!$C$159,-GD9*FY9,GD8*GC8))</f>
        <v>-12078.065448605776</v>
      </c>
      <c r="GF9" s="1">
        <f>IF($B9&lt;Analysis!$C$159,0,IF($B9=Analysis!$C$159,PMT(GD9,FZ9,FY9)*FZ9-GG9-GC9,IF(($B9-Analysis!$C$159+1)&lt;LOOKUP(Analysis!$C$159,$B:$B,FZ:FZ),IF(GF8-GE9&lt;0, GF8-GE9,0),0)))</f>
        <v>-142975.7378068507</v>
      </c>
      <c r="GG9" s="1">
        <f>IF($B9&lt;Analysis!$C$159,0,IF($B9=Analysis!$C$159,GB9+GE9,IF(GC8&lt;0,IF(GC8&gt;LOOKUP(Analysis!$C$159,$B:$B,GG:GG), GC8*(1+GD8),GG8),0)))</f>
        <v>-22059.883500000004</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16978.023150516205</v>
      </c>
      <c r="GO9" s="64">
        <f>IF($B9&lt;Analysis!$C$159,0,((1+Analysis!$C$174)/(1+$S9))-1)</f>
        <v>2.941176470588247E-2</v>
      </c>
      <c r="GP9" s="1">
        <f t="shared" si="36"/>
        <v>22463.105316634003</v>
      </c>
      <c r="GQ9" s="1">
        <f t="shared" si="37"/>
        <v>-1525.0821661177977</v>
      </c>
      <c r="GR9" s="64">
        <f>IF($B9&lt;Analysis!$C$159,0,Analysis!$C$178)</f>
        <v>3.0000000000000001E-3</v>
      </c>
      <c r="GS9" s="1">
        <f t="shared" si="38"/>
        <v>-3812.7054152944938</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-1273.3517362887153</v>
      </c>
      <c r="HD9" s="1">
        <f t="shared" si="39"/>
        <v>-18871.139317701007</v>
      </c>
      <c r="HE9" s="1">
        <f>MIN(0,-(GN9+HD9)*Analysis!$C$28)-GE9*Analysis!$C$28</f>
        <v>5351.7908002772183</v>
      </c>
      <c r="HF9" s="1">
        <f>-Analysis!$C$176*GP9/12</f>
        <v>-1871.9254430528335</v>
      </c>
      <c r="HG9" s="38"/>
      <c r="HH9" s="1">
        <f>IF($B9&lt;Analysis!$C$159,0,-$HI9*$FW9)</f>
        <v>-64815.9920600064</v>
      </c>
      <c r="HI9" s="64">
        <f>IF($B9&lt;Analysis!$C$159,0,IF($B9=Analysis!$C$159,Analysis!$C$31,HI8))</f>
        <v>0.1275</v>
      </c>
      <c r="HJ9" s="1">
        <f>IF($B9&lt;Analysis!$C$159,0,$FW9+HH9)</f>
        <v>443544.72997925943</v>
      </c>
      <c r="HK9" s="1">
        <f>IF($B9-Analysis!$C$159&gt;10,0,IF($FW9&gt;LOOKUP(Analysis!$C$159,$B:$B, FW:FW),$V9*(LOOKUP(Analysis!$C$159,$B:$B, FW:FW)-FW9),0))</f>
        <v>-24623.890437856367</v>
      </c>
      <c r="HL9" s="1">
        <f t="shared" si="40"/>
        <v>418920.83954140305</v>
      </c>
      <c r="HM9" s="38"/>
      <c r="HN9" s="1">
        <f t="shared" si="41"/>
        <v>-116987.44126834543</v>
      </c>
      <c r="HO9" s="1">
        <f t="shared" si="12"/>
        <v>133352.15958006383</v>
      </c>
      <c r="HP9" s="1">
        <f t="shared" si="42"/>
        <v>16364.718311718403</v>
      </c>
      <c r="HQ9" s="1">
        <f>IF(HP9 &lt; 0,
    IF(HQ8 + HP9 &gt; 0,
        HQ8 + HP9, IF(HV8-ABS(HQ8 + HP9)*(1+$V9) &gt;= HQ8 + HP9,
        0, HQ8 + HP9)),
    MIN(HQ8 + HP9, Analysis!$C$7))+IF(HQ8&lt;0, HQ8*Analysis!$C$9,0)</f>
        <v>24000</v>
      </c>
      <c r="HR9" s="38"/>
      <c r="HS9" s="1">
        <f t="shared" si="57"/>
        <v>2887.7276777436018</v>
      </c>
      <c r="HT9" s="1">
        <f>IF($B9=Analysis!$C$159,0,IF(HP9 &gt;= 0,
    MAX(0, HQ8 + HP9 - Analysis!$C$7),
    0))</f>
        <v>16364.718311718403</v>
      </c>
      <c r="HU9" s="1">
        <f>IF($B9=Analysis!$C$159,0,MAX(0, HU8 + HT9 - IF(HP9 &lt; 0, MIN(ABS(HP9), HU8 + HT9), 0)))</f>
        <v>57150.716576890933</v>
      </c>
      <c r="HV9" s="1">
        <f>IF($B9=Analysis!$C$159,0,IF(HP9 &lt; 0,
    IF(HP9 + HQ8 &lt; 0,
        MAX(0, HV8 - (ABS(HP9 + HQ8) * (1+$V8))),
        HV8 + HS9),
    HV8 + HT9 + HS9))</f>
        <v>62721.782342745137</v>
      </c>
      <c r="HW9" s="1">
        <f t="shared" si="43"/>
        <v>61252.41374700109</v>
      </c>
      <c r="HX9" s="36"/>
    </row>
    <row r="10" spans="1:232" x14ac:dyDescent="0.35">
      <c r="A10">
        <f t="shared" si="0"/>
        <v>43</v>
      </c>
      <c r="B10">
        <v>2033</v>
      </c>
      <c r="C10" s="1">
        <f>IF($B10&lt;Analysis!C$66,0,$AN10)+$AT10+$AW10+$BC10+$CF10+$CA10</f>
        <v>-77370.905126854035</v>
      </c>
      <c r="D10" s="1">
        <f>IF($B10&lt;Analysis!C$66, 0, BV10)+AT10+AW10+BC10+CG10+CA10</f>
        <v>-188306.85184897701</v>
      </c>
      <c r="E10" s="1">
        <f t="shared" si="13"/>
        <v>312243.52769868047</v>
      </c>
      <c r="F10" s="1">
        <f t="shared" si="14"/>
        <v>294038.17859475757</v>
      </c>
      <c r="G10" s="1">
        <f>IF(AND($B10&gt;=Analysis!$C$100, $B10&lt;Analysis!$C$101),$CK10,0)+IF($B10&gt;=Analysis!$C$130,EB10,0)+CQ10+CU10+CZ10+EH10+EK10+EQ10+$FO10+$FT10</f>
        <v>189305.05649089674</v>
      </c>
      <c r="H10" s="1">
        <f t="shared" si="2"/>
        <v>120042.73676720115</v>
      </c>
      <c r="I10" s="1">
        <f>IF($B10&lt;Analysis!$C$159,0,$FW10)+$GC10+$GF10+$GL10+$HQ10+$HV10</f>
        <v>189305.05649089674</v>
      </c>
      <c r="J10" s="1">
        <f t="shared" si="3"/>
        <v>91475.312787054849</v>
      </c>
      <c r="K10" s="36"/>
      <c r="L10" s="1">
        <f t="shared" si="15"/>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4"/>
        <v>0</v>
      </c>
      <c r="R10" s="1">
        <f>IF(AND(AND(B10=Analysis!C$35,Analysis!C$34&lt;&gt;0),AND(B10=Analysis!C$37,Analysis!C$36&lt;&gt;0)),Analysis!C$34+Analysis!C$36,IF(AND(B10=Analysis!C$35,Analysis!C$34&lt;&gt;0),Analysis!C$34,IF(AND(B10=Analysis!C$37,Analysis!C$36&lt;&gt;0),Analysis!C$36,0)))</f>
        <v>0</v>
      </c>
      <c r="S10" s="64">
        <f t="shared" si="16"/>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7"/>
        <v>0.26374999999999998</v>
      </c>
      <c r="W10" s="36"/>
      <c r="X10" s="1">
        <f t="shared" si="45"/>
        <v>-19974.144882960245</v>
      </c>
      <c r="Y10" s="64">
        <f t="shared" si="18"/>
        <v>2.941176470588247E-2</v>
      </c>
      <c r="Z10" s="1">
        <f t="shared" si="19"/>
        <v>-3960</v>
      </c>
      <c r="AA10" s="64">
        <f t="shared" si="20"/>
        <v>0</v>
      </c>
      <c r="AB10" s="40"/>
      <c r="AC10" s="1">
        <f t="shared" si="4"/>
        <v>-82334.144882960245</v>
      </c>
      <c r="AD10" s="1">
        <f t="shared" si="5"/>
        <v>113606.92324047466</v>
      </c>
      <c r="AE10" s="1">
        <f t="shared" si="21"/>
        <v>31272.778357514413</v>
      </c>
      <c r="AF10" s="1">
        <f>IF(AE10 &lt; 0,
    IF(AF9 + AE10 &gt; 0,
        AF9 + AE10, IF(AK9-ABS(AF9 + AE10)*(1+$V10) &gt;= AF9 + AE10,
        0, AF9 + AE10)),
    MIN(AF9 + AE10, Analysis!$C$7))+IF(AF9&lt;0, AF9*Analysis!$C$9,0)</f>
        <v>24000</v>
      </c>
      <c r="AG10" s="40"/>
      <c r="AH10" s="1">
        <f t="shared" si="22"/>
        <v>15619.546736625547</v>
      </c>
      <c r="AI10" s="1">
        <f>IF(AE10 &gt;= 0,
    MAX(0, AF9 + AE10 - Analysis!$C$7),
    0)</f>
        <v>31272.778357514413</v>
      </c>
      <c r="AJ10" s="1">
        <f t="shared" si="46"/>
        <v>219218.50739944674</v>
      </c>
      <c r="AK10" s="1">
        <f t="shared" si="23"/>
        <v>288243.52769868047</v>
      </c>
      <c r="AL10" s="1">
        <f t="shared" si="6"/>
        <v>270038.17859475757</v>
      </c>
      <c r="AM10" s="36"/>
      <c r="AN10" s="1">
        <f t="shared" si="47"/>
        <v>870085.85664410167</v>
      </c>
      <c r="AO10" s="64">
        <f t="shared" si="24"/>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-18557.30897166385</v>
      </c>
      <c r="AT10" s="1">
        <f>IF($B10&lt;Analysis!$C$66,0,IF($B10=Analysis!$C$66,-AP10-AS10,MIN(0,AT9-AS10)))</f>
        <v>-548771.66476715123</v>
      </c>
      <c r="AU10" s="64">
        <f>IF($B10&lt;Analysis!$C$66,0,IF($B10=Analysis!$C$66,Analysis!$C$72,IF(($B10-Analysis!$C$66)&lt;LOOKUP(Analysis!$C$66,$B:$B,AQ:AQ),AU9,0)))</f>
        <v>3.6999999999999998E-2</v>
      </c>
      <c r="AV10" s="1">
        <f>IF($B10&lt;Analysis!$C$66,0,IF($B10=Analysis!$C$66,-AU10*AP10,AU9*AT9))</f>
        <v>-20991.172028336157</v>
      </c>
      <c r="AW10" s="1">
        <f>IF($B10&lt;Analysis!$C$66,0,IF($B10=Analysis!$C$66,PMT(AU10,AQ10,AP10)*AQ10-AX10-AT10,IF(($B10-Analysis!$C$66+1)&lt;LOOKUP(Analysis!$C$66,$B:$B,AQ:AQ),IF(AW9-AV10&lt;0, AW9-AV10,0),0)))</f>
        <v>-235332.63177213346</v>
      </c>
      <c r="AX10" s="1">
        <f>IF($B10&lt;Analysis!$C$66,0,IF($B10=Analysis!$C$66,AS10+AV10,IF(AT9&lt;0,IF(AT9&gt;LOOKUP(Analysis!$C$66,$B:$B,AX:AX), AT9*(1+AU9),AX9),0)))</f>
        <v>-39548.481000000007</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-2610.2575699323052</v>
      </c>
      <c r="BF10" s="64">
        <f>IF($B10&lt;Analysis!$C$66,0,Analysis!$C$78)</f>
        <v>3.0000000000000001E-3</v>
      </c>
      <c r="BG10" s="1">
        <f>IF($B10&lt;Analysis!$C$66,0,-BH10*AN10)</f>
        <v>-6525.6439248307624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5"/>
        <v>-110935.94672212297</v>
      </c>
      <c r="BS10" s="64">
        <f>IF($B10&lt;Analysis!C$66,0,Analysis!C$31)</f>
        <v>0.1275</v>
      </c>
      <c r="BT10" s="1">
        <f>IF($B10&lt;Analysis!$C$66,0,AN10+BR10)</f>
        <v>759149.90992197872</v>
      </c>
      <c r="BU10" s="1">
        <f>IF($B10-Analysis!$C$66&gt;3,0,IF($AN10&gt;LOOKUP(Analysis!$C$66,$B:$B, AN:AN),$V10*(LOOKUP(Analysis!$C$66,$B:$B, AN:AN)-AN10),0))</f>
        <v>0</v>
      </c>
      <c r="BV10" s="1">
        <f t="shared" si="26"/>
        <v>759149.90992197872</v>
      </c>
      <c r="BW10" s="42"/>
      <c r="BX10" s="1">
        <f>IF($B10&lt;Analysis!$C$66,$P10+$N10+$X10+$Z10,$P10+$N10+AS10+AV10+BB10+BE10+BG10+MAX(BI10,SUM(BJ10:BN10))+BP10)</f>
        <v>-117117.21127347049</v>
      </c>
      <c r="BY10" s="1">
        <f t="shared" si="27"/>
        <v>113606.92324047466</v>
      </c>
      <c r="BZ10" s="1">
        <f t="shared" si="48"/>
        <v>-3510.288032995828</v>
      </c>
      <c r="CA10" s="1">
        <f>IF(BZ10 &lt; 0,
    IF(CA9 + BZ10 &gt; 0,
        CA9 + BZ10, IF(CF9-ABS(CA9 + BZ10)*(1+$V10) &gt;= CA9 + BZ10,
        0, CA9 + BZ10)),
    MIN(CA9 + BZ10, Analysis!$C$7))+IF(CA9&lt;0, CA9*Analysis!$C$9,0)</f>
        <v>-157279.6364529636</v>
      </c>
      <c r="CB10" s="42"/>
      <c r="CC10" s="1">
        <f t="shared" si="49"/>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8"/>
        <v>0</v>
      </c>
      <c r="CH10" s="36"/>
      <c r="CI10" s="1">
        <f>IF(OR($B10&lt;Analysis!$C$100, $B10&gt;=Analysis!$C$130),0,X10)</f>
        <v>-19974.144882960245</v>
      </c>
      <c r="CJ10" s="1">
        <f>IF(OR($B10&lt;Analysis!$C$100, $B10&gt;=Analysis!$C$130),0,Z10)</f>
        <v>-3960</v>
      </c>
      <c r="CK10" s="1">
        <f t="shared" si="50"/>
        <v>523312.50798159727</v>
      </c>
      <c r="CL10" s="64">
        <f t="shared" si="51"/>
        <v>2.941176470588247E-2</v>
      </c>
      <c r="CM10" s="1">
        <f>IF($B10=Analysis!$C$100,(CK10*(1+Analysis!$C$23+Analysis!$C$24+Analysis!$C$25))-IF($B10=$B$2,(Analysis!$C$6-Analysis!$C$7+Analysis!$C$105), (FU9-Analysis!$C$7+CV10)),0)</f>
        <v>0</v>
      </c>
      <c r="CN10" s="64">
        <f>IF($B10=Analysis!$C$100,Analysis!$C$103,0)</f>
        <v>0</v>
      </c>
      <c r="CO10" s="64">
        <f>IF(OR($B10&lt;Analysis!$C$100, $B10&gt;=Analysis!$C$101),0,IF($B10=Analysis!$C$100,Analysis!$C$102,IF(($B10-Analysis!$C$100)&lt;LOOKUP(Analysis!$C$100,$B:$B,CT:CT),CO9,0)))</f>
        <v>3.6999999999999998E-2</v>
      </c>
      <c r="CP10" s="1">
        <f>IF(OR($B10&lt;Analysis!$C$100, $B10&gt;=Analysis!$C$101),0,IF($B10=Analysis!$C$100,-CM10*CN10,IF(CS10&gt;=0,0,CS10-CR10)))</f>
        <v>-10351.145319295816</v>
      </c>
      <c r="CQ10" s="1">
        <f>IF(OR($B10&lt;Analysis!$C$100, $B10&gt;=Analysis!$C$101),0,IF($B10=Analysis!$C$100,-CM10-CP10,MIN(0,CQ9-CP10)))</f>
        <v>-306101.23794297955</v>
      </c>
      <c r="CR10" s="1">
        <f>IF(OR($B10&lt;Analysis!$C$100, $B10&gt;=Analysis!$C$101),0,IF($B10=Analysis!$C$100,-CO10*CM10,CO9*CQ9))</f>
        <v>-11708.738180704187</v>
      </c>
      <c r="CS10" s="1">
        <f>IF(OR($B10&lt;Analysis!$C$100, $B10&gt;=Analysis!$C$101),0,IF($B10=Analysis!$C$100,CP10+CR10,IF(CQ9&lt;0,IF(CQ9&gt;LOOKUP(Analysis!$C$100,$B:$B,CS:CS), CQ9*(1+CO9),CS9),0)))</f>
        <v>-22059.883500000004</v>
      </c>
      <c r="CT10" s="65">
        <f>IF($B10=Analysis!$C$100,NPER(CO10,-CS10,-CM10),0)</f>
        <v>0</v>
      </c>
      <c r="CU10" s="1">
        <f>IF(OR($B10&lt;Analysis!$C$100, $B10&gt;=Analysis!$C$101),0,IF($B10=Analysis!$C$100,PMT(CO10,CT10,CM10)*CT10-CS10-CQ10,IF(($B10-Analysis!$C$100+1)&lt;LOOKUP(Analysis!$C$100,$B:$B,CT:CT),IF(CU9-CR10&lt;0, CU9-CR10,0),0)))</f>
        <v>-131266.99962614651</v>
      </c>
      <c r="CV10" s="1">
        <f>IF($B10=Analysis!$C$100,Analysis!$C$105,0)</f>
        <v>0</v>
      </c>
      <c r="CW10" s="1">
        <f>IF($B10=Analysis!$C$100,PMT(CO10,CX10,CV10)*CX10,0)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29"/>
        <v>23007.314296535005</v>
      </c>
      <c r="DE10" s="1">
        <f t="shared" si="8"/>
        <v>-1569.9375239447918</v>
      </c>
      <c r="DF10" s="64">
        <f>IF(OR($B10&lt;Analysis!$C$100, $B10&gt;=Analysis!$C$101),0,Analysis!$C$118)</f>
        <v>3.0000000000000001E-3</v>
      </c>
      <c r="DG10" s="1">
        <f t="shared" si="9"/>
        <v>-3924.8438098619795</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-1310.8032579442661</v>
      </c>
      <c r="DR10" s="1">
        <f t="shared" si="30"/>
        <v>-19065.584591751038</v>
      </c>
      <c r="DS10" s="1">
        <f>MIN(0,-(DB10+DR10)*Analysis!$C$28)-CR10*Analysis!$C$28</f>
        <v>5188.1418878700251</v>
      </c>
      <c r="DT10" s="1">
        <f>-Analysis!$C$116*DD10/12</f>
        <v>-1917.276191377917</v>
      </c>
      <c r="DU10" s="53"/>
      <c r="DV10" s="1">
        <f t="shared" si="10"/>
        <v>-66722.34476765366</v>
      </c>
      <c r="DW10" s="64">
        <f>IF(OR($B10&lt;Analysis!$C$100, $B10&gt;=Analysis!$C$101),0,IF($B10=Analysis!$C$100,Analysis!$C$31,DW9))</f>
        <v>0.1275</v>
      </c>
      <c r="DX10" s="1">
        <f>IF(OR($B10&lt;Analysis!$C$100, $B10&gt;=Analysis!$C$101),0,CK10+DV10)</f>
        <v>456590.1632139436</v>
      </c>
      <c r="DY10" s="1">
        <f>IF(OR($B10&lt;Analysis!$C$100, $B10&gt;=Analysis!$C$101),0,IF($B10-Analysis!$C$100&gt;3,0,IF(CK10&gt;LOOKUP(Analysis!$C$100,$B:$B, CK:CK),$V10*(LOOKUP(Analysis!$C$100,$B:$B, CK:CK)-CK10),0)))</f>
        <v>0</v>
      </c>
      <c r="DZ10" s="1">
        <f t="shared" si="52"/>
        <v>456590.1632139436</v>
      </c>
      <c r="EA10" s="53"/>
      <c r="EB10" s="1">
        <f t="shared" si="31"/>
        <v>870085.85664410167</v>
      </c>
      <c r="EC10" s="64">
        <f t="shared" si="53"/>
        <v>2.941176470588247E-2</v>
      </c>
      <c r="ED10" s="1">
        <f>MAX(0,IF($B10=Analysis!$C$130,(EB10*(1+Analysis!$C$23+Analysis!$C$24+Analysis!$C$25))-(IF($B10=$B$2,(Analysis!$C$6-Analysis!$C$7+Analysis!$C$132), (FU9-Analysis!$C$7+EM10)) + IF($B10=Analysis!$C$101,DZ9+CQ9+CU9+CZ9,0)),0))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$P10+$N10+IF($B10&lt;Analysis!$C$130,$CI10+$CJ10,0)+CP10+CR10+CY10+DE10+DG10+MIN(DI10,SUM(DJ10:DN10))+DQ10+DS10+DT10+EG10+EJ10+EP10+ES10+EU10+MIN(EW10,SUM(EX10:FB10))+FD10</f>
        <v>-117961.5760569266</v>
      </c>
      <c r="FM10" s="1">
        <f>$M10+$R10+DD10+IF(AND($B10&lt;&gt;Analysis!$C$130,$B10=Analysis!$C$101),DZ9+CQ9+CU9+CZ9,0)</f>
        <v>136614.23753700967</v>
      </c>
      <c r="FN10" s="1">
        <f t="shared" si="34"/>
        <v>18652.661480083072</v>
      </c>
      <c r="FO10" s="1">
        <f>IF(FN10 &lt; 0,
    IF(FO9 + FN10 &gt; 0,
        FO9 + FN10, IF(FT9-ABS(FO9 + FN10)*(1+$V10) &gt;= FO9 + FN10,
        0, FO9 + FN10)),
    MIN(FO9 + FN10, Analysis!$C$7))+IF(FO9&lt;0, FO9*Analysis!$C$9,0)</f>
        <v>24000</v>
      </c>
      <c r="FP10" s="53"/>
      <c r="FQ10" s="1">
        <f t="shared" si="54"/>
        <v>4059.1710343047289</v>
      </c>
      <c r="FR10" s="1">
        <f>IF(OR($B10=Analysis!$C$100, $B10=Analysis!$C$130),0,IF(FN10 &gt;= 0,
    MAX(0, FO9 + FN10 - Analysis!$C$7),
    0))</f>
        <v>18652.661480083072</v>
      </c>
      <c r="FS10" s="1">
        <f>IF(OR($B10=Analysis!$C$100, $B10=Analysis!$C$130),0,MAX(0, FS9 + FR10 - IF(FN10 &lt; 0, MIN(ABS(FN10), FS9 + FR10), 0)))</f>
        <v>75803.378056974005</v>
      </c>
      <c r="FT10" s="1">
        <f>IF(OR($B10=Analysis!$C$100, $B10=Analysis!$C$130),0,IF(FN10 &lt; 0,
    IF(FN10 + FO9 &lt; 0,
        MAX(0, FT9 - (ABS(FN10 + FO9) * (1+$V9))),
        FT9 + FQ10),
    FT9 + FR10 + FQ10))</f>
        <v>85433.61485713294</v>
      </c>
      <c r="FU10" s="1">
        <f t="shared" si="35"/>
        <v>82893.639901091025</v>
      </c>
      <c r="FV10" s="36"/>
      <c r="FW10" s="1">
        <f t="shared" si="55"/>
        <v>523312.50798159727</v>
      </c>
      <c r="FX10" s="64">
        <f t="shared" si="56"/>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-10351.145319295816</v>
      </c>
      <c r="GC10" s="1">
        <f>IF($B10&lt;Analysis!$C$159,0,IF($B10=Analysis!$C$159,-FY10-GB10,MIN(0,GC9-GB10)))</f>
        <v>-306101.23794297955</v>
      </c>
      <c r="GD10" s="64">
        <f>IF($B10&lt;Analysis!$C$159,0,IF($B10=Analysis!$C$159,Analysis!$C$160,IF(($B10-Analysis!$C$159)&lt;LOOKUP(Analysis!$C$159,$B:$B,FZ:FZ),GD9,0)))</f>
        <v>3.6999999999999998E-2</v>
      </c>
      <c r="GE10" s="1">
        <f>IF($B10&lt;Analysis!$C$159,0,IF($B10=Analysis!$C$159,-GD10*FY10,GD9*GC9))</f>
        <v>-11708.738180704187</v>
      </c>
      <c r="GF10" s="1">
        <f>IF($B10&lt;Analysis!$C$159,0,IF($B10=Analysis!$C$159,PMT(GD10,FZ10,FY10)*FZ10-GG10-GC10,IF(($B10-Analysis!$C$159+1)&lt;LOOKUP(Analysis!$C$159,$B:$B,FZ:FZ),IF(GF9-GE10&lt;0, GF9-GE10,0),0)))</f>
        <v>-131266.99962614651</v>
      </c>
      <c r="GG10" s="1">
        <f>IF($B10&lt;Analysis!$C$159,0,IF($B10=Analysis!$C$159,GB10+GE10,IF(GC9&lt;0,IF(GC9&gt;LOOKUP(Analysis!$C$159,$B:$B,GG:GG), GC9*(1+GD9),GG9),0)))</f>
        <v>-22059.883500000004</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17477.376772590214</v>
      </c>
      <c r="GO10" s="64">
        <f>IF($B10&lt;Analysis!$C$159,0,((1+Analysis!$C$174)/(1+$S10))-1)</f>
        <v>2.941176470588247E-2</v>
      </c>
      <c r="GP10" s="1">
        <f t="shared" si="36"/>
        <v>23007.314296535005</v>
      </c>
      <c r="GQ10" s="1">
        <f t="shared" si="37"/>
        <v>-1569.9375239447918</v>
      </c>
      <c r="GR10" s="64">
        <f>IF($B10&lt;Analysis!$C$159,0,Analysis!$C$178)</f>
        <v>3.0000000000000001E-3</v>
      </c>
      <c r="GS10" s="1">
        <f t="shared" si="38"/>
        <v>-3924.8438098619795</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-1310.8032579442661</v>
      </c>
      <c r="HD10" s="1">
        <f t="shared" si="39"/>
        <v>-19065.584591751038</v>
      </c>
      <c r="HE10" s="1">
        <f>MIN(0,-(GN10+HD10)*Analysis!$C$28)-GE10*Analysis!$C$28</f>
        <v>5188.1418878700251</v>
      </c>
      <c r="HF10" s="1">
        <f>-Analysis!$C$176*GP10/12</f>
        <v>-1917.276191377917</v>
      </c>
      <c r="HG10" s="38"/>
      <c r="HH10" s="1">
        <f>IF($B10&lt;Analysis!$C$159,0,-$HI10*$FW10)</f>
        <v>-66722.34476765366</v>
      </c>
      <c r="HI10" s="64">
        <f>IF($B10&lt;Analysis!$C$159,0,IF($B10=Analysis!$C$159,Analysis!$C$31,HI9))</f>
        <v>0.1275</v>
      </c>
      <c r="HJ10" s="1">
        <f>IF($B10&lt;Analysis!$C$159,0,$FW10+HH10)</f>
        <v>456590.1632139436</v>
      </c>
      <c r="HK10" s="1">
        <f>IF($B10-Analysis!$C$159&gt;10,0,IF($FW10&gt;LOOKUP(Analysis!$C$159,$B:$B, FW:FW),$V10*(LOOKUP(Analysis!$C$159,$B:$B, FW:FW)-FW10),0))</f>
        <v>-28567.423980146279</v>
      </c>
      <c r="HL10" s="1">
        <f t="shared" si="40"/>
        <v>428022.7392337973</v>
      </c>
      <c r="HM10" s="38"/>
      <c r="HN10" s="1">
        <f t="shared" si="41"/>
        <v>-117961.5760569266</v>
      </c>
      <c r="HO10" s="1">
        <f t="shared" si="12"/>
        <v>136614.23753700967</v>
      </c>
      <c r="HP10" s="1">
        <f t="shared" si="42"/>
        <v>18652.661480083072</v>
      </c>
      <c r="HQ10" s="1">
        <f>IF(HP10 &lt; 0,
    IF(HQ9 + HP10 &gt; 0,
        HQ9 + HP10, IF(HV9-ABS(HQ9 + HP10)*(1+$V10) &gt;= HQ9 + HP10,
        0, HQ9 + HP10)),
    MIN(HQ9 + HP10, Analysis!$C$7))+IF(HQ9&lt;0, HQ9*Analysis!$C$9,0)</f>
        <v>24000</v>
      </c>
      <c r="HR10" s="38"/>
      <c r="HS10" s="1">
        <f t="shared" si="57"/>
        <v>4059.1710343047289</v>
      </c>
      <c r="HT10" s="1">
        <f>IF($B10=Analysis!$C$159,0,IF(HP10 &gt;= 0,
    MAX(0, HQ9 + HP10 - Analysis!$C$7),
    0))</f>
        <v>18652.661480083072</v>
      </c>
      <c r="HU10" s="1">
        <f>IF($B10=Analysis!$C$159,0,MAX(0, HU9 + HT10 - IF(HP10 &lt; 0, MIN(ABS(HP10), HU9 + HT10), 0)))</f>
        <v>75803.378056974005</v>
      </c>
      <c r="HV10" s="1">
        <f>IF($B10=Analysis!$C$159,0,IF(HP10 &lt; 0,
    IF(HP10 + HQ9 &lt; 0,
        MAX(0, HV9 - (ABS(HP10 + HQ9) * (1+$V9))),
        HV9 + HS10),
    HV9 + HT10 + HS10))</f>
        <v>85433.61485713294</v>
      </c>
      <c r="HW10" s="1">
        <f t="shared" si="43"/>
        <v>82893.639901091025</v>
      </c>
      <c r="HX10" s="36"/>
    </row>
    <row r="11" spans="1:232" x14ac:dyDescent="0.35">
      <c r="A11">
        <f t="shared" si="0"/>
        <v>44</v>
      </c>
      <c r="B11">
        <v>2034</v>
      </c>
      <c r="C11" s="1">
        <f>IF($B11&lt;Analysis!C$66,0,$AN11)+$AT11+$AW11+$BC11+$CF11+$CA11</f>
        <v>-19735.713380230474</v>
      </c>
      <c r="D11" s="1">
        <f>IF($B11&lt;Analysis!C$66, 0, BV11)+AT11+AW11+BC11+CG11+CA11</f>
        <v>-133934.48206476879</v>
      </c>
      <c r="E11" s="1">
        <f t="shared" si="13"/>
        <v>363873.46426930919</v>
      </c>
      <c r="F11" s="1">
        <f t="shared" si="14"/>
        <v>340878.37569523667</v>
      </c>
      <c r="G11" s="1">
        <f>IF(AND($B11&gt;=Analysis!$C$100, $B11&lt;Analysis!$C$101),$CK11,0)+IF($B11&gt;=Analysis!$C$130,EB11,0)+CQ11+CU11+CZ11+EH11+EK11+EQ11+$FO11+$FT11</f>
        <v>259205.20256882982</v>
      </c>
      <c r="H11" s="1">
        <f t="shared" si="2"/>
        <v>186560.81151936162</v>
      </c>
      <c r="I11" s="1">
        <f>IF($B11&lt;Analysis!$C$159,0,$FW11)+$GC11+$GF11+$GL11+$HQ11+$HV11</f>
        <v>259205.20256882982</v>
      </c>
      <c r="J11" s="1">
        <f t="shared" si="3"/>
        <v>153933.86771626986</v>
      </c>
      <c r="K11" s="36"/>
      <c r="L11" s="1">
        <f t="shared" si="15"/>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4"/>
        <v>0</v>
      </c>
      <c r="R11" s="1">
        <f>IF(AND(AND(B11=Analysis!C$35,Analysis!C$34&lt;&gt;0),AND(B11=Analysis!C$37,Analysis!C$36&lt;&gt;0)),Analysis!C$34+Analysis!C$36,IF(AND(B11=Analysis!C$35,Analysis!C$34&lt;&gt;0),Analysis!C$34,IF(AND(B11=Analysis!C$37,Analysis!C$36&lt;&gt;0),Analysis!C$36,0)))</f>
        <v>0</v>
      </c>
      <c r="S11" s="64">
        <f t="shared" si="16"/>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7"/>
        <v>0.26374999999999998</v>
      </c>
      <c r="W11" s="36"/>
      <c r="X11" s="1">
        <f t="shared" si="45"/>
        <v>-20561.619732459079</v>
      </c>
      <c r="Y11" s="64">
        <f t="shared" si="18"/>
        <v>2.941176470588247E-2</v>
      </c>
      <c r="Z11" s="1">
        <f t="shared" si="19"/>
        <v>-3960</v>
      </c>
      <c r="AA11" s="64">
        <f t="shared" si="20"/>
        <v>0</v>
      </c>
      <c r="AB11" s="40"/>
      <c r="AC11" s="1">
        <f t="shared" si="4"/>
        <v>-82921.619732459076</v>
      </c>
      <c r="AD11" s="1">
        <f t="shared" si="5"/>
        <v>116391.40665323137</v>
      </c>
      <c r="AE11" s="1">
        <f t="shared" si="21"/>
        <v>33469.786920772298</v>
      </c>
      <c r="AF11" s="1">
        <f>IF(AE11 &lt; 0,
    IF(AF10 + AE11 &gt; 0,
        AF10 + AE11, IF(AK10-ABS(AF10 + AE11)*(1+$V11) &gt;= AF10 + AE11,
        0, AF10 + AE11)),
    MIN(AF10 + AE11, Analysis!$C$7))+IF(AF10&lt;0, AF10*Analysis!$C$9,0)</f>
        <v>24000</v>
      </c>
      <c r="AG11" s="40"/>
      <c r="AH11" s="1">
        <f t="shared" si="22"/>
        <v>18160.149649856419</v>
      </c>
      <c r="AI11" s="1">
        <f>IF(AE11 &gt;= 0,
    MAX(0, AF10 + AE11 - Analysis!$C$7),
    0)</f>
        <v>33469.786920772298</v>
      </c>
      <c r="AJ11" s="1">
        <f t="shared" si="46"/>
        <v>252688.29432021902</v>
      </c>
      <c r="AK11" s="1">
        <f t="shared" si="23"/>
        <v>339873.46426930919</v>
      </c>
      <c r="AL11" s="1">
        <f t="shared" si="6"/>
        <v>316878.37569523667</v>
      </c>
      <c r="AM11" s="36"/>
      <c r="AN11" s="1">
        <f t="shared" si="47"/>
        <v>895676.61713363416</v>
      </c>
      <c r="AO11" s="64">
        <f t="shared" si="24"/>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-19243.929403615413</v>
      </c>
      <c r="AT11" s="1">
        <f>IF($B11&lt;Analysis!$C$66,0,IF($B11=Analysis!$C$66,-AP11-AS11,MIN(0,AT10-AS11)))</f>
        <v>-529527.73536353582</v>
      </c>
      <c r="AU11" s="64">
        <f>IF($B11&lt;Analysis!$C$66,0,IF($B11=Analysis!$C$66,Analysis!$C$72,IF(($B11-Analysis!$C$66)&lt;LOOKUP(Analysis!$C$66,$B:$B,AQ:AQ),AU10,0)))</f>
        <v>3.6999999999999998E-2</v>
      </c>
      <c r="AV11" s="1">
        <f>IF($B11&lt;Analysis!$C$66,0,IF($B11=Analysis!$C$66,-AU11*AP11,AU10*AT10))</f>
        <v>-20304.551596384594</v>
      </c>
      <c r="AW11" s="1">
        <f>IF($B11&lt;Analysis!$C$66,0,IF($B11=Analysis!$C$66,PMT(AU11,AQ11,AP11)*AQ11-AX11-AT11,IF(($B11-Analysis!$C$66+1)&lt;LOOKUP(Analysis!$C$66,$B:$B,AQ:AQ),IF(AW10-AV11&lt;0, AW10-AV11,0),0)))</f>
        <v>-215028.08017574888</v>
      </c>
      <c r="AX11" s="1">
        <f>IF($B11&lt;Analysis!$C$66,0,IF($B11=Analysis!$C$66,AS11+AV11,IF(AT10&lt;0,IF(AT10&gt;LOOKUP(Analysis!$C$66,$B:$B,AX:AX), AT10*(1+AU10),AX10),0)))</f>
        <v>-39548.481000000007</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-2687.0298514009028</v>
      </c>
      <c r="BF11" s="64">
        <f>IF($B11&lt;Analysis!$C$66,0,Analysis!$C$78)</f>
        <v>3.0000000000000001E-3</v>
      </c>
      <c r="BG11" s="1">
        <f>IF($B11&lt;Analysis!$C$66,0,-BH11*AN11)</f>
        <v>-6717.574628502256</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5"/>
        <v>-114198.76868453836</v>
      </c>
      <c r="BS11" s="64">
        <f>IF($B11&lt;Analysis!C$66,0,Analysis!C$31)</f>
        <v>0.1275</v>
      </c>
      <c r="BT11" s="1">
        <f>IF($B11&lt;Analysis!$C$66,0,AN11+BR11)</f>
        <v>781477.84844909585</v>
      </c>
      <c r="BU11" s="1">
        <f>IF($B11-Analysis!$C$66&gt;3,0,IF($AN11&gt;LOOKUP(Analysis!$C$66,$B:$B, AN:AN),$V11*(LOOKUP(Analysis!$C$66,$B:$B, AN:AN)-AN11),0))</f>
        <v>0</v>
      </c>
      <c r="BV11" s="1">
        <f t="shared" si="26"/>
        <v>781477.84844909585</v>
      </c>
      <c r="BW11" s="42"/>
      <c r="BX11" s="1">
        <f>IF($B11&lt;Analysis!$C$66,$P11+$N11+$X11+$Z11,$P11+$N11+AS11+AV11+BB11+BE11+BG11+MAX(BI11,SUM(BJ11:BN11))+BP11)</f>
        <v>-117385.9142586106</v>
      </c>
      <c r="BY11" s="1">
        <f t="shared" si="27"/>
        <v>116391.40665323137</v>
      </c>
      <c r="BZ11" s="1">
        <f t="shared" si="48"/>
        <v>-994.50760537922906</v>
      </c>
      <c r="CA11" s="1">
        <f>IF(BZ11 &lt; 0,
    IF(CA10 + BZ11 &gt; 0,
        CA10 + BZ11, IF(CF10-ABS(CA10 + BZ11)*(1+$V11) &gt;= CA10 + BZ11,
        0, CA10 + BZ11)),
    MIN(CA10 + BZ11, Analysis!$C$7))+IF(CA10&lt;0, CA10*Analysis!$C$9,0)</f>
        <v>-170856.51497457994</v>
      </c>
      <c r="CB11" s="42"/>
      <c r="CC11" s="1">
        <f t="shared" si="49"/>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8"/>
        <v>0</v>
      </c>
      <c r="CH11" s="36"/>
      <c r="CI11" s="1">
        <f>IF(OR($B11&lt;Analysis!$C$100, $B11&gt;=Analysis!$C$130),0,X11)</f>
        <v>-20561.619732459079</v>
      </c>
      <c r="CJ11" s="1">
        <f>IF(OR($B11&lt;Analysis!$C$100, $B11&gt;=Analysis!$C$130),0,Z11)</f>
        <v>-3960</v>
      </c>
      <c r="CK11" s="1">
        <f t="shared" si="50"/>
        <v>538704.05233399721</v>
      </c>
      <c r="CL11" s="64">
        <f t="shared" si="51"/>
        <v>2.941176470588247E-2</v>
      </c>
      <c r="CM11" s="1">
        <f>IF($B11=Analysis!$C$100,(CK11*(1+Analysis!$C$23+Analysis!$C$24+Analysis!$C$25))-IF($B11=$B$2,(Analysis!$C$6-Analysis!$C$7+Analysis!$C$105), (FU10-Analysis!$C$7+CV11)),0)</f>
        <v>0</v>
      </c>
      <c r="CN11" s="64">
        <f>IF($B11=Analysis!$C$100,Analysis!$C$103,0)</f>
        <v>0</v>
      </c>
      <c r="CO11" s="64">
        <f>IF(OR($B11&lt;Analysis!$C$100, $B11&gt;=Analysis!$C$101),0,IF($B11=Analysis!$C$100,Analysis!$C$102,IF(($B11-Analysis!$C$100)&lt;LOOKUP(Analysis!$C$100,$B:$B,CT:CT),CO10,0)))</f>
        <v>3.6999999999999998E-2</v>
      </c>
      <c r="CP11" s="1">
        <f>IF(OR($B11&lt;Analysis!$C$100, $B11&gt;=Analysis!$C$101),0,IF($B11=Analysis!$C$100,-CM11*CN11,IF(CS11&gt;=0,0,CS11-CR11)))</f>
        <v>-10734.137696109761</v>
      </c>
      <c r="CQ11" s="1">
        <f>IF(OR($B11&lt;Analysis!$C$100, $B11&gt;=Analysis!$C$101),0,IF($B11=Analysis!$C$100,-CM11-CP11,MIN(0,CQ10-CP11)))</f>
        <v>-295367.10024686978</v>
      </c>
      <c r="CR11" s="1">
        <f>IF(OR($B11&lt;Analysis!$C$100, $B11&gt;=Analysis!$C$101),0,IF($B11=Analysis!$C$100,-CO11*CM11,CO10*CQ10))</f>
        <v>-11325.745803890242</v>
      </c>
      <c r="CS11" s="1">
        <f>IF(OR($B11&lt;Analysis!$C$100, $B11&gt;=Analysis!$C$101),0,IF($B11=Analysis!$C$100,CP11+CR11,IF(CQ10&lt;0,IF(CQ10&gt;LOOKUP(Analysis!$C$100,$B:$B,CS:CS), CQ10*(1+CO10),CS10),0)))</f>
        <v>-22059.883500000004</v>
      </c>
      <c r="CT11" s="65">
        <f>IF($B11=Analysis!$C$100,NPER(CO11,-CS11,-CM11),0)</f>
        <v>0</v>
      </c>
      <c r="CU11" s="1">
        <f>IF(OR($B11&lt;Analysis!$C$100, $B11&gt;=Analysis!$C$101),0,IF($B11=Analysis!$C$100,PMT(CO11,CT11,CM11)*CT11-CS11-CQ11,IF(($B11-Analysis!$C$100+1)&lt;LOOKUP(Analysis!$C$100,$B:$B,CT:CT),IF(CU10-CR11&lt;0, CU10-CR11,0),0)))</f>
        <v>-119941.25382225627</v>
      </c>
      <c r="CV11" s="1">
        <f>IF($B11=Analysis!$C$100,Analysis!$C$105,0)</f>
        <v>0</v>
      </c>
      <c r="CW11" s="1">
        <f>IF($B11=Analysis!$C$100,PMT(CO11,CX11,CV11)*CX11,0)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29"/>
        <v>23567.529422903688</v>
      </c>
      <c r="DE11" s="1">
        <f t="shared" si="8"/>
        <v>-1616.1121570019916</v>
      </c>
      <c r="DF11" s="64">
        <f>IF(OR($B11&lt;Analysis!$C$100, $B11&gt;=Analysis!$C$101),0,Analysis!$C$118)</f>
        <v>3.0000000000000001E-3</v>
      </c>
      <c r="DG11" s="1">
        <f t="shared" si="9"/>
        <v>-4040.2803925049789</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-1349.3562949426271</v>
      </c>
      <c r="DR11" s="1">
        <f t="shared" si="30"/>
        <v>-19265.748844449598</v>
      </c>
      <c r="DS11" s="1">
        <f>MIN(0,-(DB11+DR11)*Analysis!$C$28)-CR11*Analysis!$C$28</f>
        <v>5018.4379657037653</v>
      </c>
      <c r="DT11" s="1">
        <f>-Analysis!$C$116*DD11/12</f>
        <v>-1963.960785241974</v>
      </c>
      <c r="DU11" s="53"/>
      <c r="DV11" s="1">
        <f t="shared" si="10"/>
        <v>-68684.76667258465</v>
      </c>
      <c r="DW11" s="64">
        <f>IF(OR($B11&lt;Analysis!$C$100, $B11&gt;=Analysis!$C$101),0,IF($B11=Analysis!$C$100,Analysis!$C$31,DW10))</f>
        <v>0.1275</v>
      </c>
      <c r="DX11" s="1">
        <f>IF(OR($B11&lt;Analysis!$C$100, $B11&gt;=Analysis!$C$101),0,CK11+DV11)</f>
        <v>470019.28566141258</v>
      </c>
      <c r="DY11" s="1">
        <f>IF(OR($B11&lt;Analysis!$C$100, $B11&gt;=Analysis!$C$101),0,IF($B11-Analysis!$C$100&gt;3,0,IF(CK11&gt;LOOKUP(Analysis!$C$100,$B:$B, CK:CK),$V11*(LOOKUP(Analysis!$C$100,$B:$B, CK:CK)-CK11),0)))</f>
        <v>0</v>
      </c>
      <c r="DZ11" s="1">
        <f t="shared" si="52"/>
        <v>470019.28566141258</v>
      </c>
      <c r="EA11" s="53"/>
      <c r="EB11" s="1">
        <f t="shared" si="31"/>
        <v>895676.61713363416</v>
      </c>
      <c r="EC11" s="64">
        <f t="shared" si="53"/>
        <v>2.941176470588247E-2</v>
      </c>
      <c r="ED11" s="1">
        <f>MAX(0,IF($B11=Analysis!$C$130,(EB11*(1+Analysis!$C$23+Analysis!$C$24+Analysis!$C$25))-(IF($B11=$B$2,(Analysis!$C$6-Analysis!$C$7+Analysis!$C$132), (FU10-Analysis!$C$7+EM11)) + IF($B11=Analysis!$C$101,DZ10+CQ10+CU10+CZ10,0)),0))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$P11+$N11+IF($B11&lt;Analysis!$C$130,$CI11+$CJ11,0)+CP11+CR11+CY11+DE11+DG11+MIN(DI11,SUM(DJ11:DN11))+DQ11+DS11+DT11+EG11+EJ11+EP11+ES11+EU11+MIN(EW11,SUM(EX11:FB11))+FD11</f>
        <v>-118965.6036751543</v>
      </c>
      <c r="FM11" s="1">
        <f>$M11+$R11+DD11+IF(AND($B11&lt;&gt;Analysis!$C$130,$B11=Analysis!$C$101),DZ10+CQ10+CU10+CZ10,0)</f>
        <v>139958.93607613505</v>
      </c>
      <c r="FN11" s="1">
        <f t="shared" si="34"/>
        <v>20993.332400980755</v>
      </c>
      <c r="FO11" s="1">
        <f>IF(FN11 &lt; 0,
    IF(FO10 + FN11 &gt; 0,
        FO10 + FN11, IF(FT10-ABS(FO10 + FN11)*(1+$V11) &gt;= FO10 + FN11,
        0, FO10 + FN11)),
    MIN(FO10 + FN11, Analysis!$C$7))+IF(FO10&lt;0, FO10*Analysis!$C$9,0)</f>
        <v>24000</v>
      </c>
      <c r="FP11" s="53"/>
      <c r="FQ11" s="1">
        <f t="shared" si="54"/>
        <v>5382.5570458449311</v>
      </c>
      <c r="FR11" s="1">
        <f>IF(OR($B11=Analysis!$C$100, $B11=Analysis!$C$130),0,IF(FN11 &gt;= 0,
    MAX(0, FO10 + FN11 - Analysis!$C$7),
    0))</f>
        <v>20993.332400980755</v>
      </c>
      <c r="FS11" s="1">
        <f>IF(OR($B11=Analysis!$C$100, $B11=Analysis!$C$130),0,MAX(0, FS10 + FR11 - IF(FN11 &lt; 0, MIN(ABS(FN11), FS10 + FR11), 0)))</f>
        <v>96796.710457954759</v>
      </c>
      <c r="FT11" s="1">
        <f>IF(OR($B11=Analysis!$C$100, $B11=Analysis!$C$130),0,IF(FN11 &lt; 0,
    IF(FN11 + FO10 &lt; 0,
        MAX(0, FT10 - (ABS(FN11 + FO10) * (1+$V10))),
        FT10 + FQ11),
    FT10 + FR11 + FQ11))</f>
        <v>111809.50430395863</v>
      </c>
      <c r="FU11" s="1">
        <f t="shared" si="35"/>
        <v>107849.8799270751</v>
      </c>
      <c r="FV11" s="36"/>
      <c r="FW11" s="1">
        <f t="shared" si="55"/>
        <v>538704.05233399721</v>
      </c>
      <c r="FX11" s="64">
        <f t="shared" si="56"/>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-10734.137696109761</v>
      </c>
      <c r="GC11" s="1">
        <f>IF($B11&lt;Analysis!$C$159,0,IF($B11=Analysis!$C$159,-FY11-GB11,MIN(0,GC10-GB11)))</f>
        <v>-295367.10024686978</v>
      </c>
      <c r="GD11" s="64">
        <f>IF($B11&lt;Analysis!$C$159,0,IF($B11=Analysis!$C$159,Analysis!$C$160,IF(($B11-Analysis!$C$159)&lt;LOOKUP(Analysis!$C$159,$B:$B,FZ:FZ),GD10,0)))</f>
        <v>3.6999999999999998E-2</v>
      </c>
      <c r="GE11" s="1">
        <f>IF($B11&lt;Analysis!$C$159,0,IF($B11=Analysis!$C$159,-GD11*FY11,GD10*GC10))</f>
        <v>-11325.745803890242</v>
      </c>
      <c r="GF11" s="1">
        <f>IF($B11&lt;Analysis!$C$159,0,IF($B11=Analysis!$C$159,PMT(GD11,FZ11,FY11)*FZ11-GG11-GC11,IF(($B11-Analysis!$C$159+1)&lt;LOOKUP(Analysis!$C$159,$B:$B,FZ:FZ),IF(GF10-GE11&lt;0, GF10-GE11,0),0)))</f>
        <v>-119941.25382225627</v>
      </c>
      <c r="GG11" s="1">
        <f>IF($B11&lt;Analysis!$C$159,0,IF($B11=Analysis!$C$159,GB11+GE11,IF(GC10&lt;0,IF(GC10&gt;LOOKUP(Analysis!$C$159,$B:$B,GG:GG), GC10*(1+GD10),GG10),0)))</f>
        <v>-22059.883500000004</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36"/>
        <v>23567.529422903688</v>
      </c>
      <c r="GQ11" s="1">
        <f t="shared" si="37"/>
        <v>-1616.1121570019916</v>
      </c>
      <c r="GR11" s="64">
        <f>IF($B11&lt;Analysis!$C$159,0,Analysis!$C$178)</f>
        <v>3.0000000000000001E-3</v>
      </c>
      <c r="GS11" s="1">
        <f t="shared" si="38"/>
        <v>-4040.2803925049789</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-1349.3562949426271</v>
      </c>
      <c r="HD11" s="1">
        <f t="shared" si="39"/>
        <v>-19265.748844449598</v>
      </c>
      <c r="HE11" s="1">
        <f>MIN(0,-(GN11+HD11)*Analysis!$C$28)-GE11*Analysis!$C$28</f>
        <v>5018.4379657037653</v>
      </c>
      <c r="HF11" s="1">
        <f>-Analysis!$C$176*GP11/12</f>
        <v>-1963.960785241974</v>
      </c>
      <c r="HG11" s="38"/>
      <c r="HH11" s="1">
        <f>IF($B11&lt;Analysis!$C$159,0,-$HI11*$FW11)</f>
        <v>-68684.76667258465</v>
      </c>
      <c r="HI11" s="64">
        <f>IF($B11&lt;Analysis!$C$159,0,IF($B11=Analysis!$C$159,Analysis!$C$31,HI10))</f>
        <v>0.1275</v>
      </c>
      <c r="HJ11" s="1">
        <f>IF($B11&lt;Analysis!$C$159,0,$FW11+HH11)</f>
        <v>470019.28566141258</v>
      </c>
      <c r="HK11" s="1">
        <f>IF($B11-Analysis!$C$159&gt;10,0,IF($FW11&gt;LOOKUP(Analysis!$C$159,$B:$B, FW:FW),$V11*(LOOKUP(Analysis!$C$159,$B:$B, FW:FW)-FW11),0))</f>
        <v>-32626.943803091763</v>
      </c>
      <c r="HL11" s="1">
        <f t="shared" si="40"/>
        <v>437392.34185832081</v>
      </c>
      <c r="HM11" s="38"/>
      <c r="HN11" s="1">
        <f t="shared" si="41"/>
        <v>-118965.6036751543</v>
      </c>
      <c r="HO11" s="1">
        <f t="shared" si="12"/>
        <v>139958.93607613505</v>
      </c>
      <c r="HP11" s="1">
        <f t="shared" si="42"/>
        <v>20993.332400980755</v>
      </c>
      <c r="HQ11" s="1">
        <f>IF(HP11 &lt; 0,
    IF(HQ10 + HP11 &gt; 0,
        HQ10 + HP11, IF(HV10-ABS(HQ10 + HP11)*(1+$V11) &gt;= HQ10 + HP11,
        0, HQ10 + HP11)),
    MIN(HQ10 + HP11, Analysis!$C$7))+IF(HQ10&lt;0, HQ10*Analysis!$C$9,0)</f>
        <v>24000</v>
      </c>
      <c r="HR11" s="38"/>
      <c r="HS11" s="1">
        <f t="shared" si="57"/>
        <v>5382.5570458449311</v>
      </c>
      <c r="HT11" s="1">
        <f>IF($B11=Analysis!$C$159,0,IF(HP11 &gt;= 0,
    MAX(0, HQ10 + HP11 - Analysis!$C$7),
    0))</f>
        <v>20993.332400980755</v>
      </c>
      <c r="HU11" s="1">
        <f>IF($B11=Analysis!$C$159,0,MAX(0, HU10 + HT11 - IF(HP11 &lt; 0, MIN(ABS(HP11), HU10 + HT11), 0)))</f>
        <v>96796.710457954759</v>
      </c>
      <c r="HV11" s="1">
        <f>IF($B11=Analysis!$C$159,0,IF(HP11 &lt; 0,
    IF(HP11 + HQ10 &lt; 0,
        MAX(0, HV10 - (ABS(HP11 + HQ10) * (1+$V10))),
        HV10 + HS11),
    HV10 + HT11 + HS11))</f>
        <v>111809.50430395863</v>
      </c>
      <c r="HW11" s="1">
        <f t="shared" si="43"/>
        <v>107849.8799270751</v>
      </c>
      <c r="HX11" s="36"/>
    </row>
    <row r="12" spans="1:232" x14ac:dyDescent="0.35">
      <c r="A12">
        <f t="shared" si="0"/>
        <v>45</v>
      </c>
      <c r="B12">
        <v>2035</v>
      </c>
      <c r="C12" s="1">
        <f>IF($B12&lt;Analysis!C$66,0,$AN12)+$AT12+$AW12+$BC12+$CF12+$CA12</f>
        <v>38715.756774324895</v>
      </c>
      <c r="D12" s="1">
        <f>IF($B12&lt;Analysis!C$66, 0, BV12)+AT12+AW12+BC12+CG12+CA12</f>
        <v>-78841.799224464601</v>
      </c>
      <c r="E12" s="1">
        <f t="shared" si="13"/>
        <v>418995.20299716713</v>
      </c>
      <c r="F12" s="1">
        <f t="shared" si="14"/>
        <v>390506.11223463929</v>
      </c>
      <c r="G12" s="1">
        <f>IF(AND($B12&gt;=Analysis!$C$100, $B12&lt;Analysis!$C$101),$CK12,0)+IF($B12&gt;=Analysis!$C$130,EB12,0)+CQ12+CU12+CZ12+EH12+EK12+EQ12+$FO12+$FT12</f>
        <v>331996.33433283778</v>
      </c>
      <c r="H12" s="1">
        <f t="shared" si="2"/>
        <v>255524.41967559751</v>
      </c>
      <c r="I12" s="1">
        <f>IF($B12&lt;Analysis!$C$159,0,$FW12)+$GC12+$GF12+$GL12+$HQ12+$HV12</f>
        <v>331996.33433283778</v>
      </c>
      <c r="J12" s="1">
        <f t="shared" si="3"/>
        <v>218718.55840770889</v>
      </c>
      <c r="K12" s="36"/>
      <c r="L12" s="1">
        <f t="shared" si="15"/>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4"/>
        <v>0</v>
      </c>
      <c r="R12" s="1">
        <f>IF(AND(AND(B12=Analysis!C$35,Analysis!C$34&lt;&gt;0),AND(B12=Analysis!C$37,Analysis!C$36&lt;&gt;0)),Analysis!C$34+Analysis!C$36,IF(AND(B12=Analysis!C$35,Analysis!C$34&lt;&gt;0),Analysis!C$34,IF(AND(B12=Analysis!C$37,Analysis!C$36&lt;&gt;0),Analysis!C$36,0)))</f>
        <v>0</v>
      </c>
      <c r="S12" s="64">
        <f t="shared" si="16"/>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7"/>
        <v>0.26374999999999998</v>
      </c>
      <c r="W12" s="36"/>
      <c r="X12" s="1">
        <f t="shared" si="45"/>
        <v>-21166.373254001996</v>
      </c>
      <c r="Y12" s="64">
        <f t="shared" si="18"/>
        <v>2.941176470588247E-2</v>
      </c>
      <c r="Z12" s="1">
        <f t="shared" si="19"/>
        <v>-3960</v>
      </c>
      <c r="AA12" s="64">
        <f t="shared" si="20"/>
        <v>0</v>
      </c>
      <c r="AB12" s="40"/>
      <c r="AC12" s="1">
        <f t="shared" si="4"/>
        <v>-83526.373254001999</v>
      </c>
      <c r="AD12" s="1">
        <f>$M12+$R12</f>
        <v>117817.77193084449</v>
      </c>
      <c r="AE12" s="1">
        <f t="shared" si="21"/>
        <v>34291.398676842495</v>
      </c>
      <c r="AF12" s="1">
        <f>IF(AE12 &lt; 0,
    IF(AF11 + AE12 &gt; 0,
        AF11 + AE12, IF(AK11-ABS(AF11 + AE12)*(1+$V12) &gt;= AF11 + AE12,
        0, AF11 + AE12)),
    MIN(AF11 + AE12, Analysis!$C$7))+IF(AF11&lt;0, AF11*Analysis!$C$9,0)</f>
        <v>24000</v>
      </c>
      <c r="AG12" s="40"/>
      <c r="AH12" s="1">
        <f t="shared" si="22"/>
        <v>20830.340051015432</v>
      </c>
      <c r="AI12" s="1">
        <f>IF(AE12 &gt;= 0,
    MAX(0, AF11 + AE12 - Analysis!$C$7),
    0)</f>
        <v>34291.398676842495</v>
      </c>
      <c r="AJ12" s="1">
        <f t="shared" si="46"/>
        <v>286979.69299706153</v>
      </c>
      <c r="AK12" s="1">
        <f t="shared" si="23"/>
        <v>394995.20299716713</v>
      </c>
      <c r="AL12" s="1">
        <f t="shared" si="6"/>
        <v>366506.11223463929</v>
      </c>
      <c r="AM12" s="36"/>
      <c r="AN12" s="1">
        <f t="shared" si="47"/>
        <v>922020.04704932938</v>
      </c>
      <c r="AO12" s="64">
        <f t="shared" si="24"/>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-19955.954791549182</v>
      </c>
      <c r="AT12" s="1">
        <f>IF($B12&lt;Analysis!$C$66,0,IF($B12=Analysis!$C$66,-AP12-AS12,MIN(0,AT11-AS12)))</f>
        <v>-509571.78057198663</v>
      </c>
      <c r="AU12" s="64">
        <f>IF($B12&lt;Analysis!$C$66,0,IF($B12=Analysis!$C$66,Analysis!$C$72,IF(($B12-Analysis!$C$66)&lt;LOOKUP(Analysis!$C$66,$B:$B,AQ:AQ),AU11,0)))</f>
        <v>3.6999999999999998E-2</v>
      </c>
      <c r="AV12" s="1">
        <f>IF($B12&lt;Analysis!$C$66,0,IF($B12=Analysis!$C$66,-AU12*AP12,AU11*AT11))</f>
        <v>-19592.526208450825</v>
      </c>
      <c r="AW12" s="1">
        <f>IF($B12&lt;Analysis!$C$66,0,IF($B12=Analysis!$C$66,PMT(AU12,AQ12,AP12)*AQ12-AX12-AT12,IF(($B12-Analysis!$C$66+1)&lt;LOOKUP(Analysis!$C$66,$B:$B,AQ:AQ),IF(AW11-AV12&lt;0, AW11-AV12,0),0)))</f>
        <v>-195435.55396729807</v>
      </c>
      <c r="AX12" s="1">
        <f>IF($B12&lt;Analysis!$C$66,0,IF($B12=Analysis!$C$66,AS12+AV12,IF(AT11&lt;0,IF(AT11&gt;LOOKUP(Analysis!$C$66,$B:$B,AX:AX), AT11*(1+AU11),AX11),0)))</f>
        <v>-39548.481000000007</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-2766.0601411479884</v>
      </c>
      <c r="BF12" s="64">
        <f>IF($B12&lt;Analysis!$C$66,0,Analysis!$C$78)</f>
        <v>3.0000000000000001E-3</v>
      </c>
      <c r="BG12" s="1">
        <f>IF($B12&lt;Analysis!$C$66,0,-BH12*AN12)</f>
        <v>-6915.1503528699704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5"/>
        <v>-117557.5559987895</v>
      </c>
      <c r="BS12" s="64">
        <f>IF($B12&lt;Analysis!C$66,0,Analysis!C$31)</f>
        <v>0.1275</v>
      </c>
      <c r="BT12" s="1">
        <f>IF($B12&lt;Analysis!$C$66,0,AN12+BR12)</f>
        <v>804462.49105053989</v>
      </c>
      <c r="BU12" s="1">
        <f>IF($B12-Analysis!$C$66&gt;3,0,IF($AN12&gt;LOOKUP(Analysis!$C$66,$B:$B, AN:AN),$V12*(LOOKUP(Analysis!$C$66,$B:$B, AN:AN)-AN12),0))</f>
        <v>0</v>
      </c>
      <c r="BV12" s="1">
        <f t="shared" si="26"/>
        <v>804462.49105053989</v>
      </c>
      <c r="BW12" s="42"/>
      <c r="BX12" s="1">
        <f>IF($B12&lt;Analysis!$C$66,$P12+$N12+$X12+$Z12,$P12+$N12+AS12+AV12+BB12+BE12+BG12+MAX(BI12,SUM(BJ12:BN12))+BP12)</f>
        <v>-111589.69149401797</v>
      </c>
      <c r="BY12" s="1">
        <f t="shared" si="27"/>
        <v>117817.77193084449</v>
      </c>
      <c r="BZ12" s="1">
        <f t="shared" si="48"/>
        <v>6228.0804368265235</v>
      </c>
      <c r="CA12" s="1">
        <f>IF(BZ12 &lt; 0,
    IF(CA11 + BZ12 &gt; 0,
        CA11 + BZ12, IF(CF11-ABS(CA11 + BZ12)*(1+$V12) &gt;= CA11 + BZ12,
        0, CA11 + BZ12)),
    MIN(CA11 + BZ12, Analysis!$C$7))+IF(CA11&lt;0, CA11*Analysis!$C$9,0)</f>
        <v>-178296.95573571979</v>
      </c>
      <c r="CB12" s="42"/>
      <c r="CC12" s="1">
        <f t="shared" si="49"/>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50"/>
        <v>554548.28916735016</v>
      </c>
      <c r="CL12" s="64">
        <f t="shared" si="51"/>
        <v>2.941176470588247E-2</v>
      </c>
      <c r="CM12" s="1">
        <f>IF($B12=Analysis!$C$100,(CK12*(1+Analysis!$C$23+Analysis!$C$24+Analysis!$C$25))-IF($B12=$B$2,(Analysis!$C$6-Analysis!$C$7+Analysis!$C$105), (FU11-Analysis!$C$7+CV12)),0)</f>
        <v>0</v>
      </c>
      <c r="CN12" s="64">
        <f>IF($B12=Analysis!$C$100,Analysis!$C$103,0)</f>
        <v>0</v>
      </c>
      <c r="CO12" s="64">
        <f>IF(OR($B12&lt;Analysis!$C$100, $B12&gt;=Analysis!$C$101),0,IF($B12=Analysis!$C$100,Analysis!$C$102,IF(($B12-Analysis!$C$100)&lt;LOOKUP(Analysis!$C$100,$B:$B,CT:CT),CO11,0)))</f>
        <v>3.6999999999999998E-2</v>
      </c>
      <c r="CP12" s="1">
        <f>IF(OR($B12&lt;Analysis!$C$100, $B12&gt;=Analysis!$C$101),0,IF($B12=Analysis!$C$100,-CM12*CN12,IF(CS12&gt;=0,0,CS12-CR12)))</f>
        <v>-11131.300790865822</v>
      </c>
      <c r="CQ12" s="1">
        <f>IF(OR($B12&lt;Analysis!$C$100, $B12&gt;=Analysis!$C$101),0,IF($B12=Analysis!$C$100,-CM12-CP12,MIN(0,CQ11-CP12)))</f>
        <v>-284235.79945600394</v>
      </c>
      <c r="CR12" s="1">
        <f>IF(OR($B12&lt;Analysis!$C$100, $B12&gt;=Analysis!$C$101),0,IF($B12=Analysis!$C$100,-CO12*CM12,CO11*CQ11))</f>
        <v>-10928.582709134182</v>
      </c>
      <c r="CS12" s="1">
        <f>IF(OR($B12&lt;Analysis!$C$100, $B12&gt;=Analysis!$C$101),0,IF($B12=Analysis!$C$100,CP12+CR12,IF(CQ11&lt;0,IF(CQ11&gt;LOOKUP(Analysis!$C$100,$B:$B,CS:CS), CQ11*(1+CO11),CS11),0)))</f>
        <v>-22059.883500000004</v>
      </c>
      <c r="CT12" s="65">
        <f>IF($B12=Analysis!$C$100,NPER(CO12,-CS12,-CM12),0)</f>
        <v>0</v>
      </c>
      <c r="CU12" s="1">
        <f>IF(OR($B12&lt;Analysis!$C$100, $B12&gt;=Analysis!$C$101),0,IF($B12=Analysis!$C$100,PMT(CO12,CT12,CM12)*CT12-CS12-CQ12,IF(($B12-Analysis!$C$100+1)&lt;LOOKUP(Analysis!$C$100,$B:$B,CT:CT),IF(CU11-CR12&lt;0, CU11-CR12,0),0)))</f>
        <v>-109012.67111312209</v>
      </c>
      <c r="CV12" s="1">
        <f>IF($B12=Analysis!$C$100,Analysis!$C$105,0)</f>
        <v>0</v>
      </c>
      <c r="CW12" s="1">
        <f>IF($B12=Analysis!$C$100,PMT(CO12,CX12,CV12)*CX12,0)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29"/>
        <v>24144.221464753799</v>
      </c>
      <c r="DE12" s="1">
        <f t="shared" si="8"/>
        <v>-1663.6448675020506</v>
      </c>
      <c r="DF12" s="64">
        <f>IF(OR($B12&lt;Analysis!$C$100, $B12&gt;=Analysis!$C$101),0,Analysis!$C$118)</f>
        <v>3.0000000000000001E-3</v>
      </c>
      <c r="DG12" s="1">
        <f t="shared" si="9"/>
        <v>-4159.1121687551258</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-1389.0432447938811</v>
      </c>
      <c r="DR12" s="1">
        <f t="shared" si="30"/>
        <v>-19471.800281051059</v>
      </c>
      <c r="DS12" s="1">
        <f>MIN(0,-(DB12+DR12)*Analysis!$C$28)-CR12*Analysis!$C$28</f>
        <v>4842.4549984173555</v>
      </c>
      <c r="DT12" s="1">
        <f>-Analysis!$C$116*DD12/12</f>
        <v>-2012.0184553961499</v>
      </c>
      <c r="DU12" s="53"/>
      <c r="DV12" s="1">
        <f t="shared" si="10"/>
        <v>-70704.906868837148</v>
      </c>
      <c r="DW12" s="64">
        <f>IF(OR($B12&lt;Analysis!$C$100, $B12&gt;=Analysis!$C$101),0,IF($B12=Analysis!$C$100,Analysis!$C$31,DW11))</f>
        <v>0.1275</v>
      </c>
      <c r="DX12" s="1">
        <f>IF(OR($B12&lt;Analysis!$C$100, $B12&gt;=Analysis!$C$101),0,CK12+DV12)</f>
        <v>483843.38229851302</v>
      </c>
      <c r="DY12" s="1">
        <f>IF(OR($B12&lt;Analysis!$C$100, $B12&gt;=Analysis!$C$101),0,IF($B12-Analysis!$C$100&gt;3,0,IF(CK12&gt;LOOKUP(Analysis!$C$100,$B:$B, CK:CK),$V12*(LOOKUP(Analysis!$C$100,$B:$B, CK:CK)-CK12),0)))</f>
        <v>0</v>
      </c>
      <c r="DZ12" s="1">
        <f t="shared" si="52"/>
        <v>483843.38229851302</v>
      </c>
      <c r="EA12" s="53"/>
      <c r="EB12" s="1">
        <f t="shared" si="31"/>
        <v>922020.04704932938</v>
      </c>
      <c r="EC12" s="64">
        <f t="shared" si="53"/>
        <v>2.941176470588247E-2</v>
      </c>
      <c r="ED12" s="1">
        <f>MAX(0,IF($B12=Analysis!$C$130,(EB12*(1+Analysis!$C$23+Analysis!$C$24+Analysis!$C$25))-(IF($B12=$B$2,(Analysis!$C$6-Analysis!$C$7+Analysis!$C$132), (FU11-Analysis!$C$7+EM12)) + IF($B12=Analysis!$C$101,DZ11+CQ11+CU11+CZ11,0)),0))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$P12+$N12+IF($B12&lt;Analysis!$C$130,$CI12+$CJ12,0)+CP12+CR12+CY12+DE12+DG12+MIN(DI12,SUM(DJ12:DN12))+DQ12+DS12+DT12+EG12+EJ12+EP12+ES12+EU12+MIN(EW12,SUM(EX12:FB12))+FD12</f>
        <v>-113927.62049203184</v>
      </c>
      <c r="FM12" s="1">
        <f>$M12+$R12+DD12+IF(AND($B12&lt;&gt;Analysis!$C$130,$B12=Analysis!$C$101),DZ11+CQ11+CU11+CZ11,0)</f>
        <v>141961.99339559829</v>
      </c>
      <c r="FN12" s="1">
        <f t="shared" si="34"/>
        <v>28034.372903566444</v>
      </c>
      <c r="FO12" s="1">
        <f>IF(FN12 &lt; 0,
    IF(FO11 + FN12 &gt; 0,
        FO11 + FN12, IF(FT11-ABS(FO11 + FN12)*(1+$V12) &gt;= FO11 + FN12,
        0, FO11 + FN12)),
    MIN(FO11 + FN12, Analysis!$C$7))+IF(FO11&lt;0, FO11*Analysis!$C$9,0)</f>
        <v>24000</v>
      </c>
      <c r="FP12" s="53"/>
      <c r="FQ12" s="1">
        <f t="shared" si="54"/>
        <v>6852.6385270885794</v>
      </c>
      <c r="FR12" s="1">
        <f>IF(OR($B12=Analysis!$C$100, $B12=Analysis!$C$130),0,IF(FN12 &gt;= 0,
    MAX(0, FO11 + FN12 - Analysis!$C$7),
    0))</f>
        <v>28034.372903566444</v>
      </c>
      <c r="FS12" s="1">
        <f>IF(OR($B12=Analysis!$C$100, $B12=Analysis!$C$130),0,MAX(0, FS11 + FR12 - IF(FN12 &lt; 0, MIN(ABS(FN12), FS11 + FR12), 0)))</f>
        <v>124831.0833615212</v>
      </c>
      <c r="FT12" s="1">
        <f>IF(OR($B12=Analysis!$C$100, $B12=Analysis!$C$130),0,IF(FN12 &lt; 0,
    IF(FN12 + FO11 &lt; 0,
        MAX(0, FT11 - (ABS(FN12 + FO11) * (1+$V11))),
        FT11 + FQ12),
    FT11 + FR12 + FQ12))</f>
        <v>146696.51573461364</v>
      </c>
      <c r="FU12" s="1">
        <f>IF(FT12-FS12&gt;0, FT12-$V12*(FT12-FS12),FT12)</f>
        <v>140929.50794621051</v>
      </c>
      <c r="FV12" s="36"/>
      <c r="FW12" s="1">
        <f t="shared" si="55"/>
        <v>554548.28916735016</v>
      </c>
      <c r="FX12" s="64">
        <f t="shared" si="56"/>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-11131.300790865822</v>
      </c>
      <c r="GC12" s="1">
        <f>IF($B12&lt;Analysis!$C$159,0,IF($B12=Analysis!$C$159,-FY12-GB12,MIN(0,GC11-GB12)))</f>
        <v>-284235.79945600394</v>
      </c>
      <c r="GD12" s="64">
        <f>IF($B12&lt;Analysis!$C$159,0,IF($B12=Analysis!$C$159,Analysis!$C$160,IF(($B12-Analysis!$C$159)&lt;LOOKUP(Analysis!$C$159,$B:$B,FZ:FZ),GD11,0)))</f>
        <v>3.6999999999999998E-2</v>
      </c>
      <c r="GE12" s="1">
        <f>IF($B12&lt;Analysis!$C$159,0,IF($B12=Analysis!$C$159,-GD12*FY12,GD11*GC11))</f>
        <v>-10928.582709134182</v>
      </c>
      <c r="GF12" s="1">
        <f>IF($B12&lt;Analysis!$C$159,0,IF($B12=Analysis!$C$159,PMT(GD12,FZ12,FY12)*FZ12-GG12-GC12,IF(($B12-Analysis!$C$159+1)&lt;LOOKUP(Analysis!$C$159,$B:$B,FZ:FZ),IF(GF11-GE12&lt;0, GF11-GE12,0),0)))</f>
        <v>-109012.67111312209</v>
      </c>
      <c r="GG12" s="1">
        <f>IF($B12&lt;Analysis!$C$159,0,IF($B12=Analysis!$C$159,GB12+GE12,IF(GC11&lt;0,IF(GC11&gt;LOOKUP(Analysis!$C$159,$B:$B,GG:GG), GC11*(1+GD11),GG11),0)))</f>
        <v>-22059.883500000004</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36"/>
        <v>24144.221464753799</v>
      </c>
      <c r="GQ12" s="1">
        <f t="shared" si="37"/>
        <v>-1663.6448675020506</v>
      </c>
      <c r="GR12" s="64">
        <f>IF($B12&lt;Analysis!$C$159,0,Analysis!$C$178)</f>
        <v>3.0000000000000001E-3</v>
      </c>
      <c r="GS12" s="1">
        <f t="shared" si="38"/>
        <v>-4159.1121687551258</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-1389.0432447938811</v>
      </c>
      <c r="HD12" s="1">
        <f t="shared" si="39"/>
        <v>-19471.800281051059</v>
      </c>
      <c r="HE12" s="1">
        <f>MIN(0,-(GN12+HD12)*Analysis!$C$28)-GE12*Analysis!$C$28</f>
        <v>4842.4549984173555</v>
      </c>
      <c r="HF12" s="1">
        <f>-Analysis!$C$176*GP12/12</f>
        <v>-2012.0184553961499</v>
      </c>
      <c r="HG12" s="38"/>
      <c r="HH12" s="1">
        <f>IF($B12&lt;Analysis!$C$159,0,-$HI12*$FW12)</f>
        <v>-70704.906868837148</v>
      </c>
      <c r="HI12" s="64">
        <f>IF($B12&lt;Analysis!$C$159,0,IF($B12=Analysis!$C$159,Analysis!$C$31,HI11))</f>
        <v>0.1275</v>
      </c>
      <c r="HJ12" s="1">
        <f>IF($B12&lt;Analysis!$C$159,0,$FW12+HH12)</f>
        <v>483843.38229851302</v>
      </c>
      <c r="HK12" s="1">
        <f>IF($B12-Analysis!$C$159&gt;10,0,IF($FW12&gt;LOOKUP(Analysis!$C$159,$B:$B, FW:FW),$V12*(LOOKUP(Analysis!$C$159,$B:$B, FW:FW)-FW12),0))</f>
        <v>-36805.861267888606</v>
      </c>
      <c r="HL12" s="1">
        <f t="shared" si="40"/>
        <v>447037.5210306244</v>
      </c>
      <c r="HM12" s="38"/>
      <c r="HN12" s="1">
        <f t="shared" si="41"/>
        <v>-113927.62049203184</v>
      </c>
      <c r="HO12" s="1">
        <f t="shared" si="12"/>
        <v>141961.99339559829</v>
      </c>
      <c r="HP12" s="1">
        <f t="shared" si="42"/>
        <v>28034.372903566444</v>
      </c>
      <c r="HQ12" s="1">
        <f>IF(HP12 &lt; 0,
    IF(HQ11 + HP12 &gt; 0,
        HQ11 + HP12, IF(HV11-ABS(HQ11 + HP12)*(1+$V12) &gt;= HQ11 + HP12,
        0, HQ11 + HP12)),
    MIN(HQ11 + HP12, Analysis!$C$7))+IF(HQ11&lt;0, HQ11*Analysis!$C$9,0)</f>
        <v>24000</v>
      </c>
      <c r="HR12" s="38"/>
      <c r="HS12" s="1">
        <f t="shared" si="57"/>
        <v>6852.6385270885794</v>
      </c>
      <c r="HT12" s="1">
        <f>IF($B12=Analysis!$C$159,0,IF(HP12 &gt;= 0,
    MAX(0, HQ11 + HP12 - Analysis!$C$7),
    0))</f>
        <v>28034.372903566444</v>
      </c>
      <c r="HU12" s="1">
        <f>IF($B12=Analysis!$C$159,0,MAX(0, HU11 + HT12 - IF(HP12 &lt; 0, MIN(ABS(HP12), HU11 + HT12), 0)))</f>
        <v>124831.0833615212</v>
      </c>
      <c r="HV12" s="1">
        <f>IF($B12=Analysis!$C$159,0,IF(HP12 &lt; 0,
    IF(HP12 + HQ11 &lt; 0,
        MAX(0, HV11 - (ABS(HP12 + HQ11) * (1+$V11))),
        HV11 + HS12),
    HV11 + HT12 + HS12))</f>
        <v>146696.51573461364</v>
      </c>
      <c r="HW12" s="1">
        <f>IF(HV12-HU12&gt;0, HV12-$V12*(HV12-HU12),HV12)</f>
        <v>140929.50794621051</v>
      </c>
      <c r="HX12" s="36"/>
    </row>
    <row r="13" spans="1:232" x14ac:dyDescent="0.35">
      <c r="A13">
        <f t="shared" si="0"/>
        <v>46</v>
      </c>
      <c r="B13">
        <v>2036</v>
      </c>
      <c r="C13" s="1">
        <f>IF($B13&lt;Analysis!C$66,0,$AN13)+$AT13+$AW13+$BC13+$CF13+$CA13</f>
        <v>94755.902189347777</v>
      </c>
      <c r="D13" s="1">
        <f>IF($B13&lt;Analysis!C$66, 0, BV13)+AT13+AW13+BC13+CG13+CA13</f>
        <v>-26259.228985876776</v>
      </c>
      <c r="E13" s="1">
        <f t="shared" si="13"/>
        <v>473889.44147897937</v>
      </c>
      <c r="F13" s="1">
        <f t="shared" si="14"/>
        <v>439193.90837324585</v>
      </c>
      <c r="G13" s="1">
        <f>IF(AND($B13&gt;=Analysis!$C$100, $B13&lt;Analysis!$C$101),$CK13,0)+IF($B13&gt;=Analysis!$C$130,EB13,0)+CQ13+CU13+CZ13+EH13+EK13+EQ13+$FO13+$FT13</f>
        <v>404361.04764464637</v>
      </c>
      <c r="H13" s="1">
        <f t="shared" si="2"/>
        <v>323504.57810823922</v>
      </c>
      <c r="I13" s="1">
        <f>IF($B13&lt;Analysis!$C$159,0,$FW13)+$GC13+$GF13+$GL13+$HQ13+$HV13</f>
        <v>404361.04764464637</v>
      </c>
      <c r="J13" s="1">
        <f t="shared" si="3"/>
        <v>323504.57810823922</v>
      </c>
      <c r="K13" s="36"/>
      <c r="L13" s="1">
        <f t="shared" si="15"/>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4"/>
        <v>0</v>
      </c>
      <c r="R13" s="1">
        <f>IF(AND(AND(B13=Analysis!C$35,Analysis!C$34&lt;&gt;0),AND(B13=Analysis!C$37,Analysis!C$36&lt;&gt;0)),Analysis!C$34+Analysis!C$36,IF(AND(B13=Analysis!C$35,Analysis!C$34&lt;&gt;0),Analysis!C$34,IF(AND(B13=Analysis!C$37,Analysis!C$36&lt;&gt;0),Analysis!C$36,0)))</f>
        <v>0</v>
      </c>
      <c r="S13" s="64">
        <f t="shared" si="16"/>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7"/>
        <v>0.26374999999999998</v>
      </c>
      <c r="W13" s="36"/>
      <c r="X13" s="1">
        <f t="shared" si="45"/>
        <v>-21788.913643825585</v>
      </c>
      <c r="Y13" s="64">
        <f t="shared" si="18"/>
        <v>2.941176470588247E-2</v>
      </c>
      <c r="Z13" s="1">
        <f t="shared" si="19"/>
        <v>-3960</v>
      </c>
      <c r="AA13" s="64">
        <f t="shared" si="20"/>
        <v>0</v>
      </c>
      <c r="AB13" s="40"/>
      <c r="AC13" s="1">
        <f t="shared" si="4"/>
        <v>-87898.913643825581</v>
      </c>
      <c r="AD13" s="1">
        <f t="shared" si="5"/>
        <v>119261.61717509503</v>
      </c>
      <c r="AE13" s="1">
        <f t="shared" si="21"/>
        <v>31362.70353126945</v>
      </c>
      <c r="AF13" s="1">
        <f>IF(AE13 &lt; 0,
    IF(AF12 + AE13 &gt; 0,
        AF12 + AE13, IF(AK12-ABS(AF12 + AE13)*(1+$V13) &gt;= AF12 + AE13,
        0, AF12 + AE13)),
    MIN(AF12 + AE13, Analysis!$C$7))+IF(AF12&lt;0, AF12*Analysis!$C$9,0)</f>
        <v>24000</v>
      </c>
      <c r="AG13" s="40"/>
      <c r="AH13" s="1">
        <f t="shared" si="22"/>
        <v>23531.534950542798</v>
      </c>
      <c r="AI13" s="1">
        <f>IF(AE13 &gt;= 0,
    MAX(0, AF12 + AE13 - Analysis!$C$7),
    0)</f>
        <v>31362.70353126945</v>
      </c>
      <c r="AJ13" s="1">
        <f t="shared" si="46"/>
        <v>318342.39652833098</v>
      </c>
      <c r="AK13" s="1">
        <f t="shared" si="23"/>
        <v>449889.44147897937</v>
      </c>
      <c r="AL13" s="1">
        <f t="shared" si="6"/>
        <v>415193.90837324585</v>
      </c>
      <c r="AM13" s="36"/>
      <c r="AN13" s="1">
        <f t="shared" si="47"/>
        <v>949138.28372725099</v>
      </c>
      <c r="AO13" s="64">
        <f t="shared" si="24"/>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-20694.325118836503</v>
      </c>
      <c r="AT13" s="1">
        <f>IF($B13&lt;Analysis!$C$66,0,IF($B13=Analysis!$C$66,-AP13-AS13,MIN(0,AT12-AS13)))</f>
        <v>-488877.45545315015</v>
      </c>
      <c r="AU13" s="64">
        <f>IF($B13&lt;Analysis!$C$66,0,IF($B13=Analysis!$C$66,Analysis!$C$72,IF(($B13-Analysis!$C$66)&lt;LOOKUP(Analysis!$C$66,$B:$B,AQ:AQ),AU12,0)))</f>
        <v>3.6999999999999998E-2</v>
      </c>
      <c r="AV13" s="1">
        <f>IF($B13&lt;Analysis!$C$66,0,IF($B13=Analysis!$C$66,-AU13*AP13,AU12*AT12))</f>
        <v>-18854.155881163504</v>
      </c>
      <c r="AW13" s="1">
        <f>IF($B13&lt;Analysis!$C$66,0,IF($B13=Analysis!$C$66,PMT(AU13,AQ13,AP13)*AQ13-AX13-AT13,IF(($B13-Analysis!$C$66+1)&lt;LOOKUP(Analysis!$C$66,$B:$B,AQ:AQ),IF(AW12-AV13&lt;0, AW12-AV13,0),0)))</f>
        <v>-176581.39808613458</v>
      </c>
      <c r="AX13" s="1">
        <f>IF($B13&lt;Analysis!$C$66,0,IF($B13=Analysis!$C$66,AS13+AV13,IF(AT12&lt;0,IF(AT12&gt;LOOKUP(Analysis!$C$66,$B:$B,AX:AX), AT12*(1+AU12),AX12),0)))</f>
        <v>-39548.481000000007</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-2847.414851181753</v>
      </c>
      <c r="BF13" s="64">
        <f>IF($B13&lt;Analysis!$C$66,0,Analysis!$C$78)</f>
        <v>3.0000000000000001E-3</v>
      </c>
      <c r="BG13" s="1">
        <f>IF($B13&lt;Analysis!$C$66,0,-BH13*AN13)</f>
        <v>-7118.5371279543824</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5"/>
        <v>-121015.13117522451</v>
      </c>
      <c r="BS13" s="64">
        <f>IF($B13&lt;Analysis!C$66,0,Analysis!C$31)</f>
        <v>0.1275</v>
      </c>
      <c r="BT13" s="1">
        <f>IF($B13&lt;Analysis!$C$66,0,AN13+BR13)</f>
        <v>828123.15255202644</v>
      </c>
      <c r="BU13" s="1">
        <f>IF($B13-Analysis!$C$66&gt;3,0,IF($AN13&gt;LOOKUP(Analysis!$C$66,$B:$B, AN:AN),$V13*(LOOKUP(Analysis!$C$66,$B:$B, AN:AN)-AN13),0))</f>
        <v>0</v>
      </c>
      <c r="BV13" s="1">
        <f t="shared" si="26"/>
        <v>828123.15255202644</v>
      </c>
      <c r="BW13" s="42"/>
      <c r="BX13" s="1">
        <f>IF($B13&lt;Analysis!$C$66,$P13+$N13+$X13+$Z13,$P13+$N13+AS13+AV13+BB13+BE13+BG13+MAX(BI13,SUM(BJ13:BN13))+BP13)</f>
        <v>-115624.43297913614</v>
      </c>
      <c r="BY13" s="1">
        <f t="shared" si="27"/>
        <v>119261.61717509503</v>
      </c>
      <c r="BZ13" s="1">
        <f t="shared" si="48"/>
        <v>3637.1841959588928</v>
      </c>
      <c r="CA13" s="1">
        <f>IF(BZ13 &lt; 0,
    IF(CA12 + BZ13 &gt; 0,
        CA12 + BZ13, IF(CF12-ABS(CA12 + BZ13)*(1+$V13) &gt;= CA12 + BZ13,
        0, CA12 + BZ13)),
    MIN(CA12 + BZ13, Analysis!$C$7))+IF(CA12&lt;0, CA12*Analysis!$C$9,0)</f>
        <v>-188923.52799861849</v>
      </c>
      <c r="CB13" s="42"/>
      <c r="CC13" s="1">
        <f t="shared" si="49"/>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8"/>
        <v>0</v>
      </c>
      <c r="CH13" s="36"/>
      <c r="CI13" s="1">
        <f>IF(OR($B13&lt;Analysis!$C$100, $B13&gt;=Analysis!$C$130),0,X13)</f>
        <v>-21788.913643825585</v>
      </c>
      <c r="CJ13" s="1">
        <f>IF(OR($B13&lt;Analysis!$C$100, $B13&gt;=Analysis!$C$130),0,Z13)</f>
        <v>-3960</v>
      </c>
      <c r="CK13" s="1">
        <f t="shared" si="50"/>
        <v>570858.5329663899</v>
      </c>
      <c r="CL13" s="64">
        <f t="shared" si="51"/>
        <v>2.941176470588247E-2</v>
      </c>
      <c r="CM13" s="1">
        <f>IF($B13=Analysis!$C$100,(CK13*(1+Analysis!$C$23+Analysis!$C$24+Analysis!$C$25))-IF($B13=$B$2,(Analysis!$C$6-Analysis!$C$7+Analysis!$C$105), (FU12-Analysis!$C$7+CV13)),0)</f>
        <v>0</v>
      </c>
      <c r="CN13" s="64">
        <f>IF($B13=Analysis!$C$100,Analysis!$C$103,0)</f>
        <v>0</v>
      </c>
      <c r="CO13" s="64">
        <f>IF(OR($B13&lt;Analysis!$C$100, $B13&gt;=Analysis!$C$101),0,IF($B13=Analysis!$C$100,Analysis!$C$102,IF(($B13-Analysis!$C$100)&lt;LOOKUP(Analysis!$C$100,$B:$B,CT:CT),CO12,0)))</f>
        <v>3.6999999999999998E-2</v>
      </c>
      <c r="CP13" s="1">
        <f>IF(OR($B13&lt;Analysis!$C$100, $B13&gt;=Analysis!$C$101),0,IF($B13=Analysis!$C$100,-CM13*CN13,IF(CS13&gt;=0,0,CS13-CR13)))</f>
        <v>-11543.158920127858</v>
      </c>
      <c r="CQ13" s="1">
        <f>IF(OR($B13&lt;Analysis!$C$100, $B13&gt;=Analysis!$C$101),0,IF($B13=Analysis!$C$100,-CM13-CP13,MIN(0,CQ12-CP13)))</f>
        <v>-272692.6405358761</v>
      </c>
      <c r="CR13" s="1">
        <f>IF(OR($B13&lt;Analysis!$C$100, $B13&gt;=Analysis!$C$101),0,IF($B13=Analysis!$C$100,-CO13*CM13,CO12*CQ12))</f>
        <v>-10516.724579872145</v>
      </c>
      <c r="CS13" s="1">
        <f>IF(OR($B13&lt;Analysis!$C$100, $B13&gt;=Analysis!$C$101),0,IF($B13=Analysis!$C$100,CP13+CR13,IF(CQ12&lt;0,IF(CQ12&gt;LOOKUP(Analysis!$C$100,$B:$B,CS:CS), CQ12*(1+CO12),CS12),0)))</f>
        <v>-22059.883500000004</v>
      </c>
      <c r="CT13" s="65">
        <f>IF($B13=Analysis!$C$100,NPER(CO13,-CS13,-CM13),0)</f>
        <v>0</v>
      </c>
      <c r="CU13" s="1">
        <f>IF(OR($B13&lt;Analysis!$C$100, $B13&gt;=Analysis!$C$101),0,IF($B13=Analysis!$C$100,PMT(CO13,CT13,CM13)*CT13-CS13-CQ13,IF(($B13-Analysis!$C$100+1)&lt;LOOKUP(Analysis!$C$100,$B:$B,CT:CT),IF(CU12-CR13&lt;0, CU12-CR13,0),0)))</f>
        <v>-98495.946533249953</v>
      </c>
      <c r="CV13" s="1">
        <f>IF($B13=Analysis!$C$100,Analysis!$C$105,0)</f>
        <v>0</v>
      </c>
      <c r="CW13" s="1">
        <f>IF($B13=Analysis!$C$100,PMT(CO13,CX13,CV13)*CX13,0)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29"/>
        <v>24737.875037246558</v>
      </c>
      <c r="DE13" s="1">
        <f t="shared" si="8"/>
        <v>-1712.5755988991698</v>
      </c>
      <c r="DF13" s="64">
        <f>IF(OR($B13&lt;Analysis!$C$100, $B13&gt;=Analysis!$C$101),0,Analysis!$C$118)</f>
        <v>3.0000000000000001E-3</v>
      </c>
      <c r="DG13" s="1">
        <f t="shared" si="9"/>
        <v>-4281.4389972479239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-1429.8974578760542</v>
      </c>
      <c r="DR13" s="1">
        <f t="shared" si="30"/>
        <v>-19683.912054023145</v>
      </c>
      <c r="DS13" s="1">
        <f>MIN(0,-(DB13+DR13)*Analysis!$C$28)-CR13*Analysis!$C$28</f>
        <v>4659.9606613413471</v>
      </c>
      <c r="DT13" s="1">
        <f>-Analysis!$C$116*DD13/12</f>
        <v>-2061.4895864372133</v>
      </c>
      <c r="DU13" s="53"/>
      <c r="DV13" s="1">
        <f t="shared" si="10"/>
        <v>-72784.462953214708</v>
      </c>
      <c r="DW13" s="64">
        <f>IF(OR($B13&lt;Analysis!$C$100, $B13&gt;=Analysis!$C$101),0,IF($B13=Analysis!$C$100,Analysis!$C$31,DW12))</f>
        <v>0.1275</v>
      </c>
      <c r="DX13" s="1">
        <f>IF(OR($B13&lt;Analysis!$C$100, $B13&gt;=Analysis!$C$101),0,CK13+DV13)</f>
        <v>498074.07001317519</v>
      </c>
      <c r="DY13" s="1">
        <f>IF(OR($B13&lt;Analysis!$C$100, $B13&gt;=Analysis!$C$101),0,IF($B13-Analysis!$C$100&gt;3,0,IF(CK13&gt;LOOKUP(Analysis!$C$100,$B:$B, CK:CK),$V13*(LOOKUP(Analysis!$C$100,$B:$B, CK:CK)-CK13),0)))</f>
        <v>0</v>
      </c>
      <c r="DZ13" s="1">
        <f t="shared" si="52"/>
        <v>498074.07001317519</v>
      </c>
      <c r="EA13" s="53"/>
      <c r="EB13" s="1">
        <f t="shared" si="31"/>
        <v>949138.28372725099</v>
      </c>
      <c r="EC13" s="64">
        <f t="shared" si="53"/>
        <v>2.941176470588247E-2</v>
      </c>
      <c r="ED13" s="1">
        <f>MAX(0,IF($B13=Analysis!$C$130,(EB13*(1+Analysis!$C$23+Analysis!$C$24+Analysis!$C$25))-(IF($B13=$B$2,(Analysis!$C$6-Analysis!$C$7+Analysis!$C$132), (FU12-Analysis!$C$7+EM13)) + IF($B13=Analysis!$C$101,DZ12+CQ12+CU12+CZ12,0)),0))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$P13+$N13+IF($B13&lt;Analysis!$C$130,$CI13+$CJ13,0)+CP13+CR13+CY13+DE13+DG13+MIN(DI13,SUM(DJ13:DN13))+DQ13+DS13+DT13+EG13+EJ13+EP13+ES13+EU13+MIN(EW13,SUM(EX13:FB13))+FD13</f>
        <v>-118744.23812294459</v>
      </c>
      <c r="FM13" s="1">
        <f>$M13+$R13+DD13+IF(AND($B13&lt;&gt;Analysis!$C$130,$B13=Analysis!$C$101),DZ12+CQ12+CU12+CZ12,0)</f>
        <v>143999.49221234157</v>
      </c>
      <c r="FN13" s="1">
        <f t="shared" si="34"/>
        <v>25255.254089396985</v>
      </c>
      <c r="FO13" s="1">
        <f>IF(FN13 &lt; 0,
    IF(FO12 + FN13 &gt; 0,
        FO12 + FN13, IF(FT12-ABS(FO12 + FN13)*(1+$V13) &gt;= FO12 + FN13,
        0, FO12 + FN13)),
    MIN(FO12 + FN13, Analysis!$C$7))+IF(FO12&lt;0, FO12*Analysis!$C$9,0)</f>
        <v>24000</v>
      </c>
      <c r="FP13" s="53"/>
      <c r="FQ13" s="1">
        <f t="shared" si="54"/>
        <v>8739.3319233719139</v>
      </c>
      <c r="FR13" s="1">
        <f>IF(OR($B13=Analysis!$C$100, $B13=Analysis!$C$130),0,IF(FN13 &gt;= 0,
    MAX(0, FO12 + FN13 - Analysis!$C$7),
    0))</f>
        <v>25255.254089396985</v>
      </c>
      <c r="FS13" s="1">
        <f>IF(OR($B13=Analysis!$C$100, $B13=Analysis!$C$130),0,MAX(0, FS12 + FR13 - IF(FN13 &lt; 0, MIN(ABS(FN13), FS12 + FR13), 0)))</f>
        <v>150086.33745091819</v>
      </c>
      <c r="FT13" s="1">
        <f>IF(OR($B13=Analysis!$C$100, $B13=Analysis!$C$130),0,IF(FN13 &lt; 0,
    IF(FN13 + FO12 &lt; 0,
        MAX(0, FT12 - (ABS(FN13 + FO12) * (1+$V12))),
        FT12 + FQ13),
    FT12 + FR13 + FQ13))</f>
        <v>180691.10174738252</v>
      </c>
      <c r="FU13" s="1">
        <f t="shared" ref="FU13:FU16" si="58">IF(FT13-FS13&gt;0, FT13-$V13*(FT13-FS13),FT13)</f>
        <v>172619.09516419005</v>
      </c>
      <c r="FV13" s="36"/>
      <c r="FW13" s="1">
        <f t="shared" si="55"/>
        <v>570858.5329663899</v>
      </c>
      <c r="FX13" s="64">
        <f t="shared" si="56"/>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-11543.158920127858</v>
      </c>
      <c r="GC13" s="1">
        <f>IF($B13&lt;Analysis!$C$159,0,IF($B13=Analysis!$C$159,-FY13-GB13,MIN(0,GC12-GB13)))</f>
        <v>-272692.6405358761</v>
      </c>
      <c r="GD13" s="64">
        <f>IF($B13&lt;Analysis!$C$159,0,IF($B13=Analysis!$C$159,Analysis!$C$160,IF(($B13-Analysis!$C$159)&lt;LOOKUP(Analysis!$C$159,$B:$B,FZ:FZ),GD12,0)))</f>
        <v>3.6999999999999998E-2</v>
      </c>
      <c r="GE13" s="1">
        <f>IF($B13&lt;Analysis!$C$159,0,IF($B13=Analysis!$C$159,-GD13*FY13,GD12*GC12))</f>
        <v>-10516.724579872145</v>
      </c>
      <c r="GF13" s="1">
        <f>IF($B13&lt;Analysis!$C$159,0,IF($B13=Analysis!$C$159,PMT(GD13,FZ13,FY13)*FZ13-GG13-GC13,IF(($B13-Analysis!$C$159+1)&lt;LOOKUP(Analysis!$C$159,$B:$B,FZ:FZ),IF(GF12-GE13&lt;0, GF12-GE13,0),0)))</f>
        <v>-98495.946533249953</v>
      </c>
      <c r="GG13" s="1">
        <f>IF($B13&lt;Analysis!$C$159,0,IF($B13=Analysis!$C$159,GB13+GE13,IF(GC12&lt;0,IF(GC12&gt;LOOKUP(Analysis!$C$159,$B:$B,GG:GG), GC12*(1+GD12),GG12),0)))</f>
        <v>-22059.883500000004</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36"/>
        <v>24737.875037246558</v>
      </c>
      <c r="GQ13" s="1">
        <f t="shared" si="37"/>
        <v>-1712.5755988991698</v>
      </c>
      <c r="GR13" s="64">
        <f>IF($B13&lt;Analysis!$C$159,0,Analysis!$C$178)</f>
        <v>3.0000000000000001E-3</v>
      </c>
      <c r="GS13" s="1">
        <f t="shared" si="38"/>
        <v>-4281.4389972479239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-1429.8974578760542</v>
      </c>
      <c r="HD13" s="1">
        <f t="shared" si="39"/>
        <v>-19683.912054023145</v>
      </c>
      <c r="HE13" s="1">
        <f>MIN(0,-(GN13+HD13)*Analysis!$C$28)-GE13*Analysis!$C$28</f>
        <v>4659.9606613413471</v>
      </c>
      <c r="HF13" s="1">
        <f>-Analysis!$C$176*GP13/12</f>
        <v>-2061.4895864372133</v>
      </c>
      <c r="HG13" s="38"/>
      <c r="HH13" s="1">
        <f>IF($B13&lt;Analysis!$C$159,0,-$HI13*$FW13)</f>
        <v>-72784.462953214708</v>
      </c>
      <c r="HI13" s="64">
        <f>IF($B13&lt;Analysis!$C$159,0,IF($B13=Analysis!$C$159,Analysis!$C$31,HI12))</f>
        <v>0.1275</v>
      </c>
      <c r="HJ13" s="1">
        <f>IF($B13&lt;Analysis!$C$159,0,$FW13+HH13)</f>
        <v>498074.07001317519</v>
      </c>
      <c r="HK13" s="1">
        <f>IF($B13-Analysis!$C$159&gt;10,0,IF($FW13&gt;LOOKUP(Analysis!$C$159,$B:$B, FW:FW),$V13*(LOOKUP(Analysis!$C$159,$B:$B, FW:FW)-FW13),0))</f>
        <v>0</v>
      </c>
      <c r="HL13" s="1">
        <f t="shared" si="40"/>
        <v>498074.07001317519</v>
      </c>
      <c r="HM13" s="38"/>
      <c r="HN13" s="1">
        <f t="shared" si="41"/>
        <v>-118744.23812294459</v>
      </c>
      <c r="HO13" s="1">
        <f t="shared" si="12"/>
        <v>143999.49221234157</v>
      </c>
      <c r="HP13" s="1">
        <f t="shared" si="42"/>
        <v>25255.254089396985</v>
      </c>
      <c r="HQ13" s="1">
        <f>IF(HP13 &lt; 0,
    IF(HQ12 + HP13 &gt; 0,
        HQ12 + HP13, IF(HV12-ABS(HQ12 + HP13)*(1+$V13) &gt;= HQ12 + HP13,
        0, HQ12 + HP13)),
    MIN(HQ12 + HP13, Analysis!$C$7))+IF(HQ12&lt;0, HQ12*Analysis!$C$9,0)</f>
        <v>24000</v>
      </c>
      <c r="HR13" s="38"/>
      <c r="HS13" s="1">
        <f t="shared" si="57"/>
        <v>8739.3319233719139</v>
      </c>
      <c r="HT13" s="1">
        <f>IF($B13=Analysis!$C$159,0,IF(HP13 &gt;= 0,
    MAX(0, HQ12 + HP13 - Analysis!$C$7),
    0))</f>
        <v>25255.254089396985</v>
      </c>
      <c r="HU13" s="1">
        <f>IF($B13=Analysis!$C$159,0,MAX(0, HU12 + HT13 - IF(HP13 &lt; 0, MIN(ABS(HP13), HU12 + HT13), 0)))</f>
        <v>150086.33745091819</v>
      </c>
      <c r="HV13" s="1">
        <f>IF($B13=Analysis!$C$159,0,IF(HP13 &lt; 0,
    IF(HP13 + HQ12 &lt; 0,
        MAX(0, HV12 - (ABS(HP13 + HQ12) * (1+$V12))),
        HV12 + HS13),
    HV12 + HT13 + HS13))</f>
        <v>180691.10174738252</v>
      </c>
      <c r="HW13" s="1">
        <f t="shared" ref="HW13:HW16" si="59">IF(HV13-HU13&gt;0, HV13-$V13*(HV13-HU13),HV13)</f>
        <v>172619.09516419005</v>
      </c>
      <c r="HX13" s="36"/>
    </row>
    <row r="14" spans="1:232" x14ac:dyDescent="0.35">
      <c r="A14">
        <f t="shared" si="0"/>
        <v>47</v>
      </c>
      <c r="B14">
        <v>2037</v>
      </c>
      <c r="C14" s="1">
        <f>IF($B14&lt;Analysis!C$66,0,$AN14)+$AT14+$AW14+$BC14+$CF14+$CA14</f>
        <v>151911.94021123304</v>
      </c>
      <c r="D14" s="1">
        <f>IF($B14&lt;Analysis!C$66, 0, BV14)+AT14+AW14+BC14+CG14+CA14</f>
        <v>27337.540472031425</v>
      </c>
      <c r="E14" s="1">
        <f t="shared" si="13"/>
        <v>532103.4119152088</v>
      </c>
      <c r="F14" s="1">
        <f t="shared" si="14"/>
        <v>490542.31389360322</v>
      </c>
      <c r="G14" s="1">
        <f>IF(AND($B14&gt;=Analysis!$C$100, $B14&lt;Analysis!$C$101),$CK14,0)+IF($B14&gt;=Analysis!$C$130,EB14,0)+CQ14+CU14+CZ14+EH14+EK14+EQ14+$FO14+$FT14</f>
        <v>479894.19896052417</v>
      </c>
      <c r="H14" s="1">
        <f t="shared" si="2"/>
        <v>394139.56248531991</v>
      </c>
      <c r="I14" s="1">
        <f>IF($B14&lt;Analysis!$C$159,0,$FW14)+$GC14+$GF14+$GL14+$HQ14+$HV14</f>
        <v>479894.19896052417</v>
      </c>
      <c r="J14" s="1">
        <f t="shared" si="3"/>
        <v>394139.56248531991</v>
      </c>
      <c r="K14" s="36"/>
      <c r="L14" s="1">
        <f t="shared" si="15"/>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4"/>
        <v>0</v>
      </c>
      <c r="R14" s="1">
        <f>IF(AND(AND(B14=Analysis!C$35,Analysis!C$34&lt;&gt;0),AND(B14=Analysis!C$37,Analysis!C$36&lt;&gt;0)),Analysis!C$34+Analysis!C$36,IF(AND(B14=Analysis!C$35,Analysis!C$34&lt;&gt;0),Analysis!C$34,IF(AND(B14=Analysis!C$37,Analysis!C$36&lt;&gt;0),Analysis!C$36,0)))</f>
        <v>0</v>
      </c>
      <c r="S14" s="64">
        <f t="shared" si="16"/>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7"/>
        <v>0.26374999999999998</v>
      </c>
      <c r="W14" s="36"/>
      <c r="X14" s="1">
        <f t="shared" si="45"/>
        <v>-22429.764045114574</v>
      </c>
      <c r="Y14" s="64">
        <f t="shared" si="18"/>
        <v>2.941176470588247E-2</v>
      </c>
      <c r="Z14" s="1">
        <f t="shared" si="19"/>
        <v>-3960</v>
      </c>
      <c r="AA14" s="64">
        <f t="shared" si="20"/>
        <v>0</v>
      </c>
      <c r="AB14" s="40"/>
      <c r="AC14" s="1">
        <f t="shared" si="4"/>
        <v>-88539.764045114571</v>
      </c>
      <c r="AD14" s="1">
        <f t="shared" si="5"/>
        <v>120723.1566012604</v>
      </c>
      <c r="AE14" s="1">
        <f t="shared" si="21"/>
        <v>32183.392556145831</v>
      </c>
      <c r="AF14" s="1">
        <f>IF(AE14 &lt; 0,
    IF(AF13 + AE14 &gt; 0,
        AF13 + AE14, IF(AK13-ABS(AF13 + AE14)*(1+$V14) &gt;= AF13 + AE14,
        0, AF13 + AE14)),
    MIN(AF13 + AE14, Analysis!$C$7))+IF(AF13&lt;0, AF13*Analysis!$C$9,0)</f>
        <v>24000</v>
      </c>
      <c r="AG14" s="40"/>
      <c r="AH14" s="1">
        <f t="shared" si="22"/>
        <v>26030.577880083558</v>
      </c>
      <c r="AI14" s="1">
        <f>IF(AE14 &gt;= 0,
    MAX(0, AF13 + AE14 - Analysis!$C$7),
    0)</f>
        <v>32183.392556145831</v>
      </c>
      <c r="AJ14" s="1">
        <f t="shared" si="46"/>
        <v>350525.78908447683</v>
      </c>
      <c r="AK14" s="1">
        <f t="shared" si="23"/>
        <v>508103.4119152088</v>
      </c>
      <c r="AL14" s="1">
        <f t="shared" si="6"/>
        <v>466542.31389360322</v>
      </c>
      <c r="AM14" s="36"/>
      <c r="AN14" s="1">
        <f t="shared" si="47"/>
        <v>977054.11560158199</v>
      </c>
      <c r="AO14" s="64">
        <f t="shared" si="24"/>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-21460.015148233451</v>
      </c>
      <c r="AT14" s="1">
        <f>IF($B14&lt;Analysis!$C$66,0,IF($B14=Analysis!$C$66,-AP14-AS14,MIN(0,AT13-AS14)))</f>
        <v>-467417.4403049167</v>
      </c>
      <c r="AU14" s="64">
        <f>IF($B14&lt;Analysis!$C$66,0,IF($B14=Analysis!$C$66,Analysis!$C$72,IF(($B14-Analysis!$C$66)&lt;LOOKUP(Analysis!$C$66,$B:$B,AQ:AQ),AU13,0)))</f>
        <v>3.6999999999999998E-2</v>
      </c>
      <c r="AV14" s="1">
        <f>IF($B14&lt;Analysis!$C$66,0,IF($B14=Analysis!$C$66,-AU14*AP14,AU13*AT13))</f>
        <v>-18088.465851766556</v>
      </c>
      <c r="AW14" s="1">
        <f>IF($B14&lt;Analysis!$C$66,0,IF($B14=Analysis!$C$66,PMT(AU14,AQ14,AP14)*AQ14-AX14-AT14,IF(($B14-Analysis!$C$66+1)&lt;LOOKUP(Analysis!$C$66,$B:$B,AQ:AQ),IF(AW13-AV14&lt;0, AW13-AV14,0),0)))</f>
        <v>-158492.93223436803</v>
      </c>
      <c r="AX14" s="1">
        <f>IF($B14&lt;Analysis!$C$66,0,IF($B14=Analysis!$C$66,AS14+AV14,IF(AT13&lt;0,IF(AT13&gt;LOOKUP(Analysis!$C$66,$B:$B,AX:AX), AT13*(1+AU13),AX13),0)))</f>
        <v>-39548.481000000007</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-2931.162346804746</v>
      </c>
      <c r="BF14" s="64">
        <f>IF($B14&lt;Analysis!$C$66,0,Analysis!$C$78)</f>
        <v>3.0000000000000001E-3</v>
      </c>
      <c r="BG14" s="1">
        <f>IF($B14&lt;Analysis!$C$66,0,-BH14*AN14)</f>
        <v>-7327.9058670118648</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5"/>
        <v>-124574.3997392017</v>
      </c>
      <c r="BS14" s="64">
        <f>IF($B14&lt;Analysis!C$66,0,Analysis!C$31)</f>
        <v>0.1275</v>
      </c>
      <c r="BT14" s="1">
        <f>IF($B14&lt;Analysis!$C$66,0,AN14+BR14)</f>
        <v>852479.71586238034</v>
      </c>
      <c r="BU14" s="1">
        <f>IF($B14-Analysis!$C$66&gt;3,0,IF($AN14&gt;LOOKUP(Analysis!$C$66,$B:$B, AN:AN),$V14*(LOOKUP(Analysis!$C$66,$B:$B, AN:AN)-AN14),0))</f>
        <v>0</v>
      </c>
      <c r="BV14" s="1">
        <f t="shared" si="26"/>
        <v>852479.71586238034</v>
      </c>
      <c r="BW14" s="42"/>
      <c r="BX14" s="1">
        <f>IF($B14&lt;Analysis!$C$66,$P14+$N14+$X14+$Z14,$P14+$N14+AS14+AV14+BB14+BE14+BG14+MAX(BI14,SUM(BJ14:BN14))+BP14)</f>
        <v>-115917.54921381662</v>
      </c>
      <c r="BY14" s="1">
        <f t="shared" si="27"/>
        <v>120723.1566012604</v>
      </c>
      <c r="BZ14" s="1">
        <f t="shared" si="48"/>
        <v>4805.6073874437861</v>
      </c>
      <c r="CA14" s="1">
        <f>IF(BZ14 &lt; 0,
    IF(CA13 + BZ14 &gt; 0,
        CA13 + BZ14, IF(CF13-ABS(CA13 + BZ14)*(1+$V14) &gt;= CA13 + BZ14,
        0, CA13 + BZ14)),
    MIN(CA13 + BZ14, Analysis!$C$7))+IF(CA13&lt;0, CA13*Analysis!$C$9,0)</f>
        <v>-199231.80285106419</v>
      </c>
      <c r="CB14" s="42"/>
      <c r="CC14" s="1">
        <f t="shared" si="49"/>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8"/>
        <v>0</v>
      </c>
      <c r="CH14" s="36"/>
      <c r="CI14" s="1">
        <f>IF(OR($B14&lt;Analysis!$C$100, $B14&gt;=Analysis!$C$130),0,X14)</f>
        <v>-22429.764045114574</v>
      </c>
      <c r="CJ14" s="1">
        <f>IF(OR($B14&lt;Analysis!$C$100, $B14&gt;=Analysis!$C$130),0,Z14)</f>
        <v>-3960</v>
      </c>
      <c r="CK14" s="1">
        <f t="shared" si="50"/>
        <v>587648.48981834261</v>
      </c>
      <c r="CL14" s="64">
        <f t="shared" si="51"/>
        <v>2.941176470588247E-2</v>
      </c>
      <c r="CM14" s="1">
        <f>IF($B14=Analysis!$C$100,(CK14*(1+Analysis!$C$23+Analysis!$C$24+Analysis!$C$25))-IF($B14=$B$2,(Analysis!$C$6-Analysis!$C$7+Analysis!$C$105), (FU13-Analysis!$C$7+CV14)),0)</f>
        <v>0</v>
      </c>
      <c r="CN14" s="64">
        <f>IF($B14=Analysis!$C$100,Analysis!$C$103,0)</f>
        <v>0</v>
      </c>
      <c r="CO14" s="64">
        <f>IF(OR($B14&lt;Analysis!$C$100, $B14&gt;=Analysis!$C$101),0,IF($B14=Analysis!$C$100,Analysis!$C$102,IF(($B14-Analysis!$C$100)&lt;LOOKUP(Analysis!$C$100,$B:$B,CT:CT),CO13,0)))</f>
        <v>3.6999999999999998E-2</v>
      </c>
      <c r="CP14" s="1">
        <f>IF(OR($B14&lt;Analysis!$C$100, $B14&gt;=Analysis!$C$101),0,IF($B14=Analysis!$C$100,-CM14*CN14,IF(CS14&gt;=0,0,CS14-CR14)))</f>
        <v>-11970.255800172588</v>
      </c>
      <c r="CQ14" s="1">
        <f>IF(OR($B14&lt;Analysis!$C$100, $B14&gt;=Analysis!$C$101),0,IF($B14=Analysis!$C$100,-CM14-CP14,MIN(0,CQ13-CP14)))</f>
        <v>-260722.3847357035</v>
      </c>
      <c r="CR14" s="1">
        <f>IF(OR($B14&lt;Analysis!$C$100, $B14&gt;=Analysis!$C$101),0,IF($B14=Analysis!$C$100,-CO14*CM14,CO13*CQ13))</f>
        <v>-10089.627699827415</v>
      </c>
      <c r="CS14" s="1">
        <f>IF(OR($B14&lt;Analysis!$C$100, $B14&gt;=Analysis!$C$101),0,IF($B14=Analysis!$C$100,CP14+CR14,IF(CQ13&lt;0,IF(CQ13&gt;LOOKUP(Analysis!$C$100,$B:$B,CS:CS), CQ13*(1+CO13),CS13),0)))</f>
        <v>-22059.883500000004</v>
      </c>
      <c r="CT14" s="65">
        <f>IF($B14=Analysis!$C$100,NPER(CO14,-CS14,-CM14),0)</f>
        <v>0</v>
      </c>
      <c r="CU14" s="1">
        <f>IF(OR($B14&lt;Analysis!$C$100, $B14&gt;=Analysis!$C$101),0,IF($B14=Analysis!$C$100,PMT(CO14,CT14,CM14)*CT14-CS14-CQ14,IF(($B14-Analysis!$C$100+1)&lt;LOOKUP(Analysis!$C$100,$B:$B,CT:CT),IF(CU13-CR14&lt;0, CU13-CR14,0),0)))</f>
        <v>-88406.318833422542</v>
      </c>
      <c r="CV14" s="1">
        <f>IF($B14=Analysis!$C$100,Analysis!$C$105,0)</f>
        <v>0</v>
      </c>
      <c r="CW14" s="1">
        <f>IF($B14=Analysis!$C$100,PMT(CO14,CX14,CV14)*CX14,0)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29"/>
        <v>25348.989008930286</v>
      </c>
      <c r="DE14" s="1">
        <f t="shared" si="8"/>
        <v>-1762.9454694550279</v>
      </c>
      <c r="DF14" s="64">
        <f>IF(OR($B14&lt;Analysis!$C$100, $B14&gt;=Analysis!$C$101),0,Analysis!$C$118)</f>
        <v>3.0000000000000001E-3</v>
      </c>
      <c r="DG14" s="1">
        <f t="shared" si="9"/>
        <v>-4407.3636736375693</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-1471.9532654606442</v>
      </c>
      <c r="DR14" s="1">
        <f t="shared" si="30"/>
        <v>-19902.262408553241</v>
      </c>
      <c r="DS14" s="1">
        <f>MIN(0,-(DB14+DR14)*Analysis!$C$28)-CR14*Analysis!$C$28</f>
        <v>4470.7140337935271</v>
      </c>
      <c r="DT14" s="1">
        <f>-Analysis!$C$116*DD14/12</f>
        <v>-2112.4157507441905</v>
      </c>
      <c r="DU14" s="53"/>
      <c r="DV14" s="1">
        <f t="shared" si="10"/>
        <v>-74925.182451838686</v>
      </c>
      <c r="DW14" s="64">
        <f>IF(OR($B14&lt;Analysis!$C$100, $B14&gt;=Analysis!$C$101),0,IF($B14=Analysis!$C$100,Analysis!$C$31,DW13))</f>
        <v>0.1275</v>
      </c>
      <c r="DX14" s="1">
        <f>IF(OR($B14&lt;Analysis!$C$100, $B14&gt;=Analysis!$C$101),0,CK14+DV14)</f>
        <v>512723.30736650393</v>
      </c>
      <c r="DY14" s="1">
        <f>IF(OR($B14&lt;Analysis!$C$100, $B14&gt;=Analysis!$C$101),0,IF($B14-Analysis!$C$100&gt;3,0,IF(CK14&gt;LOOKUP(Analysis!$C$100,$B:$B, CK:CK),$V14*(LOOKUP(Analysis!$C$100,$B:$B, CK:CK)-CK14),0)))</f>
        <v>0</v>
      </c>
      <c r="DZ14" s="1">
        <f t="shared" si="52"/>
        <v>512723.30736650393</v>
      </c>
      <c r="EA14" s="53"/>
      <c r="EB14" s="1">
        <f t="shared" si="31"/>
        <v>977054.11560158199</v>
      </c>
      <c r="EC14" s="64">
        <f t="shared" si="53"/>
        <v>2.941176470588247E-2</v>
      </c>
      <c r="ED14" s="1">
        <f>MAX(0,IF($B14=Analysis!$C$130,(EB14*(1+Analysis!$C$23+Analysis!$C$24+Analysis!$C$25))-(IF($B14=$B$2,(Analysis!$C$6-Analysis!$C$7+Analysis!$C$132), (FU13-Analysis!$C$7+EM14)) + IF($B14=Analysis!$C$101,DZ13+CQ13+CU13+CZ13,0)),0))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$P14+$N14+IF($B14&lt;Analysis!$C$130,$CI14+$CJ14,0)+CP14+CR14+CY14+DE14+DG14+MIN(DI14,SUM(DJ14:DN14))+DQ14+DS14+DT14+EG14+EJ14+EP14+ES14+EU14+MIN(EW14,SUM(EX14:FB14))+FD14</f>
        <v>-119843.61167061845</v>
      </c>
      <c r="FM14" s="1">
        <f>$M14+$R14+DD14+IF(AND($B14&lt;&gt;Analysis!$C$130,$B14=Analysis!$C$101),DZ13+CQ13+CU13+CZ13,0)</f>
        <v>146072.1456101907</v>
      </c>
      <c r="FN14" s="1">
        <f t="shared" si="34"/>
        <v>26228.53393957224</v>
      </c>
      <c r="FO14" s="1">
        <f>IF(FN14 &lt; 0,
    IF(FO13 + FN14 &gt; 0,
        FO13 + FN14, IF(FT13-ABS(FO13 + FN14)*(1+$V14) &gt;= FO13 + FN14,
        0, FO13 + FN14)),
    MIN(FO13 + FN14, Analysis!$C$7))+IF(FO13&lt;0, FO13*Analysis!$C$9,0)</f>
        <v>24000</v>
      </c>
      <c r="FP14" s="53"/>
      <c r="FQ14" s="1">
        <f t="shared" si="54"/>
        <v>10454.77702435279</v>
      </c>
      <c r="FR14" s="1">
        <f>IF(OR($B14=Analysis!$C$100, $B14=Analysis!$C$130),0,IF(FN14 &gt;= 0,
    MAX(0, FO13 + FN14 - Analysis!$C$7),
    0))</f>
        <v>26228.53393957224</v>
      </c>
      <c r="FS14" s="1">
        <f>IF(OR($B14=Analysis!$C$100, $B14=Analysis!$C$130),0,MAX(0, FS13 + FR14 - IF(FN14 &lt; 0, MIN(ABS(FN14), FS13 + FR14), 0)))</f>
        <v>176314.87139049044</v>
      </c>
      <c r="FT14" s="1">
        <f>IF(OR($B14=Analysis!$C$100, $B14=Analysis!$C$130),0,IF(FN14 &lt; 0,
    IF(FN14 + FO13 &lt; 0,
        MAX(0, FT13 - (ABS(FN14 + FO13) * (1+$V13))),
        FT13 + FQ14),
    FT13 + FR14 + FQ14))</f>
        <v>217374.41271130755</v>
      </c>
      <c r="FU14" s="1">
        <f t="shared" si="58"/>
        <v>206544.95868794204</v>
      </c>
      <c r="FV14" s="36"/>
      <c r="FW14" s="1">
        <f t="shared" si="55"/>
        <v>587648.48981834261</v>
      </c>
      <c r="FX14" s="64">
        <f t="shared" si="56"/>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-11970.255800172588</v>
      </c>
      <c r="GC14" s="1">
        <f>IF($B14&lt;Analysis!$C$159,0,IF($B14=Analysis!$C$159,-FY14-GB14,MIN(0,GC13-GB14)))</f>
        <v>-260722.3847357035</v>
      </c>
      <c r="GD14" s="64">
        <f>IF($B14&lt;Analysis!$C$159,0,IF($B14=Analysis!$C$159,Analysis!$C$160,IF(($B14-Analysis!$C$159)&lt;LOOKUP(Analysis!$C$159,$B:$B,FZ:FZ),GD13,0)))</f>
        <v>3.6999999999999998E-2</v>
      </c>
      <c r="GE14" s="1">
        <f>IF($B14&lt;Analysis!$C$159,0,IF($B14=Analysis!$C$159,-GD14*FY14,GD13*GC13))</f>
        <v>-10089.627699827415</v>
      </c>
      <c r="GF14" s="1">
        <f>IF($B14&lt;Analysis!$C$159,0,IF($B14=Analysis!$C$159,PMT(GD14,FZ14,FY14)*FZ14-GG14-GC14,IF(($B14-Analysis!$C$159+1)&lt;LOOKUP(Analysis!$C$159,$B:$B,FZ:FZ),IF(GF13-GE14&lt;0, GF13-GE14,0),0)))</f>
        <v>-88406.318833422542</v>
      </c>
      <c r="GG14" s="1">
        <f>IF($B14&lt;Analysis!$C$159,0,IF($B14=Analysis!$C$159,GB14+GE14,IF(GC13&lt;0,IF(GC13&gt;LOOKUP(Analysis!$C$159,$B:$B,GG:GG), GC13*(1+GD13),GG13),0)))</f>
        <v>-22059.883500000004</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36"/>
        <v>25348.989008930286</v>
      </c>
      <c r="GQ14" s="1">
        <f t="shared" si="37"/>
        <v>-1762.9454694550279</v>
      </c>
      <c r="GR14" s="64">
        <f>IF($B14&lt;Analysis!$C$159,0,Analysis!$C$178)</f>
        <v>3.0000000000000001E-3</v>
      </c>
      <c r="GS14" s="1">
        <f t="shared" si="38"/>
        <v>-4407.3636736375693</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-1471.9532654606442</v>
      </c>
      <c r="HD14" s="1">
        <f t="shared" si="39"/>
        <v>-19902.262408553241</v>
      </c>
      <c r="HE14" s="1">
        <f>MIN(0,-(GN14+HD14)*Analysis!$C$28)-GE14*Analysis!$C$28</f>
        <v>4470.7140337935271</v>
      </c>
      <c r="HF14" s="1">
        <f>-Analysis!$C$176*GP14/12</f>
        <v>-2112.4157507441905</v>
      </c>
      <c r="HG14" s="38"/>
      <c r="HH14" s="1">
        <f>IF($B14&lt;Analysis!$C$159,0,-$HI14*$FW14)</f>
        <v>-74925.182451838686</v>
      </c>
      <c r="HI14" s="64">
        <f>IF($B14&lt;Analysis!$C$159,0,IF($B14=Analysis!$C$159,Analysis!$C$31,HI13))</f>
        <v>0.1275</v>
      </c>
      <c r="HJ14" s="1">
        <f>IF($B14&lt;Analysis!$C$159,0,$FW14+HH14)</f>
        <v>512723.30736650393</v>
      </c>
      <c r="HK14" s="1">
        <f>IF($B14-Analysis!$C$159&gt;10,0,IF($FW14&gt;LOOKUP(Analysis!$C$159,$B:$B, FW:FW),$V14*(LOOKUP(Analysis!$C$159,$B:$B, FW:FW)-FW14),0))</f>
        <v>0</v>
      </c>
      <c r="HL14" s="1">
        <f t="shared" si="40"/>
        <v>512723.30736650393</v>
      </c>
      <c r="HM14" s="38"/>
      <c r="HN14" s="1">
        <f t="shared" si="41"/>
        <v>-119843.61167061845</v>
      </c>
      <c r="HO14" s="1">
        <f t="shared" si="12"/>
        <v>146072.1456101907</v>
      </c>
      <c r="HP14" s="1">
        <f t="shared" si="42"/>
        <v>26228.53393957224</v>
      </c>
      <c r="HQ14" s="1">
        <f>IF(HP14 &lt; 0,
    IF(HQ13 + HP14 &gt; 0,
        HQ13 + HP14, IF(HV13-ABS(HQ13 + HP14)*(1+$V14) &gt;= HQ13 + HP14,
        0, HQ13 + HP14)),
    MIN(HQ13 + HP14, Analysis!$C$7))+IF(HQ13&lt;0, HQ13*Analysis!$C$9,0)</f>
        <v>24000</v>
      </c>
      <c r="HR14" s="38"/>
      <c r="HS14" s="1">
        <f t="shared" si="57"/>
        <v>10454.77702435279</v>
      </c>
      <c r="HT14" s="1">
        <f>IF($B14=Analysis!$C$159,0,IF(HP14 &gt;= 0,
    MAX(0, HQ13 + HP14 - Analysis!$C$7),
    0))</f>
        <v>26228.53393957224</v>
      </c>
      <c r="HU14" s="1">
        <f>IF($B14=Analysis!$C$159,0,MAX(0, HU13 + HT14 - IF(HP14 &lt; 0, MIN(ABS(HP14), HU13 + HT14), 0)))</f>
        <v>176314.87139049044</v>
      </c>
      <c r="HV14" s="1">
        <f>IF($B14=Analysis!$C$159,0,IF(HP14 &lt; 0,
    IF(HP14 + HQ13 &lt; 0,
        MAX(0, HV13 - (ABS(HP14 + HQ13) * (1+$V13))),
        HV13 + HS14),
    HV13 + HT14 + HS14))</f>
        <v>217374.41271130755</v>
      </c>
      <c r="HW14" s="1">
        <f t="shared" si="59"/>
        <v>206544.95868794204</v>
      </c>
      <c r="HX14" s="36"/>
    </row>
    <row r="15" spans="1:232" x14ac:dyDescent="0.35">
      <c r="A15">
        <f t="shared" si="0"/>
        <v>48</v>
      </c>
      <c r="B15">
        <v>2038</v>
      </c>
      <c r="C15" s="1">
        <f>IF($B15&lt;Analysis!C$66,0,$AN15)+$AT15+$AW15+$BC15+$CF15+$CA15</f>
        <v>206492.083271718</v>
      </c>
      <c r="D15" s="1">
        <f>IF($B15&lt;Analysis!C$66, 0, BV15)+AT15+AW15+BC15+CG15+CA15</f>
        <v>78253.730599010363</v>
      </c>
      <c r="E15" s="1">
        <f t="shared" si="13"/>
        <v>589884.3565052069</v>
      </c>
      <c r="F15" s="1">
        <f t="shared" si="14"/>
        <v>540799.05109439127</v>
      </c>
      <c r="G15" s="1">
        <f>IF(AND($B15&gt;=Analysis!$C$100, $B15&lt;Analysis!$C$101),$CK15,0)+IF($B15&gt;=Analysis!$C$130,EB15,0)+CQ15+CU15+CZ15+EH15+EK15+EQ15+$FO15+$FT15</f>
        <v>554862.63496814866</v>
      </c>
      <c r="H15" s="1">
        <f t="shared" si="2"/>
        <v>463685.34562780173</v>
      </c>
      <c r="I15" s="1">
        <f>IF($B15&lt;Analysis!$C$159,0,$FW15)+$GC15+$GF15+$GL15+$HQ15+$HV15</f>
        <v>554862.63496814866</v>
      </c>
      <c r="J15" s="1">
        <f t="shared" si="3"/>
        <v>463685.34562780173</v>
      </c>
      <c r="K15" s="36"/>
      <c r="L15" s="1">
        <f t="shared" si="15"/>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4"/>
        <v>0</v>
      </c>
      <c r="R15" s="1">
        <f>IF(AND(AND(B15=Analysis!C$35,Analysis!C$34&lt;&gt;0),AND(B15=Analysis!C$37,Analysis!C$36&lt;&gt;0)),Analysis!C$34+Analysis!C$36,IF(AND(B15=Analysis!C$35,Analysis!C$34&lt;&gt;0),Analysis!C$34,IF(AND(B15=Analysis!C$37,Analysis!C$36&lt;&gt;0),Analysis!C$36,0)))</f>
        <v>0</v>
      </c>
      <c r="S15" s="64">
        <f t="shared" si="16"/>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7"/>
        <v>0.26374999999999998</v>
      </c>
      <c r="W15" s="36"/>
      <c r="X15" s="1">
        <f t="shared" si="45"/>
        <v>-23089.462987617946</v>
      </c>
      <c r="Y15" s="64">
        <f t="shared" si="18"/>
        <v>2.941176470588247E-2</v>
      </c>
      <c r="Z15" s="1">
        <f t="shared" si="19"/>
        <v>-3960</v>
      </c>
      <c r="AA15" s="64">
        <f t="shared" si="20"/>
        <v>0</v>
      </c>
      <c r="AB15" s="40"/>
      <c r="AC15" s="1">
        <f t="shared" si="4"/>
        <v>-92949.462987617939</v>
      </c>
      <c r="AD15" s="1">
        <f t="shared" si="5"/>
        <v>122202.60704980526</v>
      </c>
      <c r="AE15" s="1">
        <f t="shared" si="21"/>
        <v>29253.144062187319</v>
      </c>
      <c r="AF15" s="1">
        <f>IF(AE15 &lt; 0,
    IF(AF14 + AE15 &gt; 0,
        AF14 + AE15, IF(AK14-ABS(AF14 + AE15)*(1+$V15) &gt;= AF14 + AE15,
        0, AF14 + AE15)),
    MIN(AF14 + AE15, Analysis!$C$7))+IF(AF14&lt;0, AF14*Analysis!$C$9,0)</f>
        <v>24000</v>
      </c>
      <c r="AG15" s="40"/>
      <c r="AH15" s="1">
        <f t="shared" si="22"/>
        <v>28527.800527810869</v>
      </c>
      <c r="AI15" s="1">
        <f>IF(AE15 &gt;= 0,
    MAX(0, AF14 + AE15 - Analysis!$C$7),
    0)</f>
        <v>29253.144062187319</v>
      </c>
      <c r="AJ15" s="1">
        <f t="shared" si="46"/>
        <v>379778.93314666417</v>
      </c>
      <c r="AK15" s="1">
        <f t="shared" si="23"/>
        <v>565884.3565052069</v>
      </c>
      <c r="AL15" s="1">
        <f t="shared" si="6"/>
        <v>516799.05109439127</v>
      </c>
      <c r="AM15" s="36"/>
      <c r="AN15" s="1">
        <f t="shared" si="47"/>
        <v>1005791.0013545698</v>
      </c>
      <c r="AO15" s="64">
        <f t="shared" si="24"/>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-22254.035708718089</v>
      </c>
      <c r="AT15" s="1">
        <f>IF($B15&lt;Analysis!$C$66,0,IF($B15=Analysis!$C$66,-AP15-AS15,MIN(0,AT14-AS15)))</f>
        <v>-445163.40459619858</v>
      </c>
      <c r="AU15" s="64">
        <f>IF($B15&lt;Analysis!$C$66,0,IF($B15=Analysis!$C$66,Analysis!$C$72,IF(($B15-Analysis!$C$66)&lt;LOOKUP(Analysis!$C$66,$B:$B,AQ:AQ),AU14,0)))</f>
        <v>3.6999999999999998E-2</v>
      </c>
      <c r="AV15" s="1">
        <f>IF($B15&lt;Analysis!$C$66,0,IF($B15=Analysis!$C$66,-AU15*AP15,AU14*AT14))</f>
        <v>-17294.445291281918</v>
      </c>
      <c r="AW15" s="1">
        <f>IF($B15&lt;Analysis!$C$66,0,IF($B15=Analysis!$C$66,PMT(AU15,AQ15,AP15)*AQ15-AX15-AT15,IF(($B15-Analysis!$C$66+1)&lt;LOOKUP(Analysis!$C$66,$B:$B,AQ:AQ),IF(AW14-AV15&lt;0, AW14-AV15,0),0)))</f>
        <v>-141198.48694308611</v>
      </c>
      <c r="AX15" s="1">
        <f>IF($B15&lt;Analysis!$C$66,0,IF($B15=Analysis!$C$66,AS15+AV15,IF(AT14&lt;0,IF(AT14&gt;LOOKUP(Analysis!$C$66,$B:$B,AX:AX), AT14*(1+AU14),AX14),0)))</f>
        <v>-39548.481000000007</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-3017.3730040637097</v>
      </c>
      <c r="BF15" s="64">
        <f>IF($B15&lt;Analysis!$C$66,0,Analysis!$C$78)</f>
        <v>3.0000000000000001E-3</v>
      </c>
      <c r="BG15" s="1">
        <f>IF($B15&lt;Analysis!$C$66,0,-BH15*AN15)</f>
        <v>-7543.4325101592731</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5"/>
        <v>-128238.35267270765</v>
      </c>
      <c r="BS15" s="64">
        <f>IF($B15&lt;Analysis!C$66,0,Analysis!C$31)</f>
        <v>0.1275</v>
      </c>
      <c r="BT15" s="1">
        <f>IF($B15&lt;Analysis!$C$66,0,AN15+BR15)</f>
        <v>877552.64868186216</v>
      </c>
      <c r="BU15" s="1">
        <f>IF($B15-Analysis!$C$66&gt;3,0,IF($AN15&gt;LOOKUP(Analysis!$C$66,$B:$B, AN:AN),$V15*(LOOKUP(Analysis!$C$66,$B:$B, AN:AN)-AN15),0))</f>
        <v>0</v>
      </c>
      <c r="BV15" s="1">
        <f t="shared" si="26"/>
        <v>877552.64868186216</v>
      </c>
      <c r="BW15" s="42"/>
      <c r="BX15" s="1">
        <f>IF($B15&lt;Analysis!$C$66,$P15+$N15+$X15+$Z15,$P15+$N15+AS15+AV15+BB15+BE15+BG15+MAX(BI15,SUM(BJ15:BN15))+BP15)</f>
        <v>-119969.28651422299</v>
      </c>
      <c r="BY15" s="1">
        <f t="shared" si="27"/>
        <v>122202.60704980526</v>
      </c>
      <c r="BZ15" s="1">
        <f t="shared" si="48"/>
        <v>2233.320535582272</v>
      </c>
      <c r="CA15" s="1">
        <f>IF(BZ15 &lt; 0,
    IF(CA14 + BZ15 &gt; 0,
        CA14 + BZ15, IF(CF14-ABS(CA14 + BZ15)*(1+$V15) &gt;= CA14 + BZ15,
        0, CA14 + BZ15)),
    MIN(CA14 + BZ15, Analysis!$C$7))+IF(CA14&lt;0, CA14*Analysis!$C$9,0)</f>
        <v>-212937.02654356707</v>
      </c>
      <c r="CB15" s="42"/>
      <c r="CC15" s="1">
        <f t="shared" si="49"/>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8"/>
        <v>0</v>
      </c>
      <c r="CH15" s="36"/>
      <c r="CI15" s="1">
        <f>IF(OR($B15&lt;Analysis!$C$100, $B15&gt;=Analysis!$C$130),0,X15)</f>
        <v>-23089.462987617946</v>
      </c>
      <c r="CJ15" s="1">
        <f>IF(OR($B15&lt;Analysis!$C$100, $B15&gt;=Analysis!$C$130),0,Z15)</f>
        <v>-3960</v>
      </c>
      <c r="CK15" s="1">
        <f t="shared" si="50"/>
        <v>604932.26893064682</v>
      </c>
      <c r="CL15" s="64">
        <f t="shared" si="51"/>
        <v>2.941176470588247E-2</v>
      </c>
      <c r="CM15" s="1">
        <f>IF($B15=Analysis!$C$100,(CK15*(1+Analysis!$C$23+Analysis!$C$24+Analysis!$C$25))-IF($B15=$B$2,(Analysis!$C$6-Analysis!$C$7+Analysis!$C$105), (FU14-Analysis!$C$7+CV15)),0)</f>
        <v>0</v>
      </c>
      <c r="CN15" s="64">
        <f>IF($B15=Analysis!$C$100,Analysis!$C$103,0)</f>
        <v>0</v>
      </c>
      <c r="CO15" s="64">
        <f>IF(OR($B15&lt;Analysis!$C$100, $B15&gt;=Analysis!$C$101),0,IF($B15=Analysis!$C$100,Analysis!$C$102,IF(($B15-Analysis!$C$100)&lt;LOOKUP(Analysis!$C$100,$B:$B,CT:CT),CO14,0)))</f>
        <v>3.6999999999999998E-2</v>
      </c>
      <c r="CP15" s="1">
        <f>IF(OR($B15&lt;Analysis!$C$100, $B15&gt;=Analysis!$C$101),0,IF($B15=Analysis!$C$100,-CM15*CN15,IF(CS15&gt;=0,0,CS15-CR15)))</f>
        <v>-12413.155264778974</v>
      </c>
      <c r="CQ15" s="1">
        <f>IF(OR($B15&lt;Analysis!$C$100, $B15&gt;=Analysis!$C$101),0,IF($B15=Analysis!$C$100,-CM15-CP15,MIN(0,CQ14-CP15)))</f>
        <v>-248309.22947092453</v>
      </c>
      <c r="CR15" s="1">
        <f>IF(OR($B15&lt;Analysis!$C$100, $B15&gt;=Analysis!$C$101),0,IF($B15=Analysis!$C$100,-CO15*CM15,CO14*CQ14))</f>
        <v>-9646.7282352210295</v>
      </c>
      <c r="CS15" s="1">
        <f>IF(OR($B15&lt;Analysis!$C$100, $B15&gt;=Analysis!$C$101),0,IF($B15=Analysis!$C$100,CP15+CR15,IF(CQ14&lt;0,IF(CQ14&gt;LOOKUP(Analysis!$C$100,$B:$B,CS:CS), CQ14*(1+CO14),CS14),0)))</f>
        <v>-22059.883500000004</v>
      </c>
      <c r="CT15" s="65">
        <f>IF($B15=Analysis!$C$100,NPER(CO15,-CS15,-CM15),0)</f>
        <v>0</v>
      </c>
      <c r="CU15" s="1">
        <f>IF(OR($B15&lt;Analysis!$C$100, $B15&gt;=Analysis!$C$101),0,IF($B15=Analysis!$C$100,PMT(CO15,CT15,CM15)*CT15-CS15-CQ15,IF(($B15-Analysis!$C$100+1)&lt;LOOKUP(Analysis!$C$100,$B:$B,CT:CT),IF(CU14-CR15&lt;0, CU14-CR15,0),0)))</f>
        <v>-78759.59059820151</v>
      </c>
      <c r="CV15" s="1">
        <f>IF($B15=Analysis!$C$100,Analysis!$C$105,0)</f>
        <v>0</v>
      </c>
      <c r="CW15" s="1">
        <f>IF($B15=Analysis!$C$100,PMT(CO15,CX15,CV15)*CX15,0)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29"/>
        <v>25978.076920957647</v>
      </c>
      <c r="DE15" s="1">
        <f t="shared" si="8"/>
        <v>-1814.7968067919405</v>
      </c>
      <c r="DF15" s="64">
        <f>IF(OR($B15&lt;Analysis!$C$100, $B15&gt;=Analysis!$C$101),0,Analysis!$C$118)</f>
        <v>3.0000000000000001E-3</v>
      </c>
      <c r="DG15" s="1">
        <f t="shared" si="9"/>
        <v>-4536.9920169798506</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-1515.246008562428</v>
      </c>
      <c r="DR15" s="1">
        <f t="shared" si="30"/>
        <v>-20127.034832334219</v>
      </c>
      <c r="DS15" s="1">
        <f>MIN(0,-(DB15+DR15)*Analysis!$C$28)-CR15*Analysis!$C$28</f>
        <v>4240.6809966469054</v>
      </c>
      <c r="DT15" s="1">
        <f>-Analysis!$C$116*DD15/12</f>
        <v>-2164.8397434131371</v>
      </c>
      <c r="DU15" s="53"/>
      <c r="DV15" s="1">
        <f t="shared" si="10"/>
        <v>-77128.864288657467</v>
      </c>
      <c r="DW15" s="64">
        <f>IF(OR($B15&lt;Analysis!$C$100, $B15&gt;=Analysis!$C$101),0,IF($B15=Analysis!$C$100,Analysis!$C$31,DW14))</f>
        <v>0.1275</v>
      </c>
      <c r="DX15" s="1">
        <f>IF(OR($B15&lt;Analysis!$C$100, $B15&gt;=Analysis!$C$101),0,CK15+DV15)</f>
        <v>527803.40464198939</v>
      </c>
      <c r="DY15" s="1">
        <f>IF(OR($B15&lt;Analysis!$C$100, $B15&gt;=Analysis!$C$101),0,IF($B15-Analysis!$C$100&gt;3,0,IF(CK15&gt;LOOKUP(Analysis!$C$100,$B:$B, CK:CK),$V15*(LOOKUP(Analysis!$C$100,$B:$B, CK:CK)-CK15),0)))</f>
        <v>0</v>
      </c>
      <c r="DZ15" s="1">
        <f t="shared" si="52"/>
        <v>527803.40464198939</v>
      </c>
      <c r="EA15" s="53"/>
      <c r="EB15" s="1">
        <f t="shared" si="31"/>
        <v>1005791.0013545698</v>
      </c>
      <c r="EC15" s="64">
        <f t="shared" si="53"/>
        <v>2.941176470588247E-2</v>
      </c>
      <c r="ED15" s="1">
        <f>MAX(0,IF($B15=Analysis!$C$130,(EB15*(1+Analysis!$C$23+Analysis!$C$24+Analysis!$C$25))-(IF($B15=$B$2,(Analysis!$C$6-Analysis!$C$7+Analysis!$C$132), (FU14-Analysis!$C$7+EM15)) + IF($B15=Analysis!$C$101,DZ14+CQ14+CU14+CZ14,0)),0))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$P15+$N15+IF($B15&lt;Analysis!$C$130,$CI15+$CJ15,0)+CP15+CR15+CY15+DE15+DG15+MIN(DI15,SUM(DJ15:DN15))+DQ15+DS15+DT15+EG15+EJ15+EP15+ES15+EU15+MIN(EW15,SUM(EX15:FB15))+FD15</f>
        <v>-124760.54006671841</v>
      </c>
      <c r="FM15" s="1">
        <f>$M15+$R15+DD15+IF(AND($B15&lt;&gt;Analysis!$C$130,$B15=Analysis!$C$101),DZ14+CQ14+CU14+CZ14,0)</f>
        <v>148180.68397076291</v>
      </c>
      <c r="FN15" s="1">
        <f t="shared" si="34"/>
        <v>23420.143904044497</v>
      </c>
      <c r="FO15" s="1">
        <f>IF(FN15 &lt; 0,
    IF(FO14 + FN15 &gt; 0,
        FO14 + FN15, IF(FT14-ABS(FO14 + FN15)*(1+$V15) &gt;= FO14 + FN15,
        0, FO14 + FN15)),
    MIN(FO14 + FN15, Analysis!$C$7))+IF(FO14&lt;0, FO14*Analysis!$C$9,0)</f>
        <v>24000</v>
      </c>
      <c r="FP15" s="53"/>
      <c r="FQ15" s="1">
        <f t="shared" si="54"/>
        <v>12204.629491275809</v>
      </c>
      <c r="FR15" s="1">
        <f>IF(OR($B15=Analysis!$C$100, $B15=Analysis!$C$130),0,IF(FN15 &gt;= 0,
    MAX(0, FO14 + FN15 - Analysis!$C$7),
    0))</f>
        <v>23420.143904044497</v>
      </c>
      <c r="FS15" s="1">
        <f>IF(OR($B15=Analysis!$C$100, $B15=Analysis!$C$130),0,MAX(0, FS14 + FR15 - IF(FN15 &lt; 0, MIN(ABS(FN15), FS14 + FR15), 0)))</f>
        <v>199735.01529453494</v>
      </c>
      <c r="FT15" s="1">
        <f>IF(OR($B15=Analysis!$C$100, $B15=Analysis!$C$130),0,IF(FN15 &lt; 0,
    IF(FN15 + FO14 &lt; 0,
        MAX(0, FT14 - (ABS(FN15 + FO14) * (1+$V14))),
        FT14 + FQ15),
    FT14 + FR15 + FQ15))</f>
        <v>252999.18610662787</v>
      </c>
      <c r="FU15" s="1">
        <f t="shared" si="58"/>
        <v>238950.76105493837</v>
      </c>
      <c r="FV15" s="36"/>
      <c r="FW15" s="1">
        <f t="shared" si="55"/>
        <v>604932.26893064682</v>
      </c>
      <c r="FX15" s="64">
        <f t="shared" si="56"/>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-12413.155264778974</v>
      </c>
      <c r="GC15" s="1">
        <f>IF($B15&lt;Analysis!$C$159,0,IF($B15=Analysis!$C$159,-FY15-GB15,MIN(0,GC14-GB15)))</f>
        <v>-248309.22947092453</v>
      </c>
      <c r="GD15" s="64">
        <f>IF($B15&lt;Analysis!$C$159,0,IF($B15=Analysis!$C$159,Analysis!$C$160,IF(($B15-Analysis!$C$159)&lt;LOOKUP(Analysis!$C$159,$B:$B,FZ:FZ),GD14,0)))</f>
        <v>3.6999999999999998E-2</v>
      </c>
      <c r="GE15" s="1">
        <f>IF($B15&lt;Analysis!$C$159,0,IF($B15=Analysis!$C$159,-GD15*FY15,GD14*GC14))</f>
        <v>-9646.7282352210295</v>
      </c>
      <c r="GF15" s="1">
        <f>IF($B15&lt;Analysis!$C$159,0,IF($B15=Analysis!$C$159,PMT(GD15,FZ15,FY15)*FZ15-GG15-GC15,IF(($B15-Analysis!$C$159+1)&lt;LOOKUP(Analysis!$C$159,$B:$B,FZ:FZ),IF(GF14-GE15&lt;0, GF14-GE15,0),0)))</f>
        <v>-78759.59059820151</v>
      </c>
      <c r="GG15" s="1">
        <f>IF($B15&lt;Analysis!$C$159,0,IF($B15=Analysis!$C$159,GB15+GE15,IF(GC14&lt;0,IF(GC14&gt;LOOKUP(Analysis!$C$159,$B:$B,GG:GG), GC14*(1+GD14),GG14),0)))</f>
        <v>-22059.883500000004</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36"/>
        <v>25978.076920957647</v>
      </c>
      <c r="GQ15" s="1">
        <f t="shared" si="37"/>
        <v>-1814.7968067919405</v>
      </c>
      <c r="GR15" s="64">
        <f>IF($B15&lt;Analysis!$C$159,0,Analysis!$C$178)</f>
        <v>3.0000000000000001E-3</v>
      </c>
      <c r="GS15" s="1">
        <f t="shared" si="38"/>
        <v>-4536.9920169798506</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-1515.246008562428</v>
      </c>
      <c r="HD15" s="1">
        <f t="shared" si="39"/>
        <v>-20127.034832334219</v>
      </c>
      <c r="HE15" s="1">
        <f>MIN(0,-(GN15+HD15)*Analysis!$C$28)-GE15*Analysis!$C$28</f>
        <v>4240.6809966469054</v>
      </c>
      <c r="HF15" s="1">
        <f>-Analysis!$C$176*GP15/12</f>
        <v>-2164.8397434131371</v>
      </c>
      <c r="HG15" s="38"/>
      <c r="HH15" s="1">
        <f>IF($B15&lt;Analysis!$C$159,0,-$HI15*$FW15)</f>
        <v>-77128.864288657467</v>
      </c>
      <c r="HI15" s="64">
        <f>IF($B15&lt;Analysis!$C$159,0,IF($B15=Analysis!$C$159,Analysis!$C$31,HI14))</f>
        <v>0.1275</v>
      </c>
      <c r="HJ15" s="1">
        <f>IF($B15&lt;Analysis!$C$159,0,$FW15+HH15)</f>
        <v>527803.40464198939</v>
      </c>
      <c r="HK15" s="1">
        <f>IF($B15-Analysis!$C$159&gt;10,0,IF($FW15&gt;LOOKUP(Analysis!$C$159,$B:$B, FW:FW),$V15*(LOOKUP(Analysis!$C$159,$B:$B, FW:FW)-FW15),0))</f>
        <v>0</v>
      </c>
      <c r="HL15" s="1">
        <f t="shared" si="40"/>
        <v>527803.40464198939</v>
      </c>
      <c r="HM15" s="38"/>
      <c r="HN15" s="1">
        <f t="shared" si="41"/>
        <v>-124760.54006671841</v>
      </c>
      <c r="HO15" s="1">
        <f t="shared" si="12"/>
        <v>148180.68397076291</v>
      </c>
      <c r="HP15" s="1">
        <f t="shared" si="42"/>
        <v>23420.143904044497</v>
      </c>
      <c r="HQ15" s="1">
        <f>IF(HP15 &lt; 0,
    IF(HQ14 + HP15 &gt; 0,
        HQ14 + HP15, IF(HV14-ABS(HQ14 + HP15)*(1+$V15) &gt;= HQ14 + HP15,
        0, HQ14 + HP15)),
    MIN(HQ14 + HP15, Analysis!$C$7))+IF(HQ14&lt;0, HQ14*Analysis!$C$9,0)</f>
        <v>24000</v>
      </c>
      <c r="HR15" s="38"/>
      <c r="HS15" s="1">
        <f t="shared" si="57"/>
        <v>12204.629491275809</v>
      </c>
      <c r="HT15" s="1">
        <f>IF($B15=Analysis!$C$159,0,IF(HP15 &gt;= 0,
    MAX(0, HQ14 + HP15 - Analysis!$C$7),
    0))</f>
        <v>23420.143904044497</v>
      </c>
      <c r="HU15" s="1">
        <f>IF($B15=Analysis!$C$159,0,MAX(0, HU14 + HT15 - IF(HP15 &lt; 0, MIN(ABS(HP15), HU14 + HT15), 0)))</f>
        <v>199735.01529453494</v>
      </c>
      <c r="HV15" s="1">
        <f>IF($B15=Analysis!$C$159,0,IF(HP15 &lt; 0,
    IF(HP15 + HQ14 &lt; 0,
        MAX(0, HV14 - (ABS(HP15 + HQ14) * (1+$V14))),
        HV14 + HS15),
    HV14 + HT15 + HS15))</f>
        <v>252999.18610662787</v>
      </c>
      <c r="HW15" s="1">
        <f t="shared" si="59"/>
        <v>238950.76105493837</v>
      </c>
      <c r="HX15" s="36"/>
    </row>
    <row r="16" spans="1:232" x14ac:dyDescent="0.35">
      <c r="A16">
        <f t="shared" si="0"/>
        <v>49</v>
      </c>
      <c r="B16">
        <v>2039</v>
      </c>
      <c r="C16" s="1">
        <f>IF($B16&lt;Analysis!C$66,0,$AN16)+$AT16+$AW16+$BC16+$CF16+$CA16</f>
        <v>262007.98000080817</v>
      </c>
      <c r="D16" s="1">
        <f>IF($B16&lt;Analysis!C$66, 0, BV16)+AT16+AW16+BC16+CG16+CA16</f>
        <v>129997.91107302092</v>
      </c>
      <c r="E16" s="1">
        <f t="shared" si="13"/>
        <v>650757.84191216214</v>
      </c>
      <c r="F16" s="1">
        <f t="shared" si="14"/>
        <v>593548.54533855396</v>
      </c>
      <c r="G16" s="1">
        <f>IF(AND($B16&gt;=Analysis!$C$100, $B16&lt;Analysis!$C$101),$CK16,0)+IF($B16&gt;=Analysis!$C$130,EB16,0)+CQ16+CU16+CZ16+EH16+EK16+EQ16+$FO16+$FT16</f>
        <v>632722.32098506228</v>
      </c>
      <c r="H16" s="1">
        <f t="shared" si="2"/>
        <v>535644.40986972163</v>
      </c>
      <c r="I16" s="1">
        <f>IF($B16&lt;Analysis!$C$159,0,$FW16)+$GC16+$GF16+$GL16+$HQ16+$HV16</f>
        <v>632722.32098506228</v>
      </c>
      <c r="J16" s="1">
        <f t="shared" si="3"/>
        <v>535644.40986972163</v>
      </c>
      <c r="K16" s="36"/>
      <c r="L16" s="1">
        <f t="shared" si="15"/>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4"/>
        <v>0</v>
      </c>
      <c r="R16" s="1">
        <f>IF(AND(AND(B16=Analysis!C$35,Analysis!C$34&lt;&gt;0),AND(B16=Analysis!C$37,Analysis!C$36&lt;&gt;0)),Analysis!C$34+Analysis!C$36,IF(AND(B16=Analysis!C$35,Analysis!C$34&lt;&gt;0),Analysis!C$34,IF(AND(B16=Analysis!C$37,Analysis!C$36&lt;&gt;0),Analysis!C$36,0)))</f>
        <v>0</v>
      </c>
      <c r="S16" s="64">
        <f t="shared" si="16"/>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7"/>
        <v>0.26374999999999998</v>
      </c>
      <c r="W16" s="36"/>
      <c r="X16" s="1">
        <f t="shared" si="45"/>
        <v>-23768.564840194947</v>
      </c>
      <c r="Y16" s="64">
        <f t="shared" si="18"/>
        <v>2.941176470588247E-2</v>
      </c>
      <c r="Z16" s="1">
        <f t="shared" si="19"/>
        <v>-3960</v>
      </c>
      <c r="AA16" s="64">
        <f t="shared" si="20"/>
        <v>0</v>
      </c>
      <c r="AB16" s="40"/>
      <c r="AC16" s="1">
        <f t="shared" si="4"/>
        <v>-93628.564840194944</v>
      </c>
      <c r="AD16" s="1">
        <f t="shared" si="5"/>
        <v>123700.18801855287</v>
      </c>
      <c r="AE16" s="1">
        <f t="shared" si="21"/>
        <v>30071.623178357928</v>
      </c>
      <c r="AF16" s="1">
        <f>IF(AE16 &lt; 0,
    IF(AF15 + AE16 &gt; 0,
        AF15 + AE16, IF(AK15-ABS(AF15 + AE16)*(1+$V16) &gt;= AF15 + AE16,
        0, AF15 + AE16)),
    MIN(AF15 + AE16, Analysis!$C$7))+IF(AF15&lt;0, AF15*Analysis!$C$9,0)</f>
        <v>24000</v>
      </c>
      <c r="AG16" s="40"/>
      <c r="AH16" s="1">
        <f t="shared" si="22"/>
        <v>30801.862228597252</v>
      </c>
      <c r="AI16" s="1">
        <f>IF(AE16 &gt;= 0,
    MAX(0, AF15 + AE16 - Analysis!$C$7),
    0)</f>
        <v>30071.623178357928</v>
      </c>
      <c r="AJ16" s="1">
        <f t="shared" si="46"/>
        <v>409850.55632502213</v>
      </c>
      <c r="AK16" s="1">
        <f t="shared" si="23"/>
        <v>626757.84191216214</v>
      </c>
      <c r="AL16" s="1">
        <f t="shared" si="6"/>
        <v>569548.54533855396</v>
      </c>
      <c r="AM16" s="36"/>
      <c r="AN16" s="1">
        <f t="shared" si="47"/>
        <v>1035373.0896297044</v>
      </c>
      <c r="AO16" s="64">
        <f t="shared" si="24"/>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-23077.435029940661</v>
      </c>
      <c r="AT16" s="1">
        <f>IF($B16&lt;Analysis!$C$66,0,IF($B16=Analysis!$C$66,-AP16-AS16,MIN(0,AT15-AS16)))</f>
        <v>-422085.9695662579</v>
      </c>
      <c r="AU16" s="64">
        <f>IF($B16&lt;Analysis!$C$66,0,IF($B16=Analysis!$C$66,Analysis!$C$72,IF(($B16-Analysis!$C$66)&lt;LOOKUP(Analysis!$C$66,$B:$B,AQ:AQ),AU15,0)))</f>
        <v>3.6999999999999998E-2</v>
      </c>
      <c r="AV16" s="1">
        <f>IF($B16&lt;Analysis!$C$66,0,IF($B16=Analysis!$C$66,-AU16*AP16,AU15*AT15))</f>
        <v>-16471.045970059346</v>
      </c>
      <c r="AW16" s="1">
        <f>IF($B16&lt;Analysis!$C$66,0,IF($B16=Analysis!$C$66,PMT(AU16,AQ16,AP16)*AQ16-AX16-AT16,IF(($B16-Analysis!$C$66+1)&lt;LOOKUP(Analysis!$C$66,$B:$B,AQ:AQ),IF(AW15-AV16&lt;0, AW15-AV16,0),0)))</f>
        <v>-124727.44097302677</v>
      </c>
      <c r="AX16" s="1">
        <f>IF($B16&lt;Analysis!$C$66,0,IF($B16=Analysis!$C$66,AS16+AV16,IF(AT15&lt;0,IF(AT15&gt;LOOKUP(Analysis!$C$66,$B:$B,AX:AX), AT15*(1+AU15),AX15),0)))</f>
        <v>-39548.481000000007</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-3106.1192688891133</v>
      </c>
      <c r="BF16" s="64">
        <f>IF($B16&lt;Analysis!$C$66,0,Analysis!$C$78)</f>
        <v>3.0000000000000001E-3</v>
      </c>
      <c r="BG16" s="1">
        <f>IF($B16&lt;Analysis!$C$66,0,-BH16*AN16)</f>
        <v>-7765.2981722227823</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5"/>
        <v>-132010.0689277873</v>
      </c>
      <c r="BS16" s="64">
        <f>IF($B16&lt;Analysis!C$66,0,Analysis!C$31)</f>
        <v>0.1275</v>
      </c>
      <c r="BT16" s="1">
        <f>IF($B16&lt;Analysis!$C$66,0,AN16+BR16)</f>
        <v>903363.02070191712</v>
      </c>
      <c r="BU16" s="1">
        <f>IF($B16-Analysis!$C$66&gt;3,0,IF($AN16&gt;LOOKUP(Analysis!$C$66,$B:$B, AN:AN),$V16*(LOOKUP(Analysis!$C$66,$B:$B, AN:AN)-AN16),0))</f>
        <v>0</v>
      </c>
      <c r="BV16" s="1">
        <f t="shared" si="26"/>
        <v>903363.02070191712</v>
      </c>
      <c r="BW16" s="42"/>
      <c r="BX16" s="1">
        <f>IF($B16&lt;Analysis!$C$66,$P16+$N16+$X16+$Z16,$P16+$N16+AS16+AV16+BB16+BE16+BG16+MAX(BI16,SUM(BJ16:BN16))+BP16)</f>
        <v>-120279.89844111192</v>
      </c>
      <c r="BY16" s="1">
        <f t="shared" si="27"/>
        <v>123700.18801855287</v>
      </c>
      <c r="BZ16" s="1">
        <f t="shared" si="48"/>
        <v>3420.2895774409553</v>
      </c>
      <c r="CA16" s="1">
        <f>IF(BZ16 &lt; 0,
    IF(CA15 + BZ16 &gt; 0,
        CA15 + BZ16, IF(CF15-ABS(CA15 + BZ16)*(1+$V16) &gt;= CA15 + BZ16,
        0, CA15 + BZ16)),
    MIN(CA15 + BZ16, Analysis!$C$7))+IF(CA15&lt;0, CA15*Analysis!$C$9,0)</f>
        <v>-226551.6990896115</v>
      </c>
      <c r="CB16" s="42"/>
      <c r="CC16" s="1">
        <f t="shared" si="49"/>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8"/>
        <v>0</v>
      </c>
      <c r="CH16" s="36"/>
      <c r="CI16" s="1">
        <f>IF(OR($B16&lt;Analysis!$C$100, $B16&gt;=Analysis!$C$130),0,X16)</f>
        <v>-23768.564840194947</v>
      </c>
      <c r="CJ16" s="1">
        <f>IF(OR($B16&lt;Analysis!$C$100, $B16&gt;=Analysis!$C$130),0,Z16)</f>
        <v>-3960</v>
      </c>
      <c r="CK16" s="1">
        <f t="shared" si="50"/>
        <v>622724.39448743057</v>
      </c>
      <c r="CL16" s="64">
        <f t="shared" si="51"/>
        <v>2.941176470588247E-2</v>
      </c>
      <c r="CM16" s="1">
        <f>IF($B16=Analysis!$C$100,(CK16*(1+Analysis!$C$23+Analysis!$C$24+Analysis!$C$25))-IF($B16=$B$2,(Analysis!$C$6-Analysis!$C$7+Analysis!$C$105), (FU15-Analysis!$C$7+CV16)),0)</f>
        <v>0</v>
      </c>
      <c r="CN16" s="64">
        <f>IF($B16=Analysis!$C$100,Analysis!$C$103,0)</f>
        <v>0</v>
      </c>
      <c r="CO16" s="64">
        <f>IF(OR($B16&lt;Analysis!$C$100, $B16&gt;=Analysis!$C$101),0,IF($B16=Analysis!$C$100,Analysis!$C$102,IF(($B16-Analysis!$C$100)&lt;LOOKUP(Analysis!$C$100,$B:$B,CT:CT),CO15,0)))</f>
        <v>3.6999999999999998E-2</v>
      </c>
      <c r="CP16" s="1">
        <f>IF(OR($B16&lt;Analysis!$C$100, $B16&gt;=Analysis!$C$101),0,IF($B16=Analysis!$C$100,-CM16*CN16,IF(CS16&gt;=0,0,CS16-CR16)))</f>
        <v>-12872.442009575796</v>
      </c>
      <c r="CQ16" s="1">
        <f>IF(OR($B16&lt;Analysis!$C$100, $B16&gt;=Analysis!$C$101),0,IF($B16=Analysis!$C$100,-CM16-CP16,MIN(0,CQ15-CP16)))</f>
        <v>-235436.78746134875</v>
      </c>
      <c r="CR16" s="1">
        <f>IF(OR($B16&lt;Analysis!$C$100, $B16&gt;=Analysis!$C$101),0,IF($B16=Analysis!$C$100,-CO16*CM16,CO15*CQ15))</f>
        <v>-9187.4414904242076</v>
      </c>
      <c r="CS16" s="1">
        <f>IF(OR($B16&lt;Analysis!$C$100, $B16&gt;=Analysis!$C$101),0,IF($B16=Analysis!$C$100,CP16+CR16,IF(CQ15&lt;0,IF(CQ15&gt;LOOKUP(Analysis!$C$100,$B:$B,CS:CS), CQ15*(1+CO15),CS15),0)))</f>
        <v>-22059.883500000004</v>
      </c>
      <c r="CT16" s="65">
        <f>IF($B16=Analysis!$C$100,NPER(CO16,-CS16,-CM16),0)</f>
        <v>0</v>
      </c>
      <c r="CU16" s="1">
        <f>IF(OR($B16&lt;Analysis!$C$100, $B16&gt;=Analysis!$C$101),0,IF($B16=Analysis!$C$100,PMT(CO16,CT16,CM16)*CT16-CS16-CQ16,IF(($B16-Analysis!$C$100+1)&lt;LOOKUP(Analysis!$C$100,$B:$B,CT:CT),IF(CU15-CR16&lt;0, CU15-CR16,0),0)))</f>
        <v>-69572.14910777731</v>
      </c>
      <c r="CV16" s="1">
        <f>IF($B16=Analysis!$C$100,Analysis!$C$105,0)</f>
        <v>0</v>
      </c>
      <c r="CW16" s="1">
        <f>IF($B16=Analysis!$C$100,PMT(CO16,CX16,CV16)*CX16,0)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29"/>
        <v>26625.667418632875</v>
      </c>
      <c r="DE16" s="1">
        <f t="shared" si="8"/>
        <v>-1868.1731834622917</v>
      </c>
      <c r="DF16" s="64">
        <f>IF(OR($B16&lt;Analysis!$C$100, $B16&gt;=Analysis!$C$101),0,Analysis!$C$118)</f>
        <v>3.0000000000000001E-3</v>
      </c>
      <c r="DG16" s="1">
        <f t="shared" si="9"/>
        <v>-4670.4329586557287</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-1559.8120676377937</v>
      </c>
      <c r="DR16" s="1">
        <f t="shared" si="30"/>
        <v>-20358.418209755815</v>
      </c>
      <c r="DS16" s="1">
        <f>MIN(0,-(DB16+DR16)*Analysis!$C$28)-CR16*Analysis!$C$28</f>
        <v>3876.4007375456822</v>
      </c>
      <c r="DT16" s="1">
        <f>-Analysis!$C$116*DD16/12</f>
        <v>-2218.8056182194064</v>
      </c>
      <c r="DU16" s="53"/>
      <c r="DV16" s="1">
        <f t="shared" si="10"/>
        <v>-79397.360297147403</v>
      </c>
      <c r="DW16" s="64">
        <f>IF(OR($B16&lt;Analysis!$C$100, $B16&gt;=Analysis!$C$101),0,IF($B16=Analysis!$C$100,Analysis!$C$31,DW15))</f>
        <v>0.1275</v>
      </c>
      <c r="DX16" s="1">
        <f>IF(OR($B16&lt;Analysis!$C$100, $B16&gt;=Analysis!$C$101),0,CK16+DV16)</f>
        <v>543327.03419028316</v>
      </c>
      <c r="DY16" s="1">
        <f>IF(OR($B16&lt;Analysis!$C$100, $B16&gt;=Analysis!$C$101),0,IF($B16-Analysis!$C$100&gt;3,0,IF(CK16&gt;LOOKUP(Analysis!$C$100,$B:$B, CK:CK),$V16*(LOOKUP(Analysis!$C$100,$B:$B, CK:CK)-CK16),0)))</f>
        <v>0</v>
      </c>
      <c r="DZ16" s="1">
        <f t="shared" si="52"/>
        <v>543327.03419028316</v>
      </c>
      <c r="EA16" s="53"/>
      <c r="EB16" s="1">
        <f t="shared" si="31"/>
        <v>1035373.0896297044</v>
      </c>
      <c r="EC16" s="64">
        <f t="shared" si="53"/>
        <v>2.941176470588247E-2</v>
      </c>
      <c r="ED16" s="1">
        <f>MAX(0,IF($B16=Analysis!$C$130,(EB16*(1+Analysis!$C$23+Analysis!$C$24+Analysis!$C$25))-(IF($B16=$B$2,(Analysis!$C$6-Analysis!$C$7+Analysis!$C$132), (FU15-Analysis!$C$7+EM16)) + IF($B16=Analysis!$C$101,DZ15+CQ15+CU15+CZ15,0)),0))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$P16+$N16+IF($B16&lt;Analysis!$C$130,$CI16+$CJ16,0)+CP16+CR16+CY16+DE16+DG16+MIN(DI16,SUM(DJ16:DN16))+DQ16+DS16+DT16+EG16+EJ16+EP16+ES16+EU16+MIN(EW16,SUM(EX16:FB16))+FD16</f>
        <v>-126089.27143062447</v>
      </c>
      <c r="FM16" s="1">
        <f>$M16+$R16+DD16+IF(AND($B16&lt;&gt;Analysis!$C$130,$B16=Analysis!$C$101),DZ15+CQ15+CU15+CZ15,0)</f>
        <v>150325.85543718573</v>
      </c>
      <c r="FN16" s="1">
        <f t="shared" si="34"/>
        <v>24236.584006561257</v>
      </c>
      <c r="FO16" s="1">
        <f>IF(FN16 &lt; 0,
    IF(FO15 + FN16 &gt; 0,
        FO15 + FN16, IF(FT15-ABS(FO15 + FN16)*(1+$V16) &gt;= FO15 + FN16,
        0, FO15 + FN16)),
    MIN(FO15 + FN16, Analysis!$C$7))+IF(FO15&lt;0, FO15*Analysis!$C$9,0)</f>
        <v>24000</v>
      </c>
      <c r="FP16" s="53"/>
      <c r="FQ16" s="1">
        <f t="shared" si="54"/>
        <v>13771.092953568656</v>
      </c>
      <c r="FR16" s="1">
        <f>IF(OR($B16=Analysis!$C$100, $B16=Analysis!$C$130),0,IF(FN16 &gt;= 0,
    MAX(0, FO15 + FN16 - Analysis!$C$7),
    0))</f>
        <v>24236.584006561257</v>
      </c>
      <c r="FS16" s="1">
        <f>IF(OR($B16=Analysis!$C$100, $B16=Analysis!$C$130),0,MAX(0, FS15 + FR16 - IF(FN16 &lt; 0, MIN(ABS(FN16), FS15 + FR16), 0)))</f>
        <v>223971.5993010962</v>
      </c>
      <c r="FT16" s="1">
        <f>IF(OR($B16=Analysis!$C$100, $B16=Analysis!$C$130),0,IF(FN16 &lt; 0,
    IF(FN16 + FO15 &lt; 0,
        MAX(0, FT15 - (ABS(FN16 + FO15) * (1+$V15))),
        FT15 + FQ16),
    FT15 + FR16 + FQ16))</f>
        <v>291006.8630667578</v>
      </c>
      <c r="FU16" s="1">
        <f t="shared" si="58"/>
        <v>273326.31224856456</v>
      </c>
      <c r="FV16" s="36"/>
      <c r="FW16" s="1">
        <f t="shared" si="55"/>
        <v>622724.39448743057</v>
      </c>
      <c r="FX16" s="64">
        <f t="shared" si="56"/>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-12872.442009575796</v>
      </c>
      <c r="GC16" s="1">
        <f>IF($B16&lt;Analysis!$C$159,0,IF($B16=Analysis!$C$159,-FY16-GB16,MIN(0,GC15-GB16)))</f>
        <v>-235436.78746134875</v>
      </c>
      <c r="GD16" s="64">
        <f>IF($B16&lt;Analysis!$C$159,0,IF($B16=Analysis!$C$159,Analysis!$C$160,IF(($B16-Analysis!$C$159)&lt;LOOKUP(Analysis!$C$159,$B:$B,FZ:FZ),GD15,0)))</f>
        <v>3.6999999999999998E-2</v>
      </c>
      <c r="GE16" s="1">
        <f>IF($B16&lt;Analysis!$C$159,0,IF($B16=Analysis!$C$159,-GD16*FY16,GD15*GC15))</f>
        <v>-9187.4414904242076</v>
      </c>
      <c r="GF16" s="1">
        <f>IF($B16&lt;Analysis!$C$159,0,IF($B16=Analysis!$C$159,PMT(GD16,FZ16,FY16)*FZ16-GG16-GC16,IF(($B16-Analysis!$C$159+1)&lt;LOOKUP(Analysis!$C$159,$B:$B,FZ:FZ),IF(GF15-GE16&lt;0, GF15-GE16,0),0)))</f>
        <v>-69572.14910777731</v>
      </c>
      <c r="GG16" s="1">
        <f>IF($B16&lt;Analysis!$C$159,0,IF($B16=Analysis!$C$159,GB16+GE16,IF(GC15&lt;0,IF(GC15&gt;LOOKUP(Analysis!$C$159,$B:$B,GG:GG), GC15*(1+GD15),GG15),0)))</f>
        <v>-22059.883500000004</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36"/>
        <v>26625.667418632875</v>
      </c>
      <c r="GQ16" s="1">
        <f t="shared" si="37"/>
        <v>-1868.1731834622917</v>
      </c>
      <c r="GR16" s="64">
        <f>IF($B16&lt;Analysis!$C$159,0,Analysis!$C$178)</f>
        <v>3.0000000000000001E-3</v>
      </c>
      <c r="GS16" s="1">
        <f t="shared" si="38"/>
        <v>-4670.4329586557287</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-1559.8120676377937</v>
      </c>
      <c r="HD16" s="1">
        <f t="shared" si="39"/>
        <v>-20358.418209755815</v>
      </c>
      <c r="HE16" s="1">
        <f>MIN(0,-(GN16+HD16)*Analysis!$C$28)-GE16*Analysis!$C$28</f>
        <v>3876.4007375456822</v>
      </c>
      <c r="HF16" s="1">
        <f>-Analysis!$C$176*GP16/12</f>
        <v>-2218.8056182194064</v>
      </c>
      <c r="HG16" s="38"/>
      <c r="HH16" s="1">
        <f>IF($B16&lt;Analysis!$C$159,0,-$HI16*$FW16)</f>
        <v>-79397.360297147403</v>
      </c>
      <c r="HI16" s="64">
        <f>IF($B16&lt;Analysis!$C$159,0,IF($B16=Analysis!$C$159,Analysis!$C$31,HI15))</f>
        <v>0.1275</v>
      </c>
      <c r="HJ16" s="1">
        <f>IF($B16&lt;Analysis!$C$159,0,$FW16+HH16)</f>
        <v>543327.03419028316</v>
      </c>
      <c r="HK16" s="1">
        <f>IF($B16-Analysis!$C$159&gt;10,0,IF($FW16&gt;LOOKUP(Analysis!$C$159,$B:$B, FW:FW),$V16*(LOOKUP(Analysis!$C$159,$B:$B, FW:FW)-FW16),0))</f>
        <v>0</v>
      </c>
      <c r="HL16" s="1">
        <f t="shared" si="40"/>
        <v>543327.03419028316</v>
      </c>
      <c r="HM16" s="38"/>
      <c r="HN16" s="1">
        <f t="shared" si="41"/>
        <v>-126089.27143062447</v>
      </c>
      <c r="HO16" s="1">
        <f t="shared" si="12"/>
        <v>150325.85543718573</v>
      </c>
      <c r="HP16" s="1">
        <f t="shared" si="42"/>
        <v>24236.584006561257</v>
      </c>
      <c r="HQ16" s="1">
        <f>IF(HP16 &lt; 0,
    IF(HQ15 + HP16 &gt; 0,
        HQ15 + HP16, IF(HV15-ABS(HQ15 + HP16)*(1+$V16) &gt;= HQ15 + HP16,
        0, HQ15 + HP16)),
    MIN(HQ15 + HP16, Analysis!$C$7))+IF(HQ15&lt;0, HQ15*Analysis!$C$9,0)</f>
        <v>24000</v>
      </c>
      <c r="HR16" s="38"/>
      <c r="HS16" s="1">
        <f t="shared" si="57"/>
        <v>13771.092953568656</v>
      </c>
      <c r="HT16" s="1">
        <f>IF($B16=Analysis!$C$159,0,IF(HP16 &gt;= 0,
    MAX(0, HQ15 + HP16 - Analysis!$C$7),
    0))</f>
        <v>24236.584006561257</v>
      </c>
      <c r="HU16" s="1">
        <f>IF($B16=Analysis!$C$159,0,MAX(0, HU15 + HT16 - IF(HP16 &lt; 0, MIN(ABS(HP16), HU15 + HT16), 0)))</f>
        <v>223971.5993010962</v>
      </c>
      <c r="HV16" s="1">
        <f>IF($B16=Analysis!$C$159,0,IF(HP16 &lt; 0,
    IF(HP16 + HQ15 &lt; 0,
        MAX(0, HV15 - (ABS(HP16 + HQ15) * (1+$V15))),
        HV15 + HS16),
    HV15 + HT16 + HS16))</f>
        <v>291006.8630667578</v>
      </c>
      <c r="HW16" s="1">
        <f t="shared" si="59"/>
        <v>273326.31224856456</v>
      </c>
      <c r="HX16" s="36"/>
    </row>
    <row r="17" spans="1:232" x14ac:dyDescent="0.35">
      <c r="A17">
        <f t="shared" si="0"/>
        <v>50</v>
      </c>
      <c r="B17">
        <v>2040</v>
      </c>
      <c r="C17" s="1">
        <f>IF($B17&lt;Analysis!C$66,0,$AN17)+$AT17+$AW17+$BC17+$CF17+$CA17</f>
        <v>318500.9504509723</v>
      </c>
      <c r="D17" s="1">
        <f>IF($B17&lt;Analysis!C$66, 0, BV17)+AT17+AW17+BC17+CG17+CA17</f>
        <v>182608.23243707366</v>
      </c>
      <c r="E17" s="1">
        <f t="shared" si="13"/>
        <v>714687.17090717575</v>
      </c>
      <c r="F17" s="1">
        <f t="shared" si="14"/>
        <v>648763.35078528314</v>
      </c>
      <c r="G17" s="1">
        <f>IF(AND($B17&gt;=Analysis!$C$100, $B17&lt;Analysis!$C$101),$CK17,0)+IF($B17&gt;=Analysis!$C$130,EB17,0)+CQ17+CU17+CZ17+EH17+EK17+EQ17+$FO17+$FT17</f>
        <v>713488.46090283734</v>
      </c>
      <c r="H17" s="1">
        <f t="shared" si="2"/>
        <v>610029.13557226071</v>
      </c>
      <c r="I17" s="1">
        <f>IF($B17&lt;Analysis!$C$159,0,$FW17)+$GC17+$GF17+$GL17+$HQ17+$HV17</f>
        <v>713488.46090283734</v>
      </c>
      <c r="J17" s="1">
        <f t="shared" si="3"/>
        <v>610029.13557226071</v>
      </c>
      <c r="K17" s="36"/>
      <c r="L17" s="1">
        <f t="shared" si="15"/>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4"/>
        <v>0</v>
      </c>
      <c r="R17" s="1">
        <f>IF(AND(AND(B17=Analysis!C$35,Analysis!C$34&lt;&gt;0),AND(B17=Analysis!C$37,Analysis!C$36&lt;&gt;0)),Analysis!C$34+Analysis!C$36,IF(AND(B17=Analysis!C$35,Analysis!C$34&lt;&gt;0),Analysis!C$34,IF(AND(B17=Analysis!C$37,Analysis!C$36&lt;&gt;0),Analysis!C$36,0)))</f>
        <v>0</v>
      </c>
      <c r="S17" s="64">
        <f t="shared" si="16"/>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7"/>
        <v>0.26374999999999998</v>
      </c>
      <c r="W17" s="36"/>
      <c r="X17" s="1">
        <f t="shared" si="45"/>
        <v>-24467.640276671271</v>
      </c>
      <c r="Y17" s="64">
        <f t="shared" si="18"/>
        <v>2.941176470588247E-2</v>
      </c>
      <c r="Z17" s="1">
        <f t="shared" si="19"/>
        <v>-3960</v>
      </c>
      <c r="AA17" s="64">
        <f t="shared" si="20"/>
        <v>0</v>
      </c>
      <c r="AB17" s="40"/>
      <c r="AC17" s="1">
        <f t="shared" si="4"/>
        <v>-94327.640276671271</v>
      </c>
      <c r="AD17" s="1">
        <f t="shared" si="5"/>
        <v>125216.12169525081</v>
      </c>
      <c r="AE17" s="1">
        <f t="shared" si="21"/>
        <v>30888.48141857954</v>
      </c>
      <c r="AF17" s="1">
        <f>IF(AE17 &lt; 0,
    IF(AF16 + AE17 &gt; 0,
        AF16 + AE17, IF(AK16-ABS(AF16 + AE17)*(1+$V17) &gt;= AF16 + AE17,
        0, AF16 + AE17)),
    MIN(AF16 + AE17, Analysis!$C$7))+IF(AF16&lt;0, AF16*Analysis!$C$9,0)</f>
        <v>24000</v>
      </c>
      <c r="AG17" s="40"/>
      <c r="AH17" s="1">
        <f t="shared" si="22"/>
        <v>33040.847576433989</v>
      </c>
      <c r="AI17" s="1">
        <f>IF(AE17 &gt;= 0,
    MAX(0, AF16 + AE17 - Analysis!$C$7),
    0)</f>
        <v>30888.48141857954</v>
      </c>
      <c r="AJ17" s="1">
        <f t="shared" si="46"/>
        <v>440739.03774360166</v>
      </c>
      <c r="AK17" s="1">
        <f t="shared" si="23"/>
        <v>690687.17090717575</v>
      </c>
      <c r="AL17" s="1">
        <f t="shared" si="6"/>
        <v>624763.35078528314</v>
      </c>
      <c r="AM17" s="36"/>
      <c r="AN17" s="1">
        <f t="shared" si="47"/>
        <v>1065825.2393246959</v>
      </c>
      <c r="AO17" s="64">
        <f t="shared" si="24"/>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-23931.300126048467</v>
      </c>
      <c r="AT17" s="1">
        <f>IF($B17&lt;Analysis!$C$66,0,IF($B17=Analysis!$C$66,-AP17-AS17,MIN(0,AT16-AS17)))</f>
        <v>-398154.66944020946</v>
      </c>
      <c r="AU17" s="64">
        <f>IF($B17&lt;Analysis!$C$66,0,IF($B17=Analysis!$C$66,Analysis!$C$72,IF(($B17-Analysis!$C$66)&lt;LOOKUP(Analysis!$C$66,$B:$B,AQ:AQ),AU16,0)))</f>
        <v>3.6999999999999998E-2</v>
      </c>
      <c r="AV17" s="1">
        <f>IF($B17&lt;Analysis!$C$66,0,IF($B17=Analysis!$C$66,-AU17*AP17,AU16*AT16))</f>
        <v>-15617.180873951542</v>
      </c>
      <c r="AW17" s="1">
        <f>IF($B17&lt;Analysis!$C$66,0,IF($B17=Analysis!$C$66,PMT(AU17,AQ17,AP17)*AQ17-AX17-AT17,IF(($B17-Analysis!$C$66+1)&lt;LOOKUP(Analysis!$C$66,$B:$B,AQ:AQ),IF(AW16-AV17&lt;0, AW16-AV17,0),0)))</f>
        <v>-109110.26009907523</v>
      </c>
      <c r="AX17" s="1">
        <f>IF($B17&lt;Analysis!$C$66,0,IF($B17=Analysis!$C$66,AS17+AV17,IF(AT16&lt;0,IF(AT16&gt;LOOKUP(Analysis!$C$66,$B:$B,AX:AX), AT16*(1+AU16),AX16),0)))</f>
        <v>-39548.481000000007</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-3197.4757179740877</v>
      </c>
      <c r="BF17" s="64">
        <f>IF($B17&lt;Analysis!$C$66,0,Analysis!$C$78)</f>
        <v>3.0000000000000001E-3</v>
      </c>
      <c r="BG17" s="1">
        <f>IF($B17&lt;Analysis!$C$66,0,-BH17*AN17)</f>
        <v>-7993.6892949352186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5"/>
        <v>-135892.71801389873</v>
      </c>
      <c r="BS17" s="64">
        <f>IF($B17&lt;Analysis!C$66,0,Analysis!C$31)</f>
        <v>0.1275</v>
      </c>
      <c r="BT17" s="1">
        <f>IF($B17&lt;Analysis!$C$66,0,AN17+BR17)</f>
        <v>929932.52131079719</v>
      </c>
      <c r="BU17" s="1">
        <f>IF($B17-Analysis!$C$66&gt;3,0,IF($AN17&gt;LOOKUP(Analysis!$C$66,$B:$B, AN:AN),$V17*(LOOKUP(Analysis!$C$66,$B:$B, AN:AN)-AN17),0))</f>
        <v>0</v>
      </c>
      <c r="BV17" s="1">
        <f t="shared" si="26"/>
        <v>929932.52131079719</v>
      </c>
      <c r="BW17" s="42"/>
      <c r="BX17" s="1">
        <f>IF($B17&lt;Analysis!$C$66,$P17+$N17+$X17+$Z17,$P17+$N17+AS17+AV17+BB17+BE17+BG17+MAX(BI17,SUM(BJ17:BN17))+BP17)</f>
        <v>-120599.64601290932</v>
      </c>
      <c r="BY17" s="1">
        <f t="shared" si="27"/>
        <v>125216.12169525081</v>
      </c>
      <c r="BZ17" s="1">
        <f t="shared" si="48"/>
        <v>4616.4756823414937</v>
      </c>
      <c r="CA17" s="1">
        <f>IF(BZ17 &lt; 0,
    IF(CA16 + BZ17 &gt; 0,
        CA16 + BZ17, IF(CF16-ABS(CA16 + BZ17)*(1+$V17) &gt;= CA16 + BZ17,
        0, CA16 + BZ17)),
    MIN(CA16 + BZ17, Analysis!$C$7))+IF(CA16&lt;0, CA16*Analysis!$C$9,0)</f>
        <v>-240059.35933443892</v>
      </c>
      <c r="CB17" s="42"/>
      <c r="CC17" s="1">
        <f t="shared" si="49"/>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50"/>
        <v>641039.81785470806</v>
      </c>
      <c r="CL17" s="64">
        <f t="shared" si="51"/>
        <v>2.941176470588247E-2</v>
      </c>
      <c r="CM17" s="1">
        <f>IF($B17=Analysis!$C$100,(CK17*(1+Analysis!$C$23+Analysis!$C$24+Analysis!$C$25))-IF($B17=$B$2,(Analysis!$C$6-Analysis!$C$7+Analysis!$C$105), (FU16-Analysis!$C$7+CV17)),0)</f>
        <v>0</v>
      </c>
      <c r="CN17" s="64">
        <f>IF($B17=Analysis!$C$100,Analysis!$C$103,0)</f>
        <v>0</v>
      </c>
      <c r="CO17" s="64">
        <f>IF(OR($B17&lt;Analysis!$C$100, $B17&gt;=Analysis!$C$101),0,IF($B17=Analysis!$C$100,Analysis!$C$102,IF(($B17-Analysis!$C$100)&lt;LOOKUP(Analysis!$C$100,$B:$B,CT:CT),CO16,0)))</f>
        <v>3.6999999999999998E-2</v>
      </c>
      <c r="CP17" s="1">
        <f>IF(OR($B17&lt;Analysis!$C$100, $B17&gt;=Analysis!$C$101),0,IF($B17=Analysis!$C$100,-CM17*CN17,IF(CS17&gt;=0,0,CS17-CR17)))</f>
        <v>-13348.722363930101</v>
      </c>
      <c r="CQ17" s="1">
        <f>IF(OR($B17&lt;Analysis!$C$100, $B17&gt;=Analysis!$C$101),0,IF($B17=Analysis!$C$100,-CM17-CP17,MIN(0,CQ16-CP17)))</f>
        <v>-222088.06509741864</v>
      </c>
      <c r="CR17" s="1">
        <f>IF(OR($B17&lt;Analysis!$C$100, $B17&gt;=Analysis!$C$101),0,IF($B17=Analysis!$C$100,-CO17*CM17,CO16*CQ16))</f>
        <v>-8711.1611360699026</v>
      </c>
      <c r="CS17" s="1">
        <f>IF(OR($B17&lt;Analysis!$C$100, $B17&gt;=Analysis!$C$101),0,IF($B17=Analysis!$C$100,CP17+CR17,IF(CQ16&lt;0,IF(CQ16&gt;LOOKUP(Analysis!$C$100,$B:$B,CS:CS), CQ16*(1+CO16),CS16),0)))</f>
        <v>-22059.883500000004</v>
      </c>
      <c r="CT17" s="65">
        <f>IF($B17=Analysis!$C$100,NPER(CO17,-CS17,-CM17),0)</f>
        <v>0</v>
      </c>
      <c r="CU17" s="1">
        <f>IF(OR($B17&lt;Analysis!$C$100, $B17&gt;=Analysis!$C$101),0,IF($B17=Analysis!$C$100,PMT(CO17,CT17,CM17)*CT17-CS17-CQ17,IF(($B17-Analysis!$C$100+1)&lt;LOOKUP(Analysis!$C$100,$B:$B,CT:CT),IF(CU16-CR17&lt;0, CU16-CR17,0),0)))</f>
        <v>-60860.987971707407</v>
      </c>
      <c r="CV17" s="1">
        <f>IF($B17=Analysis!$C$100,Analysis!$C$105,0)</f>
        <v>0</v>
      </c>
      <c r="CW17" s="1">
        <f>IF($B17=Analysis!$C$100,PMT(CO17,CX17,CV17)*CX17,0)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29"/>
        <v>27292.304695651488</v>
      </c>
      <c r="DE17" s="1">
        <f t="shared" si="8"/>
        <v>-1923.1194535641241</v>
      </c>
      <c r="DF17" s="64">
        <f>IF(OR($B17&lt;Analysis!$C$100, $B17&gt;=Analysis!$C$101),0,Analysis!$C$118)</f>
        <v>3.0000000000000001E-3</v>
      </c>
      <c r="DG17" s="1">
        <f t="shared" si="9"/>
        <v>-4807.7986339103099</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-1605.6888931565525</v>
      </c>
      <c r="DR17" s="1">
        <f t="shared" si="30"/>
        <v>-20596.606980630986</v>
      </c>
      <c r="DS17" s="1">
        <f>MIN(0,-(DB17+DR17)*Analysis!$C$28)-CR17*Analysis!$C$28</f>
        <v>3499.8620717412514</v>
      </c>
      <c r="DT17" s="1">
        <f>-Analysis!$C$116*DD17/12</f>
        <v>-2274.3587246376242</v>
      </c>
      <c r="DU17" s="53"/>
      <c r="DV17" s="1">
        <f t="shared" si="10"/>
        <v>-81732.576776475282</v>
      </c>
      <c r="DW17" s="64">
        <f>IF(OR($B17&lt;Analysis!$C$100, $B17&gt;=Analysis!$C$101),0,IF($B17=Analysis!$C$100,Analysis!$C$31,DW16))</f>
        <v>0.1275</v>
      </c>
      <c r="DX17" s="1">
        <f>IF(OR($B17&lt;Analysis!$C$100, $B17&gt;=Analysis!$C$101),0,CK17+DV17)</f>
        <v>559307.24107823276</v>
      </c>
      <c r="DY17" s="1">
        <f>IF(OR($B17&lt;Analysis!$C$100, $B17&gt;=Analysis!$C$101),0,IF($B17-Analysis!$C$100&gt;3,0,IF(CK17&gt;LOOKUP(Analysis!$C$100,$B:$B, CK:CK),$V17*(LOOKUP(Analysis!$C$100,$B:$B, CK:CK)-CK17),0)))</f>
        <v>0</v>
      </c>
      <c r="DZ17" s="1">
        <f t="shared" si="52"/>
        <v>559307.24107823276</v>
      </c>
      <c r="EA17" s="53"/>
      <c r="EB17" s="1">
        <f t="shared" si="31"/>
        <v>1065825.2393246959</v>
      </c>
      <c r="EC17" s="64">
        <f t="shared" si="53"/>
        <v>2.941176470588247E-2</v>
      </c>
      <c r="ED17" s="1">
        <f>MAX(0,IF($B17=Analysis!$C$130,(EB17*(1+Analysis!$C$23+Analysis!$C$24+Analysis!$C$25))-(IF($B17=$B$2,(Analysis!$C$6-Analysis!$C$7+Analysis!$C$132), (FU16-Analysis!$C$7+EM17)) + IF($B17=Analysis!$C$101,DZ16+CQ16+CU16+CZ16,0)),0))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$P17+$N17+IF($B17&lt;Analysis!$C$130,$CI17+$CJ17,0)+CP17+CR17+CY17+DE17+DG17+MIN(DI17,SUM(DJ17:DN17))+DQ17+DS17+DT17+EG17+EJ17+EP17+ES17+EU17+MIN(EW17,SUM(EX17:FB17))+FD17</f>
        <v>-127458.62741019863</v>
      </c>
      <c r="FM17" s="1">
        <f>$M17+$R17+DD17+IF(AND($B17&lt;&gt;Analysis!$C$130,$B17=Analysis!$C$101),DZ16+CQ16+CU16+CZ16,0)</f>
        <v>152508.42639090231</v>
      </c>
      <c r="FN17" s="1">
        <f t="shared" si="34"/>
        <v>25049.798980703679</v>
      </c>
      <c r="FO17" s="1">
        <f>IF(FN17 &lt; 0,
    IF(FO16 + FN17 &gt; 0,
        FO16 + FN17, IF(FT16-ABS(FO16 + FN17)*(1+$V17) &gt;= FO16 + FN17,
        0, FO16 + FN17)),
    MIN(FO16 + FN17, Analysis!$C$7))+IF(FO16&lt;0, FO16*Analysis!$C$9,0)</f>
        <v>24000</v>
      </c>
      <c r="FP17" s="53"/>
      <c r="FQ17" s="1">
        <f t="shared" si="54"/>
        <v>15341.034069793841</v>
      </c>
      <c r="FR17" s="1">
        <f>IF(OR($B17=Analysis!$C$100, $B17=Analysis!$C$130),0,IF(FN17 &gt;= 0,
    MAX(0, FO16 + FN17 - Analysis!$C$7),
    0))</f>
        <v>25049.798980703679</v>
      </c>
      <c r="FS17" s="1">
        <f>IF(OR($B17=Analysis!$C$100, $B17=Analysis!$C$130),0,MAX(0, FS16 + FR17 - IF(FN17 &lt; 0, MIN(ABS(FN17), FS16 + FR17), 0)))</f>
        <v>249021.39828179986</v>
      </c>
      <c r="FT17" s="1">
        <f>IF(OR($B17=Analysis!$C$100, $B17=Analysis!$C$130),0,IF(FN17 &lt; 0,
    IF(FN17 + FO16 &lt; 0,
        MAX(0, FT16 - (ABS(FN17 + FO16) * (1+$V16))),
        FT16 + FQ17),
    FT16 + FR17 + FQ17))</f>
        <v>331397.69611725531</v>
      </c>
      <c r="FU17" s="1">
        <f>IF(FT17-FS17&gt;0, FT17-$V17*(FT17-FS17),FT17)</f>
        <v>309670.94756315392</v>
      </c>
      <c r="FV17" s="36"/>
      <c r="FW17" s="1">
        <f t="shared" si="55"/>
        <v>641039.81785470806</v>
      </c>
      <c r="FX17" s="64">
        <f t="shared" si="56"/>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-13348.722363930101</v>
      </c>
      <c r="GC17" s="1">
        <f>IF($B17&lt;Analysis!$C$159,0,IF($B17=Analysis!$C$159,-FY17-GB17,MIN(0,GC16-GB17)))</f>
        <v>-222088.06509741864</v>
      </c>
      <c r="GD17" s="64">
        <f>IF($B17&lt;Analysis!$C$159,0,IF($B17=Analysis!$C$159,Analysis!$C$160,IF(($B17-Analysis!$C$159)&lt;LOOKUP(Analysis!$C$159,$B:$B,FZ:FZ),GD16,0)))</f>
        <v>3.6999999999999998E-2</v>
      </c>
      <c r="GE17" s="1">
        <f>IF($B17&lt;Analysis!$C$159,0,IF($B17=Analysis!$C$159,-GD17*FY17,GD16*GC16))</f>
        <v>-8711.1611360699026</v>
      </c>
      <c r="GF17" s="1">
        <f>IF($B17&lt;Analysis!$C$159,0,IF($B17=Analysis!$C$159,PMT(GD17,FZ17,FY17)*FZ17-GG17-GC17,IF(($B17-Analysis!$C$159+1)&lt;LOOKUP(Analysis!$C$159,$B:$B,FZ:FZ),IF(GF16-GE17&lt;0, GF16-GE17,0),0)))</f>
        <v>-60860.987971707407</v>
      </c>
      <c r="GG17" s="1">
        <f>IF($B17&lt;Analysis!$C$159,0,IF($B17=Analysis!$C$159,GB17+GE17,IF(GC16&lt;0,IF(GC16&gt;LOOKUP(Analysis!$C$159,$B:$B,GG:GG), GC16*(1+GD16),GG16),0)))</f>
        <v>-22059.883500000004</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36"/>
        <v>27292.304695651488</v>
      </c>
      <c r="GQ17" s="1">
        <f t="shared" si="37"/>
        <v>-1923.1194535641241</v>
      </c>
      <c r="GR17" s="64">
        <f>IF($B17&lt;Analysis!$C$159,0,Analysis!$C$178)</f>
        <v>3.0000000000000001E-3</v>
      </c>
      <c r="GS17" s="1">
        <f t="shared" si="38"/>
        <v>-4807.7986339103099</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-1605.6888931565525</v>
      </c>
      <c r="HD17" s="1">
        <f t="shared" si="39"/>
        <v>-20596.606980630986</v>
      </c>
      <c r="HE17" s="1">
        <f>MIN(0,-(GN17+HD17)*Analysis!$C$28)-GE17*Analysis!$C$28</f>
        <v>3499.8620717412514</v>
      </c>
      <c r="HF17" s="1">
        <f>-Analysis!$C$176*GP17/12</f>
        <v>-2274.3587246376242</v>
      </c>
      <c r="HG17" s="38"/>
      <c r="HH17" s="1">
        <f>IF($B17&lt;Analysis!$C$159,0,-$HI17*$FW17)</f>
        <v>-81732.576776475282</v>
      </c>
      <c r="HI17" s="64">
        <f>IF($B17&lt;Analysis!$C$159,0,IF($B17=Analysis!$C$159,Analysis!$C$31,HI16))</f>
        <v>0.1275</v>
      </c>
      <c r="HJ17" s="1">
        <f>IF($B17&lt;Analysis!$C$159,0,$FW17+HH17)</f>
        <v>559307.24107823276</v>
      </c>
      <c r="HK17" s="1">
        <f>IF($B17-Analysis!$C$159&gt;10,0,IF($FW17&gt;LOOKUP(Analysis!$C$159,$B:$B, FW:FW),$V17*(LOOKUP(Analysis!$C$159,$B:$B, FW:FW)-FW17),0))</f>
        <v>0</v>
      </c>
      <c r="HL17" s="1">
        <f t="shared" si="40"/>
        <v>559307.24107823276</v>
      </c>
      <c r="HM17" s="38"/>
      <c r="HN17" s="1">
        <f t="shared" si="41"/>
        <v>-127458.62741019863</v>
      </c>
      <c r="HO17" s="1">
        <f t="shared" si="12"/>
        <v>152508.42639090231</v>
      </c>
      <c r="HP17" s="1">
        <f t="shared" si="42"/>
        <v>25049.798980703679</v>
      </c>
      <c r="HQ17" s="1">
        <f>IF(HP17 &lt; 0,
    IF(HQ16 + HP17 &gt; 0,
        HQ16 + HP17, IF(HV16-ABS(HQ16 + HP17)*(1+$V17) &gt;= HQ16 + HP17,
        0, HQ16 + HP17)),
    MIN(HQ16 + HP17, Analysis!$C$7))+IF(HQ16&lt;0, HQ16*Analysis!$C$9,0)</f>
        <v>24000</v>
      </c>
      <c r="HR17" s="38"/>
      <c r="HS17" s="1">
        <f t="shared" si="57"/>
        <v>15341.034069793841</v>
      </c>
      <c r="HT17" s="1">
        <f>IF($B17=Analysis!$C$159,0,IF(HP17 &gt;= 0,
    MAX(0, HQ16 + HP17 - Analysis!$C$7),
    0))</f>
        <v>25049.798980703679</v>
      </c>
      <c r="HU17" s="1">
        <f>IF($B17=Analysis!$C$159,0,MAX(0, HU16 + HT17 - IF(HP17 &lt; 0, MIN(ABS(HP17), HU16 + HT17), 0)))</f>
        <v>249021.39828179986</v>
      </c>
      <c r="HV17" s="1">
        <f>IF($B17=Analysis!$C$159,0,IF(HP17 &lt; 0,
    IF(HP17 + HQ16 &lt; 0,
        MAX(0, HV16 - (ABS(HP17 + HQ16) * (1+$V16))),
        HV16 + HS17),
    HV16 + HT17 + HS17))</f>
        <v>331397.69611725531</v>
      </c>
      <c r="HW17" s="1">
        <f>IF(HV17-HU17&gt;0, HV17-$V17*(HV17-HU17),HV17)</f>
        <v>309670.94756315392</v>
      </c>
      <c r="HX17" s="36"/>
    </row>
    <row r="18" spans="1:232" x14ac:dyDescent="0.35">
      <c r="A18">
        <f t="shared" si="0"/>
        <v>51</v>
      </c>
      <c r="B18">
        <v>2041</v>
      </c>
      <c r="C18" s="1">
        <f>IF($B18&lt;Analysis!C$66,0,$AN18)+$AT18+$AW18+$BC18+$CF18+$CA18</f>
        <v>376014.31892630807</v>
      </c>
      <c r="D18" s="1">
        <f>IF($B18&lt;Analysis!C$66, 0, BV18)+AT18+AW18+BC18+CG18+CA18</f>
        <v>236124.75626494177</v>
      </c>
      <c r="E18" s="1">
        <f t="shared" si="13"/>
        <v>781617.50755653845</v>
      </c>
      <c r="F18" s="1">
        <f t="shared" si="14"/>
        <v>706402.57135039428</v>
      </c>
      <c r="G18" s="1">
        <f>IF(AND($B18&gt;=Analysis!$C$100, $B18&lt;Analysis!$C$101),$CK18,0)+IF($B18&gt;=Analysis!$C$130,EB18,0)+CQ18+CU18+CZ18+EH18+EK18+EQ18+$FO18+$FT18</f>
        <v>797163.98943597521</v>
      </c>
      <c r="H18" s="1">
        <f t="shared" si="2"/>
        <v>686842.80669341353</v>
      </c>
      <c r="I18" s="1">
        <f>IF($B18&lt;Analysis!$C$159,0,$FW18)+$GC18+$GF18+$GL18+$HQ18+$HV18</f>
        <v>797163.98943597521</v>
      </c>
      <c r="J18" s="1">
        <f t="shared" si="3"/>
        <v>686842.80669341353</v>
      </c>
      <c r="K18" s="36"/>
      <c r="L18" s="1">
        <f t="shared" si="15"/>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4"/>
        <v>0</v>
      </c>
      <c r="R18" s="1">
        <f>IF(AND(AND(B18=Analysis!C$35,Analysis!C$34&lt;&gt;0),AND(B18=Analysis!C$37,Analysis!C$36&lt;&gt;0)),Analysis!C$34+Analysis!C$36,IF(AND(B18=Analysis!C$35,Analysis!C$34&lt;&gt;0),Analysis!C$34,IF(AND(B18=Analysis!C$37,Analysis!C$36&lt;&gt;0),Analysis!C$36,0)))</f>
        <v>0</v>
      </c>
      <c r="S18" s="64">
        <f t="shared" si="16"/>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7"/>
        <v>0.26374999999999998</v>
      </c>
      <c r="W18" s="36"/>
      <c r="X18" s="1">
        <f t="shared" si="45"/>
        <v>-25187.276755396899</v>
      </c>
      <c r="Y18" s="64">
        <f t="shared" si="18"/>
        <v>2.941176470588247E-2</v>
      </c>
      <c r="Z18" s="1">
        <f t="shared" si="19"/>
        <v>-3960</v>
      </c>
      <c r="AA18" s="64">
        <f t="shared" si="20"/>
        <v>0</v>
      </c>
      <c r="AB18" s="40"/>
      <c r="AC18" s="1">
        <f t="shared" si="4"/>
        <v>-95047.276755396902</v>
      </c>
      <c r="AD18" s="1">
        <f t="shared" si="5"/>
        <v>126750.63299053574</v>
      </c>
      <c r="AE18" s="1">
        <f t="shared" si="21"/>
        <v>31703.356235138839</v>
      </c>
      <c r="AF18" s="1">
        <f>IF(AE18 &lt; 0,
    IF(AF17 + AE18 &gt; 0,
        AF17 + AE18, IF(AK17-ABS(AF17 + AE18)*(1+$V18) &gt;= AF17 + AE18,
        0, AF17 + AE18)),
    MIN(AF17 + AE18, Analysis!$C$7))+IF(AF17&lt;0, AF17*Analysis!$C$9,0)</f>
        <v>24000</v>
      </c>
      <c r="AG18" s="40"/>
      <c r="AH18" s="1">
        <f t="shared" si="22"/>
        <v>35226.980414223814</v>
      </c>
      <c r="AI18" s="1">
        <f>IF(AE18 &gt;= 0,
    MAX(0, AF17 + AE18 - Analysis!$C$7),
    0)</f>
        <v>31703.356235138839</v>
      </c>
      <c r="AJ18" s="1">
        <f t="shared" si="46"/>
        <v>472442.3939787405</v>
      </c>
      <c r="AK18" s="1">
        <f t="shared" si="23"/>
        <v>757617.50755653845</v>
      </c>
      <c r="AL18" s="1">
        <f t="shared" si="6"/>
        <v>682402.57135039428</v>
      </c>
      <c r="AM18" s="36"/>
      <c r="AN18" s="1">
        <f t="shared" si="47"/>
        <v>1097173.0404813047</v>
      </c>
      <c r="AO18" s="64">
        <f t="shared" si="24"/>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-24816.758230712258</v>
      </c>
      <c r="AT18" s="1">
        <f>IF($B18&lt;Analysis!$C$66,0,IF($B18=Analysis!$C$66,-AP18-AS18,MIN(0,AT17-AS18)))</f>
        <v>-373337.91120949719</v>
      </c>
      <c r="AU18" s="64">
        <f>IF($B18&lt;Analysis!$C$66,0,IF($B18=Analysis!$C$66,Analysis!$C$72,IF(($B18-Analysis!$C$66)&lt;LOOKUP(Analysis!$C$66,$B:$B,AQ:AQ),AU17,0)))</f>
        <v>3.6999999999999998E-2</v>
      </c>
      <c r="AV18" s="1">
        <f>IF($B18&lt;Analysis!$C$66,0,IF($B18=Analysis!$C$66,-AU18*AP18,AU17*AT17))</f>
        <v>-14731.72276928775</v>
      </c>
      <c r="AW18" s="1">
        <f>IF($B18&lt;Analysis!$C$66,0,IF($B18=Analysis!$C$66,PMT(AU18,AQ18,AP18)*AQ18-AX18-AT18,IF(($B18-Analysis!$C$66+1)&lt;LOOKUP(Analysis!$C$66,$B:$B,AQ:AQ),IF(AW17-AV18&lt;0, AW17-AV18,0),0)))</f>
        <v>-94378.537329787476</v>
      </c>
      <c r="AX18" s="1">
        <f>IF($B18&lt;Analysis!$C$66,0,IF($B18=Analysis!$C$66,AS18+AV18,IF(AT17&lt;0,IF(AT17&gt;LOOKUP(Analysis!$C$66,$B:$B,AX:AX), AT17*(1+AU17),AX17),0)))</f>
        <v>-39548.481000000007</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-3291.5191214439142</v>
      </c>
      <c r="BF18" s="64">
        <f>IF($B18&lt;Analysis!$C$66,0,Analysis!$C$78)</f>
        <v>3.0000000000000001E-3</v>
      </c>
      <c r="BG18" s="1">
        <f>IF($B18&lt;Analysis!$C$66,0,-BH18*AN18)</f>
        <v>-8228.7978036097848</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5"/>
        <v>-139889.56266136636</v>
      </c>
      <c r="BS18" s="64">
        <f>IF($B18&lt;Analysis!C$66,0,Analysis!C$31)</f>
        <v>0.1275</v>
      </c>
      <c r="BT18" s="1">
        <f>IF($B18&lt;Analysis!$C$66,0,AN18+BR18)</f>
        <v>957283.47781993845</v>
      </c>
      <c r="BU18" s="1">
        <f>IF($B18-Analysis!$C$66&gt;3,0,IF($AN18&gt;LOOKUP(Analysis!$C$66,$B:$B, AN:AN),$V18*(LOOKUP(Analysis!$C$66,$B:$B, AN:AN)-AN18),0))</f>
        <v>0</v>
      </c>
      <c r="BV18" s="1">
        <f t="shared" si="26"/>
        <v>957283.47781993845</v>
      </c>
      <c r="BW18" s="42"/>
      <c r="BX18" s="1">
        <f>IF($B18&lt;Analysis!$C$66,$P18+$N18+$X18+$Z18,$P18+$N18+AS18+AV18+BB18+BE18+BG18+MAX(BI18,SUM(BJ18:BN18))+BP18)</f>
        <v>-120928.79792505372</v>
      </c>
      <c r="BY18" s="1">
        <f t="shared" si="27"/>
        <v>126750.63299053574</v>
      </c>
      <c r="BZ18" s="1">
        <f t="shared" si="48"/>
        <v>5821.8350654820242</v>
      </c>
      <c r="CA18" s="1">
        <f>IF(BZ18 &lt; 0,
    IF(CA17 + BZ18 &gt; 0,
        CA17 + BZ18, IF(CF17-ABS(CA17 + BZ18)*(1+$V18) &gt;= CA17 + BZ18,
        0, CA17 + BZ18)),
    MIN(CA17 + BZ18, Analysis!$C$7))+IF(CA17&lt;0, CA17*Analysis!$C$9,0)</f>
        <v>-253442.27301571204</v>
      </c>
      <c r="CB18" s="42"/>
      <c r="CC18" s="1">
        <f t="shared" si="49"/>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50"/>
        <v>659893.93014455249</v>
      </c>
      <c r="CL18" s="64">
        <f t="shared" si="51"/>
        <v>2.941176470588247E-2</v>
      </c>
      <c r="CM18" s="1">
        <f>IF($B18=Analysis!$C$100,(CK18*(1+Analysis!$C$23+Analysis!$C$24+Analysis!$C$25))-IF($B18=$B$2,(Analysis!$C$6-Analysis!$C$7+Analysis!$C$105), (FU17-Analysis!$C$7+CV18)),0)</f>
        <v>0</v>
      </c>
      <c r="CN18" s="64">
        <f>IF($B18=Analysis!$C$100,Analysis!$C$103,0)</f>
        <v>0</v>
      </c>
      <c r="CO18" s="64">
        <f>IF(OR($B18&lt;Analysis!$C$100, $B18&gt;=Analysis!$C$101),0,IF($B18=Analysis!$C$100,Analysis!$C$102,IF(($B18-Analysis!$C$100)&lt;LOOKUP(Analysis!$C$100,$B:$B,CT:CT),CO17,0)))</f>
        <v>3.6999999999999998E-2</v>
      </c>
      <c r="CP18" s="1">
        <f>IF(OR($B18&lt;Analysis!$C$100, $B18&gt;=Analysis!$C$101),0,IF($B18=Analysis!$C$100,-CM18*CN18,IF(CS18&gt;=0,0,CS18-CR18)))</f>
        <v>-13842.625091395514</v>
      </c>
      <c r="CQ18" s="1">
        <f>IF(OR($B18&lt;Analysis!$C$100, $B18&gt;=Analysis!$C$101),0,IF($B18=Analysis!$C$100,-CM18-CP18,MIN(0,CQ17-CP18)))</f>
        <v>-208245.44000602313</v>
      </c>
      <c r="CR18" s="1">
        <f>IF(OR($B18&lt;Analysis!$C$100, $B18&gt;=Analysis!$C$101),0,IF($B18=Analysis!$C$100,-CO18*CM18,CO17*CQ17))</f>
        <v>-8217.2584086044899</v>
      </c>
      <c r="CS18" s="1">
        <f>IF(OR($B18&lt;Analysis!$C$100, $B18&gt;=Analysis!$C$101),0,IF($B18=Analysis!$C$100,CP18+CR18,IF(CQ17&lt;0,IF(CQ17&gt;LOOKUP(Analysis!$C$100,$B:$B,CS:CS), CQ17*(1+CO17),CS17),0)))</f>
        <v>-22059.883500000004</v>
      </c>
      <c r="CT18" s="65">
        <f>IF($B18=Analysis!$C$100,NPER(CO18,-CS18,-CM18),0)</f>
        <v>0</v>
      </c>
      <c r="CU18" s="1">
        <f>IF(OR($B18&lt;Analysis!$C$100, $B18&gt;=Analysis!$C$101),0,IF($B18=Analysis!$C$100,PMT(CO18,CT18,CM18)*CT18-CS18-CQ18,IF(($B18-Analysis!$C$100+1)&lt;LOOKUP(Analysis!$C$100,$B:$B,CT:CT),IF(CU17-CR18&lt;0, CU17-CR18,0),0)))</f>
        <v>-52643.729563102919</v>
      </c>
      <c r="CV18" s="1">
        <f>IF($B18=Analysis!$C$100,Analysis!$C$105,0)</f>
        <v>0</v>
      </c>
      <c r="CW18" s="1">
        <f>IF($B18=Analysis!$C$100,PMT(CO18,CX18,CV18)*CX18,0)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29"/>
        <v>27978.548951405948</v>
      </c>
      <c r="DE18" s="1">
        <f t="shared" si="8"/>
        <v>-1979.6817904336576</v>
      </c>
      <c r="DF18" s="64">
        <f>IF(OR($B18&lt;Analysis!$C$100, $B18&gt;=Analysis!$C$101),0,Analysis!$C$118)</f>
        <v>3.0000000000000001E-3</v>
      </c>
      <c r="DG18" s="1">
        <f t="shared" si="9"/>
        <v>-4949.2044760841436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-1652.9150370729219</v>
      </c>
      <c r="DR18" s="1">
        <f t="shared" si="30"/>
        <v>-20841.801303590724</v>
      </c>
      <c r="DS18" s="1">
        <f>MIN(0,-(DB18+DR18)*Analysis!$C$28)-CR18*Analysis!$C$28</f>
        <v>3110.6473194468767</v>
      </c>
      <c r="DT18" s="1">
        <f>-Analysis!$C$116*DD18/12</f>
        <v>-2331.5457459504955</v>
      </c>
      <c r="DU18" s="53"/>
      <c r="DV18" s="1">
        <f t="shared" si="10"/>
        <v>-84136.47609343045</v>
      </c>
      <c r="DW18" s="64">
        <f>IF(OR($B18&lt;Analysis!$C$100, $B18&gt;=Analysis!$C$101),0,IF($B18=Analysis!$C$100,Analysis!$C$31,DW17))</f>
        <v>0.1275</v>
      </c>
      <c r="DX18" s="1">
        <f>IF(OR($B18&lt;Analysis!$C$100, $B18&gt;=Analysis!$C$101),0,CK18+DV18)</f>
        <v>575757.45405112207</v>
      </c>
      <c r="DY18" s="1">
        <f>IF(OR($B18&lt;Analysis!$C$100, $B18&gt;=Analysis!$C$101),0,IF($B18-Analysis!$C$100&gt;3,0,IF(CK18&gt;LOOKUP(Analysis!$C$100,$B:$B, CK:CK),$V18*(LOOKUP(Analysis!$C$100,$B:$B, CK:CK)-CK18),0)))</f>
        <v>0</v>
      </c>
      <c r="DZ18" s="1">
        <f t="shared" si="52"/>
        <v>575757.45405112207</v>
      </c>
      <c r="EA18" s="53"/>
      <c r="EB18" s="1">
        <f t="shared" si="31"/>
        <v>1097173.0404813047</v>
      </c>
      <c r="EC18" s="64">
        <f t="shared" si="53"/>
        <v>2.941176470588247E-2</v>
      </c>
      <c r="ED18" s="1">
        <f>MAX(0,IF($B18=Analysis!$C$130,(EB18*(1+Analysis!$C$23+Analysis!$C$24+Analysis!$C$25))-(IF($B18=$B$2,(Analysis!$C$6-Analysis!$C$7+Analysis!$C$132), (FU17-Analysis!$C$7+EM18)) + IF($B18=Analysis!$C$101,DZ17+CQ17+CU17+CZ17,0)),0))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$P18+$N18+IF($B18&lt;Analysis!$C$130,$CI18+$CJ18,0)+CP18+CR18+CY18+DE18+DG18+MIN(DI18,SUM(DJ18:DN18))+DQ18+DS18+DT18+EG18+EJ18+EP18+ES18+EU18+MIN(EW18,SUM(EX18:FB18))+FD18</f>
        <v>-128869.85998549126</v>
      </c>
      <c r="FM18" s="1">
        <f>$M18+$R18+DD18+IF(AND($B18&lt;&gt;Analysis!$C$130,$B18=Analysis!$C$101),DZ17+CQ17+CU17+CZ17,0)</f>
        <v>154729.1819419417</v>
      </c>
      <c r="FN18" s="1">
        <f t="shared" si="34"/>
        <v>25859.32195645044</v>
      </c>
      <c r="FO18" s="1">
        <f>IF(FN18 &lt; 0,
    IF(FO17 + FN18 &gt; 0,
        FO17 + FN18, IF(FT17-ABS(FO17 + FN18)*(1+$V18) &gt;= FO17 + FN18,
        0, FO17 + FN18)),
    MIN(FO17 + FN18, Analysis!$C$7))+IF(FO17&lt;0, FO17*Analysis!$C$9,0)</f>
        <v>24000</v>
      </c>
      <c r="FP18" s="53"/>
      <c r="FQ18" s="1">
        <f t="shared" si="54"/>
        <v>16902.210786843156</v>
      </c>
      <c r="FR18" s="1">
        <f>IF(OR($B18=Analysis!$C$100, $B18=Analysis!$C$130),0,IF(FN18 &gt;= 0,
    MAX(0, FO17 + FN18 - Analysis!$C$7),
    0))</f>
        <v>25859.32195645044</v>
      </c>
      <c r="FS18" s="1">
        <f>IF(OR($B18=Analysis!$C$100, $B18=Analysis!$C$130),0,MAX(0, FS17 + FR18 - IF(FN18 &lt; 0, MIN(ABS(FN18), FS17 + FR18), 0)))</f>
        <v>274880.72023825033</v>
      </c>
      <c r="FT18" s="1">
        <f>IF(OR($B18=Analysis!$C$100, $B18=Analysis!$C$130),0,IF(FN18 &lt; 0,
    IF(FN18 + FO17 &lt; 0,
        MAX(0, FT17 - (ABS(FN18 + FO17) * (1+$V17))),
        FT17 + FQ18),
    FT17 + FR18 + FQ18))</f>
        <v>374159.22886054887</v>
      </c>
      <c r="FU18" s="1">
        <f>IF(FT18-FS18&gt;0, FT18-$V18*(FT18-FS18),FT18)</f>
        <v>347974.52221141761</v>
      </c>
      <c r="FV18" s="36"/>
      <c r="FW18" s="1">
        <f t="shared" si="55"/>
        <v>659893.93014455249</v>
      </c>
      <c r="FX18" s="64">
        <f t="shared" si="56"/>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-13842.625091395514</v>
      </c>
      <c r="GC18" s="1">
        <f>IF($B18&lt;Analysis!$C$159,0,IF($B18=Analysis!$C$159,-FY18-GB18,MIN(0,GC17-GB18)))</f>
        <v>-208245.44000602313</v>
      </c>
      <c r="GD18" s="64">
        <f>IF($B18&lt;Analysis!$C$159,0,IF($B18=Analysis!$C$159,Analysis!$C$160,IF(($B18-Analysis!$C$159)&lt;LOOKUP(Analysis!$C$159,$B:$B,FZ:FZ),GD17,0)))</f>
        <v>3.6999999999999998E-2</v>
      </c>
      <c r="GE18" s="1">
        <f>IF($B18&lt;Analysis!$C$159,0,IF($B18=Analysis!$C$159,-GD18*FY18,GD17*GC17))</f>
        <v>-8217.2584086044899</v>
      </c>
      <c r="GF18" s="1">
        <f>IF($B18&lt;Analysis!$C$159,0,IF($B18=Analysis!$C$159,PMT(GD18,FZ18,FY18)*FZ18-GG18-GC18,IF(($B18-Analysis!$C$159+1)&lt;LOOKUP(Analysis!$C$159,$B:$B,FZ:FZ),IF(GF17-GE18&lt;0, GF17-GE18,0),0)))</f>
        <v>-52643.729563102919</v>
      </c>
      <c r="GG18" s="1">
        <f>IF($B18&lt;Analysis!$C$159,0,IF($B18=Analysis!$C$159,GB18+GE18,IF(GC17&lt;0,IF(GC17&gt;LOOKUP(Analysis!$C$159,$B:$B,GG:GG), GC17*(1+GD17),GG17),0)))</f>
        <v>-22059.883500000004</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36"/>
        <v>27978.548951405948</v>
      </c>
      <c r="GQ18" s="1">
        <f t="shared" si="37"/>
        <v>-1979.6817904336576</v>
      </c>
      <c r="GR18" s="64">
        <f>IF($B18&lt;Analysis!$C$159,0,Analysis!$C$178)</f>
        <v>3.0000000000000001E-3</v>
      </c>
      <c r="GS18" s="1">
        <f t="shared" si="38"/>
        <v>-4949.2044760841436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-1652.9150370729219</v>
      </c>
      <c r="HD18" s="1">
        <f t="shared" si="39"/>
        <v>-20841.801303590724</v>
      </c>
      <c r="HE18" s="1">
        <f>MIN(0,-(GN18+HD18)*Analysis!$C$28)-GE18*Analysis!$C$28</f>
        <v>3110.6473194468767</v>
      </c>
      <c r="HF18" s="1">
        <f>-Analysis!$C$176*GP18/12</f>
        <v>-2331.5457459504955</v>
      </c>
      <c r="HG18" s="38"/>
      <c r="HH18" s="1">
        <f>IF($B18&lt;Analysis!$C$159,0,-$HI18*$FW18)</f>
        <v>-84136.47609343045</v>
      </c>
      <c r="HI18" s="64">
        <f>IF($B18&lt;Analysis!$C$159,0,IF($B18=Analysis!$C$159,Analysis!$C$31,HI17))</f>
        <v>0.1275</v>
      </c>
      <c r="HJ18" s="1">
        <f>IF($B18&lt;Analysis!$C$159,0,$FW18+HH18)</f>
        <v>575757.45405112207</v>
      </c>
      <c r="HK18" s="1">
        <f>IF($B18-Analysis!$C$159&gt;10,0,IF($FW18&gt;LOOKUP(Analysis!$C$159,$B:$B, FW:FW),$V18*(LOOKUP(Analysis!$C$159,$B:$B, FW:FW)-FW18),0))</f>
        <v>0</v>
      </c>
      <c r="HL18" s="1">
        <f t="shared" si="40"/>
        <v>575757.45405112207</v>
      </c>
      <c r="HM18" s="38"/>
      <c r="HN18" s="1">
        <f t="shared" si="41"/>
        <v>-128869.85998549126</v>
      </c>
      <c r="HO18" s="1">
        <f t="shared" si="12"/>
        <v>154729.1819419417</v>
      </c>
      <c r="HP18" s="1">
        <f t="shared" si="42"/>
        <v>25859.32195645044</v>
      </c>
      <c r="HQ18" s="1">
        <f>IF(HP18 &lt; 0,
    IF(HQ17 + HP18 &gt; 0,
        HQ17 + HP18, IF(HV17-ABS(HQ17 + HP18)*(1+$V18) &gt;= HQ17 + HP18,
        0, HQ17 + HP18)),
    MIN(HQ17 + HP18, Analysis!$C$7))+IF(HQ17&lt;0, HQ17*Analysis!$C$9,0)</f>
        <v>24000</v>
      </c>
      <c r="HR18" s="38"/>
      <c r="HS18" s="1">
        <f t="shared" si="57"/>
        <v>16902.210786843156</v>
      </c>
      <c r="HT18" s="1">
        <f>IF($B18=Analysis!$C$159,0,IF(HP18 &gt;= 0,
    MAX(0, HQ17 + HP18 - Analysis!$C$7),
    0))</f>
        <v>25859.32195645044</v>
      </c>
      <c r="HU18" s="1">
        <f>IF($B18=Analysis!$C$159,0,MAX(0, HU17 + HT18 - IF(HP18 &lt; 0, MIN(ABS(HP18), HU17 + HT18), 0)))</f>
        <v>274880.72023825033</v>
      </c>
      <c r="HV18" s="1">
        <f>IF($B18=Analysis!$C$159,0,IF(HP18 &lt; 0,
    IF(HP18 + HQ17 &lt; 0,
        MAX(0, HV17 - (ABS(HP18 + HQ17) * (1+$V17))),
        HV17 + HS18),
    HV17 + HT18 + HS18))</f>
        <v>374159.22886054887</v>
      </c>
      <c r="HW18" s="1">
        <f>IF(HV18-HU18&gt;0, HV18-$V18*(HV18-HU18),HV18)</f>
        <v>347974.52221141761</v>
      </c>
      <c r="HX18" s="36"/>
    </row>
    <row r="19" spans="1:232" x14ac:dyDescent="0.35">
      <c r="A19">
        <f t="shared" si="0"/>
        <v>52</v>
      </c>
      <c r="B19">
        <v>2042</v>
      </c>
      <c r="C19" s="1">
        <f>IF($B19&lt;Analysis!C$66,0,$AN19)+$AT19+$AW19+$BC19+$CF19+$CA19</f>
        <v>434593.53218883643</v>
      </c>
      <c r="D19" s="1">
        <f>IF($B19&lt;Analysis!C$66, 0, BV19)+AT19+AW19+BC19+CG19+CA19</f>
        <v>290589.57062566507</v>
      </c>
      <c r="E19" s="1">
        <f t="shared" si="13"/>
        <v>851475.22030811093</v>
      </c>
      <c r="F19" s="1">
        <f t="shared" si="14"/>
        <v>766411.37322351581</v>
      </c>
      <c r="G19" s="1">
        <f>IF(AND($B19&gt;=Analysis!$C$100, $B19&lt;Analysis!$C$101),$CK19,0)+IF($B19&gt;=Analysis!$C$130,EB19,0)+CQ19+CU19+CZ19+EH19+EK19+EQ19+$FO19+$FT19</f>
        <v>883738.93721570482</v>
      </c>
      <c r="H19" s="1">
        <f t="shared" si="2"/>
        <v>766079.13990349253</v>
      </c>
      <c r="I19" s="1">
        <f>IF($B19&lt;Analysis!$C$159,0,$FW19)+$GC19+$GF19+$GL19+$HQ19+$HV19</f>
        <v>883738.93721570482</v>
      </c>
      <c r="J19" s="1">
        <f t="shared" si="3"/>
        <v>766079.13990349253</v>
      </c>
      <c r="K19" s="36"/>
      <c r="L19" s="1">
        <f t="shared" si="15"/>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4"/>
        <v>0</v>
      </c>
      <c r="R19" s="1">
        <f>IF(AND(AND(B19=Analysis!C$35,Analysis!C$34&lt;&gt;0),AND(B19=Analysis!C$37,Analysis!C$36&lt;&gt;0)),Analysis!C$34+Analysis!C$36,IF(AND(B19=Analysis!C$35,Analysis!C$34&lt;&gt;0),Analysis!C$34,IF(AND(B19=Analysis!C$37,Analysis!C$36&lt;&gt;0),Analysis!C$36,0)))</f>
        <v>0</v>
      </c>
      <c r="S19" s="64">
        <f t="shared" si="16"/>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7"/>
        <v>0.26374999999999998</v>
      </c>
      <c r="W19" s="36"/>
      <c r="X19" s="1">
        <f t="shared" si="45"/>
        <v>-25928.079012908576</v>
      </c>
      <c r="Y19" s="64">
        <f t="shared" si="18"/>
        <v>2.941176470588247E-2</v>
      </c>
      <c r="Z19" s="1">
        <f t="shared" si="19"/>
        <v>-3960</v>
      </c>
      <c r="AA19" s="64">
        <f t="shared" si="20"/>
        <v>0</v>
      </c>
      <c r="AB19" s="40"/>
      <c r="AC19" s="1">
        <f t="shared" si="4"/>
        <v>-95788.07901290858</v>
      </c>
      <c r="AD19" s="1">
        <f t="shared" si="5"/>
        <v>128303.9495713021</v>
      </c>
      <c r="AE19" s="1">
        <f t="shared" si="21"/>
        <v>32515.870558393523</v>
      </c>
      <c r="AF19" s="1">
        <f>IF(AE19 &lt; 0,
    IF(AF18 + AE19 &gt; 0,
        AF18 + AE19, IF(AK18-ABS(AF18 + AE19)*(1+$V19) &gt;= AF18 + AE19,
        0, AF18 + AE19)),
    MIN(AF18 + AE19, Analysis!$C$7))+IF(AF18&lt;0, AF18*Analysis!$C$9,0)</f>
        <v>24000</v>
      </c>
      <c r="AG19" s="40"/>
      <c r="AH19" s="1">
        <f t="shared" si="22"/>
        <v>37341.842193178993</v>
      </c>
      <c r="AI19" s="1">
        <f>IF(AE19 &gt;= 0,
    MAX(0, AF18 + AE19 - Analysis!$C$7),
    0)</f>
        <v>32515.870558393523</v>
      </c>
      <c r="AJ19" s="1">
        <f t="shared" si="46"/>
        <v>504958.26453713403</v>
      </c>
      <c r="AK19" s="1">
        <f t="shared" si="23"/>
        <v>827475.22030811093</v>
      </c>
      <c r="AL19" s="1">
        <f t="shared" si="6"/>
        <v>742411.37322351581</v>
      </c>
      <c r="AM19" s="36"/>
      <c r="AN19" s="1">
        <f t="shared" si="47"/>
        <v>1129442.8357895785</v>
      </c>
      <c r="AO19" s="64">
        <f t="shared" si="24"/>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-25734.97828524861</v>
      </c>
      <c r="AT19" s="1">
        <f>IF($B19&lt;Analysis!$C$66,0,IF($B19=Analysis!$C$66,-AP19-AS19,MIN(0,AT18-AS19)))</f>
        <v>-347602.93292424857</v>
      </c>
      <c r="AU19" s="64">
        <f>IF($B19&lt;Analysis!$C$66,0,IF($B19=Analysis!$C$66,Analysis!$C$72,IF(($B19-Analysis!$C$66)&lt;LOOKUP(Analysis!$C$66,$B:$B,AQ:AQ),AU18,0)))</f>
        <v>3.6999999999999998E-2</v>
      </c>
      <c r="AV19" s="1">
        <f>IF($B19&lt;Analysis!$C$66,0,IF($B19=Analysis!$C$66,-AU19*AP19,AU18*AT18))</f>
        <v>-13813.502714751396</v>
      </c>
      <c r="AW19" s="1">
        <f>IF($B19&lt;Analysis!$C$66,0,IF($B19=Analysis!$C$66,PMT(AU19,AQ19,AP19)*AQ19-AX19-AT19,IF(($B19-Analysis!$C$66+1)&lt;LOOKUP(Analysis!$C$66,$B:$B,AQ:AQ),IF(AW18-AV19&lt;0, AW18-AV19,0),0)))</f>
        <v>-80565.034615036086</v>
      </c>
      <c r="AX19" s="1">
        <f>IF($B19&lt;Analysis!$C$66,0,IF($B19=Analysis!$C$66,AS19+AV19,IF(AT18&lt;0,IF(AT18&gt;LOOKUP(Analysis!$C$66,$B:$B,AX:AX), AT18*(1+AU18),AX18),0)))</f>
        <v>-39548.481000000007</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-3388.3285073687357</v>
      </c>
      <c r="BF19" s="64">
        <f>IF($B19&lt;Analysis!$C$66,0,Analysis!$C$78)</f>
        <v>3.0000000000000001E-3</v>
      </c>
      <c r="BG19" s="1">
        <f>IF($B19&lt;Analysis!$C$66,0,-BH19*AN19)</f>
        <v>-8470.8212684218379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5"/>
        <v>-144003.96156317127</v>
      </c>
      <c r="BS19" s="64">
        <f>IF($B19&lt;Analysis!C$66,0,Analysis!C$31)</f>
        <v>0.1275</v>
      </c>
      <c r="BT19" s="1">
        <f>IF($B19&lt;Analysis!$C$66,0,AN19+BR19)</f>
        <v>985438.87422640726</v>
      </c>
      <c r="BU19" s="1">
        <f>IF($B19-Analysis!$C$66&gt;3,0,IF($AN19&gt;LOOKUP(Analysis!$C$66,$B:$B, AN:AN),$V19*(LOOKUP(Analysis!$C$66,$B:$B, AN:AN)-AN19),0))</f>
        <v>0</v>
      </c>
      <c r="BV19" s="1">
        <f t="shared" si="26"/>
        <v>985438.87422640726</v>
      </c>
      <c r="BW19" s="42"/>
      <c r="BX19" s="1">
        <f>IF($B19&lt;Analysis!$C$66,$P19+$N19+$X19+$Z19,$P19+$N19+AS19+AV19+BB19+BE19+BG19+MAX(BI19,SUM(BJ19:BN19))+BP19)</f>
        <v>-121267.63077579057</v>
      </c>
      <c r="BY19" s="1">
        <f t="shared" si="27"/>
        <v>128303.9495713021</v>
      </c>
      <c r="BZ19" s="1">
        <f t="shared" si="48"/>
        <v>7036.3187955115282</v>
      </c>
      <c r="CA19" s="1">
        <f>IF(BZ19 &lt; 0,
    IF(CA18 + BZ19 &gt; 0,
        CA18 + BZ19, IF(CF18-ABS(CA18 + BZ19)*(1+$V19) &gt;= CA18 + BZ19,
        0, CA18 + BZ19)),
    MIN(CA18 + BZ19, Analysis!$C$7))+IF(CA18&lt;0, CA18*Analysis!$C$9,0)</f>
        <v>-266681.33606145746</v>
      </c>
      <c r="CB19" s="42"/>
      <c r="CC19" s="1">
        <f t="shared" si="49"/>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8"/>
        <v>0</v>
      </c>
      <c r="CH19" s="36"/>
      <c r="CI19" s="1">
        <f>IF(OR($B19&lt;Analysis!$C$100, $B19&gt;=Analysis!$C$130),0,X19)</f>
        <v>-25928.079012908576</v>
      </c>
      <c r="CJ19" s="1">
        <f>IF(OR($B19&lt;Analysis!$C$100, $B19&gt;=Analysis!$C$130),0,Z19)</f>
        <v>-3960</v>
      </c>
      <c r="CK19" s="1">
        <f t="shared" si="50"/>
        <v>679302.57514880411</v>
      </c>
      <c r="CL19" s="64">
        <f t="shared" si="51"/>
        <v>2.941176470588247E-2</v>
      </c>
      <c r="CM19" s="1">
        <f>IF($B19=Analysis!$C$100,(CK19*(1+Analysis!$C$23+Analysis!$C$24+Analysis!$C$25))-IF($B19=$B$2,(Analysis!$C$6-Analysis!$C$7+Analysis!$C$105), (FU18-Analysis!$C$7+CV19)),0)</f>
        <v>0</v>
      </c>
      <c r="CN19" s="64">
        <f>IF($B19=Analysis!$C$100,Analysis!$C$103,0)</f>
        <v>0</v>
      </c>
      <c r="CO19" s="64">
        <f>IF(OR($B19&lt;Analysis!$C$100, $B19&gt;=Analysis!$C$101),0,IF($B19=Analysis!$C$100,Analysis!$C$102,IF(($B19-Analysis!$C$100)&lt;LOOKUP(Analysis!$C$100,$B:$B,CT:CT),CO18,0)))</f>
        <v>3.6999999999999998E-2</v>
      </c>
      <c r="CP19" s="1">
        <f>IF(OR($B19&lt;Analysis!$C$100, $B19&gt;=Analysis!$C$101),0,IF($B19=Analysis!$C$100,-CM19*CN19,IF(CS19&gt;=0,0,CS19-CR19)))</f>
        <v>-14354.802219777148</v>
      </c>
      <c r="CQ19" s="1">
        <f>IF(OR($B19&lt;Analysis!$C$100, $B19&gt;=Analysis!$C$101),0,IF($B19=Analysis!$C$100,-CM19-CP19,MIN(0,CQ18-CP19)))</f>
        <v>-193890.63778624599</v>
      </c>
      <c r="CR19" s="1">
        <f>IF(OR($B19&lt;Analysis!$C$100, $B19&gt;=Analysis!$C$101),0,IF($B19=Analysis!$C$100,-CO19*CM19,CO18*CQ18))</f>
        <v>-7705.0812802228556</v>
      </c>
      <c r="CS19" s="1">
        <f>IF(OR($B19&lt;Analysis!$C$100, $B19&gt;=Analysis!$C$101),0,IF($B19=Analysis!$C$100,CP19+CR19,IF(CQ18&lt;0,IF(CQ18&gt;LOOKUP(Analysis!$C$100,$B:$B,CS:CS), CQ18*(1+CO18),CS18),0)))</f>
        <v>-22059.883500000004</v>
      </c>
      <c r="CT19" s="65">
        <f>IF($B19=Analysis!$C$100,NPER(CO19,-CS19,-CM19),0)</f>
        <v>0</v>
      </c>
      <c r="CU19" s="1">
        <f>IF(OR($B19&lt;Analysis!$C$100, $B19&gt;=Analysis!$C$101),0,IF($B19=Analysis!$C$100,PMT(CO19,CT19,CM19)*CT19-CS19-CQ19,IF(($B19-Analysis!$C$100+1)&lt;LOOKUP(Analysis!$C$100,$B:$B,CT:CT),IF(CU18-CR19&lt;0, CU18-CR19,0),0)))</f>
        <v>-44938.648282880065</v>
      </c>
      <c r="CV19" s="1">
        <f>IF($B19=Analysis!$C$100,Analysis!$C$105,0)</f>
        <v>0</v>
      </c>
      <c r="CW19" s="1">
        <f>IF($B19=Analysis!$C$100,PMT(CO19,CX19,CV19)*CX19,0)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29"/>
        <v>28684.976861741423</v>
      </c>
      <c r="DE19" s="1">
        <f t="shared" si="8"/>
        <v>-2037.9077254464123</v>
      </c>
      <c r="DF19" s="64">
        <f>IF(OR($B19&lt;Analysis!$C$100, $B19&gt;=Analysis!$C$101),0,Analysis!$C$118)</f>
        <v>3.0000000000000001E-3</v>
      </c>
      <c r="DG19" s="1">
        <f t="shared" si="9"/>
        <v>-5094.7693136160306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-1701.5301852221257</v>
      </c>
      <c r="DR19" s="1">
        <f t="shared" si="30"/>
        <v>-21094.207224284572</v>
      </c>
      <c r="DS19" s="1">
        <f>MIN(0,-(DB19+DR19)*Analysis!$C$28)-CR19*Analysis!$C$28</f>
        <v>2708.3244020549218</v>
      </c>
      <c r="DT19" s="1">
        <f>-Analysis!$C$116*DD19/12</f>
        <v>-2390.4147384784519</v>
      </c>
      <c r="DU19" s="53"/>
      <c r="DV19" s="1">
        <f t="shared" si="10"/>
        <v>-86611.078331472527</v>
      </c>
      <c r="DW19" s="64">
        <f>IF(OR($B19&lt;Analysis!$C$100, $B19&gt;=Analysis!$C$101),0,IF($B19=Analysis!$C$100,Analysis!$C$31,DW18))</f>
        <v>0.1275</v>
      </c>
      <c r="DX19" s="1">
        <f>IF(OR($B19&lt;Analysis!$C$100, $B19&gt;=Analysis!$C$101),0,CK19+DV19)</f>
        <v>592691.49681733153</v>
      </c>
      <c r="DY19" s="1">
        <f>IF(OR($B19&lt;Analysis!$C$100, $B19&gt;=Analysis!$C$101),0,IF($B19-Analysis!$C$100&gt;3,0,IF(CK19&gt;LOOKUP(Analysis!$C$100,$B:$B, CK:CK),$V19*(LOOKUP(Analysis!$C$100,$B:$B, CK:CK)-CK19),0)))</f>
        <v>0</v>
      </c>
      <c r="DZ19" s="1">
        <f t="shared" si="52"/>
        <v>592691.49681733153</v>
      </c>
      <c r="EA19" s="53"/>
      <c r="EB19" s="1">
        <f t="shared" si="31"/>
        <v>1129442.8357895785</v>
      </c>
      <c r="EC19" s="64">
        <f t="shared" si="53"/>
        <v>2.941176470588247E-2</v>
      </c>
      <c r="ED19" s="1">
        <f>MAX(0,IF($B19=Analysis!$C$130,(EB19*(1+Analysis!$C$23+Analysis!$C$24+Analysis!$C$25))-(IF($B19=$B$2,(Analysis!$C$6-Analysis!$C$7+Analysis!$C$132), (FU18-Analysis!$C$7+EM19)) + IF($B19=Analysis!$C$101,DZ18+CQ18+CU18+CZ18,0)),0))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$P19+$N19+IF($B19&lt;Analysis!$C$130,$CI19+$CJ19,0)+CP19+CR19+CY19+DE19+DG19+MIN(DI19,SUM(DJ19:DN19))+DQ19+DS19+DT19+EG19+EJ19+EP19+ES19+EU19+MIN(EW19,SUM(EX19:FB19))+FD19</f>
        <v>-130324.26007361669</v>
      </c>
      <c r="FM19" s="1">
        <f>$M19+$R19+DD19+IF(AND($B19&lt;&gt;Analysis!$C$130,$B19=Analysis!$C$101),DZ18+CQ18+CU18+CZ18,0)</f>
        <v>156988.92643304353</v>
      </c>
      <c r="FN19" s="1">
        <f t="shared" si="34"/>
        <v>26664.666359426832</v>
      </c>
      <c r="FO19" s="1">
        <f>IF(FN19 &lt; 0,
    IF(FO18 + FN19 &gt; 0,
        FO18 + FN19, IF(FT18-ABS(FO18 + FN19)*(1+$V19) &gt;= FO18 + FN19,
        0, FO18 + FN19)),
    MIN(FO18 + FN19, Analysis!$C$7))+IF(FO18&lt;0, FO18*Analysis!$C$9,0)</f>
        <v>24000</v>
      </c>
      <c r="FP19" s="53"/>
      <c r="FQ19" s="1">
        <f t="shared" si="54"/>
        <v>18441.7529160511</v>
      </c>
      <c r="FR19" s="1">
        <f>IF(OR($B19=Analysis!$C$100, $B19=Analysis!$C$130),0,IF(FN19 &gt;= 0,
    MAX(0, FO18 + FN19 - Analysis!$C$7),
    0))</f>
        <v>26664.666359426832</v>
      </c>
      <c r="FS19" s="1">
        <f>IF(OR($B19=Analysis!$C$100, $B19=Analysis!$C$130),0,MAX(0, FS18 + FR19 - IF(FN19 &lt; 0, MIN(ABS(FN19), FS18 + FR19), 0)))</f>
        <v>301545.38659767713</v>
      </c>
      <c r="FT19" s="1">
        <f>IF(OR($B19=Analysis!$C$100, $B19=Analysis!$C$130),0,IF(FN19 &lt; 0,
    IF(FN19 + FO18 &lt; 0,
        MAX(0, FT18 - (ABS(FN19 + FO18) * (1+$V18))),
        FT18 + FQ19),
    FT18 + FR19 + FQ19))</f>
        <v>419265.64813602681</v>
      </c>
      <c r="FU19" s="1">
        <f t="shared" ref="FU19:FU52" si="60">IF(FT19-FS19&gt;0, FT19-$V19*(FT19-FS19),FT19)</f>
        <v>388216.9291552871</v>
      </c>
      <c r="FV19" s="36"/>
      <c r="FW19" s="1">
        <f t="shared" si="55"/>
        <v>679302.57514880411</v>
      </c>
      <c r="FX19" s="64">
        <f t="shared" si="56"/>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-14354.802219777148</v>
      </c>
      <c r="GC19" s="1">
        <f>IF($B19&lt;Analysis!$C$159,0,IF($B19=Analysis!$C$159,-FY19-GB19,MIN(0,GC18-GB19)))</f>
        <v>-193890.63778624599</v>
      </c>
      <c r="GD19" s="64">
        <f>IF($B19&lt;Analysis!$C$159,0,IF($B19=Analysis!$C$159,Analysis!$C$160,IF(($B19-Analysis!$C$159)&lt;LOOKUP(Analysis!$C$159,$B:$B,FZ:FZ),GD18,0)))</f>
        <v>3.6999999999999998E-2</v>
      </c>
      <c r="GE19" s="1">
        <f>IF($B19&lt;Analysis!$C$159,0,IF($B19=Analysis!$C$159,-GD19*FY19,GD18*GC18))</f>
        <v>-7705.0812802228556</v>
      </c>
      <c r="GF19" s="1">
        <f>IF($B19&lt;Analysis!$C$159,0,IF($B19=Analysis!$C$159,PMT(GD19,FZ19,FY19)*FZ19-GG19-GC19,IF(($B19-Analysis!$C$159+1)&lt;LOOKUP(Analysis!$C$159,$B:$B,FZ:FZ),IF(GF18-GE19&lt;0, GF18-GE19,0),0)))</f>
        <v>-44938.648282880065</v>
      </c>
      <c r="GG19" s="1">
        <f>IF($B19&lt;Analysis!$C$159,0,IF($B19=Analysis!$C$159,GB19+GE19,IF(GC18&lt;0,IF(GC18&gt;LOOKUP(Analysis!$C$159,$B:$B,GG:GG), GC18*(1+GD18),GG18),0)))</f>
        <v>-22059.883500000004</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36"/>
        <v>28684.976861741423</v>
      </c>
      <c r="GQ19" s="1">
        <f t="shared" si="37"/>
        <v>-2037.9077254464123</v>
      </c>
      <c r="GR19" s="64">
        <f>IF($B19&lt;Analysis!$C$159,0,Analysis!$C$178)</f>
        <v>3.0000000000000001E-3</v>
      </c>
      <c r="GS19" s="1">
        <f t="shared" si="38"/>
        <v>-5094.7693136160306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-1701.5301852221257</v>
      </c>
      <c r="HD19" s="1">
        <f t="shared" si="39"/>
        <v>-21094.207224284572</v>
      </c>
      <c r="HE19" s="1">
        <f>MIN(0,-(GN19+HD19)*Analysis!$C$28)-GE19*Analysis!$C$28</f>
        <v>2708.3244020549218</v>
      </c>
      <c r="HF19" s="1">
        <f>-Analysis!$C$176*GP19/12</f>
        <v>-2390.4147384784519</v>
      </c>
      <c r="HG19" s="38"/>
      <c r="HH19" s="1">
        <f>IF($B19&lt;Analysis!$C$159,0,-$HI19*$FW19)</f>
        <v>-86611.078331472527</v>
      </c>
      <c r="HI19" s="64">
        <f>IF($B19&lt;Analysis!$C$159,0,IF($B19=Analysis!$C$159,Analysis!$C$31,HI18))</f>
        <v>0.1275</v>
      </c>
      <c r="HJ19" s="1">
        <f>IF($B19&lt;Analysis!$C$159,0,$FW19+HH19)</f>
        <v>592691.49681733153</v>
      </c>
      <c r="HK19" s="1">
        <f>IF($B19-Analysis!$C$159&gt;10,0,IF($FW19&gt;LOOKUP(Analysis!$C$159,$B:$B, FW:FW),$V19*(LOOKUP(Analysis!$C$159,$B:$B, FW:FW)-FW19),0))</f>
        <v>0</v>
      </c>
      <c r="HL19" s="1">
        <f t="shared" si="40"/>
        <v>592691.49681733153</v>
      </c>
      <c r="HM19" s="38"/>
      <c r="HN19" s="1">
        <f t="shared" si="41"/>
        <v>-130324.26007361669</v>
      </c>
      <c r="HO19" s="1">
        <f t="shared" si="12"/>
        <v>156988.92643304353</v>
      </c>
      <c r="HP19" s="1">
        <f t="shared" si="42"/>
        <v>26664.666359426832</v>
      </c>
      <c r="HQ19" s="1">
        <f>IF(HP19 &lt; 0,
    IF(HQ18 + HP19 &gt; 0,
        HQ18 + HP19, IF(HV18-ABS(HQ18 + HP19)*(1+$V19) &gt;= HQ18 + HP19,
        0, HQ18 + HP19)),
    MIN(HQ18 + HP19, Analysis!$C$7))+IF(HQ18&lt;0, HQ18*Analysis!$C$9,0)</f>
        <v>24000</v>
      </c>
      <c r="HR19" s="38"/>
      <c r="HS19" s="1">
        <f t="shared" si="57"/>
        <v>18441.7529160511</v>
      </c>
      <c r="HT19" s="1">
        <f>IF($B19=Analysis!$C$159,0,IF(HP19 &gt;= 0,
    MAX(0, HQ18 + HP19 - Analysis!$C$7),
    0))</f>
        <v>26664.666359426832</v>
      </c>
      <c r="HU19" s="1">
        <f>IF($B19=Analysis!$C$159,0,MAX(0, HU18 + HT19 - IF(HP19 &lt; 0, MIN(ABS(HP19), HU18 + HT19), 0)))</f>
        <v>301545.38659767713</v>
      </c>
      <c r="HV19" s="1">
        <f>IF($B19=Analysis!$C$159,0,IF(HP19 &lt; 0,
    IF(HP19 + HQ18 &lt; 0,
        MAX(0, HV18 - (ABS(HP19 + HQ18) * (1+$V18))),
        HV18 + HS19),
    HV18 + HT19 + HS19))</f>
        <v>419265.64813602681</v>
      </c>
      <c r="HW19" s="1">
        <f t="shared" ref="HW19:HW52" si="61">IF(HV19-HU19&gt;0, HV19-$V19*(HV19-HU19),HV19)</f>
        <v>388216.9291552871</v>
      </c>
      <c r="HX19" s="36"/>
    </row>
    <row r="20" spans="1:232" x14ac:dyDescent="0.35">
      <c r="A20">
        <f t="shared" si="0"/>
        <v>53</v>
      </c>
      <c r="B20">
        <v>2043</v>
      </c>
      <c r="C20" s="1">
        <f>IF($B20&lt;Analysis!C$66,0,$AN20)+$AT20+$AW20+$BC20+$CF20+$CA20</f>
        <v>494286.28583477938</v>
      </c>
      <c r="D20" s="1">
        <f>IF($B20&lt;Analysis!C$66, 0, BV20)+AT20+AW20+BC20+CG20+CA20</f>
        <v>346046.91363739723</v>
      </c>
      <c r="E20" s="1">
        <f t="shared" si="13"/>
        <v>924167.34882575355</v>
      </c>
      <c r="F20" s="1">
        <f t="shared" si="14"/>
        <v>828720.58836965472</v>
      </c>
      <c r="G20" s="1">
        <f>IF(AND($B20&gt;=Analysis!$C$100, $B20&lt;Analysis!$C$101),$CK20,0)+IF($B20&gt;=Analysis!$C$130,EB20,0)+CQ20+CU20+CZ20+EH20+EK20+EQ20+$FO20+$FT20</f>
        <v>973189.87367227231</v>
      </c>
      <c r="H20" s="1">
        <f t="shared" si="2"/>
        <v>847721.87083828065</v>
      </c>
      <c r="I20" s="1">
        <f>IF($B20&lt;Analysis!$C$159,0,$FW20)+$GC20+$GF20+$GL20+$HQ20+$HV20</f>
        <v>973189.87367227231</v>
      </c>
      <c r="J20" s="1">
        <f t="shared" si="3"/>
        <v>847721.87083828065</v>
      </c>
      <c r="K20" s="36"/>
      <c r="L20" s="1">
        <f t="shared" si="15"/>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4"/>
        <v>0</v>
      </c>
      <c r="R20" s="1">
        <f>IF(AND(AND(B20=Analysis!C$35,Analysis!C$34&lt;&gt;0),AND(B20=Analysis!C$37,Analysis!C$36&lt;&gt;0)),Analysis!C$34+Analysis!C$36,IF(AND(B20=Analysis!C$35,Analysis!C$34&lt;&gt;0),Analysis!C$34,IF(AND(B20=Analysis!C$37,Analysis!C$36&lt;&gt;0),Analysis!C$36,0)))</f>
        <v>0</v>
      </c>
      <c r="S20" s="64">
        <f t="shared" si="16"/>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7"/>
        <v>0.26374999999999998</v>
      </c>
      <c r="W20" s="36"/>
      <c r="X20" s="1">
        <f t="shared" si="45"/>
        <v>-26690.669572111772</v>
      </c>
      <c r="Y20" s="64">
        <f t="shared" si="18"/>
        <v>2.941176470588247E-2</v>
      </c>
      <c r="Z20" s="1">
        <f t="shared" si="19"/>
        <v>-3960</v>
      </c>
      <c r="AA20" s="64">
        <f t="shared" si="20"/>
        <v>0</v>
      </c>
      <c r="AB20" s="40"/>
      <c r="AC20" s="1">
        <f t="shared" si="4"/>
        <v>-96550.669572111772</v>
      </c>
      <c r="AD20" s="1">
        <f t="shared" si="5"/>
        <v>129876.30189447982</v>
      </c>
      <c r="AE20" s="1">
        <f t="shared" si="21"/>
        <v>33325.632322368052</v>
      </c>
      <c r="AF20" s="1">
        <f>IF(AE20 &lt; 0,
    IF(AF19 + AE20 &gt; 0,
        AF19 + AE20, IF(AK19-ABS(AF19 + AE20)*(1+$V20) &gt;= AF19 + AE20,
        0, AF19 + AE20)),
    MIN(AF19 + AE20, Analysis!$C$7))+IF(AF19&lt;0, AF19*Analysis!$C$9,0)</f>
        <v>24000</v>
      </c>
      <c r="AG20" s="40"/>
      <c r="AH20" s="1">
        <f t="shared" si="22"/>
        <v>39366.496195274536</v>
      </c>
      <c r="AI20" s="1">
        <f>IF(AE20 &gt;= 0,
    MAX(0, AF19 + AE20 - Analysis!$C$7),
    0)</f>
        <v>33325.632322368052</v>
      </c>
      <c r="AJ20" s="1">
        <f t="shared" si="46"/>
        <v>538283.89685950207</v>
      </c>
      <c r="AK20" s="1">
        <f t="shared" si="23"/>
        <v>900167.34882575355</v>
      </c>
      <c r="AL20" s="1">
        <f t="shared" si="6"/>
        <v>804720.58836965472</v>
      </c>
      <c r="AM20" s="36"/>
      <c r="AN20" s="1">
        <f t="shared" si="47"/>
        <v>1162661.7427245663</v>
      </c>
      <c r="AO20" s="64">
        <f t="shared" si="24"/>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-26687.172481802809</v>
      </c>
      <c r="AT20" s="1">
        <f>IF($B20&lt;Analysis!$C$66,0,IF($B20=Analysis!$C$66,-AP20-AS20,MIN(0,AT19-AS20)))</f>
        <v>-320915.76044244575</v>
      </c>
      <c r="AU20" s="64">
        <f>IF($B20&lt;Analysis!$C$66,0,IF($B20=Analysis!$C$66,Analysis!$C$72,IF(($B20-Analysis!$C$66)&lt;LOOKUP(Analysis!$C$66,$B:$B,AQ:AQ),AU19,0)))</f>
        <v>3.6999999999999998E-2</v>
      </c>
      <c r="AV20" s="1">
        <f>IF($B20&lt;Analysis!$C$66,0,IF($B20=Analysis!$C$66,-AU20*AP20,AU19*AT19))</f>
        <v>-12861.308518197196</v>
      </c>
      <c r="AW20" s="1">
        <f>IF($B20&lt;Analysis!$C$66,0,IF($B20=Analysis!$C$66,PMT(AU20,AQ20,AP20)*AQ20-AX20-AT20,IF(($B20-Analysis!$C$66+1)&lt;LOOKUP(Analysis!$C$66,$B:$B,AQ:AQ),IF(AW19-AV20&lt;0, AW19-AV20,0),0)))</f>
        <v>-67703.726096838887</v>
      </c>
      <c r="AX20" s="1">
        <f>IF($B20&lt;Analysis!$C$66,0,IF($B20=Analysis!$C$66,AS20+AV20,IF(AT19&lt;0,IF(AT19&gt;LOOKUP(Analysis!$C$66,$B:$B,AX:AX), AT19*(1+AU19),AX19),0)))</f>
        <v>-39548.481000000007</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-3487.9852281736989</v>
      </c>
      <c r="BF20" s="64">
        <f>IF($B20&lt;Analysis!$C$66,0,Analysis!$C$78)</f>
        <v>3.0000000000000001E-3</v>
      </c>
      <c r="BG20" s="1">
        <f>IF($B20&lt;Analysis!$C$66,0,-BH20*AN20)</f>
        <v>-8719.9630704342471</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5"/>
        <v>-148239.37219738221</v>
      </c>
      <c r="BS20" s="64">
        <f>IF($B20&lt;Analysis!C$66,0,Analysis!C$31)</f>
        <v>0.1275</v>
      </c>
      <c r="BT20" s="1">
        <f>IF($B20&lt;Analysis!$C$66,0,AN20+BR20)</f>
        <v>1014422.3705271841</v>
      </c>
      <c r="BU20" s="1">
        <f>IF($B20-Analysis!$C$66&gt;3,0,IF($AN20&gt;LOOKUP(Analysis!$C$66,$B:$B, AN:AN),$V20*(LOOKUP(Analysis!$C$66,$B:$B, AN:AN)-AN20),0))</f>
        <v>0</v>
      </c>
      <c r="BV20" s="1">
        <f t="shared" si="26"/>
        <v>1014422.3705271841</v>
      </c>
      <c r="BW20" s="42"/>
      <c r="BX20" s="1">
        <f>IF($B20&lt;Analysis!$C$66,$P20+$N20+$X20+$Z20,$P20+$N20+AS20+AV20+BB20+BE20+BG20+MAX(BI20,SUM(BJ20:BN20))+BP20)</f>
        <v>-121616.42929860795</v>
      </c>
      <c r="BY20" s="1">
        <f t="shared" si="27"/>
        <v>129876.30189447982</v>
      </c>
      <c r="BZ20" s="1">
        <f t="shared" si="48"/>
        <v>8259.8725958718715</v>
      </c>
      <c r="CA20" s="1">
        <f>IF(BZ20 &lt; 0,
    IF(CA19 + BZ20 &gt; 0,
        CA19 + BZ20, IF(CF19-ABS(CA19 + BZ20)*(1+$V20) &gt;= CA19 + BZ20,
        0, CA19 + BZ20)),
    MIN(CA19 + BZ20, Analysis!$C$7))+IF(CA19&lt;0, CA19*Analysis!$C$9,0)</f>
        <v>-279755.97035050218</v>
      </c>
      <c r="CB20" s="42"/>
      <c r="CC20" s="1">
        <f t="shared" si="49"/>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8"/>
        <v>0</v>
      </c>
      <c r="CH20" s="36"/>
      <c r="CI20" s="1">
        <f>IF(OR($B20&lt;Analysis!$C$100, $B20&gt;=Analysis!$C$130),0,X20)</f>
        <v>-26690.669572111772</v>
      </c>
      <c r="CJ20" s="1">
        <f>IF(OR($B20&lt;Analysis!$C$100, $B20&gt;=Analysis!$C$130),0,Z20)</f>
        <v>-3960</v>
      </c>
      <c r="CK20" s="1">
        <f t="shared" si="50"/>
        <v>699282.06265318079</v>
      </c>
      <c r="CL20" s="64">
        <f t="shared" si="51"/>
        <v>2.941176470588247E-2</v>
      </c>
      <c r="CM20" s="1">
        <f>IF($B20=Analysis!$C$100,(CK20*(1+Analysis!$C$23+Analysis!$C$24+Analysis!$C$25))-IF($B20=$B$2,(Analysis!$C$6-Analysis!$C$7+Analysis!$C$105), (FU19-Analysis!$C$7+CV20)),0)</f>
        <v>0</v>
      </c>
      <c r="CN20" s="64">
        <f>IF($B20=Analysis!$C$100,Analysis!$C$103,0)</f>
        <v>0</v>
      </c>
      <c r="CO20" s="64">
        <f>IF(OR($B20&lt;Analysis!$C$100, $B20&gt;=Analysis!$C$101),0,IF($B20=Analysis!$C$100,Analysis!$C$102,IF(($B20-Analysis!$C$100)&lt;LOOKUP(Analysis!$C$100,$B:$B,CT:CT),CO19,0)))</f>
        <v>3.6999999999999998E-2</v>
      </c>
      <c r="CP20" s="1">
        <f>IF(OR($B20&lt;Analysis!$C$100, $B20&gt;=Analysis!$C$101),0,IF($B20=Analysis!$C$100,-CM20*CN20,IF(CS20&gt;=0,0,CS20-CR20)))</f>
        <v>-14885.929901908901</v>
      </c>
      <c r="CQ20" s="1">
        <f>IF(OR($B20&lt;Analysis!$C$100, $B20&gt;=Analysis!$C$101),0,IF($B20=Analysis!$C$100,-CM20-CP20,MIN(0,CQ19-CP20)))</f>
        <v>-179004.70788433708</v>
      </c>
      <c r="CR20" s="1">
        <f>IF(OR($B20&lt;Analysis!$C$100, $B20&gt;=Analysis!$C$101),0,IF($B20=Analysis!$C$100,-CO20*CM20,CO19*CQ19))</f>
        <v>-7173.9535980911014</v>
      </c>
      <c r="CS20" s="1">
        <f>IF(OR($B20&lt;Analysis!$C$100, $B20&gt;=Analysis!$C$101),0,IF($B20=Analysis!$C$100,CP20+CR20,IF(CQ19&lt;0,IF(CQ19&gt;LOOKUP(Analysis!$C$100,$B:$B,CS:CS), CQ19*(1+CO19),CS19),0)))</f>
        <v>-22059.883500000004</v>
      </c>
      <c r="CT20" s="65">
        <f>IF($B20=Analysis!$C$100,NPER(CO20,-CS20,-CM20),0)</f>
        <v>0</v>
      </c>
      <c r="CU20" s="1">
        <f>IF(OR($B20&lt;Analysis!$C$100, $B20&gt;=Analysis!$C$101),0,IF($B20=Analysis!$C$100,PMT(CO20,CT20,CM20)*CT20-CS20-CQ20,IF(($B20-Analysis!$C$100+1)&lt;LOOKUP(Analysis!$C$100,$B:$B,CT:CT),IF(CU19-CR20&lt;0, CU19-CR20,0),0)))</f>
        <v>-37764.694684788963</v>
      </c>
      <c r="CV20" s="1">
        <f>IF($B20=Analysis!$C$100,Analysis!$C$105,0)</f>
        <v>0</v>
      </c>
      <c r="CW20" s="1">
        <f>IF($B20=Analysis!$C$100,PMT(CO20,CX20,CV20)*CX20,0)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29"/>
        <v>29412.182063557349</v>
      </c>
      <c r="DE20" s="1">
        <f t="shared" si="8"/>
        <v>-2097.8461879595425</v>
      </c>
      <c r="DF20" s="64">
        <f>IF(OR($B20&lt;Analysis!$C$100, $B20&gt;=Analysis!$C$101),0,Analysis!$C$118)</f>
        <v>3.0000000000000001E-3</v>
      </c>
      <c r="DG20" s="1">
        <f t="shared" si="9"/>
        <v>-5244.6154698988557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-1751.5751906698356</v>
      </c>
      <c r="DR20" s="1">
        <f t="shared" si="30"/>
        <v>-21354.036848528234</v>
      </c>
      <c r="DS20" s="1">
        <f>MIN(0,-(DB20+DR20)*Analysis!$C$28)-CR20*Analysis!$C$28</f>
        <v>2292.446340419639</v>
      </c>
      <c r="DT20" s="1">
        <f>-Analysis!$C$116*DD20/12</f>
        <v>-2451.0151719631126</v>
      </c>
      <c r="DU20" s="53"/>
      <c r="DV20" s="1">
        <f t="shared" si="10"/>
        <v>-89158.462988280546</v>
      </c>
      <c r="DW20" s="64">
        <f>IF(OR($B20&lt;Analysis!$C$100, $B20&gt;=Analysis!$C$101),0,IF($B20=Analysis!$C$100,Analysis!$C$31,DW19))</f>
        <v>0.1275</v>
      </c>
      <c r="DX20" s="1">
        <f>IF(OR($B20&lt;Analysis!$C$100, $B20&gt;=Analysis!$C$101),0,CK20+DV20)</f>
        <v>610123.59966490022</v>
      </c>
      <c r="DY20" s="1">
        <f>IF(OR($B20&lt;Analysis!$C$100, $B20&gt;=Analysis!$C$101),0,IF($B20-Analysis!$C$100&gt;3,0,IF(CK20&gt;LOOKUP(Analysis!$C$100,$B:$B, CK:CK),$V20*(LOOKUP(Analysis!$C$100,$B:$B, CK:CK)-CK20),0)))</f>
        <v>0</v>
      </c>
      <c r="DZ20" s="1">
        <f t="shared" si="52"/>
        <v>610123.59966490022</v>
      </c>
      <c r="EA20" s="53"/>
      <c r="EB20" s="1">
        <f t="shared" si="31"/>
        <v>1162661.7427245663</v>
      </c>
      <c r="EC20" s="64">
        <f t="shared" si="53"/>
        <v>2.941176470588247E-2</v>
      </c>
      <c r="ED20" s="1">
        <f>MAX(0,IF($B20=Analysis!$C$130,(EB20*(1+Analysis!$C$23+Analysis!$C$24+Analysis!$C$25))-(IF($B20=$B$2,(Analysis!$C$6-Analysis!$C$7+Analysis!$C$132), (FU19-Analysis!$C$7+EM20)) + IF($B20=Analysis!$C$101,DZ19+CQ19+CU19+CZ19,0)),0))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$P20+$N20+IF($B20&lt;Analysis!$C$130,$CI20+$CJ20,0)+CP20+CR20+CY20+DE20+DG20+MIN(DI20,SUM(DJ20:DN20))+DQ20+DS20+DT20+EG20+EJ20+EP20+ES20+EU20+MIN(EW20,SUM(EX20:FB20))+FD20</f>
        <v>-131823.15875218349</v>
      </c>
      <c r="FM20" s="1">
        <f>$M20+$R20+DD20+IF(AND($B20&lt;&gt;Analysis!$C$130,$B20=Analysis!$C$101),DZ19+CQ19+CU19+CZ19,0)</f>
        <v>159288.48395803716</v>
      </c>
      <c r="FN20" s="1">
        <f t="shared" si="34"/>
        <v>27465.325205853675</v>
      </c>
      <c r="FO20" s="1">
        <f>IF(FN20 &lt; 0,
    IF(FO19 + FN20 &gt; 0,
        FO19 + FN20, IF(FT19-ABS(FO19 + FN20)*(1+$V20) &gt;= FO19 + FN20,
        0, FO19 + FN20)),
    MIN(FO19 + FN20, Analysis!$C$7))+IF(FO19&lt;0, FO19*Analysis!$C$9,0)</f>
        <v>24000</v>
      </c>
      <c r="FP20" s="53"/>
      <c r="FQ20" s="1">
        <f t="shared" si="54"/>
        <v>19946.240246336994</v>
      </c>
      <c r="FR20" s="1">
        <f>IF(OR($B20=Analysis!$C$100, $B20=Analysis!$C$130),0,IF(FN20 &gt;= 0,
    MAX(0, FO19 + FN20 - Analysis!$C$7),
    0))</f>
        <v>27465.325205853675</v>
      </c>
      <c r="FS20" s="1">
        <f>IF(OR($B20=Analysis!$C$100, $B20=Analysis!$C$130),0,MAX(0, FS19 + FR20 - IF(FN20 &lt; 0, MIN(ABS(FN20), FS19 + FR20), 0)))</f>
        <v>329010.71180353081</v>
      </c>
      <c r="FT20" s="1">
        <f>IF(OR($B20=Analysis!$C$100, $B20=Analysis!$C$130),0,IF(FN20 &lt; 0,
    IF(FN20 + FO19 &lt; 0,
        MAX(0, FT19 - (ABS(FN20 + FO19) * (1+$V19))),
        FT19 + FQ20),
    FT19 + FR20 + FQ20))</f>
        <v>466677.21358821751</v>
      </c>
      <c r="FU20" s="1">
        <f t="shared" si="60"/>
        <v>430367.67374250642</v>
      </c>
      <c r="FV20" s="36"/>
      <c r="FW20" s="1">
        <f t="shared" si="55"/>
        <v>699282.06265318079</v>
      </c>
      <c r="FX20" s="64">
        <f t="shared" si="56"/>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-14885.929901908901</v>
      </c>
      <c r="GC20" s="1">
        <f>IF($B20&lt;Analysis!$C$159,0,IF($B20=Analysis!$C$159,-FY20-GB20,MIN(0,GC19-GB20)))</f>
        <v>-179004.70788433708</v>
      </c>
      <c r="GD20" s="64">
        <f>IF($B20&lt;Analysis!$C$159,0,IF($B20=Analysis!$C$159,Analysis!$C$160,IF(($B20-Analysis!$C$159)&lt;LOOKUP(Analysis!$C$159,$B:$B,FZ:FZ),GD19,0)))</f>
        <v>3.6999999999999998E-2</v>
      </c>
      <c r="GE20" s="1">
        <f>IF($B20&lt;Analysis!$C$159,0,IF($B20=Analysis!$C$159,-GD20*FY20,GD19*GC19))</f>
        <v>-7173.9535980911014</v>
      </c>
      <c r="GF20" s="1">
        <f>IF($B20&lt;Analysis!$C$159,0,IF($B20=Analysis!$C$159,PMT(GD20,FZ20,FY20)*FZ20-GG20-GC20,IF(($B20-Analysis!$C$159+1)&lt;LOOKUP(Analysis!$C$159,$B:$B,FZ:FZ),IF(GF19-GE20&lt;0, GF19-GE20,0),0)))</f>
        <v>-37764.694684788963</v>
      </c>
      <c r="GG20" s="1">
        <f>IF($B20&lt;Analysis!$C$159,0,IF($B20=Analysis!$C$159,GB20+GE20,IF(GC19&lt;0,IF(GC19&gt;LOOKUP(Analysis!$C$159,$B:$B,GG:GG), GC19*(1+GD19),GG19),0)))</f>
        <v>-22059.883500000004</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36"/>
        <v>29412.182063557349</v>
      </c>
      <c r="GQ20" s="1">
        <f t="shared" si="37"/>
        <v>-2097.8461879595425</v>
      </c>
      <c r="GR20" s="64">
        <f>IF($B20&lt;Analysis!$C$159,0,Analysis!$C$178)</f>
        <v>3.0000000000000001E-3</v>
      </c>
      <c r="GS20" s="1">
        <f t="shared" si="38"/>
        <v>-5244.6154698988557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-1751.5751906698356</v>
      </c>
      <c r="HD20" s="1">
        <f t="shared" si="39"/>
        <v>-21354.036848528234</v>
      </c>
      <c r="HE20" s="1">
        <f>MIN(0,-(GN20+HD20)*Analysis!$C$28)-GE20*Analysis!$C$28</f>
        <v>2292.446340419639</v>
      </c>
      <c r="HF20" s="1">
        <f>-Analysis!$C$176*GP20/12</f>
        <v>-2451.0151719631126</v>
      </c>
      <c r="HG20" s="38"/>
      <c r="HH20" s="1">
        <f>IF($B20&lt;Analysis!$C$159,0,-$HI20*$FW20)</f>
        <v>-89158.462988280546</v>
      </c>
      <c r="HI20" s="64">
        <f>IF($B20&lt;Analysis!$C$159,0,IF($B20=Analysis!$C$159,Analysis!$C$31,HI19))</f>
        <v>0.1275</v>
      </c>
      <c r="HJ20" s="1">
        <f>IF($B20&lt;Analysis!$C$159,0,$FW20+HH20)</f>
        <v>610123.59966490022</v>
      </c>
      <c r="HK20" s="1">
        <f>IF($B20-Analysis!$C$159&gt;10,0,IF($FW20&gt;LOOKUP(Analysis!$C$159,$B:$B, FW:FW),$V20*(LOOKUP(Analysis!$C$159,$B:$B, FW:FW)-FW20),0))</f>
        <v>0</v>
      </c>
      <c r="HL20" s="1">
        <f t="shared" si="40"/>
        <v>610123.59966490022</v>
      </c>
      <c r="HM20" s="38"/>
      <c r="HN20" s="1">
        <f t="shared" si="41"/>
        <v>-131823.15875218349</v>
      </c>
      <c r="HO20" s="1">
        <f t="shared" si="12"/>
        <v>159288.48395803716</v>
      </c>
      <c r="HP20" s="1">
        <f t="shared" si="42"/>
        <v>27465.325205853675</v>
      </c>
      <c r="HQ20" s="1">
        <f>IF(HP20 &lt; 0,
    IF(HQ19 + HP20 &gt; 0,
        HQ19 + HP20, IF(HV19-ABS(HQ19 + HP20)*(1+$V20) &gt;= HQ19 + HP20,
        0, HQ19 + HP20)),
    MIN(HQ19 + HP20, Analysis!$C$7))+IF(HQ19&lt;0, HQ19*Analysis!$C$9,0)</f>
        <v>24000</v>
      </c>
      <c r="HR20" s="38"/>
      <c r="HS20" s="1">
        <f t="shared" si="57"/>
        <v>19946.240246336994</v>
      </c>
      <c r="HT20" s="1">
        <f>IF($B20=Analysis!$C$159,0,IF(HP20 &gt;= 0,
    MAX(0, HQ19 + HP20 - Analysis!$C$7),
    0))</f>
        <v>27465.325205853675</v>
      </c>
      <c r="HU20" s="1">
        <f>IF($B20=Analysis!$C$159,0,MAX(0, HU19 + HT20 - IF(HP20 &lt; 0, MIN(ABS(HP20), HU19 + HT20), 0)))</f>
        <v>329010.71180353081</v>
      </c>
      <c r="HV20" s="1">
        <f>IF($B20=Analysis!$C$159,0,IF(HP20 &lt; 0,
    IF(HP20 + HQ19 &lt; 0,
        MAX(0, HV19 - (ABS(HP20 + HQ19) * (1+$V19))),
        HV19 + HS20),
    HV19 + HT20 + HS20))</f>
        <v>466677.21358821751</v>
      </c>
      <c r="HW20" s="1">
        <f t="shared" si="61"/>
        <v>430367.67374250642</v>
      </c>
      <c r="HX20" s="36"/>
    </row>
    <row r="21" spans="1:232" x14ac:dyDescent="0.35">
      <c r="A21">
        <f t="shared" si="0"/>
        <v>54</v>
      </c>
      <c r="B21">
        <v>2044</v>
      </c>
      <c r="C21" s="1">
        <f>IF($B21&lt;Analysis!C$66,0,$AN21)+$AT21+$AW21+$BC21+$CF21+$CA21</f>
        <v>550892.65945600299</v>
      </c>
      <c r="D21" s="1">
        <f>IF($B21&lt;Analysis!C$66, 0, BV21)+AT21+AW21+BC21+CG21+CA21</f>
        <v>398293.30572340387</v>
      </c>
      <c r="E21" s="1">
        <f t="shared" si="13"/>
        <v>995331.20698917622</v>
      </c>
      <c r="F21" s="1">
        <f t="shared" si="14"/>
        <v>888996.41815359634</v>
      </c>
      <c r="G21" s="1">
        <f>IF(AND($B21&gt;=Analysis!$C$100, $B21&lt;Analysis!$C$101),$CK21,0)+IF($B21&gt;=Analysis!$C$130,EB21,0)+CQ21+CU21+CZ21+EH21+EK21+EQ21+$FO21+$FT21</f>
        <v>1061229.4379061316</v>
      </c>
      <c r="H21" s="1">
        <f t="shared" si="2"/>
        <v>927494.40499502374</v>
      </c>
      <c r="I21" s="1">
        <f>IF($B21&lt;Analysis!$C$159,0,$FW21)+$GC21+$GF21+$GL21+$HQ21+$HV21</f>
        <v>1061229.4379061316</v>
      </c>
      <c r="J21" s="1">
        <f t="shared" si="3"/>
        <v>927494.40499502374</v>
      </c>
      <c r="K21" s="36"/>
      <c r="L21" s="1">
        <f t="shared" si="15"/>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4"/>
        <v>0</v>
      </c>
      <c r="R21" s="1">
        <f>IF(AND(AND(B21=Analysis!C$35,Analysis!C$34&lt;&gt;0),AND(B21=Analysis!C$37,Analysis!C$36&lt;&gt;0)),Analysis!C$34+Analysis!C$36,IF(AND(B21=Analysis!C$35,Analysis!C$34&lt;&gt;0),Analysis!C$34,IF(AND(B21=Analysis!C$37,Analysis!C$36&lt;&gt;0),Analysis!C$36,0)))</f>
        <v>0</v>
      </c>
      <c r="S21" s="64">
        <f t="shared" si="16"/>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7"/>
        <v>0.26374999999999998</v>
      </c>
      <c r="W21" s="36"/>
      <c r="X21" s="1">
        <f t="shared" si="45"/>
        <v>-27475.689265409179</v>
      </c>
      <c r="Y21" s="64">
        <f t="shared" si="18"/>
        <v>2.941176470588247E-2</v>
      </c>
      <c r="Z21" s="1">
        <f t="shared" si="19"/>
        <v>-3960</v>
      </c>
      <c r="AA21" s="64">
        <f t="shared" si="20"/>
        <v>0</v>
      </c>
      <c r="AB21" s="40"/>
      <c r="AC21" s="1">
        <f t="shared" si="4"/>
        <v>-101585.68926540918</v>
      </c>
      <c r="AD21" s="1">
        <f t="shared" si="5"/>
        <v>131467.92324122589</v>
      </c>
      <c r="AE21" s="1">
        <f t="shared" si="21"/>
        <v>29882.233975816707</v>
      </c>
      <c r="AF21" s="1">
        <f>IF(AE21 &lt; 0,
    IF(AF20 + AE21 &gt; 0,
        AF20 + AE21, IF(AK20-ABS(AF20 + AE21)*(1+$V21) &gt;= AF20 + AE21,
        0, AF20 + AE21)),
    MIN(AF20 + AE21, Analysis!$C$7))+IF(AF20&lt;0, AF20*Analysis!$C$9,0)</f>
        <v>24000</v>
      </c>
      <c r="AG21" s="40"/>
      <c r="AH21" s="1">
        <f t="shared" si="22"/>
        <v>41281.62418760587</v>
      </c>
      <c r="AI21" s="1">
        <f>IF(AE21 &gt;= 0,
    MAX(0, AF20 + AE21 - Analysis!$C$7),
    0)</f>
        <v>29882.233975816707</v>
      </c>
      <c r="AJ21" s="1">
        <f t="shared" si="46"/>
        <v>568166.13083531882</v>
      </c>
      <c r="AK21" s="1">
        <f t="shared" si="23"/>
        <v>971331.20698917622</v>
      </c>
      <c r="AL21" s="1">
        <f t="shared" si="6"/>
        <v>864996.41815359634</v>
      </c>
      <c r="AM21" s="36"/>
      <c r="AN21" s="1">
        <f t="shared" si="47"/>
        <v>1196857.6763341124</v>
      </c>
      <c r="AO21" s="64">
        <f t="shared" si="24"/>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-27674.597863629515</v>
      </c>
      <c r="AT21" s="1">
        <f>IF($B21&lt;Analysis!$C$66,0,IF($B21=Analysis!$C$66,-AP21-AS21,MIN(0,AT20-AS21)))</f>
        <v>-293241.16257881623</v>
      </c>
      <c r="AU21" s="64">
        <f>IF($B21&lt;Analysis!$C$66,0,IF($B21=Analysis!$C$66,Analysis!$C$72,IF(($B21-Analysis!$C$66)&lt;LOOKUP(Analysis!$C$66,$B:$B,AQ:AQ),AU20,0)))</f>
        <v>3.6999999999999998E-2</v>
      </c>
      <c r="AV21" s="1">
        <f>IF($B21&lt;Analysis!$C$66,0,IF($B21=Analysis!$C$66,-AU21*AP21,AU20*AT20))</f>
        <v>-11873.883136370492</v>
      </c>
      <c r="AW21" s="1">
        <f>IF($B21&lt;Analysis!$C$66,0,IF($B21=Analysis!$C$66,PMT(AU21,AQ21,AP21)*AQ21-AX21-AT21,IF(($B21-Analysis!$C$66+1)&lt;LOOKUP(Analysis!$C$66,$B:$B,AQ:AQ),IF(AW20-AV21&lt;0, AW20-AV21,0),0)))</f>
        <v>-55829.842960468392</v>
      </c>
      <c r="AX21" s="1">
        <f>IF($B21&lt;Analysis!$C$66,0,IF($B21=Analysis!$C$66,AS21+AV21,IF(AT20&lt;0,IF(AT20&gt;LOOKUP(Analysis!$C$66,$B:$B,AX:AX), AT20*(1+AU20),AX20),0)))</f>
        <v>-39548.481000000007</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-3590.5730290023375</v>
      </c>
      <c r="BF21" s="64">
        <f>IF($B21&lt;Analysis!$C$66,0,Analysis!$C$78)</f>
        <v>3.0000000000000001E-3</v>
      </c>
      <c r="BG21" s="1">
        <f>IF($B21&lt;Analysis!$C$66,0,-BH21*AN21)</f>
        <v>-8976.4325725058425</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5"/>
        <v>-152599.35373259932</v>
      </c>
      <c r="BS21" s="64">
        <f>IF($B21&lt;Analysis!C$66,0,Analysis!C$31)</f>
        <v>0.1275</v>
      </c>
      <c r="BT21" s="1">
        <f>IF($B21&lt;Analysis!$C$66,0,AN21+BR21)</f>
        <v>1044258.3226015131</v>
      </c>
      <c r="BU21" s="1">
        <f>IF($B21-Analysis!$C$66&gt;3,0,IF($AN21&gt;LOOKUP(Analysis!$C$66,$B:$B, AN:AN),$V21*(LOOKUP(Analysis!$C$66,$B:$B, AN:AN)-AN21),0))</f>
        <v>0</v>
      </c>
      <c r="BV21" s="1">
        <f t="shared" si="26"/>
        <v>1044258.3226015131</v>
      </c>
      <c r="BW21" s="42"/>
      <c r="BX21" s="1">
        <f>IF($B21&lt;Analysis!$C$66,$P21+$N21+$X21+$Z21,$P21+$N21+AS21+AV21+BB21+BE21+BG21+MAX(BI21,SUM(BJ21:BN21))+BP21)</f>
        <v>-126225.48660150819</v>
      </c>
      <c r="BY21" s="1">
        <f t="shared" si="27"/>
        <v>131467.92324122589</v>
      </c>
      <c r="BZ21" s="1">
        <f t="shared" si="48"/>
        <v>5242.4366397176927</v>
      </c>
      <c r="CA21" s="1">
        <f>IF(BZ21 &lt; 0,
    IF(CA20 + BZ21 &gt; 0,
        CA20 + BZ21, IF(CF20-ABS(CA20 + BZ21)*(1+$V21) &gt;= CA20 + BZ21,
        0, CA20 + BZ21)),
    MIN(CA20 + BZ21, Analysis!$C$7))+IF(CA20&lt;0, CA20*Analysis!$C$9,0)</f>
        <v>-296894.0113388247</v>
      </c>
      <c r="CB21" s="42"/>
      <c r="CC21" s="1">
        <f t="shared" si="49"/>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8"/>
        <v>0</v>
      </c>
      <c r="CH21" s="36"/>
      <c r="CI21" s="1">
        <f>IF(OR($B21&lt;Analysis!$C$100, $B21&gt;=Analysis!$C$130),0,X21)</f>
        <v>-27475.689265409179</v>
      </c>
      <c r="CJ21" s="1">
        <f>IF(OR($B21&lt;Analysis!$C$100, $B21&gt;=Analysis!$C$130),0,Z21)</f>
        <v>-3960</v>
      </c>
      <c r="CK21" s="1">
        <f t="shared" si="50"/>
        <v>719849.18214298028</v>
      </c>
      <c r="CL21" s="64">
        <f t="shared" si="51"/>
        <v>2.941176470588247E-2</v>
      </c>
      <c r="CM21" s="1">
        <f>IF($B21=Analysis!$C$100,(CK21*(1+Analysis!$C$23+Analysis!$C$24+Analysis!$C$25))-IF($B21=$B$2,(Analysis!$C$6-Analysis!$C$7+Analysis!$C$105), (FU20-Analysis!$C$7+CV21)),0)</f>
        <v>0</v>
      </c>
      <c r="CN21" s="64">
        <f>IF($B21=Analysis!$C$100,Analysis!$C$103,0)</f>
        <v>0</v>
      </c>
      <c r="CO21" s="64">
        <f>IF(OR($B21&lt;Analysis!$C$100, $B21&gt;=Analysis!$C$101),0,IF($B21=Analysis!$C$100,Analysis!$C$102,IF(($B21-Analysis!$C$100)&lt;LOOKUP(Analysis!$C$100,$B:$B,CT:CT),CO20,0)))</f>
        <v>3.6999999999999998E-2</v>
      </c>
      <c r="CP21" s="1">
        <f>IF(OR($B21&lt;Analysis!$C$100, $B21&gt;=Analysis!$C$101),0,IF($B21=Analysis!$C$100,-CM21*CN21,IF(CS21&gt;=0,0,CS21-CR21)))</f>
        <v>-15436.709308279533</v>
      </c>
      <c r="CQ21" s="1">
        <f>IF(OR($B21&lt;Analysis!$C$100, $B21&gt;=Analysis!$C$101),0,IF($B21=Analysis!$C$100,-CM21-CP21,MIN(0,CQ20-CP21)))</f>
        <v>-163567.99857605755</v>
      </c>
      <c r="CR21" s="1">
        <f>IF(OR($B21&lt;Analysis!$C$100, $B21&gt;=Analysis!$C$101),0,IF($B21=Analysis!$C$100,-CO21*CM21,CO20*CQ20))</f>
        <v>-6623.1741917204718</v>
      </c>
      <c r="CS21" s="1">
        <f>IF(OR($B21&lt;Analysis!$C$100, $B21&gt;=Analysis!$C$101),0,IF($B21=Analysis!$C$100,CP21+CR21,IF(CQ20&lt;0,IF(CQ20&gt;LOOKUP(Analysis!$C$100,$B:$B,CS:CS), CQ20*(1+CO20),CS20),0)))</f>
        <v>-22059.883500000004</v>
      </c>
      <c r="CT21" s="65">
        <f>IF($B21=Analysis!$C$100,NPER(CO21,-CS21,-CM21),0)</f>
        <v>0</v>
      </c>
      <c r="CU21" s="1">
        <f>IF(OR($B21&lt;Analysis!$C$100, $B21&gt;=Analysis!$C$101),0,IF($B21=Analysis!$C$100,PMT(CO21,CT21,CM21)*CT21-CS21-CQ21,IF(($B21-Analysis!$C$100+1)&lt;LOOKUP(Analysis!$C$100,$B:$B,CT:CT),IF(CU20-CR21&lt;0, CU20-CR21,0),0)))</f>
        <v>-31141.520493068492</v>
      </c>
      <c r="CV21" s="1">
        <f>IF($B21=Analysis!$C$100,Analysis!$C$105,0)</f>
        <v>0</v>
      </c>
      <c r="CW21" s="1">
        <f>IF($B21=Analysis!$C$100,PMT(CO21,CX21,CV21)*CX21,0)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29"/>
        <v>30160.775653661982</v>
      </c>
      <c r="DE21" s="1">
        <f t="shared" si="8"/>
        <v>-2159.5475464289407</v>
      </c>
      <c r="DF21" s="64">
        <f>IF(OR($B21&lt;Analysis!$C$100, $B21&gt;=Analysis!$C$101),0,Analysis!$C$118)</f>
        <v>3.0000000000000001E-3</v>
      </c>
      <c r="DG21" s="1">
        <f t="shared" si="9"/>
        <v>-5398.8688660723519</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-1803.092108042478</v>
      </c>
      <c r="DR21" s="1">
        <f t="shared" si="30"/>
        <v>-21621.508520543768</v>
      </c>
      <c r="DS21" s="1">
        <f>MIN(0,-(DB21+DR21)*Analysis!$C$28)-CR21*Analysis!$C$28</f>
        <v>1862.5507354893243</v>
      </c>
      <c r="DT21" s="1">
        <f>-Analysis!$C$116*DD21/12</f>
        <v>-2513.3979711384986</v>
      </c>
      <c r="DU21" s="53"/>
      <c r="DV21" s="1">
        <f t="shared" si="10"/>
        <v>-91780.770723229987</v>
      </c>
      <c r="DW21" s="64">
        <f>IF(OR($B21&lt;Analysis!$C$100, $B21&gt;=Analysis!$C$101),0,IF($B21=Analysis!$C$100,Analysis!$C$31,DW20))</f>
        <v>0.1275</v>
      </c>
      <c r="DX21" s="1">
        <f>IF(OR($B21&lt;Analysis!$C$100, $B21&gt;=Analysis!$C$101),0,CK21+DV21)</f>
        <v>628068.41141975031</v>
      </c>
      <c r="DY21" s="1">
        <f>IF(OR($B21&lt;Analysis!$C$100, $B21&gt;=Analysis!$C$101),0,IF($B21-Analysis!$C$100&gt;3,0,IF(CK21&gt;LOOKUP(Analysis!$C$100,$B:$B, CK:CK),$V21*(LOOKUP(Analysis!$C$100,$B:$B, CK:CK)-CK21),0)))</f>
        <v>0</v>
      </c>
      <c r="DZ21" s="1">
        <f t="shared" si="52"/>
        <v>628068.41141975031</v>
      </c>
      <c r="EA21" s="53"/>
      <c r="EB21" s="1">
        <f t="shared" si="31"/>
        <v>1196857.6763341124</v>
      </c>
      <c r="EC21" s="64">
        <f t="shared" si="53"/>
        <v>2.941176470588247E-2</v>
      </c>
      <c r="ED21" s="1">
        <f>MAX(0,IF($B21=Analysis!$C$130,(EB21*(1+Analysis!$C$23+Analysis!$C$24+Analysis!$C$25))-(IF($B21=$B$2,(Analysis!$C$6-Analysis!$C$7+Analysis!$C$132), (FU20-Analysis!$C$7+EM21)) + IF($B21=Analysis!$C$101,DZ20+CQ20+CU20+CZ20,0)),0))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$P21+$N21+IF($B21&lt;Analysis!$C$130,$CI21+$CJ21,0)+CP21+CR21+CY21+DE21+DG21+MIN(DI21,SUM(DJ21:DN21))+DQ21+DS21+DT21+EG21+EJ21+EP21+ES21+EU21+MIN(EW21,SUM(EX21:FB21))+FD21</f>
        <v>-137617.92852160212</v>
      </c>
      <c r="FM21" s="1">
        <f>$M21+$R21+DD21+IF(AND($B21&lt;&gt;Analysis!$C$130,$B21=Analysis!$C$101),DZ20+CQ20+CU20+CZ20,0)</f>
        <v>161628.69889488787</v>
      </c>
      <c r="FN21" s="1">
        <f t="shared" si="34"/>
        <v>24010.770373285748</v>
      </c>
      <c r="FO21" s="1">
        <f>IF(FN21 &lt; 0,
    IF(FO20 + FN21 &gt; 0,
        FO20 + FN21, IF(FT20-ABS(FO20 + FN21)*(1+$V21) &gt;= FO20 + FN21,
        0, FO20 + FN21)),
    MIN(FO20 + FN21, Analysis!$C$7))+IF(FO20&lt;0, FO20*Analysis!$C$9,0)</f>
        <v>24000</v>
      </c>
      <c r="FP21" s="53"/>
      <c r="FQ21" s="1">
        <f t="shared" si="54"/>
        <v>21401.790870774024</v>
      </c>
      <c r="FR21" s="1">
        <f>IF(OR($B21=Analysis!$C$100, $B21=Analysis!$C$130),0,IF(FN21 &gt;= 0,
    MAX(0, FO20 + FN21 - Analysis!$C$7),
    0))</f>
        <v>24010.770373285748</v>
      </c>
      <c r="FS21" s="1">
        <f>IF(OR($B21=Analysis!$C$100, $B21=Analysis!$C$130),0,MAX(0, FS20 + FR21 - IF(FN21 &lt; 0, MIN(ABS(FN21), FS20 + FR21), 0)))</f>
        <v>353021.48217681656</v>
      </c>
      <c r="FT21" s="1">
        <f>IF(OR($B21=Analysis!$C$100, $B21=Analysis!$C$130),0,IF(FN21 &lt; 0,
    IF(FN21 + FO20 &lt; 0,
        MAX(0, FT20 - (ABS(FN21 + FO20) * (1+$V20))),
        FT20 + FQ21),
    FT20 + FR21 + FQ21))</f>
        <v>512089.77483227727</v>
      </c>
      <c r="FU21" s="1">
        <f t="shared" si="60"/>
        <v>470135.51264439954</v>
      </c>
      <c r="FV21" s="36"/>
      <c r="FW21" s="1">
        <f t="shared" si="55"/>
        <v>719849.18214298028</v>
      </c>
      <c r="FX21" s="64">
        <f t="shared" si="56"/>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-15436.709308279533</v>
      </c>
      <c r="GC21" s="1">
        <f>IF($B21&lt;Analysis!$C$159,0,IF($B21=Analysis!$C$159,-FY21-GB21,MIN(0,GC20-GB21)))</f>
        <v>-163567.99857605755</v>
      </c>
      <c r="GD21" s="64">
        <f>IF($B21&lt;Analysis!$C$159,0,IF($B21=Analysis!$C$159,Analysis!$C$160,IF(($B21-Analysis!$C$159)&lt;LOOKUP(Analysis!$C$159,$B:$B,FZ:FZ),GD20,0)))</f>
        <v>3.6999999999999998E-2</v>
      </c>
      <c r="GE21" s="1">
        <f>IF($B21&lt;Analysis!$C$159,0,IF($B21=Analysis!$C$159,-GD21*FY21,GD20*GC20))</f>
        <v>-6623.1741917204718</v>
      </c>
      <c r="GF21" s="1">
        <f>IF($B21&lt;Analysis!$C$159,0,IF($B21=Analysis!$C$159,PMT(GD21,FZ21,FY21)*FZ21-GG21-GC21,IF(($B21-Analysis!$C$159+1)&lt;LOOKUP(Analysis!$C$159,$B:$B,FZ:FZ),IF(GF20-GE21&lt;0, GF20-GE21,0),0)))</f>
        <v>-31141.520493068492</v>
      </c>
      <c r="GG21" s="1">
        <f>IF($B21&lt;Analysis!$C$159,0,IF($B21=Analysis!$C$159,GB21+GE21,IF(GC20&lt;0,IF(GC20&gt;LOOKUP(Analysis!$C$159,$B:$B,GG:GG), GC20*(1+GD20),GG20),0)))</f>
        <v>-22059.883500000004</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36"/>
        <v>30160.775653661982</v>
      </c>
      <c r="GQ21" s="1">
        <f t="shared" si="37"/>
        <v>-2159.5475464289407</v>
      </c>
      <c r="GR21" s="64">
        <f>IF($B21&lt;Analysis!$C$159,0,Analysis!$C$178)</f>
        <v>3.0000000000000001E-3</v>
      </c>
      <c r="GS21" s="1">
        <f t="shared" si="38"/>
        <v>-5398.8688660723519</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-1803.092108042478</v>
      </c>
      <c r="HD21" s="1">
        <f t="shared" si="39"/>
        <v>-21621.508520543768</v>
      </c>
      <c r="HE21" s="1">
        <f>MIN(0,-(GN21+HD21)*Analysis!$C$28)-GE21*Analysis!$C$28</f>
        <v>1862.5507354893243</v>
      </c>
      <c r="HF21" s="1">
        <f>-Analysis!$C$176*GP21/12</f>
        <v>-2513.3979711384986</v>
      </c>
      <c r="HG21" s="38"/>
      <c r="HH21" s="1">
        <f>IF($B21&lt;Analysis!$C$159,0,-$HI21*$FW21)</f>
        <v>-91780.770723229987</v>
      </c>
      <c r="HI21" s="64">
        <f>IF($B21&lt;Analysis!$C$159,0,IF($B21=Analysis!$C$159,Analysis!$C$31,HI20))</f>
        <v>0.1275</v>
      </c>
      <c r="HJ21" s="1">
        <f>IF($B21&lt;Analysis!$C$159,0,$FW21+HH21)</f>
        <v>628068.41141975031</v>
      </c>
      <c r="HK21" s="1">
        <f>IF($B21-Analysis!$C$159&gt;10,0,IF($FW21&gt;LOOKUP(Analysis!$C$159,$B:$B, FW:FW),$V21*(LOOKUP(Analysis!$C$159,$B:$B, FW:FW)-FW21),0))</f>
        <v>0</v>
      </c>
      <c r="HL21" s="1">
        <f t="shared" si="40"/>
        <v>628068.41141975031</v>
      </c>
      <c r="HM21" s="38"/>
      <c r="HN21" s="1">
        <f t="shared" si="41"/>
        <v>-137617.92852160212</v>
      </c>
      <c r="HO21" s="1">
        <f t="shared" si="12"/>
        <v>161628.69889488787</v>
      </c>
      <c r="HP21" s="1">
        <f t="shared" si="42"/>
        <v>24010.770373285748</v>
      </c>
      <c r="HQ21" s="1">
        <f>IF(HP21 &lt; 0,
    IF(HQ20 + HP21 &gt; 0,
        HQ20 + HP21, IF(HV20-ABS(HQ20 + HP21)*(1+$V21) &gt;= HQ20 + HP21,
        0, HQ20 + HP21)),
    MIN(HQ20 + HP21, Analysis!$C$7))+IF(HQ20&lt;0, HQ20*Analysis!$C$9,0)</f>
        <v>24000</v>
      </c>
      <c r="HR21" s="38"/>
      <c r="HS21" s="1">
        <f t="shared" si="57"/>
        <v>21401.790870774024</v>
      </c>
      <c r="HT21" s="1">
        <f>IF($B21=Analysis!$C$159,0,IF(HP21 &gt;= 0,
    MAX(0, HQ20 + HP21 - Analysis!$C$7),
    0))</f>
        <v>24010.770373285748</v>
      </c>
      <c r="HU21" s="1">
        <f>IF($B21=Analysis!$C$159,0,MAX(0, HU20 + HT21 - IF(HP21 &lt; 0, MIN(ABS(HP21), HU20 + HT21), 0)))</f>
        <v>353021.48217681656</v>
      </c>
      <c r="HV21" s="1">
        <f>IF($B21=Analysis!$C$159,0,IF(HP21 &lt; 0,
    IF(HP21 + HQ20 &lt; 0,
        MAX(0, HV20 - (ABS(HP21 + HQ20) * (1+$V20))),
        HV20 + HS21),
    HV20 + HT21 + HS21))</f>
        <v>512089.77483227727</v>
      </c>
      <c r="HW21" s="1">
        <f t="shared" si="61"/>
        <v>470135.51264439954</v>
      </c>
      <c r="HX21" s="36"/>
    </row>
    <row r="22" spans="1:232" x14ac:dyDescent="0.35">
      <c r="A22">
        <f t="shared" si="0"/>
        <v>55</v>
      </c>
      <c r="B22">
        <v>2045</v>
      </c>
      <c r="C22" s="1">
        <f>IF($B22&lt;Analysis!C$66,0,$AN22)+$AT22+$AW22+$BC22+$CF22+$CA22</f>
        <v>656764.13473957381</v>
      </c>
      <c r="D22" s="1">
        <f>IF($B22&lt;Analysis!C$66, 0, BV22)+AT22+AW22+BC22+CG22+CA22</f>
        <v>499676.56472072145</v>
      </c>
      <c r="E22" s="1">
        <f t="shared" si="13"/>
        <v>1117285.3879814148</v>
      </c>
      <c r="F22" s="1">
        <f t="shared" si="14"/>
        <v>999640.98450131982</v>
      </c>
      <c r="G22" s="1">
        <f>IF(AND($B22&gt;=Analysis!$C$100, $B22&lt;Analysis!$C$101),$CK22,0)+IF($B22&gt;=Analysis!$C$130,EB22,0)+CQ22+CU22+CZ22+EH22+EK22+EQ22+$FO22+$FT22</f>
        <v>1200257.2217109257</v>
      </c>
      <c r="H22" s="1">
        <f t="shared" si="2"/>
        <v>1057860.2793890638</v>
      </c>
      <c r="I22" s="1">
        <f>IF($B22&lt;Analysis!$C$159,0,$FW22)+$GC22+$GF22+$GL22+$HQ22+$HV22</f>
        <v>1200257.2217109257</v>
      </c>
      <c r="J22" s="1">
        <f t="shared" si="3"/>
        <v>1057860.2793890638</v>
      </c>
      <c r="K22" s="36"/>
      <c r="L22" s="1">
        <f t="shared" si="15"/>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4"/>
        <v>0</v>
      </c>
      <c r="R22" s="1">
        <f>IF(AND(AND(B22=Analysis!C$35,Analysis!C$34&lt;&gt;0),AND(B22=Analysis!C$37,Analysis!C$36&lt;&gt;0)),Analysis!C$34+Analysis!C$36,IF(AND(B22=Analysis!C$35,Analysis!C$34&lt;&gt;0),Analysis!C$34,IF(AND(B22=Analysis!C$37,Analysis!C$36&lt;&gt;0),Analysis!C$36,0)))</f>
        <v>50000</v>
      </c>
      <c r="S22" s="64">
        <f t="shared" si="16"/>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7"/>
        <v>0.26374999999999998</v>
      </c>
      <c r="W22" s="36"/>
      <c r="X22" s="1">
        <f t="shared" si="45"/>
        <v>-28283.797773215334</v>
      </c>
      <c r="Y22" s="64">
        <f t="shared" si="18"/>
        <v>2.941176470588247E-2</v>
      </c>
      <c r="Z22" s="1">
        <f t="shared" si="19"/>
        <v>-3960</v>
      </c>
      <c r="AA22" s="64">
        <f t="shared" si="20"/>
        <v>0</v>
      </c>
      <c r="AB22" s="40"/>
      <c r="AC22" s="1">
        <f t="shared" si="4"/>
        <v>-102393.79777321534</v>
      </c>
      <c r="AD22" s="1">
        <f t="shared" si="5"/>
        <v>181467.92324122589</v>
      </c>
      <c r="AE22" s="1">
        <f t="shared" si="21"/>
        <v>79074.125468010549</v>
      </c>
      <c r="AF22" s="1">
        <f>IF(AE22 &lt; 0,
    IF(AF21 + AE22 &gt; 0,
        AF21 + AE22, IF(AK21-ABS(AF21 + AE22)*(1+$V22) &gt;= AF21 + AE22,
        0, AF21 + AE22)),
    MIN(AF21 + AE22, Analysis!$C$7))+IF(AF21&lt;0, AF21*Analysis!$C$9,0)</f>
        <v>24000</v>
      </c>
      <c r="AG22" s="40"/>
      <c r="AH22" s="1">
        <f t="shared" si="22"/>
        <v>42880.055524228235</v>
      </c>
      <c r="AI22" s="1">
        <f>IF(AE22 &gt;= 0,
    MAX(0, AF21 + AE22 - Analysis!$C$7),
    0)</f>
        <v>79074.125468010549</v>
      </c>
      <c r="AJ22" s="1">
        <f t="shared" si="46"/>
        <v>647240.25630332937</v>
      </c>
      <c r="AK22" s="1">
        <f t="shared" si="23"/>
        <v>1093285.3879814148</v>
      </c>
      <c r="AL22" s="1">
        <f t="shared" si="6"/>
        <v>975640.98450131982</v>
      </c>
      <c r="AM22" s="36"/>
      <c r="AN22" s="1">
        <f t="shared" si="47"/>
        <v>1232059.3726968805</v>
      </c>
      <c r="AO22" s="64">
        <f t="shared" si="24"/>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-28698.557984583807</v>
      </c>
      <c r="AT22" s="1">
        <f>IF($B22&lt;Analysis!$C$66,0,IF($B22=Analysis!$C$66,-AP22-AS22,MIN(0,AT21-AS22)))</f>
        <v>-264542.6045942324</v>
      </c>
      <c r="AU22" s="64">
        <f>IF($B22&lt;Analysis!$C$66,0,IF($B22=Analysis!$C$66,Analysis!$C$72,IF(($B22-Analysis!$C$66)&lt;LOOKUP(Analysis!$C$66,$B:$B,AQ:AQ),AU21,0)))</f>
        <v>3.6999999999999998E-2</v>
      </c>
      <c r="AV22" s="1">
        <f>IF($B22&lt;Analysis!$C$66,0,IF($B22=Analysis!$C$66,-AU22*AP22,AU21*AT21))</f>
        <v>-10849.9230154162</v>
      </c>
      <c r="AW22" s="1">
        <f>IF($B22&lt;Analysis!$C$66,0,IF($B22=Analysis!$C$66,PMT(AU22,AQ22,AP22)*AQ22-AX22-AT22,IF(($B22-Analysis!$C$66+1)&lt;LOOKUP(Analysis!$C$66,$B:$B,AQ:AQ),IF(AW21-AV22&lt;0, AW21-AV22,0),0)))</f>
        <v>-44979.919945052192</v>
      </c>
      <c r="AX22" s="1">
        <f>IF($B22&lt;Analysis!$C$66,0,IF($B22=Analysis!$C$66,AS22+AV22,IF(AT21&lt;0,IF(AT21&gt;LOOKUP(Analysis!$C$66,$B:$B,AX:AX), AT21*(1+AU21),AX21),0)))</f>
        <v>-39548.481000000007</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-3696.1781180906414</v>
      </c>
      <c r="BF22" s="64">
        <f>IF($B22&lt;Analysis!$C$66,0,Analysis!$C$78)</f>
        <v>3.0000000000000001E-3</v>
      </c>
      <c r="BG22" s="1">
        <f>IF($B22&lt;Analysis!$C$66,0,-BH22*AN22)</f>
        <v>-9240.4452952266038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5"/>
        <v>-157087.57001885228</v>
      </c>
      <c r="BS22" s="64">
        <f>IF($B22&lt;Analysis!C$66,0,Analysis!C$31)</f>
        <v>0.1275</v>
      </c>
      <c r="BT22" s="1">
        <f>IF($B22&lt;Analysis!$C$66,0,AN22+BR22)</f>
        <v>1074971.8026780281</v>
      </c>
      <c r="BU22" s="1">
        <f>IF($B22-Analysis!$C$66&gt;3,0,IF($AN22&gt;LOOKUP(Analysis!$C$66,$B:$B, AN:AN),$V22*(LOOKUP(Analysis!$C$66,$B:$B, AN:AN)-AN22),0))</f>
        <v>0</v>
      </c>
      <c r="BV22" s="1">
        <f t="shared" si="26"/>
        <v>1074971.8026780281</v>
      </c>
      <c r="BW22" s="42"/>
      <c r="BX22" s="1">
        <f>IF($B22&lt;Analysis!$C$66,$P22+$N22+$X22+$Z22,$P22+$N22+AS22+AV22+BB22+BE22+BG22+MAX(BI22,SUM(BJ22:BN22))+BP22)</f>
        <v>-126595.10441331724</v>
      </c>
      <c r="BY22" s="1">
        <f t="shared" si="27"/>
        <v>181467.92324122589</v>
      </c>
      <c r="BZ22" s="1">
        <f t="shared" si="48"/>
        <v>54872.818827908646</v>
      </c>
      <c r="CA22" s="1">
        <f>IF(BZ22 &lt; 0,
    IF(CA21 + BZ22 &gt; 0,
        CA21 + BZ22, IF(CF21-ABS(CA21 + BZ22)*(1+$V22) &gt;= CA21 + BZ22,
        0, CA21 + BZ22)),
    MIN(CA21 + BZ22, Analysis!$C$7))+IF(CA21&lt;0, CA21*Analysis!$C$9,0)</f>
        <v>-265772.71341802203</v>
      </c>
      <c r="CB22" s="42"/>
      <c r="CC22" s="1">
        <f t="shared" si="49"/>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8"/>
        <v>0</v>
      </c>
      <c r="CH22" s="36"/>
      <c r="CI22" s="1">
        <f>IF(OR($B22&lt;Analysis!$C$100, $B22&gt;=Analysis!$C$130),0,X22)</f>
        <v>-28283.797773215334</v>
      </c>
      <c r="CJ22" s="1">
        <f>IF(OR($B22&lt;Analysis!$C$100, $B22&gt;=Analysis!$C$130),0,Z22)</f>
        <v>-3960</v>
      </c>
      <c r="CK22" s="1">
        <f t="shared" si="50"/>
        <v>741021.21691189159</v>
      </c>
      <c r="CL22" s="64">
        <f t="shared" si="51"/>
        <v>2.941176470588247E-2</v>
      </c>
      <c r="CM22" s="1">
        <f>IF($B22=Analysis!$C$100,(CK22*(1+Analysis!$C$23+Analysis!$C$24+Analysis!$C$25))-IF($B22=$B$2,(Analysis!$C$6-Analysis!$C$7+Analysis!$C$105), (FU21-Analysis!$C$7+CV22)),0)</f>
        <v>0</v>
      </c>
      <c r="CN22" s="64">
        <f>IF($B22=Analysis!$C$100,Analysis!$C$103,0)</f>
        <v>0</v>
      </c>
      <c r="CO22" s="64">
        <f>IF(OR($B22&lt;Analysis!$C$100, $B22&gt;=Analysis!$C$101),0,IF($B22=Analysis!$C$100,Analysis!$C$102,IF(($B22-Analysis!$C$100)&lt;LOOKUP(Analysis!$C$100,$B:$B,CT:CT),CO21,0)))</f>
        <v>3.6999999999999998E-2</v>
      </c>
      <c r="CP22" s="1">
        <f>IF(OR($B22&lt;Analysis!$C$100, $B22&gt;=Analysis!$C$101),0,IF($B22=Analysis!$C$100,-CM22*CN22,IF(CS22&gt;=0,0,CS22-CR22)))</f>
        <v>-16007.867552685875</v>
      </c>
      <c r="CQ22" s="1">
        <f>IF(OR($B22&lt;Analysis!$C$100, $B22&gt;=Analysis!$C$101),0,IF($B22=Analysis!$C$100,-CM22-CP22,MIN(0,CQ21-CP22)))</f>
        <v>-147560.13102337168</v>
      </c>
      <c r="CR22" s="1">
        <f>IF(OR($B22&lt;Analysis!$C$100, $B22&gt;=Analysis!$C$101),0,IF($B22=Analysis!$C$100,-CO22*CM22,CO21*CQ21))</f>
        <v>-6052.0159473141293</v>
      </c>
      <c r="CS22" s="1">
        <f>IF(OR($B22&lt;Analysis!$C$100, $B22&gt;=Analysis!$C$101),0,IF($B22=Analysis!$C$100,CP22+CR22,IF(CQ21&lt;0,IF(CQ21&gt;LOOKUP(Analysis!$C$100,$B:$B,CS:CS), CQ21*(1+CO21),CS21),0)))</f>
        <v>-22059.883500000004</v>
      </c>
      <c r="CT22" s="65">
        <f>IF($B22=Analysis!$C$100,NPER(CO22,-CS22,-CM22),0)</f>
        <v>0</v>
      </c>
      <c r="CU22" s="1">
        <f>IF(OR($B22&lt;Analysis!$C$100, $B22&gt;=Analysis!$C$101),0,IF($B22=Analysis!$C$100,PMT(CO22,CT22,CM22)*CT22-CS22-CQ22,IF(($B22-Analysis!$C$100+1)&lt;LOOKUP(Analysis!$C$100,$B:$B,CT:CT),IF(CU21-CR22&lt;0, CU21-CR22,0),0)))</f>
        <v>-25089.504545754364</v>
      </c>
      <c r="CV22" s="1">
        <f>IF($B22=Analysis!$C$100,Analysis!$C$105,0)</f>
        <v>0</v>
      </c>
      <c r="CW22" s="1">
        <f>IF($B22=Analysis!$C$100,PMT(CO22,CX22,CV22)*CX22,0)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29"/>
        <v>30931.386702299103</v>
      </c>
      <c r="DE22" s="1">
        <f t="shared" si="8"/>
        <v>-2223.0636507356749</v>
      </c>
      <c r="DF22" s="64">
        <f>IF(OR($B22&lt;Analysis!$C$100, $B22&gt;=Analysis!$C$101),0,Analysis!$C$118)</f>
        <v>3.0000000000000001E-3</v>
      </c>
      <c r="DG22" s="1">
        <f t="shared" si="9"/>
        <v>-5557.6591268391867</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-1856.124228867257</v>
      </c>
      <c r="DR22" s="1">
        <f t="shared" si="30"/>
        <v>-21896.84700644212</v>
      </c>
      <c r="DS22" s="1">
        <f>MIN(0,-(DB22+DR22)*Analysis!$C$28)-CR22*Analysis!$C$28</f>
        <v>1418.1592306616387</v>
      </c>
      <c r="DT22" s="1">
        <f>-Analysis!$C$116*DD22/12</f>
        <v>-2577.6155585249253</v>
      </c>
      <c r="DU22" s="53"/>
      <c r="DV22" s="1">
        <f t="shared" si="10"/>
        <v>-94480.20515626618</v>
      </c>
      <c r="DW22" s="64">
        <f>IF(OR($B22&lt;Analysis!$C$100, $B22&gt;=Analysis!$C$101),0,IF($B22=Analysis!$C$100,Analysis!$C$31,DW21))</f>
        <v>0.1275</v>
      </c>
      <c r="DX22" s="1">
        <f>IF(OR($B22&lt;Analysis!$C$100, $B22&gt;=Analysis!$C$101),0,CK22+DV22)</f>
        <v>646541.01175562537</v>
      </c>
      <c r="DY22" s="1">
        <f>IF(OR($B22&lt;Analysis!$C$100, $B22&gt;=Analysis!$C$101),0,IF($B22-Analysis!$C$100&gt;3,0,IF(CK22&gt;LOOKUP(Analysis!$C$100,$B:$B, CK:CK),$V22*(LOOKUP(Analysis!$C$100,$B:$B, CK:CK)-CK22),0)))</f>
        <v>0</v>
      </c>
      <c r="DZ22" s="1">
        <f t="shared" si="52"/>
        <v>646541.01175562537</v>
      </c>
      <c r="EA22" s="53"/>
      <c r="EB22" s="1">
        <f t="shared" si="31"/>
        <v>1232059.3726968805</v>
      </c>
      <c r="EC22" s="64">
        <f t="shared" si="53"/>
        <v>2.941176470588247E-2</v>
      </c>
      <c r="ED22" s="1">
        <f>MAX(0,IF($B22=Analysis!$C$130,(EB22*(1+Analysis!$C$23+Analysis!$C$24+Analysis!$C$25))-(IF($B22=$B$2,(Analysis!$C$6-Analysis!$C$7+Analysis!$C$132), (FU21-Analysis!$C$7+EM22)) + IF($B22=Analysis!$C$101,DZ21+CQ21+CU21+CZ21,0)),0))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$P22+$N22+IF($B22&lt;Analysis!$C$130,$CI22+$CJ22,0)+CP22+CR22+CY22+DE22+DG22+MIN(DI22,SUM(DJ22:DN22))+DQ22+DS22+DT22+EG22+EJ22+EP22+ES22+EU22+MIN(EW22,SUM(EX22:FB22))+FD22</f>
        <v>-139209.98460752075</v>
      </c>
      <c r="FM22" s="1">
        <f>$M22+$R22+DD22+IF(AND($B22&lt;&gt;Analysis!$C$130,$B22=Analysis!$C$101),DZ21+CQ21+CU21+CZ21,0)</f>
        <v>212399.309943525</v>
      </c>
      <c r="FN22" s="1">
        <f t="shared" si="34"/>
        <v>73189.325336004258</v>
      </c>
      <c r="FO22" s="1">
        <f>IF(FN22 &lt; 0,
    IF(FO21 + FN22 &gt; 0,
        FO21 + FN22, IF(FT21-ABS(FO21 + FN22)*(1+$V22) &gt;= FO21 + FN22,
        0, FO21 + FN22)),
    MIN(FO21 + FN22, Analysis!$C$7))+IF(FO21&lt;0, FO21*Analysis!$C$9,0)</f>
        <v>24000</v>
      </c>
      <c r="FP22" s="53"/>
      <c r="FQ22" s="1">
        <f t="shared" si="54"/>
        <v>22606.540199878775</v>
      </c>
      <c r="FR22" s="1">
        <f>IF(OR($B22=Analysis!$C$100, $B22=Analysis!$C$130),0,IF(FN22 &gt;= 0,
    MAX(0, FO21 + FN22 - Analysis!$C$7),
    0))</f>
        <v>73189.325336004258</v>
      </c>
      <c r="FS22" s="1">
        <f>IF(OR($B22=Analysis!$C$100, $B22=Analysis!$C$130),0,MAX(0, FS21 + FR22 - IF(FN22 &lt; 0, MIN(ABS(FN22), FS21 + FR22), 0)))</f>
        <v>426210.80751282081</v>
      </c>
      <c r="FT22" s="1">
        <f>IF(OR($B22=Analysis!$C$100, $B22=Analysis!$C$130),0,IF(FN22 &lt; 0,
    IF(FN22 + FO21 &lt; 0,
        MAX(0, FT21 - (ABS(FN22 + FO21) * (1+$V21))),
        FT21 + FQ22),
    FT21 + FR22 + FQ22))</f>
        <v>607885.64036816021</v>
      </c>
      <c r="FU22" s="1">
        <f t="shared" si="60"/>
        <v>559968.90320256446</v>
      </c>
      <c r="FV22" s="36"/>
      <c r="FW22" s="1">
        <f t="shared" si="55"/>
        <v>741021.21691189159</v>
      </c>
      <c r="FX22" s="64">
        <f t="shared" si="56"/>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-16007.867552685875</v>
      </c>
      <c r="GC22" s="1">
        <f>IF($B22&lt;Analysis!$C$159,0,IF($B22=Analysis!$C$159,-FY22-GB22,MIN(0,GC21-GB22)))</f>
        <v>-147560.13102337168</v>
      </c>
      <c r="GD22" s="64">
        <f>IF($B22&lt;Analysis!$C$159,0,IF($B22=Analysis!$C$159,Analysis!$C$160,IF(($B22-Analysis!$C$159)&lt;LOOKUP(Analysis!$C$159,$B:$B,FZ:FZ),GD21,0)))</f>
        <v>3.6999999999999998E-2</v>
      </c>
      <c r="GE22" s="1">
        <f>IF($B22&lt;Analysis!$C$159,0,IF($B22=Analysis!$C$159,-GD22*FY22,GD21*GC21))</f>
        <v>-6052.0159473141293</v>
      </c>
      <c r="GF22" s="1">
        <f>IF($B22&lt;Analysis!$C$159,0,IF($B22=Analysis!$C$159,PMT(GD22,FZ22,FY22)*FZ22-GG22-GC22,IF(($B22-Analysis!$C$159+1)&lt;LOOKUP(Analysis!$C$159,$B:$B,FZ:FZ),IF(GF21-GE22&lt;0, GF21-GE22,0),0)))</f>
        <v>-25089.504545754364</v>
      </c>
      <c r="GG22" s="1">
        <f>IF($B22&lt;Analysis!$C$159,0,IF($B22=Analysis!$C$159,GB22+GE22,IF(GC21&lt;0,IF(GC21&gt;LOOKUP(Analysis!$C$159,$B:$B,GG:GG), GC21*(1+GD21),GG21),0)))</f>
        <v>-22059.883500000004</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36"/>
        <v>30931.386702299103</v>
      </c>
      <c r="GQ22" s="1">
        <f t="shared" si="37"/>
        <v>-2223.0636507356749</v>
      </c>
      <c r="GR22" s="64">
        <f>IF($B22&lt;Analysis!$C$159,0,Analysis!$C$178)</f>
        <v>3.0000000000000001E-3</v>
      </c>
      <c r="GS22" s="1">
        <f t="shared" si="38"/>
        <v>-5557.6591268391867</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-1856.124228867257</v>
      </c>
      <c r="HD22" s="1">
        <f t="shared" si="39"/>
        <v>-21896.84700644212</v>
      </c>
      <c r="HE22" s="1">
        <f>MIN(0,-(GN22+HD22)*Analysis!$C$28)-GE22*Analysis!$C$28</f>
        <v>1418.1592306616387</v>
      </c>
      <c r="HF22" s="1">
        <f>-Analysis!$C$176*GP22/12</f>
        <v>-2577.6155585249253</v>
      </c>
      <c r="HG22" s="38"/>
      <c r="HH22" s="1">
        <f>IF($B22&lt;Analysis!$C$159,0,-$HI22*$FW22)</f>
        <v>-94480.20515626618</v>
      </c>
      <c r="HI22" s="64">
        <f>IF($B22&lt;Analysis!$C$159,0,IF($B22=Analysis!$C$159,Analysis!$C$31,HI21))</f>
        <v>0.1275</v>
      </c>
      <c r="HJ22" s="1">
        <f>IF($B22&lt;Analysis!$C$159,0,$FW22+HH22)</f>
        <v>646541.01175562537</v>
      </c>
      <c r="HK22" s="1">
        <f>IF($B22-Analysis!$C$159&gt;10,0,IF($FW22&gt;LOOKUP(Analysis!$C$159,$B:$B, FW:FW),$V22*(LOOKUP(Analysis!$C$159,$B:$B, FW:FW)-FW22),0))</f>
        <v>0</v>
      </c>
      <c r="HL22" s="1">
        <f t="shared" si="40"/>
        <v>646541.01175562537</v>
      </c>
      <c r="HM22" s="38"/>
      <c r="HN22" s="1">
        <f t="shared" si="41"/>
        <v>-139209.98460752075</v>
      </c>
      <c r="HO22" s="1">
        <f t="shared" si="12"/>
        <v>212399.309943525</v>
      </c>
      <c r="HP22" s="1">
        <f t="shared" si="42"/>
        <v>73189.325336004258</v>
      </c>
      <c r="HQ22" s="1">
        <f>IF(HP22 &lt; 0,
    IF(HQ21 + HP22 &gt; 0,
        HQ21 + HP22, IF(HV21-ABS(HQ21 + HP22)*(1+$V22) &gt;= HQ21 + HP22,
        0, HQ21 + HP22)),
    MIN(HQ21 + HP22, Analysis!$C$7))+IF(HQ21&lt;0, HQ21*Analysis!$C$9,0)</f>
        <v>24000</v>
      </c>
      <c r="HR22" s="38"/>
      <c r="HS22" s="1">
        <f t="shared" si="57"/>
        <v>22606.540199878775</v>
      </c>
      <c r="HT22" s="1">
        <f>IF($B22=Analysis!$C$159,0,IF(HP22 &gt;= 0,
    MAX(0, HQ21 + HP22 - Analysis!$C$7),
    0))</f>
        <v>73189.325336004258</v>
      </c>
      <c r="HU22" s="1">
        <f>IF($B22=Analysis!$C$159,0,MAX(0, HU21 + HT22 - IF(HP22 &lt; 0, MIN(ABS(HP22), HU21 + HT22), 0)))</f>
        <v>426210.80751282081</v>
      </c>
      <c r="HV22" s="1">
        <f>IF($B22=Analysis!$C$159,0,IF(HP22 &lt; 0,
    IF(HP22 + HQ21 &lt; 0,
        MAX(0, HV21 - (ABS(HP22 + HQ21) * (1+$V21))),
        HV21 + HS22),
    HV21 + HT22 + HS22))</f>
        <v>607885.64036816021</v>
      </c>
      <c r="HW22" s="1">
        <f t="shared" si="61"/>
        <v>559968.90320256446</v>
      </c>
      <c r="HX22" s="36"/>
    </row>
    <row r="23" spans="1:232" x14ac:dyDescent="0.35">
      <c r="A23">
        <f t="shared" si="0"/>
        <v>56</v>
      </c>
      <c r="B23">
        <v>2046</v>
      </c>
      <c r="C23" s="1">
        <f>IF($B23&lt;Analysis!C$66,0,$AN23)+$AT23+$AW23+$BC23+$CF23+$CA23</f>
        <v>711530.16894355742</v>
      </c>
      <c r="D23" s="1">
        <f>IF($B23&lt;Analysis!C$66, 0, BV23)+AT23+AW23+BC23+CG23+CA23</f>
        <v>549822.37627709191</v>
      </c>
      <c r="E23" s="1">
        <f t="shared" si="13"/>
        <v>1187667.2366441698</v>
      </c>
      <c r="F23" s="1">
        <f t="shared" si="14"/>
        <v>1057787.5762696173</v>
      </c>
      <c r="G23" s="1">
        <f>IF(AND($B23&gt;=Analysis!$C$100, $B23&lt;Analysis!$C$101),$CK23,0)+IF($B23&gt;=Analysis!$C$130,EB23,0)+CQ23+CU23+CZ23+EH23+EK23+EQ23+$FO23+$FT23</f>
        <v>1287997.0686767902</v>
      </c>
      <c r="H23" s="1">
        <f t="shared" si="2"/>
        <v>1136018.2817195803</v>
      </c>
      <c r="I23" s="1">
        <f>IF($B23&lt;Analysis!$C$159,0,$FW23)+$GC23+$GF23+$GL23+$HQ23+$HV23</f>
        <v>1287997.0686767902</v>
      </c>
      <c r="J23" s="1">
        <f t="shared" si="3"/>
        <v>1136018.2817195803</v>
      </c>
      <c r="K23" s="36"/>
      <c r="L23" s="1">
        <f t="shared" si="15"/>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4"/>
        <v>0</v>
      </c>
      <c r="R23" s="1">
        <f>IF(AND(AND(B23=Analysis!C$35,Analysis!C$34&lt;&gt;0),AND(B23=Analysis!C$37,Analysis!C$36&lt;&gt;0)),Analysis!C$34+Analysis!C$36,IF(AND(B23=Analysis!C$35,Analysis!C$34&lt;&gt;0),Analysis!C$34,IF(AND(B23=Analysis!C$37,Analysis!C$36&lt;&gt;0),Analysis!C$36,0)))</f>
        <v>0</v>
      </c>
      <c r="S23" s="64">
        <f t="shared" ref="S23:S42" si="62">S$2</f>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ref="V23:V42" si="63">V$2</f>
        <v>0.26374999999999998</v>
      </c>
      <c r="W23" s="36"/>
      <c r="X23" s="1">
        <f t="shared" si="45"/>
        <v>-29115.674178309906</v>
      </c>
      <c r="Y23" s="64">
        <f t="shared" si="18"/>
        <v>2.941176470588247E-2</v>
      </c>
      <c r="Z23" s="1">
        <f t="shared" si="19"/>
        <v>-3960</v>
      </c>
      <c r="AA23" s="64">
        <f t="shared" si="20"/>
        <v>0</v>
      </c>
      <c r="AB23" s="40"/>
      <c r="AC23" s="1">
        <f t="shared" si="4"/>
        <v>-107475.67417830991</v>
      </c>
      <c r="AD23" s="1">
        <f t="shared" si="5"/>
        <v>131467.92324122589</v>
      </c>
      <c r="AE23" s="1">
        <f t="shared" si="21"/>
        <v>23992.249062915973</v>
      </c>
      <c r="AF23" s="1">
        <f>IF(AE23 &lt; 0,
    IF(AF22 + AE23 &gt; 0,
        AF22 + AE23, IF(AK22-ABS(AF22 + AE23)*(1+$V23) &gt;= AF22 + AE23,
        0, AF22 + AE23)),
    MIN(AF22 + AE23, Analysis!$C$7))+IF(AF22&lt;0, AF22*Analysis!$C$9,0)</f>
        <v>24000</v>
      </c>
      <c r="AG23" s="40"/>
      <c r="AH23" s="1">
        <f t="shared" si="22"/>
        <v>46389.59959983905</v>
      </c>
      <c r="AI23" s="1">
        <f>IF(AE23 &gt;= 0,
    MAX(0, AF22 + AE23 - Analysis!$C$7),
    0)</f>
        <v>23992.249062915973</v>
      </c>
      <c r="AJ23" s="1">
        <f t="shared" si="46"/>
        <v>671232.50536624528</v>
      </c>
      <c r="AK23" s="1">
        <f t="shared" si="23"/>
        <v>1163667.2366441698</v>
      </c>
      <c r="AL23" s="1">
        <f t="shared" si="6"/>
        <v>1033787.5762696172</v>
      </c>
      <c r="AM23" s="36"/>
      <c r="AN23" s="1">
        <f t="shared" si="47"/>
        <v>1268296.4130703183</v>
      </c>
      <c r="AO23" s="64">
        <f t="shared" si="24"/>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-29760.404630013407</v>
      </c>
      <c r="AT23" s="1">
        <f>IF($B23&lt;Analysis!$C$66,0,IF($B23=Analysis!$C$66,-AP23-AS23,MIN(0,AT22-AS23)))</f>
        <v>-234782.19996421901</v>
      </c>
      <c r="AU23" s="64">
        <f>IF($B23&lt;Analysis!$C$66,0,IF($B23=Analysis!$C$66,Analysis!$C$72,IF(($B23-Analysis!$C$66)&lt;LOOKUP(Analysis!$C$66,$B:$B,AQ:AQ),AU22,0)))</f>
        <v>3.6999999999999998E-2</v>
      </c>
      <c r="AV23" s="1">
        <f>IF($B23&lt;Analysis!$C$66,0,IF($B23=Analysis!$C$66,-AU23*AP23,AU22*AT22))</f>
        <v>-9788.0763699865984</v>
      </c>
      <c r="AW23" s="1">
        <f>IF($B23&lt;Analysis!$C$66,0,IF($B23=Analysis!$C$66,PMT(AU23,AQ23,AP23)*AQ23-AX23-AT23,IF(($B23-Analysis!$C$66+1)&lt;LOOKUP(Analysis!$C$66,$B:$B,AQ:AQ),IF(AW22-AV23&lt;0, AW22-AV23,0),0)))</f>
        <v>-35191.843575065592</v>
      </c>
      <c r="AX23" s="1">
        <f>IF($B23&lt;Analysis!$C$66,0,IF($B23=Analysis!$C$66,AS23+AV23,IF(AT22&lt;0,IF(AT22&gt;LOOKUP(Analysis!$C$66,$B:$B,AX:AX), AT22*(1+AU22),AX22),0)))</f>
        <v>-39548.481000000007</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-3804.8892392109551</v>
      </c>
      <c r="BF23" s="64">
        <f>IF($B23&lt;Analysis!$C$66,0,Analysis!$C$78)</f>
        <v>3.0000000000000001E-3</v>
      </c>
      <c r="BG23" s="1">
        <f>IF($B23&lt;Analysis!$C$66,0,-BH23*AN23)</f>
        <v>-9512.2230980273871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5"/>
        <v>-161707.7926664656</v>
      </c>
      <c r="BS23" s="64">
        <f>IF($B23&lt;Analysis!C$66,0,Analysis!C$31)</f>
        <v>0.1275</v>
      </c>
      <c r="BT23" s="1">
        <f>IF($B23&lt;Analysis!$C$66,0,AN23+BR23)</f>
        <v>1106588.6204038528</v>
      </c>
      <c r="BU23" s="1">
        <f>IF($B23-Analysis!$C$66&gt;3,0,IF($AN23&gt;LOOKUP(Analysis!$C$66,$B:$B, AN:AN),$V23*(LOOKUP(Analysis!$C$66,$B:$B, AN:AN)-AN23),0))</f>
        <v>0</v>
      </c>
      <c r="BV23" s="1">
        <f t="shared" si="26"/>
        <v>1106588.6204038528</v>
      </c>
      <c r="BW23" s="42"/>
      <c r="BX23" s="1">
        <f>IF($B23&lt;Analysis!$C$66,$P23+$N23+$X23+$Z23,$P23+$N23+AS23+AV23+BB23+BE23+BG23+MAX(BI23,SUM(BJ23:BN23))+BP23)</f>
        <v>-131225.59333723836</v>
      </c>
      <c r="BY23" s="1">
        <f t="shared" si="27"/>
        <v>131467.92324122589</v>
      </c>
      <c r="BZ23" s="1">
        <f t="shared" si="48"/>
        <v>242.32990398752736</v>
      </c>
      <c r="CA23" s="1">
        <f>IF(BZ23 &lt; 0,
    IF(CA22 + BZ23 &gt; 0,
        CA22 + BZ23, IF(CF22-ABS(CA22 + BZ23)*(1+$V23) &gt;= CA22 + BZ23,
        0, CA22 + BZ23)),
    MIN(CA22 + BZ23, Analysis!$C$7))+IF(CA22&lt;0, CA22*Analysis!$C$9,0)</f>
        <v>-286792.20058747625</v>
      </c>
      <c r="CB23" s="42"/>
      <c r="CC23" s="1">
        <f t="shared" si="49"/>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8"/>
        <v>0</v>
      </c>
      <c r="CH23" s="36"/>
      <c r="CI23" s="1">
        <f>IF(OR($B23&lt;Analysis!$C$100, $B23&gt;=Analysis!$C$130),0,X23)</f>
        <v>-29115.674178309906</v>
      </c>
      <c r="CJ23" s="1">
        <f>IF(OR($B23&lt;Analysis!$C$100, $B23&gt;=Analysis!$C$130),0,Z23)</f>
        <v>-3960</v>
      </c>
      <c r="CK23" s="1">
        <f t="shared" si="50"/>
        <v>762815.9585857708</v>
      </c>
      <c r="CL23" s="64">
        <f t="shared" si="51"/>
        <v>2.941176470588247E-2</v>
      </c>
      <c r="CM23" s="1">
        <f>IF($B23=Analysis!$C$100,(CK23*(1+Analysis!$C$23+Analysis!$C$24+Analysis!$C$25))-IF($B23=$B$2,(Analysis!$C$6-Analysis!$C$7+Analysis!$C$105), (FU22-Analysis!$C$7+CV23)),0)</f>
        <v>0</v>
      </c>
      <c r="CN23" s="64">
        <f>IF($B23=Analysis!$C$100,Analysis!$C$103,0)</f>
        <v>0</v>
      </c>
      <c r="CO23" s="64">
        <f>IF(OR($B23&lt;Analysis!$C$100, $B23&gt;=Analysis!$C$101),0,IF($B23=Analysis!$C$100,Analysis!$C$102,IF(($B23-Analysis!$C$100)&lt;LOOKUP(Analysis!$C$100,$B:$B,CT:CT),CO22,0)))</f>
        <v>3.6999999999999998E-2</v>
      </c>
      <c r="CP23" s="1">
        <f>IF(OR($B23&lt;Analysis!$C$100, $B23&gt;=Analysis!$C$101),0,IF($B23=Analysis!$C$100,-CM23*CN23,IF(CS23&gt;=0,0,CS23-CR23)))</f>
        <v>-16600.158652135251</v>
      </c>
      <c r="CQ23" s="1">
        <f>IF(OR($B23&lt;Analysis!$C$100, $B23&gt;=Analysis!$C$101),0,IF($B23=Analysis!$C$100,-CM23-CP23,MIN(0,CQ22-CP23)))</f>
        <v>-130959.97237123642</v>
      </c>
      <c r="CR23" s="1">
        <f>IF(OR($B23&lt;Analysis!$C$100, $B23&gt;=Analysis!$C$101),0,IF($B23=Analysis!$C$100,-CO23*CM23,CO22*CQ22))</f>
        <v>-5459.7248478647516</v>
      </c>
      <c r="CS23" s="1">
        <f>IF(OR($B23&lt;Analysis!$C$100, $B23&gt;=Analysis!$C$101),0,IF($B23=Analysis!$C$100,CP23+CR23,IF(CQ22&lt;0,IF(CQ22&gt;LOOKUP(Analysis!$C$100,$B:$B,CS:CS), CQ22*(1+CO22),CS22),0)))</f>
        <v>-22059.883500000004</v>
      </c>
      <c r="CT23" s="65">
        <f>IF($B23=Analysis!$C$100,NPER(CO23,-CS23,-CM23),0)</f>
        <v>0</v>
      </c>
      <c r="CU23" s="1">
        <f>IF(OR($B23&lt;Analysis!$C$100, $B23&gt;=Analysis!$C$101),0,IF($B23=Analysis!$C$100,PMT(CO23,CT23,CM23)*CT23-CS23-CQ23,IF(($B23-Analysis!$C$100+1)&lt;LOOKUP(Analysis!$C$100,$B:$B,CT:CT),IF(CU22-CR23&lt;0, CU22-CR23,0),0)))</f>
        <v>-19629.779697889611</v>
      </c>
      <c r="CV23" s="1">
        <f>IF($B23=Analysis!$C$100,Analysis!$C$105,0)</f>
        <v>0</v>
      </c>
      <c r="CW23" s="1">
        <f>IF($B23=Analysis!$C$100,PMT(CO23,CX23,CV23)*CX23,0)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29"/>
        <v>31724.66278177849</v>
      </c>
      <c r="DE23" s="1">
        <f t="shared" si="8"/>
        <v>-2288.4478757573124</v>
      </c>
      <c r="DF23" s="64">
        <f>IF(OR($B23&lt;Analysis!$C$100, $B23&gt;=Analysis!$C$101),0,Analysis!$C$118)</f>
        <v>3.0000000000000001E-3</v>
      </c>
      <c r="DG23" s="1">
        <f t="shared" si="9"/>
        <v>-5721.1196893932811</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-1910.7161179515883</v>
      </c>
      <c r="DR23" s="1">
        <f t="shared" si="30"/>
        <v>-22180.283683102185</v>
      </c>
      <c r="DS23" s="1">
        <f>MIN(0,-(DB23+DR23)*Analysis!$C$28)-CR23*Analysis!$C$28</f>
        <v>958.77695521346573</v>
      </c>
      <c r="DT23" s="1">
        <f>-Analysis!$C$116*DD23/12</f>
        <v>-2643.7218984815408</v>
      </c>
      <c r="DU23" s="53"/>
      <c r="DV23" s="1">
        <f t="shared" si="10"/>
        <v>-97259.034719685777</v>
      </c>
      <c r="DW23" s="64">
        <f>IF(OR($B23&lt;Analysis!$C$100, $B23&gt;=Analysis!$C$101),0,IF($B23=Analysis!$C$100,Analysis!$C$31,DW22))</f>
        <v>0.1275</v>
      </c>
      <c r="DX23" s="1">
        <f>IF(OR($B23&lt;Analysis!$C$100, $B23&gt;=Analysis!$C$101),0,CK23+DV23)</f>
        <v>665556.92386608501</v>
      </c>
      <c r="DY23" s="1">
        <f>IF(OR($B23&lt;Analysis!$C$100, $B23&gt;=Analysis!$C$101),0,IF($B23-Analysis!$C$100&gt;3,0,IF(CK23&gt;LOOKUP(Analysis!$C$100,$B:$B, CK:CK),$V23*(LOOKUP(Analysis!$C$100,$B:$B, CK:CK)-CK23),0)))</f>
        <v>0</v>
      </c>
      <c r="DZ23" s="1">
        <f t="shared" si="52"/>
        <v>665556.92386608501</v>
      </c>
      <c r="EA23" s="53"/>
      <c r="EB23" s="1">
        <f t="shared" si="31"/>
        <v>1268296.4130703183</v>
      </c>
      <c r="EC23" s="64">
        <f t="shared" si="53"/>
        <v>2.941176470588247E-2</v>
      </c>
      <c r="ED23" s="1">
        <f>MAX(0,IF($B23=Analysis!$C$130,(EB23*(1+Analysis!$C$23+Analysis!$C$24+Analysis!$C$25))-(IF($B23=$B$2,(Analysis!$C$6-Analysis!$C$7+Analysis!$C$132), (FU22-Analysis!$C$7+EM23)) + IF($B23=Analysis!$C$101,DZ22+CQ22+CU22+CZ22,0)),0))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$P23+$N23+IF($B23&lt;Analysis!$C$130,$CI23+$CJ23,0)+CP23+CR23+CY23+DE23+DG23+MIN(DI23,SUM(DJ23:DN23))+DQ23+DS23+DT23+EG23+EJ23+EP23+ES23+EU23+MIN(EW23,SUM(EX23:FB23))+FD23</f>
        <v>-145100.78630468019</v>
      </c>
      <c r="FM23" s="1">
        <f>$M23+$R23+DD23+IF(AND($B23&lt;&gt;Analysis!$C$130,$B23=Analysis!$C$101),DZ22+CQ22+CU22+CZ22,0)</f>
        <v>163192.58602300438</v>
      </c>
      <c r="FN23" s="1">
        <f t="shared" si="34"/>
        <v>18091.799718324182</v>
      </c>
      <c r="FO23" s="1">
        <f>IF(FN23 &lt; 0,
    IF(FO22 + FN23 &gt; 0,
        FO22 + FN23, IF(FT22-ABS(FO22 + FN23)*(1+$V23) &gt;= FO22 + FN23,
        0, FO22 + FN23)),
    MIN(FO22 + FN23, Analysis!$C$7))+IF(FO22&lt;0, FO22*Analysis!$C$9,0)</f>
        <v>24000</v>
      </c>
      <c r="FP23" s="53"/>
      <c r="FQ23" s="1">
        <f t="shared" si="54"/>
        <v>25793.422073660866</v>
      </c>
      <c r="FR23" s="1">
        <f>IF(OR($B23=Analysis!$C$100, $B23=Analysis!$C$130),0,IF(FN23 &gt;= 0,
    MAX(0, FO22 + FN23 - Analysis!$C$7),
    0))</f>
        <v>18091.799718324182</v>
      </c>
      <c r="FS23" s="1">
        <f>IF(OR($B23=Analysis!$C$100, $B23=Analysis!$C$130),0,MAX(0, FS22 + FR23 - IF(FN23 &lt; 0, MIN(ABS(FN23), FS22 + FR23), 0)))</f>
        <v>444302.60723114503</v>
      </c>
      <c r="FT23" s="1">
        <f>IF(OR($B23=Analysis!$C$100, $B23=Analysis!$C$130),0,IF(FN23 &lt; 0,
    IF(FN23 + FO22 &lt; 0,
        MAX(0, FT22 - (ABS(FN23 + FO22) * (1+$V22))),
        FT22 + FQ23),
    FT22 + FR23 + FQ23))</f>
        <v>651770.86216014531</v>
      </c>
      <c r="FU23" s="1">
        <f t="shared" si="60"/>
        <v>597051.10992262152</v>
      </c>
      <c r="FV23" s="36"/>
      <c r="FW23" s="1">
        <f t="shared" si="55"/>
        <v>762815.9585857708</v>
      </c>
      <c r="FX23" s="64">
        <f t="shared" si="56"/>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-16600.158652135251</v>
      </c>
      <c r="GC23" s="1">
        <f>IF($B23&lt;Analysis!$C$159,0,IF($B23=Analysis!$C$159,-FY23-GB23,MIN(0,GC22-GB23)))</f>
        <v>-130959.97237123642</v>
      </c>
      <c r="GD23" s="64">
        <f>IF($B23&lt;Analysis!$C$159,0,IF($B23=Analysis!$C$159,Analysis!$C$160,IF(($B23-Analysis!$C$159)&lt;LOOKUP(Analysis!$C$159,$B:$B,FZ:FZ),GD22,0)))</f>
        <v>3.6999999999999998E-2</v>
      </c>
      <c r="GE23" s="1">
        <f>IF($B23&lt;Analysis!$C$159,0,IF($B23=Analysis!$C$159,-GD23*FY23,GD22*GC22))</f>
        <v>-5459.7248478647516</v>
      </c>
      <c r="GF23" s="1">
        <f>IF($B23&lt;Analysis!$C$159,0,IF($B23=Analysis!$C$159,PMT(GD23,FZ23,FY23)*FZ23-GG23-GC23,IF(($B23-Analysis!$C$159+1)&lt;LOOKUP(Analysis!$C$159,$B:$B,FZ:FZ),IF(GF22-GE23&lt;0, GF22-GE23,0),0)))</f>
        <v>-19629.779697889611</v>
      </c>
      <c r="GG23" s="1">
        <f>IF($B23&lt;Analysis!$C$159,0,IF($B23=Analysis!$C$159,GB23+GE23,IF(GC22&lt;0,IF(GC22&gt;LOOKUP(Analysis!$C$159,$B:$B,GG:GG), GC22*(1+GD22),GG22),0)))</f>
        <v>-22059.883500000004</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36"/>
        <v>31724.66278177849</v>
      </c>
      <c r="GQ23" s="1">
        <f t="shared" si="37"/>
        <v>-2288.4478757573124</v>
      </c>
      <c r="GR23" s="64">
        <f>IF($B23&lt;Analysis!$C$159,0,Analysis!$C$178)</f>
        <v>3.0000000000000001E-3</v>
      </c>
      <c r="GS23" s="1">
        <f t="shared" si="38"/>
        <v>-5721.1196893932811</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-1910.7161179515883</v>
      </c>
      <c r="HD23" s="1">
        <f t="shared" si="39"/>
        <v>-22180.283683102185</v>
      </c>
      <c r="HE23" s="1">
        <f>MIN(0,-(GN23+HD23)*Analysis!$C$28)-GE23*Analysis!$C$28</f>
        <v>958.77695521346573</v>
      </c>
      <c r="HF23" s="1">
        <f>-Analysis!$C$176*GP23/12</f>
        <v>-2643.7218984815408</v>
      </c>
      <c r="HG23" s="38"/>
      <c r="HH23" s="1">
        <f>IF($B23&lt;Analysis!$C$159,0,-$HI23*$FW23)</f>
        <v>-97259.034719685777</v>
      </c>
      <c r="HI23" s="64">
        <f>IF($B23&lt;Analysis!$C$159,0,IF($B23=Analysis!$C$159,Analysis!$C$31,HI22))</f>
        <v>0.1275</v>
      </c>
      <c r="HJ23" s="1">
        <f>IF($B23&lt;Analysis!$C$159,0,$FW23+HH23)</f>
        <v>665556.92386608501</v>
      </c>
      <c r="HK23" s="1">
        <f>IF($B23-Analysis!$C$159&gt;10,0,IF($FW23&gt;LOOKUP(Analysis!$C$159,$B:$B, FW:FW),$V23*(LOOKUP(Analysis!$C$159,$B:$B, FW:FW)-FW23),0))</f>
        <v>0</v>
      </c>
      <c r="HL23" s="1">
        <f t="shared" si="40"/>
        <v>665556.92386608501</v>
      </c>
      <c r="HM23" s="38"/>
      <c r="HN23" s="1">
        <f t="shared" si="41"/>
        <v>-145100.78630468019</v>
      </c>
      <c r="HO23" s="1">
        <f t="shared" si="12"/>
        <v>163192.58602300438</v>
      </c>
      <c r="HP23" s="1">
        <f t="shared" si="42"/>
        <v>18091.799718324182</v>
      </c>
      <c r="HQ23" s="1">
        <f>IF(HP23 &lt; 0,
    IF(HQ22 + HP23 &gt; 0,
        HQ22 + HP23, IF(HV22-ABS(HQ22 + HP23)*(1+$V23) &gt;= HQ22 + HP23,
        0, HQ22 + HP23)),
    MIN(HQ22 + HP23, Analysis!$C$7))+IF(HQ22&lt;0, HQ22*Analysis!$C$9,0)</f>
        <v>24000</v>
      </c>
      <c r="HR23" s="38"/>
      <c r="HS23" s="1">
        <f t="shared" si="57"/>
        <v>25793.422073660866</v>
      </c>
      <c r="HT23" s="1">
        <f>IF($B23=Analysis!$C$159,0,IF(HP23 &gt;= 0,
    MAX(0, HQ22 + HP23 - Analysis!$C$7),
    0))</f>
        <v>18091.799718324182</v>
      </c>
      <c r="HU23" s="1">
        <f>IF($B23=Analysis!$C$159,0,MAX(0, HU22 + HT23 - IF(HP23 &lt; 0, MIN(ABS(HP23), HU22 + HT23), 0)))</f>
        <v>444302.60723114503</v>
      </c>
      <c r="HV23" s="1">
        <f>IF($B23=Analysis!$C$159,0,IF(HP23 &lt; 0,
    IF(HP23 + HQ22 &lt; 0,
        MAX(0, HV22 - (ABS(HP23 + HQ22) * (1+$V22))),
        HV22 + HS23),
    HV22 + HT23 + HS23))</f>
        <v>651770.86216014531</v>
      </c>
      <c r="HW23" s="1">
        <f t="shared" si="61"/>
        <v>597051.10992262152</v>
      </c>
      <c r="HX23" s="36"/>
    </row>
    <row r="24" spans="1:232" x14ac:dyDescent="0.35">
      <c r="A24">
        <f t="shared" si="0"/>
        <v>57</v>
      </c>
      <c r="B24">
        <v>2047</v>
      </c>
      <c r="C24" s="1">
        <f>IF($B24&lt;Analysis!C$66,0,$AN24)+$AT24+$AW24+$BC24+$CF24+$CA24</f>
        <v>765288.75970446132</v>
      </c>
      <c r="D24" s="1">
        <f>IF($B24&lt;Analysis!C$66, 0, BV24)+AT24+AW24+BC24+CG24+CA24</f>
        <v>598824.85548898205</v>
      </c>
      <c r="E24" s="1">
        <f t="shared" si="13"/>
        <v>1258184.282270076</v>
      </c>
      <c r="F24" s="1">
        <f t="shared" si="14"/>
        <v>1115807.8462413133</v>
      </c>
      <c r="G24" s="1">
        <f>IF(AND($B24&gt;=Analysis!$C$100, $B24&lt;Analysis!$C$101),$CK24,0)+IF($B24&gt;=Analysis!$C$130,EB24,0)+CQ24+CU24+CZ24+EH24+EK24+EQ24+$FO24+$FT24</f>
        <v>1376248.2818438897</v>
      </c>
      <c r="H24" s="1">
        <f t="shared" si="2"/>
        <v>1214409.4819458772</v>
      </c>
      <c r="I24" s="1">
        <f>IF($B24&lt;Analysis!$C$159,0,$FW24)+$GC24+$GF24+$GL24+$HQ24+$HV24</f>
        <v>1376248.2818438897</v>
      </c>
      <c r="J24" s="1">
        <f t="shared" si="3"/>
        <v>1214409.4819458772</v>
      </c>
      <c r="K24" s="36"/>
      <c r="L24" s="1">
        <f t="shared" si="15"/>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4"/>
        <v>0</v>
      </c>
      <c r="R24" s="1">
        <f>IF(AND(AND(B24=Analysis!C$35,Analysis!C$34&lt;&gt;0),AND(B24=Analysis!C$37,Analysis!C$36&lt;&gt;0)),Analysis!C$34+Analysis!C$36,IF(AND(B24=Analysis!C$35,Analysis!C$34&lt;&gt;0),Analysis!C$34,IF(AND(B24=Analysis!C$37,Analysis!C$36&lt;&gt;0),Analysis!C$36,0)))</f>
        <v>0</v>
      </c>
      <c r="S24" s="64">
        <f t="shared" si="6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63"/>
        <v>0.26374999999999998</v>
      </c>
      <c r="W24" s="36"/>
      <c r="X24" s="1">
        <f t="shared" si="45"/>
        <v>-29972.017536495496</v>
      </c>
      <c r="Y24" s="64">
        <f t="shared" si="18"/>
        <v>2.941176470588247E-2</v>
      </c>
      <c r="Z24" s="1">
        <f t="shared" si="19"/>
        <v>-3960</v>
      </c>
      <c r="AA24" s="64">
        <f t="shared" si="20"/>
        <v>0</v>
      </c>
      <c r="AB24" s="40"/>
      <c r="AC24" s="1">
        <f t="shared" si="4"/>
        <v>-108332.01753649549</v>
      </c>
      <c r="AD24" s="1">
        <f t="shared" si="5"/>
        <v>131467.92324122589</v>
      </c>
      <c r="AE24" s="1">
        <f t="shared" si="21"/>
        <v>23135.905704730394</v>
      </c>
      <c r="AF24" s="1">
        <f>IF(AE24 &lt; 0,
    IF(AF23 + AE24 &gt; 0,
        AF23 + AE24, IF(AK23-ABS(AF23 + AE24)*(1+$V24) &gt;= AF23 + AE24,
        0, AF23 + AE24)),
    MIN(AF23 + AE24, Analysis!$C$7))+IF(AF23&lt;0, AF23*Analysis!$C$9,0)</f>
        <v>24000</v>
      </c>
      <c r="AG24" s="40"/>
      <c r="AH24" s="1">
        <f t="shared" si="22"/>
        <v>47381.139921175694</v>
      </c>
      <c r="AI24" s="1">
        <f>IF(AE24 &gt;= 0,
    MAX(0, AF23 + AE24 - Analysis!$C$7),
    0)</f>
        <v>23135.905704730394</v>
      </c>
      <c r="AJ24" s="1">
        <f t="shared" si="46"/>
        <v>694368.41107097571</v>
      </c>
      <c r="AK24" s="1">
        <f t="shared" si="23"/>
        <v>1234184.282270076</v>
      </c>
      <c r="AL24" s="1">
        <f t="shared" si="6"/>
        <v>1091807.8462413133</v>
      </c>
      <c r="AM24" s="36"/>
      <c r="AN24" s="1">
        <f t="shared" si="47"/>
        <v>1305599.2487488573</v>
      </c>
      <c r="AO24" s="64">
        <f t="shared" si="24"/>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-30861.539601323904</v>
      </c>
      <c r="AT24" s="1">
        <f>IF($B24&lt;Analysis!$C$66,0,IF($B24=Analysis!$C$66,-AP24-AS24,MIN(0,AT23-AS24)))</f>
        <v>-203920.66036289511</v>
      </c>
      <c r="AU24" s="64">
        <f>IF($B24&lt;Analysis!$C$66,0,IF($B24=Analysis!$C$66,Analysis!$C$72,IF(($B24-Analysis!$C$66)&lt;LOOKUP(Analysis!$C$66,$B:$B,AQ:AQ),AU23,0)))</f>
        <v>3.6999999999999998E-2</v>
      </c>
      <c r="AV24" s="1">
        <f>IF($B24&lt;Analysis!$C$66,0,IF($B24=Analysis!$C$66,-AU24*AP24,AU23*AT23))</f>
        <v>-8686.9413986761028</v>
      </c>
      <c r="AW24" s="1">
        <f>IF($B24&lt;Analysis!$C$66,0,IF($B24=Analysis!$C$66,PMT(AU24,AQ24,AP24)*AQ24-AX24-AT24,IF(($B24-Analysis!$C$66+1)&lt;LOOKUP(Analysis!$C$66,$B:$B,AQ:AQ),IF(AW23-AV24&lt;0, AW23-AV24,0),0)))</f>
        <v>-26504.902176389489</v>
      </c>
      <c r="AX24" s="1">
        <f>IF($B24&lt;Analysis!$C$66,0,IF($B24=Analysis!$C$66,AS24+AV24,IF(AT23&lt;0,IF(AT23&gt;LOOKUP(Analysis!$C$66,$B:$B,AX:AX), AT23*(1+AU23),AX23),0)))</f>
        <v>-39548.481000000007</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-3916.7977462465719</v>
      </c>
      <c r="BF24" s="64">
        <f>IF($B24&lt;Analysis!$C$66,0,Analysis!$C$78)</f>
        <v>3.0000000000000001E-3</v>
      </c>
      <c r="BG24" s="1">
        <f>IF($B24&lt;Analysis!$C$66,0,-BH24*AN24)</f>
        <v>-9791.9943656164287</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5"/>
        <v>-166463.9042154793</v>
      </c>
      <c r="BS24" s="64">
        <f>IF($B24&lt;Analysis!C$66,0,Analysis!C$31)</f>
        <v>0.1275</v>
      </c>
      <c r="BT24" s="1">
        <f>IF($B24&lt;Analysis!$C$66,0,AN24+BR24)</f>
        <v>1139135.344533378</v>
      </c>
      <c r="BU24" s="1">
        <f>IF($B24-Analysis!$C$66&gt;3,0,IF($AN24&gt;LOOKUP(Analysis!$C$66,$B:$B, AN:AN),$V24*(LOOKUP(Analysis!$C$66,$B:$B, AN:AN)-AN24),0))</f>
        <v>0</v>
      </c>
      <c r="BV24" s="1">
        <f t="shared" si="26"/>
        <v>1139135.344533378</v>
      </c>
      <c r="BW24" s="42"/>
      <c r="BX24" s="1">
        <f>IF($B24&lt;Analysis!$C$66,$P24+$N24+$X24+$Z24,$P24+$N24+AS24+AV24+BB24+BE24+BG24+MAX(BI24,SUM(BJ24:BN24))+BP24)</f>
        <v>-131617.273111863</v>
      </c>
      <c r="BY24" s="1">
        <f t="shared" si="27"/>
        <v>131467.92324122589</v>
      </c>
      <c r="BZ24" s="1">
        <f t="shared" si="48"/>
        <v>-149.34987063711742</v>
      </c>
      <c r="CA24" s="1">
        <f>IF(BZ24 &lt; 0,
    IF(CA23 + BZ24 &gt; 0,
        CA23 + BZ24, IF(CF23-ABS(CA23 + BZ24)*(1+$V24) &gt;= CA23 + BZ24,
        0, CA23 + BZ24)),
    MIN(CA23 + BZ24, Analysis!$C$7))+IF(CA23&lt;0, CA23*Analysis!$C$9,0)</f>
        <v>-309884.92650511145</v>
      </c>
      <c r="CB24" s="42"/>
      <c r="CC24" s="1">
        <f t="shared" si="49"/>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8"/>
        <v>0</v>
      </c>
      <c r="CH24" s="36"/>
      <c r="CI24" s="1">
        <f>IF(OR($B24&lt;Analysis!$C$100, $B24&gt;=Analysis!$C$130),0,X24)</f>
        <v>-29972.017536495496</v>
      </c>
      <c r="CJ24" s="1">
        <f>IF(OR($B24&lt;Analysis!$C$100, $B24&gt;=Analysis!$C$130),0,Z24)</f>
        <v>-3960</v>
      </c>
      <c r="CK24" s="1">
        <f t="shared" si="50"/>
        <v>785251.72207358771</v>
      </c>
      <c r="CL24" s="64">
        <f t="shared" si="51"/>
        <v>2.941176470588247E-2</v>
      </c>
      <c r="CM24" s="1">
        <f>IF($B24=Analysis!$C$100,(CK24*(1+Analysis!$C$23+Analysis!$C$24+Analysis!$C$25))-IF($B24=$B$2,(Analysis!$C$6-Analysis!$C$7+Analysis!$C$105), (FU23-Analysis!$C$7+CV24)),0)</f>
        <v>0</v>
      </c>
      <c r="CN24" s="64">
        <f>IF($B24=Analysis!$C$100,Analysis!$C$103,0)</f>
        <v>0</v>
      </c>
      <c r="CO24" s="64">
        <f>IF(OR($B24&lt;Analysis!$C$100, $B24&gt;=Analysis!$C$101),0,IF($B24=Analysis!$C$100,Analysis!$C$102,IF(($B24-Analysis!$C$100)&lt;LOOKUP(Analysis!$C$100,$B:$B,CT:CT),CO23,0)))</f>
        <v>3.6999999999999998E-2</v>
      </c>
      <c r="CP24" s="1">
        <f>IF(OR($B24&lt;Analysis!$C$100, $B24&gt;=Analysis!$C$101),0,IF($B24=Analysis!$C$100,-CM24*CN24,IF(CS24&gt;=0,0,CS24-CR24)))</f>
        <v>-17214.364522264255</v>
      </c>
      <c r="CQ24" s="1">
        <f>IF(OR($B24&lt;Analysis!$C$100, $B24&gt;=Analysis!$C$101),0,IF($B24=Analysis!$C$100,-CM24-CP24,MIN(0,CQ23-CP24)))</f>
        <v>-113745.60784897217</v>
      </c>
      <c r="CR24" s="1">
        <f>IF(OR($B24&lt;Analysis!$C$100, $B24&gt;=Analysis!$C$101),0,IF($B24=Analysis!$C$100,-CO24*CM24,CO23*CQ23))</f>
        <v>-4845.5189777357473</v>
      </c>
      <c r="CS24" s="1">
        <f>IF(OR($B24&lt;Analysis!$C$100, $B24&gt;=Analysis!$C$101),0,IF($B24=Analysis!$C$100,CP24+CR24,IF(CQ23&lt;0,IF(CQ23&gt;LOOKUP(Analysis!$C$100,$B:$B,CS:CS), CQ23*(1+CO23),CS23),0)))</f>
        <v>-22059.883500000004</v>
      </c>
      <c r="CT24" s="65">
        <f>IF($B24=Analysis!$C$100,NPER(CO24,-CS24,-CM24),0)</f>
        <v>0</v>
      </c>
      <c r="CU24" s="1">
        <f>IF(OR($B24&lt;Analysis!$C$100, $B24&gt;=Analysis!$C$101),0,IF($B24=Analysis!$C$100,PMT(CO24,CT24,CM24)*CT24-CS24-CQ24,IF(($B24-Analysis!$C$100+1)&lt;LOOKUP(Analysis!$C$100,$B:$B,CT:CT),IF(CU23-CR24&lt;0, CU23-CR24,0),0)))</f>
        <v>-14784.260720153863</v>
      </c>
      <c r="CV24" s="1">
        <f>IF($B24=Analysis!$C$100,Analysis!$C$105,0)</f>
        <v>0</v>
      </c>
      <c r="CW24" s="1">
        <f>IF($B24=Analysis!$C$100,PMT(CO24,CX24,CV24)*CX24,0)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29"/>
        <v>32541.270510654329</v>
      </c>
      <c r="DE24" s="1">
        <f t="shared" si="8"/>
        <v>-2355.7551662207634</v>
      </c>
      <c r="DF24" s="64">
        <f>IF(OR($B24&lt;Analysis!$C$100, $B24&gt;=Analysis!$C$101),0,Analysis!$C$118)</f>
        <v>3.0000000000000001E-3</v>
      </c>
      <c r="DG24" s="1">
        <f t="shared" si="9"/>
        <v>-5889.387915551908</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-1966.9136508325173</v>
      </c>
      <c r="DR24" s="1">
        <f t="shared" si="30"/>
        <v>-22472.05673260519</v>
      </c>
      <c r="DS24" s="1">
        <f>MIN(0,-(DB24+DR24)*Analysis!$C$28)-CR24*Analysis!$C$28</f>
        <v>483.89194813355584</v>
      </c>
      <c r="DT24" s="1">
        <f>-Analysis!$C$116*DD24/12</f>
        <v>-2711.7725425545273</v>
      </c>
      <c r="DU24" s="53"/>
      <c r="DV24" s="1">
        <f t="shared" si="10"/>
        <v>-100119.59456438244</v>
      </c>
      <c r="DW24" s="64">
        <f>IF(OR($B24&lt;Analysis!$C$100, $B24&gt;=Analysis!$C$101),0,IF($B24=Analysis!$C$100,Analysis!$C$31,DW23))</f>
        <v>0.1275</v>
      </c>
      <c r="DX24" s="1">
        <f>IF(OR($B24&lt;Analysis!$C$100, $B24&gt;=Analysis!$C$101),0,CK24+DV24)</f>
        <v>685132.12750920525</v>
      </c>
      <c r="DY24" s="1">
        <f>IF(OR($B24&lt;Analysis!$C$100, $B24&gt;=Analysis!$C$101),0,IF($B24-Analysis!$C$100&gt;3,0,IF(CK24&gt;LOOKUP(Analysis!$C$100,$B:$B, CK:CK),$V24*(LOOKUP(Analysis!$C$100,$B:$B, CK:CK)-CK24),0)))</f>
        <v>0</v>
      </c>
      <c r="DZ24" s="1">
        <f t="shared" si="52"/>
        <v>685132.12750920525</v>
      </c>
      <c r="EA24" s="53"/>
      <c r="EB24" s="1">
        <f t="shared" si="31"/>
        <v>1305599.2487488573</v>
      </c>
      <c r="EC24" s="64">
        <f t="shared" si="53"/>
        <v>2.941176470588247E-2</v>
      </c>
      <c r="ED24" s="1">
        <f>MAX(0,IF($B24=Analysis!$C$130,(EB24*(1+Analysis!$C$23+Analysis!$C$24+Analysis!$C$25))-(IF($B24=$B$2,(Analysis!$C$6-Analysis!$C$7+Analysis!$C$132), (FU23-Analysis!$C$7+EM24)) + IF($B24=Analysis!$C$101,DZ23+CQ23+CU23+CZ23,0)),0))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$P24+$N24+IF($B24&lt;Analysis!$C$130,$CI24+$CJ24,0)+CP24+CR24+CY24+DE24+DG24+MIN(DI24,SUM(DJ24:DN24))+DQ24+DS24+DT24+EG24+EJ24+EP24+ES24+EU24+MIN(EW24,SUM(EX24:FB24))+FD24</f>
        <v>-146791.83836352165</v>
      </c>
      <c r="FM24" s="1">
        <f>$M24+$R24+DD24+IF(AND($B24&lt;&gt;Analysis!$C$130,$B24=Analysis!$C$101),DZ23+CQ23+CU23+CZ23,0)</f>
        <v>164009.1937518802</v>
      </c>
      <c r="FN24" s="1">
        <f t="shared" si="34"/>
        <v>17217.355388358556</v>
      </c>
      <c r="FO24" s="1">
        <f>IF(FN24 &lt; 0,
    IF(FO23 + FN24 &gt; 0,
        FO23 + FN24, IF(FT23-ABS(FO23 + FN24)*(1+$V24) &gt;= FO23 + FN24,
        0, FO23 + FN24)),
    MIN(FO23 + FN24, Analysis!$C$7))+IF(FO23&lt;0, FO23*Analysis!$C$9,0)</f>
        <v>24000</v>
      </c>
      <c r="FP24" s="53"/>
      <c r="FQ24" s="1">
        <f t="shared" si="54"/>
        <v>26538.210790924124</v>
      </c>
      <c r="FR24" s="1">
        <f>IF(OR($B24=Analysis!$C$100, $B24=Analysis!$C$130),0,IF(FN24 &gt;= 0,
    MAX(0, FO23 + FN24 - Analysis!$C$7),
    0))</f>
        <v>17217.355388358556</v>
      </c>
      <c r="FS24" s="1">
        <f>IF(OR($B24=Analysis!$C$100, $B24=Analysis!$C$130),0,MAX(0, FS23 + FR24 - IF(FN24 &lt; 0, MIN(ABS(FN24), FS23 + FR24), 0)))</f>
        <v>461519.96261950361</v>
      </c>
      <c r="FT24" s="1">
        <f>IF(OR($B24=Analysis!$C$100, $B24=Analysis!$C$130),0,IF(FN24 &lt; 0,
    IF(FN24 + FO23 &lt; 0,
        MAX(0, FT23 - (ABS(FN24 + FO23) * (1+$V23))),
        FT23 + FQ24),
    FT23 + FR24 + FQ24))</f>
        <v>695526.42833942804</v>
      </c>
      <c r="FU24" s="1">
        <f t="shared" si="60"/>
        <v>633807.22300579795</v>
      </c>
      <c r="FV24" s="36"/>
      <c r="FW24" s="1">
        <f t="shared" si="55"/>
        <v>785251.72207358771</v>
      </c>
      <c r="FX24" s="64">
        <f t="shared" si="56"/>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-17214.364522264255</v>
      </c>
      <c r="GC24" s="1">
        <f>IF($B24&lt;Analysis!$C$159,0,IF($B24=Analysis!$C$159,-FY24-GB24,MIN(0,GC23-GB24)))</f>
        <v>-113745.60784897217</v>
      </c>
      <c r="GD24" s="64">
        <f>IF($B24&lt;Analysis!$C$159,0,IF($B24=Analysis!$C$159,Analysis!$C$160,IF(($B24-Analysis!$C$159)&lt;LOOKUP(Analysis!$C$159,$B:$B,FZ:FZ),GD23,0)))</f>
        <v>3.6999999999999998E-2</v>
      </c>
      <c r="GE24" s="1">
        <f>IF($B24&lt;Analysis!$C$159,0,IF($B24=Analysis!$C$159,-GD24*FY24,GD23*GC23))</f>
        <v>-4845.5189777357473</v>
      </c>
      <c r="GF24" s="1">
        <f>IF($B24&lt;Analysis!$C$159,0,IF($B24=Analysis!$C$159,PMT(GD24,FZ24,FY24)*FZ24-GG24-GC24,IF(($B24-Analysis!$C$159+1)&lt;LOOKUP(Analysis!$C$159,$B:$B,FZ:FZ),IF(GF23-GE24&lt;0, GF23-GE24,0),0)))</f>
        <v>-14784.260720153863</v>
      </c>
      <c r="GG24" s="1">
        <f>IF($B24&lt;Analysis!$C$159,0,IF($B24=Analysis!$C$159,GB24+GE24,IF(GC23&lt;0,IF(GC23&gt;LOOKUP(Analysis!$C$159,$B:$B,GG:GG), GC23*(1+GD23),GG23),0)))</f>
        <v>-22059.883500000004</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36"/>
        <v>32541.270510654329</v>
      </c>
      <c r="GQ24" s="1">
        <f t="shared" si="37"/>
        <v>-2355.7551662207634</v>
      </c>
      <c r="GR24" s="64">
        <f>IF($B24&lt;Analysis!$C$159,0,Analysis!$C$178)</f>
        <v>3.0000000000000001E-3</v>
      </c>
      <c r="GS24" s="1">
        <f t="shared" si="38"/>
        <v>-5889.387915551908</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-1966.9136508325173</v>
      </c>
      <c r="HD24" s="1">
        <f t="shared" si="39"/>
        <v>-22472.05673260519</v>
      </c>
      <c r="HE24" s="1">
        <f>MIN(0,-(GN24+HD24)*Analysis!$C$28)-GE24*Analysis!$C$28</f>
        <v>483.89194813355584</v>
      </c>
      <c r="HF24" s="1">
        <f>-Analysis!$C$176*GP24/12</f>
        <v>-2711.7725425545273</v>
      </c>
      <c r="HG24" s="38"/>
      <c r="HH24" s="1">
        <f>IF($B24&lt;Analysis!$C$159,0,-$HI24*$FW24)</f>
        <v>-100119.59456438244</v>
      </c>
      <c r="HI24" s="64">
        <f>IF($B24&lt;Analysis!$C$159,0,IF($B24=Analysis!$C$159,Analysis!$C$31,HI23))</f>
        <v>0.1275</v>
      </c>
      <c r="HJ24" s="1">
        <f>IF($B24&lt;Analysis!$C$159,0,$FW24+HH24)</f>
        <v>685132.12750920525</v>
      </c>
      <c r="HK24" s="1">
        <f>IF($B24-Analysis!$C$159&gt;10,0,IF($FW24&gt;LOOKUP(Analysis!$C$159,$B:$B, FW:FW),$V24*(LOOKUP(Analysis!$C$159,$B:$B, FW:FW)-FW24),0))</f>
        <v>0</v>
      </c>
      <c r="HL24" s="1">
        <f t="shared" si="40"/>
        <v>685132.12750920525</v>
      </c>
      <c r="HM24" s="38"/>
      <c r="HN24" s="1">
        <f t="shared" si="41"/>
        <v>-146791.83836352165</v>
      </c>
      <c r="HO24" s="1">
        <f t="shared" si="12"/>
        <v>164009.1937518802</v>
      </c>
      <c r="HP24" s="1">
        <f t="shared" si="42"/>
        <v>17217.355388358556</v>
      </c>
      <c r="HQ24" s="1">
        <f>IF(HP24 &lt; 0,
    IF(HQ23 + HP24 &gt; 0,
        HQ23 + HP24, IF(HV23-ABS(HQ23 + HP24)*(1+$V24) &gt;= HQ23 + HP24,
        0, HQ23 + HP24)),
    MIN(HQ23 + HP24, Analysis!$C$7))+IF(HQ23&lt;0, HQ23*Analysis!$C$9,0)</f>
        <v>24000</v>
      </c>
      <c r="HR24" s="38"/>
      <c r="HS24" s="1">
        <f t="shared" si="57"/>
        <v>26538.210790924124</v>
      </c>
      <c r="HT24" s="1">
        <f>IF($B24=Analysis!$C$159,0,IF(HP24 &gt;= 0,
    MAX(0, HQ23 + HP24 - Analysis!$C$7),
    0))</f>
        <v>17217.355388358556</v>
      </c>
      <c r="HU24" s="1">
        <f>IF($B24=Analysis!$C$159,0,MAX(0, HU23 + HT24 - IF(HP24 &lt; 0, MIN(ABS(HP24), HU23 + HT24), 0)))</f>
        <v>461519.96261950361</v>
      </c>
      <c r="HV24" s="1">
        <f>IF($B24=Analysis!$C$159,0,IF(HP24 &lt; 0,
    IF(HP24 + HQ23 &lt; 0,
        MAX(0, HV23 - (ABS(HP24 + HQ23) * (1+$V23))),
        HV23 + HS24),
    HV23 + HT24 + HS24))</f>
        <v>695526.42833942804</v>
      </c>
      <c r="HW24" s="1">
        <f t="shared" si="61"/>
        <v>633807.22300579795</v>
      </c>
      <c r="HX24" s="36"/>
    </row>
    <row r="25" spans="1:232" x14ac:dyDescent="0.35">
      <c r="A25">
        <f t="shared" si="0"/>
        <v>58</v>
      </c>
      <c r="B25">
        <v>2048</v>
      </c>
      <c r="C25" s="1">
        <f>IF($B25&lt;Analysis!C$66,0,$AN25)+$AT25+$AW25+$BC25+$CF25+$CA25</f>
        <v>817893.87484979734</v>
      </c>
      <c r="D25" s="1">
        <f>IF($B25&lt;Analysis!C$66, 0, BV25)+AT25+AW25+BC25+CG25+CA25</f>
        <v>646533.97345150972</v>
      </c>
      <c r="E25" s="1">
        <f t="shared" si="13"/>
        <v>1328575.3021546253</v>
      </c>
      <c r="F25" s="1">
        <f t="shared" si="14"/>
        <v>1173502.8262425456</v>
      </c>
      <c r="G25" s="1">
        <f>IF(AND($B25&gt;=Analysis!$C$100, $B25&lt;Analysis!$C$101),$CK25,0)+IF($B25&gt;=Analysis!$C$130,EB25,0)+CQ25+CU25+CZ25+EH25+EK25+EQ25+$FO25+$FT25</f>
        <v>1464846.4101211564</v>
      </c>
      <c r="H25" s="1">
        <f t="shared" si="2"/>
        <v>1292908.0436900533</v>
      </c>
      <c r="I25" s="1">
        <f>IF($B25&lt;Analysis!$C$159,0,$FW25)+$GC25+$GF25+$GL25+$HQ25+$HV25</f>
        <v>1464846.4101211564</v>
      </c>
      <c r="J25" s="1">
        <f t="shared" si="3"/>
        <v>1292908.0436900533</v>
      </c>
      <c r="K25" s="36"/>
      <c r="L25" s="1">
        <f t="shared" si="15"/>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4"/>
        <v>0</v>
      </c>
      <c r="R25" s="1">
        <f>IF(AND(AND(B25=Analysis!C$35,Analysis!C$34&lt;&gt;0),AND(B25=Analysis!C$37,Analysis!C$36&lt;&gt;0)),Analysis!C$34+Analysis!C$36,IF(AND(B25=Analysis!C$35,Analysis!C$34&lt;&gt;0),Analysis!C$34,IF(AND(B25=Analysis!C$37,Analysis!C$36&lt;&gt;0),Analysis!C$36,0)))</f>
        <v>0</v>
      </c>
      <c r="S25" s="64">
        <f t="shared" si="6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63"/>
        <v>0.26374999999999998</v>
      </c>
      <c r="W25" s="36"/>
      <c r="X25" s="1">
        <f t="shared" si="45"/>
        <v>-30853.547464039486</v>
      </c>
      <c r="Y25" s="64">
        <f t="shared" si="18"/>
        <v>2.941176470588247E-2</v>
      </c>
      <c r="Z25" s="1">
        <f t="shared" si="19"/>
        <v>-3960</v>
      </c>
      <c r="AA25" s="64">
        <f t="shared" si="20"/>
        <v>0</v>
      </c>
      <c r="AB25" s="40"/>
      <c r="AC25" s="1">
        <f t="shared" si="4"/>
        <v>-109213.54746403948</v>
      </c>
      <c r="AD25" s="1">
        <f t="shared" si="5"/>
        <v>131467.92324122589</v>
      </c>
      <c r="AE25" s="1">
        <f t="shared" si="21"/>
        <v>22254.375777186404</v>
      </c>
      <c r="AF25" s="1">
        <f>IF(AE25 &lt; 0,
    IF(AF24 + AE25 &gt; 0,
        AF24 + AE25, IF(AK24-ABS(AF24 + AE25)*(1+$V25) &gt;= AF24 + AE25,
        0, AF24 + AE25)),
    MIN(AF24 + AE25, Analysis!$C$7))+IF(AF24&lt;0, AF24*Analysis!$C$9,0)</f>
        <v>24000</v>
      </c>
      <c r="AG25" s="40"/>
      <c r="AH25" s="1">
        <f t="shared" si="22"/>
        <v>48136.644107363063</v>
      </c>
      <c r="AI25" s="1">
        <f>IF(AE25 &gt;= 0,
    MAX(0, AF24 + AE25 - Analysis!$C$7),
    0)</f>
        <v>22254.375777186404</v>
      </c>
      <c r="AJ25" s="1">
        <f t="shared" si="46"/>
        <v>716622.78684816207</v>
      </c>
      <c r="AK25" s="1">
        <f t="shared" si="23"/>
        <v>1304575.3021546253</v>
      </c>
      <c r="AL25" s="1">
        <f t="shared" si="6"/>
        <v>1149502.8262425456</v>
      </c>
      <c r="AM25" s="36"/>
      <c r="AN25" s="1">
        <f t="shared" si="47"/>
        <v>1343999.2266532355</v>
      </c>
      <c r="AO25" s="64">
        <f t="shared" si="24"/>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-32003.416566572887</v>
      </c>
      <c r="AT25" s="1">
        <f>IF($B25&lt;Analysis!$C$66,0,IF($B25=Analysis!$C$66,-AP25-AS25,MIN(0,AT24-AS25)))</f>
        <v>-171917.24379632223</v>
      </c>
      <c r="AU25" s="64">
        <f>IF($B25&lt;Analysis!$C$66,0,IF($B25=Analysis!$C$66,Analysis!$C$72,IF(($B25-Analysis!$C$66)&lt;LOOKUP(Analysis!$C$66,$B:$B,AQ:AQ),AU24,0)))</f>
        <v>3.6999999999999998E-2</v>
      </c>
      <c r="AV25" s="1">
        <f>IF($B25&lt;Analysis!$C$66,0,IF($B25=Analysis!$C$66,-AU25*AP25,AU24*AT24))</f>
        <v>-7545.0644334271192</v>
      </c>
      <c r="AW25" s="1">
        <f>IF($B25&lt;Analysis!$C$66,0,IF($B25=Analysis!$C$66,PMT(AU25,AQ25,AP25)*AQ25-AX25-AT25,IF(($B25-Analysis!$C$66+1)&lt;LOOKUP(Analysis!$C$66,$B:$B,AQ:AQ),IF(AW24-AV25&lt;0, AW24-AV25,0),0)))</f>
        <v>-18959.837742962369</v>
      </c>
      <c r="AX25" s="1">
        <f>IF($B25&lt;Analysis!$C$66,0,IF($B25=Analysis!$C$66,AS25+AV25,IF(AT24&lt;0,IF(AT24&gt;LOOKUP(Analysis!$C$66,$B:$B,AX:AX), AT24*(1+AU24),AX24),0)))</f>
        <v>-39548.481000000007</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-4031.9976799597066</v>
      </c>
      <c r="BF25" s="64">
        <f>IF($B25&lt;Analysis!$C$66,0,Analysis!$C$78)</f>
        <v>3.0000000000000001E-3</v>
      </c>
      <c r="BG25" s="1">
        <f>IF($B25&lt;Analysis!$C$66,0,-BH25*AN25)</f>
        <v>-10079.994199899265</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5"/>
        <v>-171359.90139828753</v>
      </c>
      <c r="BS25" s="64">
        <f>IF($B25&lt;Analysis!C$66,0,Analysis!C$31)</f>
        <v>0.1275</v>
      </c>
      <c r="BT25" s="1">
        <f>IF($B25&lt;Analysis!$C$66,0,AN25+BR25)</f>
        <v>1172639.3252549479</v>
      </c>
      <c r="BU25" s="1">
        <f>IF($B25-Analysis!$C$66&gt;3,0,IF($AN25&gt;LOOKUP(Analysis!$C$66,$B:$B, AN:AN),$V25*(LOOKUP(Analysis!$C$66,$B:$B, AN:AN)-AN25),0))</f>
        <v>0</v>
      </c>
      <c r="BV25" s="1">
        <f t="shared" si="26"/>
        <v>1172639.3252549479</v>
      </c>
      <c r="BW25" s="42"/>
      <c r="BX25" s="1">
        <f>IF($B25&lt;Analysis!$C$66,$P25+$N25+$X25+$Z25,$P25+$N25+AS25+AV25+BB25+BE25+BG25+MAX(BI25,SUM(BJ25:BN25))+BP25)</f>
        <v>-132020.47287985898</v>
      </c>
      <c r="BY25" s="1">
        <f t="shared" si="27"/>
        <v>131467.92324122589</v>
      </c>
      <c r="BZ25" s="1">
        <f t="shared" si="48"/>
        <v>-552.5496386330924</v>
      </c>
      <c r="CA25" s="1">
        <f>IF(BZ25 &lt; 0,
    IF(CA24 + BZ25 &gt; 0,
        CA24 + BZ25, IF(CF24-ABS(CA24 + BZ25)*(1+$V25) &gt;= CA24 + BZ25,
        0, CA24 + BZ25)),
    MIN(CA24 + BZ25, Analysis!$C$7))+IF(CA24&lt;0, CA24*Analysis!$C$9,0)</f>
        <v>-335228.27026415349</v>
      </c>
      <c r="CB25" s="42"/>
      <c r="CC25" s="1">
        <f t="shared" si="49"/>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8"/>
        <v>0</v>
      </c>
      <c r="CH25" s="36"/>
      <c r="CI25" s="1">
        <f>IF(OR($B25&lt;Analysis!$C$100, $B25&gt;=Analysis!$C$130),0,X25)</f>
        <v>-30853.547464039486</v>
      </c>
      <c r="CJ25" s="1">
        <f>IF(OR($B25&lt;Analysis!$C$100, $B25&gt;=Analysis!$C$130),0,Z25)</f>
        <v>-3960</v>
      </c>
      <c r="CK25" s="1">
        <f t="shared" si="50"/>
        <v>808347.36095810507</v>
      </c>
      <c r="CL25" s="64">
        <f t="shared" si="51"/>
        <v>2.941176470588247E-2</v>
      </c>
      <c r="CM25" s="1">
        <f>IF($B25=Analysis!$C$100,(CK25*(1+Analysis!$C$23+Analysis!$C$24+Analysis!$C$25))-IF($B25=$B$2,(Analysis!$C$6-Analysis!$C$7+Analysis!$C$105), (FU24-Analysis!$C$7+CV25)),0)</f>
        <v>0</v>
      </c>
      <c r="CN25" s="64">
        <f>IF($B25=Analysis!$C$100,Analysis!$C$103,0)</f>
        <v>0</v>
      </c>
      <c r="CO25" s="64">
        <f>IF(OR($B25&lt;Analysis!$C$100, $B25&gt;=Analysis!$C$101),0,IF($B25=Analysis!$C$100,Analysis!$C$102,IF(($B25-Analysis!$C$100)&lt;LOOKUP(Analysis!$C$100,$B:$B,CT:CT),CO24,0)))</f>
        <v>3.6999999999999998E-2</v>
      </c>
      <c r="CP25" s="1">
        <f>IF(OR($B25&lt;Analysis!$C$100, $B25&gt;=Analysis!$C$101),0,IF($B25=Analysis!$C$100,-CM25*CN25,IF(CS25&gt;=0,0,CS25-CR25)))</f>
        <v>-17851.296009588033</v>
      </c>
      <c r="CQ25" s="1">
        <f>IF(OR($B25&lt;Analysis!$C$100, $B25&gt;=Analysis!$C$101),0,IF($B25=Analysis!$C$100,-CM25-CP25,MIN(0,CQ24-CP25)))</f>
        <v>-95894.311839384143</v>
      </c>
      <c r="CR25" s="1">
        <f>IF(OR($B25&lt;Analysis!$C$100, $B25&gt;=Analysis!$C$101),0,IF($B25=Analysis!$C$100,-CO25*CM25,CO24*CQ24))</f>
        <v>-4208.5874904119701</v>
      </c>
      <c r="CS25" s="1">
        <f>IF(OR($B25&lt;Analysis!$C$100, $B25&gt;=Analysis!$C$101),0,IF($B25=Analysis!$C$100,CP25+CR25,IF(CQ24&lt;0,IF(CQ24&gt;LOOKUP(Analysis!$C$100,$B:$B,CS:CS), CQ24*(1+CO24),CS24),0)))</f>
        <v>-22059.883500000004</v>
      </c>
      <c r="CT25" s="65">
        <f>IF($B25=Analysis!$C$100,NPER(CO25,-CS25,-CM25),0)</f>
        <v>0</v>
      </c>
      <c r="CU25" s="1">
        <f>IF(OR($B25&lt;Analysis!$C$100, $B25&gt;=Analysis!$C$101),0,IF($B25=Analysis!$C$100,PMT(CO25,CT25,CM25)*CT25-CS25-CQ25,IF(($B25-Analysis!$C$100+1)&lt;LOOKUP(Analysis!$C$100,$B:$B,CT:CT),IF(CU24-CR25&lt;0, CU24-CR25,0),0)))</f>
        <v>-10575.673229741893</v>
      </c>
      <c r="CV25" s="1">
        <f>IF($B25=Analysis!$C$100,Analysis!$C$105,0)</f>
        <v>0</v>
      </c>
      <c r="CW25" s="1">
        <f>IF($B25=Analysis!$C$100,PMT(CO25,CX25,CV25)*CX25,0)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29"/>
        <v>33381.896113908871</v>
      </c>
      <c r="DE25" s="1">
        <f t="shared" si="8"/>
        <v>-2425.0420828743154</v>
      </c>
      <c r="DF25" s="64">
        <f>IF(OR($B25&lt;Analysis!$C$100, $B25&gt;=Analysis!$C$101),0,Analysis!$C$118)</f>
        <v>3.0000000000000001E-3</v>
      </c>
      <c r="DG25" s="1">
        <f t="shared" si="9"/>
        <v>-6062.6052071857875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-2024.7640523275916</v>
      </c>
      <c r="DR25" s="1">
        <f t="shared" si="30"/>
        <v>-22772.411342387695</v>
      </c>
      <c r="DS25" s="1">
        <f>MIN(0,-(DB25+DR25)*Analysis!$C$28)-CR25*Analysis!$C$28</f>
        <v>-7.0254383378801322</v>
      </c>
      <c r="DT25" s="1">
        <f>-Analysis!$C$116*DD25/12</f>
        <v>-2781.8246761590726</v>
      </c>
      <c r="DU25" s="53"/>
      <c r="DV25" s="1">
        <f t="shared" si="10"/>
        <v>-103064.2885221584</v>
      </c>
      <c r="DW25" s="64">
        <f>IF(OR($B25&lt;Analysis!$C$100, $B25&gt;=Analysis!$C$101),0,IF($B25=Analysis!$C$100,Analysis!$C$31,DW24))</f>
        <v>0.1275</v>
      </c>
      <c r="DX25" s="1">
        <f>IF(OR($B25&lt;Analysis!$C$100, $B25&gt;=Analysis!$C$101),0,CK25+DV25)</f>
        <v>705283.07243594667</v>
      </c>
      <c r="DY25" s="1">
        <f>IF(OR($B25&lt;Analysis!$C$100, $B25&gt;=Analysis!$C$101),0,IF($B25-Analysis!$C$100&gt;3,0,IF(CK25&gt;LOOKUP(Analysis!$C$100,$B:$B, CK:CK),$V25*(LOOKUP(Analysis!$C$100,$B:$B, CK:CK)-CK25),0)))</f>
        <v>0</v>
      </c>
      <c r="DZ25" s="1">
        <f t="shared" si="52"/>
        <v>705283.07243594667</v>
      </c>
      <c r="EA25" s="53"/>
      <c r="EB25" s="1">
        <f t="shared" si="31"/>
        <v>1343999.2266532355</v>
      </c>
      <c r="EC25" s="64">
        <f t="shared" si="53"/>
        <v>2.941176470588247E-2</v>
      </c>
      <c r="ED25" s="1">
        <f>MAX(0,IF($B25=Analysis!$C$130,(EB25*(1+Analysis!$C$23+Analysis!$C$24+Analysis!$C$25))-(IF($B25=$B$2,(Analysis!$C$6-Analysis!$C$7+Analysis!$C$132), (FU24-Analysis!$C$7+EM25)) + IF($B25=Analysis!$C$101,DZ24+CQ24+CU24+CZ24,0)),0))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$P25+$N25+IF($B25&lt;Analysis!$C$130,$CI25+$CJ25,0)+CP25+CR25+CY25+DE25+DG25+MIN(DI25,SUM(DJ25:DN25))+DQ25+DS25+DT25+EG25+EJ25+EP25+ES25+EU25+MIN(EW25,SUM(EX25:FB25))+FD25</f>
        <v>-148534.69242092414</v>
      </c>
      <c r="FM25" s="1">
        <f>$M25+$R25+DD25+IF(AND($B25&lt;&gt;Analysis!$C$130,$B25=Analysis!$C$101),DZ24+CQ24+CU24+CZ24,0)</f>
        <v>164849.81935513476</v>
      </c>
      <c r="FN25" s="1">
        <f t="shared" si="34"/>
        <v>16315.126934210624</v>
      </c>
      <c r="FO25" s="1">
        <f>IF(FN25 &lt; 0,
    IF(FO24 + FN25 &gt; 0,
        FO24 + FN25, IF(FT24-ABS(FO24 + FN25)*(1+$V25) &gt;= FO24 + FN25,
        0, FO24 + FN25)),
    MIN(FO24 + FN25, Analysis!$C$7))+IF(FO24&lt;0, FO24*Analysis!$C$9,0)</f>
        <v>24000</v>
      </c>
      <c r="FP25" s="53"/>
      <c r="FQ25" s="1">
        <f t="shared" si="54"/>
        <v>27127.478958538482</v>
      </c>
      <c r="FR25" s="1">
        <f>IF(OR($B25=Analysis!$C$100, $B25=Analysis!$C$130),0,IF(FN25 &gt;= 0,
    MAX(0, FO24 + FN25 - Analysis!$C$7),
    0))</f>
        <v>16315.126934210624</v>
      </c>
      <c r="FS25" s="1">
        <f>IF(OR($B25=Analysis!$C$100, $B25=Analysis!$C$130),0,MAX(0, FS24 + FR25 - IF(FN25 &lt; 0, MIN(ABS(FN25), FS24 + FR25), 0)))</f>
        <v>477835.08955371426</v>
      </c>
      <c r="FT25" s="1">
        <f>IF(OR($B25=Analysis!$C$100, $B25=Analysis!$C$130),0,IF(FN25 &lt; 0,
    IF(FN25 + FO24 &lt; 0,
        MAX(0, FT24 - (ABS(FN25 + FO24) * (1+$V24))),
        FT24 + FQ25),
    FT24 + FR25 + FQ25))</f>
        <v>738969.03423217719</v>
      </c>
      <c r="FU25" s="1">
        <f t="shared" si="60"/>
        <v>670094.95632323262</v>
      </c>
      <c r="FV25" s="36"/>
      <c r="FW25" s="1">
        <f t="shared" si="55"/>
        <v>808347.36095810507</v>
      </c>
      <c r="FX25" s="64">
        <f t="shared" si="56"/>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-17851.296009588033</v>
      </c>
      <c r="GC25" s="1">
        <f>IF($B25&lt;Analysis!$C$159,0,IF($B25=Analysis!$C$159,-FY25-GB25,MIN(0,GC24-GB25)))</f>
        <v>-95894.311839384143</v>
      </c>
      <c r="GD25" s="64">
        <f>IF($B25&lt;Analysis!$C$159,0,IF($B25=Analysis!$C$159,Analysis!$C$160,IF(($B25-Analysis!$C$159)&lt;LOOKUP(Analysis!$C$159,$B:$B,FZ:FZ),GD24,0)))</f>
        <v>3.6999999999999998E-2</v>
      </c>
      <c r="GE25" s="1">
        <f>IF($B25&lt;Analysis!$C$159,0,IF($B25=Analysis!$C$159,-GD25*FY25,GD24*GC24))</f>
        <v>-4208.5874904119701</v>
      </c>
      <c r="GF25" s="1">
        <f>IF($B25&lt;Analysis!$C$159,0,IF($B25=Analysis!$C$159,PMT(GD25,FZ25,FY25)*FZ25-GG25-GC25,IF(($B25-Analysis!$C$159+1)&lt;LOOKUP(Analysis!$C$159,$B:$B,FZ:FZ),IF(GF24-GE25&lt;0, GF24-GE25,0),0)))</f>
        <v>-10575.673229741893</v>
      </c>
      <c r="GG25" s="1">
        <f>IF($B25&lt;Analysis!$C$159,0,IF($B25=Analysis!$C$159,GB25+GE25,IF(GC24&lt;0,IF(GC24&gt;LOOKUP(Analysis!$C$159,$B:$B,GG:GG), GC24*(1+GD24),GG24),0)))</f>
        <v>-22059.883500000004</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36"/>
        <v>33381.896113908871</v>
      </c>
      <c r="GQ25" s="1">
        <f t="shared" si="37"/>
        <v>-2425.0420828743154</v>
      </c>
      <c r="GR25" s="64">
        <f>IF($B25&lt;Analysis!$C$159,0,Analysis!$C$178)</f>
        <v>3.0000000000000001E-3</v>
      </c>
      <c r="GS25" s="1">
        <f t="shared" si="38"/>
        <v>-6062.6052071857875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-2024.7640523275916</v>
      </c>
      <c r="HD25" s="1">
        <f t="shared" si="39"/>
        <v>-22772.411342387695</v>
      </c>
      <c r="HE25" s="1">
        <f>MIN(0,-(GN25+HD25)*Analysis!$C$28)-GE25*Analysis!$C$28</f>
        <v>-7.0254383378801322</v>
      </c>
      <c r="HF25" s="1">
        <f>-Analysis!$C$176*GP25/12</f>
        <v>-2781.8246761590726</v>
      </c>
      <c r="HG25" s="38"/>
      <c r="HH25" s="1">
        <f>IF($B25&lt;Analysis!$C$159,0,-$HI25*$FW25)</f>
        <v>-103064.2885221584</v>
      </c>
      <c r="HI25" s="64">
        <f>IF($B25&lt;Analysis!$C$159,0,IF($B25=Analysis!$C$159,Analysis!$C$31,HI24))</f>
        <v>0.1275</v>
      </c>
      <c r="HJ25" s="1">
        <f>IF($B25&lt;Analysis!$C$159,0,$FW25+HH25)</f>
        <v>705283.07243594667</v>
      </c>
      <c r="HK25" s="1">
        <f>IF($B25-Analysis!$C$159&gt;10,0,IF($FW25&gt;LOOKUP(Analysis!$C$159,$B:$B, FW:FW),$V25*(LOOKUP(Analysis!$C$159,$B:$B, FW:FW)-FW25),0))</f>
        <v>0</v>
      </c>
      <c r="HL25" s="1">
        <f t="shared" si="40"/>
        <v>705283.07243594667</v>
      </c>
      <c r="HM25" s="38"/>
      <c r="HN25" s="1">
        <f t="shared" si="41"/>
        <v>-148534.69242092414</v>
      </c>
      <c r="HO25" s="1">
        <f t="shared" si="12"/>
        <v>164849.81935513476</v>
      </c>
      <c r="HP25" s="1">
        <f t="shared" si="42"/>
        <v>16315.126934210624</v>
      </c>
      <c r="HQ25" s="1">
        <f>IF(HP25 &lt; 0,
    IF(HQ24 + HP25 &gt; 0,
        HQ24 + HP25, IF(HV24-ABS(HQ24 + HP25)*(1+$V25) &gt;= HQ24 + HP25,
        0, HQ24 + HP25)),
    MIN(HQ24 + HP25, Analysis!$C$7))+IF(HQ24&lt;0, HQ24*Analysis!$C$9,0)</f>
        <v>24000</v>
      </c>
      <c r="HR25" s="38"/>
      <c r="HS25" s="1">
        <f t="shared" si="57"/>
        <v>27127.478958538482</v>
      </c>
      <c r="HT25" s="1">
        <f>IF($B25=Analysis!$C$159,0,IF(HP25 &gt;= 0,
    MAX(0, HQ24 + HP25 - Analysis!$C$7),
    0))</f>
        <v>16315.126934210624</v>
      </c>
      <c r="HU25" s="1">
        <f>IF($B25=Analysis!$C$159,0,MAX(0, HU24 + HT25 - IF(HP25 &lt; 0, MIN(ABS(HP25), HU24 + HT25), 0)))</f>
        <v>477835.08955371426</v>
      </c>
      <c r="HV25" s="1">
        <f>IF($B25=Analysis!$C$159,0,IF(HP25 &lt; 0,
    IF(HP25 + HQ24 &lt; 0,
        MAX(0, HV24 - (ABS(HP25 + HQ24) * (1+$V24))),
        HV24 + HS25),
    HV24 + HT25 + HS25))</f>
        <v>738969.03423217719</v>
      </c>
      <c r="HW25" s="1">
        <f t="shared" si="61"/>
        <v>670094.95632323262</v>
      </c>
      <c r="HX25" s="36"/>
    </row>
    <row r="26" spans="1:232" x14ac:dyDescent="0.35">
      <c r="A26">
        <f t="shared" si="0"/>
        <v>59</v>
      </c>
      <c r="B26">
        <v>2049</v>
      </c>
      <c r="C26" s="1">
        <f>IF($B26&lt;Analysis!C$66,0,$AN26)+$AT26+$AW26+$BC26+$CF26+$CA26</f>
        <v>869185.87502454338</v>
      </c>
      <c r="D26" s="1">
        <f>IF($B26&lt;Analysis!C$66, 0, BV26)+AT26+AW26+BC26+CG26+CA26</f>
        <v>692785.97652630624</v>
      </c>
      <c r="E26" s="1">
        <f t="shared" si="13"/>
        <v>1398567.8969063496</v>
      </c>
      <c r="F26" s="1">
        <f t="shared" si="14"/>
        <v>1230665.1238825696</v>
      </c>
      <c r="G26" s="1">
        <f>IF(AND($B26&gt;=Analysis!$C$100, $B26&lt;Analysis!$C$101),$CK26,0)+IF($B26&gt;=Analysis!$C$130,EB26,0)+CQ26+CU26+CZ26+EH26+EK26+EQ26+$FO26+$FT26</f>
        <v>1553620.4949842659</v>
      </c>
      <c r="H26" s="1">
        <f t="shared" si="2"/>
        <v>1371383.1793446667</v>
      </c>
      <c r="I26" s="1">
        <f>IF($B26&lt;Analysis!$C$159,0,$FW26)+$GC26+$GF26+$GL26+$HQ26+$HV26</f>
        <v>1553620.4949842659</v>
      </c>
      <c r="J26" s="1">
        <f t="shared" si="3"/>
        <v>1371383.1793446667</v>
      </c>
      <c r="K26" s="36"/>
      <c r="L26" s="1">
        <f t="shared" si="15"/>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4"/>
        <v>0</v>
      </c>
      <c r="R26" s="1">
        <f>IF(AND(AND(B26=Analysis!C$35,Analysis!C$34&lt;&gt;0),AND(B26=Analysis!C$37,Analysis!C$36&lt;&gt;0)),Analysis!C$34+Analysis!C$36,IF(AND(B26=Analysis!C$35,Analysis!C$34&lt;&gt;0),Analysis!C$34,IF(AND(B26=Analysis!C$37,Analysis!C$36&lt;&gt;0),Analysis!C$36,0)))</f>
        <v>0</v>
      </c>
      <c r="S26" s="64">
        <f t="shared" si="6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63"/>
        <v>0.26374999999999998</v>
      </c>
      <c r="W26" s="36"/>
      <c r="X26" s="1">
        <f t="shared" si="45"/>
        <v>-31761.00474239359</v>
      </c>
      <c r="Y26" s="64">
        <f t="shared" si="18"/>
        <v>2.941176470588247E-2</v>
      </c>
      <c r="Z26" s="1">
        <f t="shared" si="19"/>
        <v>-3960</v>
      </c>
      <c r="AA26" s="64">
        <f t="shared" si="20"/>
        <v>0</v>
      </c>
      <c r="AB26" s="40"/>
      <c r="AC26" s="1">
        <f t="shared" si="4"/>
        <v>-110121.00474239359</v>
      </c>
      <c r="AD26" s="1">
        <f t="shared" si="5"/>
        <v>131467.92324122589</v>
      </c>
      <c r="AE26" s="1">
        <f t="shared" si="21"/>
        <v>21346.918498832296</v>
      </c>
      <c r="AF26" s="1">
        <f>IF(AE26 &lt; 0,
    IF(AF25 + AE26 &gt; 0,
        AF25 + AE26, IF(AK25-ABS(AF25 + AE26)*(1+$V26) &gt;= AF25 + AE26,
        0, AF25 + AE26)),
    MIN(AF25 + AE26, Analysis!$C$7))+IF(AF25&lt;0, AF25*Analysis!$C$9,0)</f>
        <v>24000</v>
      </c>
      <c r="AG26" s="40"/>
      <c r="AH26" s="1">
        <f t="shared" si="22"/>
        <v>48645.676252892015</v>
      </c>
      <c r="AI26" s="1">
        <f>IF(AE26 &gt;= 0,
    MAX(0, AF25 + AE26 - Analysis!$C$7),
    0)</f>
        <v>21346.918498832296</v>
      </c>
      <c r="AJ26" s="1">
        <f t="shared" si="46"/>
        <v>737969.70534699433</v>
      </c>
      <c r="AK26" s="1">
        <f t="shared" si="23"/>
        <v>1374567.8969063496</v>
      </c>
      <c r="AL26" s="1">
        <f t="shared" si="6"/>
        <v>1206665.1238825696</v>
      </c>
      <c r="AM26" s="36"/>
      <c r="AN26" s="1">
        <f t="shared" si="47"/>
        <v>1383528.6156724484</v>
      </c>
      <c r="AO26" s="64">
        <f t="shared" si="24"/>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-33187.542979536083</v>
      </c>
      <c r="AT26" s="1">
        <f>IF($B26&lt;Analysis!$C$66,0,IF($B26=Analysis!$C$66,-AP26-AS26,MIN(0,AT25-AS26)))</f>
        <v>-138729.70081678615</v>
      </c>
      <c r="AU26" s="64">
        <f>IF($B26&lt;Analysis!$C$66,0,IF($B26=Analysis!$C$66,Analysis!$C$72,IF(($B26-Analysis!$C$66)&lt;LOOKUP(Analysis!$C$66,$B:$B,AQ:AQ),AU25,0)))</f>
        <v>3.6999999999999998E-2</v>
      </c>
      <c r="AV26" s="1">
        <f>IF($B26&lt;Analysis!$C$66,0,IF($B26=Analysis!$C$66,-AU26*AP26,AU25*AT25))</f>
        <v>-6360.9380204639219</v>
      </c>
      <c r="AW26" s="1">
        <f>IF($B26&lt;Analysis!$C$66,0,IF($B26=Analysis!$C$66,PMT(AU26,AQ26,AP26)*AQ26-AX26-AT26,IF(($B26-Analysis!$C$66+1)&lt;LOOKUP(Analysis!$C$66,$B:$B,AQ:AQ),IF(AW25-AV26&lt;0, AW25-AV26,0),0)))</f>
        <v>-12598.899722498447</v>
      </c>
      <c r="AX26" s="1">
        <f>IF($B26&lt;Analysis!$C$66,0,IF($B26=Analysis!$C$66,AS26+AV26,IF(AT25&lt;0,IF(AT25&gt;LOOKUP(Analysis!$C$66,$B:$B,AX:AX), AT25*(1+AU25),AX25),0)))</f>
        <v>-39548.481000000007</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-4150.5858470173453</v>
      </c>
      <c r="BF26" s="64">
        <f>IF($B26&lt;Analysis!$C$66,0,Analysis!$C$78)</f>
        <v>3.0000000000000001E-3</v>
      </c>
      <c r="BG26" s="1">
        <f>IF($B26&lt;Analysis!$C$66,0,-BH26*AN26)</f>
        <v>-10376.464617543363</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5"/>
        <v>-176399.89849823716</v>
      </c>
      <c r="BS26" s="64">
        <f>IF($B26&lt;Analysis!C$66,0,Analysis!C$31)</f>
        <v>0.1275</v>
      </c>
      <c r="BT26" s="1">
        <f>IF($B26&lt;Analysis!$C$66,0,AN26+BR26)</f>
        <v>1207128.7171742113</v>
      </c>
      <c r="BU26" s="1">
        <f>IF($B26-Analysis!$C$66&gt;3,0,IF($AN26&gt;LOOKUP(Analysis!$C$66,$B:$B, AN:AN),$V26*(LOOKUP(Analysis!$C$66,$B:$B, AN:AN)-AN26),0))</f>
        <v>0</v>
      </c>
      <c r="BV26" s="1">
        <f t="shared" si="26"/>
        <v>1207128.7171742113</v>
      </c>
      <c r="BW26" s="42"/>
      <c r="BX26" s="1">
        <f>IF($B26&lt;Analysis!$C$66,$P26+$N26+$X26+$Z26,$P26+$N26+AS26+AV26+BB26+BE26+BG26+MAX(BI26,SUM(BJ26:BN26))+BP26)</f>
        <v>-132435.53146456071</v>
      </c>
      <c r="BY26" s="1">
        <f t="shared" si="27"/>
        <v>131467.92324122589</v>
      </c>
      <c r="BZ26" s="1">
        <f t="shared" si="48"/>
        <v>-967.60822333482793</v>
      </c>
      <c r="CA26" s="1">
        <f>IF(BZ26 &lt; 0,
    IF(CA25 + BZ26 &gt; 0,
        CA25 + BZ26, IF(CF25-ABS(CA25 + BZ26)*(1+$V26) &gt;= CA25 + BZ26,
        0, CA25 + BZ26)),
    MIN(CA25 + BZ26, Analysis!$C$7))+IF(CA25&lt;0, CA25*Analysis!$C$9,0)</f>
        <v>-363014.14010862057</v>
      </c>
      <c r="CB26" s="42"/>
      <c r="CC26" s="1">
        <f t="shared" si="49"/>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8"/>
        <v>0</v>
      </c>
      <c r="CH26" s="36"/>
      <c r="CI26" s="1">
        <f>IF(OR($B26&lt;Analysis!$C$100, $B26&gt;=Analysis!$C$130),0,X26)</f>
        <v>-31761.00474239359</v>
      </c>
      <c r="CJ26" s="1">
        <f>IF(OR($B26&lt;Analysis!$C$100, $B26&gt;=Analysis!$C$130),0,Z26)</f>
        <v>-3960</v>
      </c>
      <c r="CK26" s="1">
        <f t="shared" si="50"/>
        <v>832122.28333922592</v>
      </c>
      <c r="CL26" s="64">
        <f t="shared" si="51"/>
        <v>2.941176470588247E-2</v>
      </c>
      <c r="CM26" s="1">
        <f>IF($B26=Analysis!$C$100,(CK26*(1+Analysis!$C$23+Analysis!$C$24+Analysis!$C$25))-IF($B26=$B$2,(Analysis!$C$6-Analysis!$C$7+Analysis!$C$105), (FU25-Analysis!$C$7+CV26)),0)</f>
        <v>0</v>
      </c>
      <c r="CN26" s="64">
        <f>IF($B26=Analysis!$C$100,Analysis!$C$103,0)</f>
        <v>0</v>
      </c>
      <c r="CO26" s="64">
        <f>IF(OR($B26&lt;Analysis!$C$100, $B26&gt;=Analysis!$C$101),0,IF($B26=Analysis!$C$100,Analysis!$C$102,IF(($B26-Analysis!$C$100)&lt;LOOKUP(Analysis!$C$100,$B:$B,CT:CT),CO25,0)))</f>
        <v>3.6999999999999998E-2</v>
      </c>
      <c r="CP26" s="1">
        <f>IF(OR($B26&lt;Analysis!$C$100, $B26&gt;=Analysis!$C$101),0,IF($B26=Analysis!$C$100,-CM26*CN26,IF(CS26&gt;=0,0,CS26-CR26)))</f>
        <v>-18511.793961942789</v>
      </c>
      <c r="CQ26" s="1">
        <f>IF(OR($B26&lt;Analysis!$C$100, $B26&gt;=Analysis!$C$101),0,IF($B26=Analysis!$C$100,-CM26-CP26,MIN(0,CQ25-CP26)))</f>
        <v>-77382.517877441351</v>
      </c>
      <c r="CR26" s="1">
        <f>IF(OR($B26&lt;Analysis!$C$100, $B26&gt;=Analysis!$C$101),0,IF($B26=Analysis!$C$100,-CO26*CM26,CO25*CQ25))</f>
        <v>-3548.0895380572133</v>
      </c>
      <c r="CS26" s="1">
        <f>IF(OR($B26&lt;Analysis!$C$100, $B26&gt;=Analysis!$C$101),0,IF($B26=Analysis!$C$100,CP26+CR26,IF(CQ25&lt;0,IF(CQ25&gt;LOOKUP(Analysis!$C$100,$B:$B,CS:CS), CQ25*(1+CO25),CS25),0)))</f>
        <v>-22059.883500000004</v>
      </c>
      <c r="CT26" s="65">
        <f>IF($B26=Analysis!$C$100,NPER(CO26,-CS26,-CM26),0)</f>
        <v>0</v>
      </c>
      <c r="CU26" s="1">
        <f>IF(OR($B26&lt;Analysis!$C$100, $B26&gt;=Analysis!$C$101),0,IF($B26=Analysis!$C$100,PMT(CO26,CT26,CM26)*CT26-CS26-CQ26,IF(($B26-Analysis!$C$100+1)&lt;LOOKUP(Analysis!$C$100,$B:$B,CT:CT),IF(CU25-CR26&lt;0, CU25-CR26,0),0)))</f>
        <v>-7027.5836916846802</v>
      </c>
      <c r="CV26" s="1">
        <f>IF($B26=Analysis!$C$100,Analysis!$C$105,0)</f>
        <v>0</v>
      </c>
      <c r="CW26" s="1">
        <f>IF($B26=Analysis!$C$100,PMT(CO26,CX26,CV26)*CX26,0)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29"/>
        <v>34247.245999612074</v>
      </c>
      <c r="DE26" s="1">
        <f t="shared" si="8"/>
        <v>-2496.3668500176777</v>
      </c>
      <c r="DF26" s="64">
        <f>IF(OR($B26&lt;Analysis!$C$100, $B26&gt;=Analysis!$C$101),0,Analysis!$C$118)</f>
        <v>3.0000000000000001E-3</v>
      </c>
      <c r="DG26" s="1">
        <f t="shared" si="9"/>
        <v>-6240.9171250441941</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-2084.3159362195797</v>
      </c>
      <c r="DR26" s="1">
        <f t="shared" si="30"/>
        <v>-23081.599911281453</v>
      </c>
      <c r="DS26" s="1">
        <f>MIN(0,-(DB26+DR26)*Analysis!$C$28)-CR26*Analysis!$C$28</f>
        <v>-514.523156183315</v>
      </c>
      <c r="DT26" s="1">
        <f>-Analysis!$C$116*DD26/12</f>
        <v>-2853.9371666343395</v>
      </c>
      <c r="DU26" s="53"/>
      <c r="DV26" s="1">
        <f t="shared" si="10"/>
        <v>-106095.59112575131</v>
      </c>
      <c r="DW26" s="64">
        <f>IF(OR($B26&lt;Analysis!$C$100, $B26&gt;=Analysis!$C$101),0,IF($B26=Analysis!$C$100,Analysis!$C$31,DW25))</f>
        <v>0.1275</v>
      </c>
      <c r="DX26" s="1">
        <f>IF(OR($B26&lt;Analysis!$C$100, $B26&gt;=Analysis!$C$101),0,CK26+DV26)</f>
        <v>726026.69221347466</v>
      </c>
      <c r="DY26" s="1">
        <f>IF(OR($B26&lt;Analysis!$C$100, $B26&gt;=Analysis!$C$101),0,IF($B26-Analysis!$C$100&gt;3,0,IF(CK26&gt;LOOKUP(Analysis!$C$100,$B:$B, CK:CK),$V26*(LOOKUP(Analysis!$C$100,$B:$B, CK:CK)-CK26),0)))</f>
        <v>0</v>
      </c>
      <c r="DZ26" s="1">
        <f t="shared" si="52"/>
        <v>726026.69221347466</v>
      </c>
      <c r="EA26" s="53"/>
      <c r="EB26" s="1">
        <f t="shared" si="31"/>
        <v>1383528.6156724484</v>
      </c>
      <c r="EC26" s="64">
        <f t="shared" si="53"/>
        <v>2.941176470588247E-2</v>
      </c>
      <c r="ED26" s="1">
        <f>MAX(0,IF($B26=Analysis!$C$130,(EB26*(1+Analysis!$C$23+Analysis!$C$24+Analysis!$C$25))-(IF($B26=$B$2,(Analysis!$C$6-Analysis!$C$7+Analysis!$C$132), (FU25-Analysis!$C$7+EM26)) + IF($B26=Analysis!$C$101,DZ25+CQ25+CU25+CZ25,0)),0))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$P26+$N26+IF($B26&lt;Analysis!$C$130,$CI26+$CJ26,0)+CP26+CR26+CY26+DE26+DG26+MIN(DI26,SUM(DJ26:DN26))+DQ26+DS26+DT26+EG26+EJ26+EP26+ES26+EU26+MIN(EW26,SUM(EX26:FB26))+FD26</f>
        <v>-150330.94847649269</v>
      </c>
      <c r="FM26" s="1">
        <f>$M26+$R26+DD26+IF(AND($B26&lt;&gt;Analysis!$C$130,$B26=Analysis!$C$101),DZ25+CQ25+CU25+CZ25,0)</f>
        <v>165715.16924083797</v>
      </c>
      <c r="FN26" s="1">
        <f t="shared" si="34"/>
        <v>15384.220764345286</v>
      </c>
      <c r="FO26" s="1">
        <f>IF(FN26 &lt; 0,
    IF(FO25 + FN26 &gt; 0,
        FO25 + FN26, IF(FT25-ABS(FO25 + FN26)*(1+$V26) &gt;= FO25 + FN26,
        0, FO25 + FN26)),
    MIN(FO25 + FN26, Analysis!$C$7))+IF(FO25&lt;0, FO25*Analysis!$C$9,0)</f>
        <v>24000</v>
      </c>
      <c r="FP26" s="53"/>
      <c r="FQ26" s="1">
        <f t="shared" si="54"/>
        <v>27555.058217643662</v>
      </c>
      <c r="FR26" s="1">
        <f>IF(OR($B26=Analysis!$C$100, $B26=Analysis!$C$130),0,IF(FN26 &gt;= 0,
    MAX(0, FO25 + FN26 - Analysis!$C$7),
    0))</f>
        <v>15384.220764345286</v>
      </c>
      <c r="FS26" s="1">
        <f>IF(OR($B26=Analysis!$C$100, $B26=Analysis!$C$130),0,MAX(0, FS25 + FR26 - IF(FN26 &lt; 0, MIN(ABS(FN26), FS25 + FR26), 0)))</f>
        <v>493219.31031805952</v>
      </c>
      <c r="FT26" s="1">
        <f>IF(OR($B26=Analysis!$C$100, $B26=Analysis!$C$130),0,IF(FN26 &lt; 0,
    IF(FN26 + FO25 &lt; 0,
        MAX(0, FT25 - (ABS(FN26 + FO25) * (1+$V25))),
        FT25 + FQ26),
    FT25 + FR26 + FQ26))</f>
        <v>781908.31321416609</v>
      </c>
      <c r="FU26" s="1">
        <f t="shared" si="60"/>
        <v>705766.58870031801</v>
      </c>
      <c r="FV26" s="36"/>
      <c r="FW26" s="1">
        <f t="shared" si="55"/>
        <v>832122.28333922592</v>
      </c>
      <c r="FX26" s="64">
        <f t="shared" si="56"/>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-18511.793961942789</v>
      </c>
      <c r="GC26" s="1">
        <f>IF($B26&lt;Analysis!$C$159,0,IF($B26=Analysis!$C$159,-FY26-GB26,MIN(0,GC25-GB26)))</f>
        <v>-77382.517877441351</v>
      </c>
      <c r="GD26" s="64">
        <f>IF($B26&lt;Analysis!$C$159,0,IF($B26=Analysis!$C$159,Analysis!$C$160,IF(($B26-Analysis!$C$159)&lt;LOOKUP(Analysis!$C$159,$B:$B,FZ:FZ),GD25,0)))</f>
        <v>3.6999999999999998E-2</v>
      </c>
      <c r="GE26" s="1">
        <f>IF($B26&lt;Analysis!$C$159,0,IF($B26=Analysis!$C$159,-GD26*FY26,GD25*GC25))</f>
        <v>-3548.0895380572133</v>
      </c>
      <c r="GF26" s="1">
        <f>IF($B26&lt;Analysis!$C$159,0,IF($B26=Analysis!$C$159,PMT(GD26,FZ26,FY26)*FZ26-GG26-GC26,IF(($B26-Analysis!$C$159+1)&lt;LOOKUP(Analysis!$C$159,$B:$B,FZ:FZ),IF(GF25-GE26&lt;0, GF25-GE26,0),0)))</f>
        <v>-7027.5836916846802</v>
      </c>
      <c r="GG26" s="1">
        <f>IF($B26&lt;Analysis!$C$159,0,IF($B26=Analysis!$C$159,GB26+GE26,IF(GC25&lt;0,IF(GC25&gt;LOOKUP(Analysis!$C$159,$B:$B,GG:GG), GC25*(1+GD25),GG25),0)))</f>
        <v>-22059.883500000004</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36"/>
        <v>34247.245999612074</v>
      </c>
      <c r="GQ26" s="1">
        <f t="shared" si="37"/>
        <v>-2496.3668500176777</v>
      </c>
      <c r="GR26" s="64">
        <f>IF($B26&lt;Analysis!$C$159,0,Analysis!$C$178)</f>
        <v>3.0000000000000001E-3</v>
      </c>
      <c r="GS26" s="1">
        <f t="shared" si="38"/>
        <v>-6240.9171250441941</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-2084.3159362195797</v>
      </c>
      <c r="HD26" s="1">
        <f t="shared" si="39"/>
        <v>-23081.599911281453</v>
      </c>
      <c r="HE26" s="1">
        <f>MIN(0,-(GN26+HD26)*Analysis!$C$28)-GE26*Analysis!$C$28</f>
        <v>-514.523156183315</v>
      </c>
      <c r="HF26" s="1">
        <f>-Analysis!$C$176*GP26/12</f>
        <v>-2853.9371666343395</v>
      </c>
      <c r="HG26" s="38"/>
      <c r="HH26" s="1">
        <f>IF($B26&lt;Analysis!$C$159,0,-$HI26*$FW26)</f>
        <v>-106095.59112575131</v>
      </c>
      <c r="HI26" s="64">
        <f>IF($B26&lt;Analysis!$C$159,0,IF($B26=Analysis!$C$159,Analysis!$C$31,HI25))</f>
        <v>0.1275</v>
      </c>
      <c r="HJ26" s="1">
        <f>IF($B26&lt;Analysis!$C$159,0,$FW26+HH26)</f>
        <v>726026.69221347466</v>
      </c>
      <c r="HK26" s="1">
        <f>IF($B26-Analysis!$C$159&gt;10,0,IF($FW26&gt;LOOKUP(Analysis!$C$159,$B:$B, FW:FW),$V26*(LOOKUP(Analysis!$C$159,$B:$B, FW:FW)-FW26),0))</f>
        <v>0</v>
      </c>
      <c r="HL26" s="1">
        <f t="shared" si="40"/>
        <v>726026.69221347466</v>
      </c>
      <c r="HM26" s="38"/>
      <c r="HN26" s="1">
        <f t="shared" si="41"/>
        <v>-150330.94847649269</v>
      </c>
      <c r="HO26" s="1">
        <f t="shared" si="12"/>
        <v>165715.16924083797</v>
      </c>
      <c r="HP26" s="1">
        <f t="shared" si="42"/>
        <v>15384.220764345286</v>
      </c>
      <c r="HQ26" s="1">
        <f>IF(HP26 &lt; 0,
    IF(HQ25 + HP26 &gt; 0,
        HQ25 + HP26, IF(HV25-ABS(HQ25 + HP26)*(1+$V26) &gt;= HQ25 + HP26,
        0, HQ25 + HP26)),
    MIN(HQ25 + HP26, Analysis!$C$7))+IF(HQ25&lt;0, HQ25*Analysis!$C$9,0)</f>
        <v>24000</v>
      </c>
      <c r="HR26" s="38"/>
      <c r="HS26" s="1">
        <f t="shared" si="57"/>
        <v>27555.058217643662</v>
      </c>
      <c r="HT26" s="1">
        <f>IF($B26=Analysis!$C$159,0,IF(HP26 &gt;= 0,
    MAX(0, HQ25 + HP26 - Analysis!$C$7),
    0))</f>
        <v>15384.220764345286</v>
      </c>
      <c r="HU26" s="1">
        <f>IF($B26=Analysis!$C$159,0,MAX(0, HU25 + HT26 - IF(HP26 &lt; 0, MIN(ABS(HP26), HU25 + HT26), 0)))</f>
        <v>493219.31031805952</v>
      </c>
      <c r="HV26" s="1">
        <f>IF($B26=Analysis!$C$159,0,IF(HP26 &lt; 0,
    IF(HP26 + HQ25 &lt; 0,
        MAX(0, HV25 - (ABS(HP26 + HQ25) * (1+$V25))),
        HV25 + HS26),
    HV25 + HT26 + HS26))</f>
        <v>781908.31321416609</v>
      </c>
      <c r="HW26" s="1">
        <f t="shared" si="61"/>
        <v>705766.58870031801</v>
      </c>
      <c r="HX26" s="36"/>
    </row>
    <row r="27" spans="1:232" x14ac:dyDescent="0.35">
      <c r="A27">
        <f t="shared" si="0"/>
        <v>60</v>
      </c>
      <c r="B27">
        <v>2050</v>
      </c>
      <c r="C27" s="1">
        <f>IF($B27&lt;Analysis!C$66,0,$AN27)+$AT27+$AW27+$BC27+$CF27+$CA27</f>
        <v>918990.36851039785</v>
      </c>
      <c r="D27" s="1">
        <f>IF($B27&lt;Analysis!C$66, 0, BV27)+AT27+AW27+BC27+CG27+CA27</f>
        <v>737402.23770338902</v>
      </c>
      <c r="E27" s="1">
        <f t="shared" si="13"/>
        <v>1467879.8622985028</v>
      </c>
      <c r="F27" s="1">
        <f t="shared" si="14"/>
        <v>1287079.9268330564</v>
      </c>
      <c r="G27" s="1">
        <f>IF(AND($B27&gt;=Analysis!$C$100, $B27&lt;Analysis!$C$101),$CK27,0)+IF($B27&gt;=Analysis!$C$130,EB27,0)+CQ27+CU27+CZ27+EH27+EK27+EQ27+$FO27+$FT27</f>
        <v>1642394.0633985309</v>
      </c>
      <c r="H27" s="1">
        <f t="shared" si="2"/>
        <v>1449699.8756567733</v>
      </c>
      <c r="I27" s="1">
        <f>IF($B27&lt;Analysis!$C$159,0,$FW27)+$GC27+$GF27+$GL27+$HQ27+$HV27</f>
        <v>1642394.0633985309</v>
      </c>
      <c r="J27" s="1">
        <f t="shared" si="3"/>
        <v>1449699.8756567733</v>
      </c>
      <c r="K27" s="36"/>
      <c r="L27" s="1">
        <f t="shared" si="15"/>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4"/>
        <v>0</v>
      </c>
      <c r="R27" s="1">
        <f>IF(AND(AND(B27=Analysis!C$35,Analysis!C$34&lt;&gt;0),AND(B27=Analysis!C$37,Analysis!C$36&lt;&gt;0)),Analysis!C$34+Analysis!C$36,IF(AND(B27=Analysis!C$35,Analysis!C$34&lt;&gt;0),Analysis!C$34,IF(AND(B27=Analysis!C$37,Analysis!C$36&lt;&gt;0),Analysis!C$36,0)))</f>
        <v>0</v>
      </c>
      <c r="S27" s="64">
        <f t="shared" si="6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63"/>
        <v>0.26374999999999998</v>
      </c>
      <c r="W27" s="36"/>
      <c r="X27" s="1">
        <f t="shared" si="45"/>
        <v>-32695.151940699288</v>
      </c>
      <c r="Y27" s="64">
        <f t="shared" si="18"/>
        <v>2.941176470588247E-2</v>
      </c>
      <c r="Z27" s="1">
        <f t="shared" si="19"/>
        <v>-3960</v>
      </c>
      <c r="AA27" s="64">
        <f t="shared" si="20"/>
        <v>0</v>
      </c>
      <c r="AB27" s="40"/>
      <c r="AC27" s="1">
        <f t="shared" si="4"/>
        <v>-111055.15194069929</v>
      </c>
      <c r="AD27" s="1">
        <f t="shared" si="5"/>
        <v>131467.92324122589</v>
      </c>
      <c r="AE27" s="1">
        <f t="shared" si="21"/>
        <v>20412.771300526598</v>
      </c>
      <c r="AF27" s="1">
        <f>IF(AE27 &lt; 0,
    IF(AF26 + AE27 &gt; 0,
        AF26 + AE27, IF(AK26-ABS(AF26 + AE27)*(1+$V27) &gt;= AF26 + AE27,
        0, AF26 + AE27)),
    MIN(AF26 + AE27, Analysis!$C$7))+IF(AF26&lt;0, AF26*Analysis!$C$9,0)</f>
        <v>24000</v>
      </c>
      <c r="AG27" s="40"/>
      <c r="AH27" s="1">
        <f t="shared" si="22"/>
        <v>48899.194091626669</v>
      </c>
      <c r="AI27" s="1">
        <f>IF(AE27 &gt;= 0,
    MAX(0, AF26 + AE27 - Analysis!$C$7),
    0)</f>
        <v>20412.771300526598</v>
      </c>
      <c r="AJ27" s="1">
        <f t="shared" si="46"/>
        <v>758382.4766475209</v>
      </c>
      <c r="AK27" s="1">
        <f t="shared" si="23"/>
        <v>1443879.8622985028</v>
      </c>
      <c r="AL27" s="1">
        <f t="shared" si="6"/>
        <v>1263079.9268330564</v>
      </c>
      <c r="AM27" s="36"/>
      <c r="AN27" s="1">
        <f t="shared" si="47"/>
        <v>1424220.6337804617</v>
      </c>
      <c r="AO27" s="64">
        <f t="shared" si="24"/>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-34415.482069778918</v>
      </c>
      <c r="AT27" s="1">
        <f>IF($B27&lt;Analysis!$C$66,0,IF($B27=Analysis!$C$66,-AP27-AS27,MIN(0,AT26-AS27)))</f>
        <v>-104314.21874700722</v>
      </c>
      <c r="AU27" s="64">
        <f>IF($B27&lt;Analysis!$C$66,0,IF($B27=Analysis!$C$66,Analysis!$C$72,IF(($B27-Analysis!$C$66)&lt;LOOKUP(Analysis!$C$66,$B:$B,AQ:AQ),AU26,0)))</f>
        <v>3.6999999999999998E-2</v>
      </c>
      <c r="AV27" s="1">
        <f>IF($B27&lt;Analysis!$C$66,0,IF($B27=Analysis!$C$66,-AU27*AP27,AU26*AT26))</f>
        <v>-5132.998930221087</v>
      </c>
      <c r="AW27" s="1">
        <f>IF($B27&lt;Analysis!$C$66,0,IF($B27=Analysis!$C$66,PMT(AU27,AQ27,AP27)*AQ27-AX27-AT27,IF(($B27-Analysis!$C$66+1)&lt;LOOKUP(Analysis!$C$66,$B:$B,AQ:AQ),IF(AW26-AV27&lt;0, AW26-AV27,0),0)))</f>
        <v>-7465.9007922773599</v>
      </c>
      <c r="AX27" s="1">
        <f>IF($B27&lt;Analysis!$C$66,0,IF($B27=Analysis!$C$66,AS27+AV27,IF(AT26&lt;0,IF(AT26&gt;LOOKUP(Analysis!$C$66,$B:$B,AX:AX), AT26*(1+AU26),AX26),0)))</f>
        <v>-39548.481000000007</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-4272.6619013413856</v>
      </c>
      <c r="BF27" s="64">
        <f>IF($B27&lt;Analysis!$C$66,0,Analysis!$C$78)</f>
        <v>3.0000000000000001E-3</v>
      </c>
      <c r="BG27" s="1">
        <f>IF($B27&lt;Analysis!$C$66,0,-BH27*AN27)</f>
        <v>-10681.654753353463</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5"/>
        <v>-181588.13080700889</v>
      </c>
      <c r="BS27" s="64">
        <f>IF($B27&lt;Analysis!C$66,0,Analysis!C$31)</f>
        <v>0.1275</v>
      </c>
      <c r="BT27" s="1">
        <f>IF($B27&lt;Analysis!$C$66,0,AN27+BR27)</f>
        <v>1242632.5029734529</v>
      </c>
      <c r="BU27" s="1">
        <f>IF($B27-Analysis!$C$66&gt;3,0,IF($AN27&gt;LOOKUP(Analysis!$C$66,$B:$B, AN:AN),$V27*(LOOKUP(Analysis!$C$66,$B:$B, AN:AN)-AN27),0))</f>
        <v>0</v>
      </c>
      <c r="BV27" s="1">
        <f t="shared" si="26"/>
        <v>1242632.5029734529</v>
      </c>
      <c r="BW27" s="42"/>
      <c r="BX27" s="1">
        <f>IF($B27&lt;Analysis!$C$66,$P27+$N27+$X27+$Z27,$P27+$N27+AS27+AV27+BB27+BE27+BG27+MAX(BI27,SUM(BJ27:BN27))+BP27)</f>
        <v>-132862.79765469488</v>
      </c>
      <c r="BY27" s="1">
        <f t="shared" si="27"/>
        <v>131467.92324122589</v>
      </c>
      <c r="BZ27" s="1">
        <f t="shared" si="48"/>
        <v>-1394.8744134689914</v>
      </c>
      <c r="CA27" s="1">
        <f>IF(BZ27 &lt; 0,
    IF(CA26 + BZ27 &gt; 0,
        CA26 + BZ27, IF(CF26-ABS(CA26 + BZ27)*(1+$V27) &gt;= CA26 + BZ27,
        0, CA26 + BZ27)),
    MIN(CA26 + BZ27, Analysis!$C$7))+IF(CA26&lt;0, CA26*Analysis!$C$9,0)</f>
        <v>-393450.14573077922</v>
      </c>
      <c r="CB27" s="42"/>
      <c r="CC27" s="1">
        <f t="shared" si="49"/>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8"/>
        <v>0</v>
      </c>
      <c r="CH27" s="36"/>
      <c r="CI27" s="1">
        <f>IF(OR($B27&lt;Analysis!$C$100, $B27&gt;=Analysis!$C$130),0,X27)</f>
        <v>-32695.151940699288</v>
      </c>
      <c r="CJ27" s="1">
        <f>IF(OR($B27&lt;Analysis!$C$100, $B27&gt;=Analysis!$C$130),0,Z27)</f>
        <v>-3960</v>
      </c>
      <c r="CK27" s="1">
        <f t="shared" si="50"/>
        <v>856596.46814332088</v>
      </c>
      <c r="CL27" s="64">
        <f t="shared" si="51"/>
        <v>2.941176470588247E-2</v>
      </c>
      <c r="CM27" s="1">
        <f>IF($B27=Analysis!$C$100,(CK27*(1+Analysis!$C$23+Analysis!$C$24+Analysis!$C$25))-IF($B27=$B$2,(Analysis!$C$6-Analysis!$C$7+Analysis!$C$105), (FU26-Analysis!$C$7+CV27)),0)</f>
        <v>0</v>
      </c>
      <c r="CN27" s="64">
        <f>IF($B27=Analysis!$C$100,Analysis!$C$103,0)</f>
        <v>0</v>
      </c>
      <c r="CO27" s="64">
        <f>IF(OR($B27&lt;Analysis!$C$100, $B27&gt;=Analysis!$C$101),0,IF($B27=Analysis!$C$100,Analysis!$C$102,IF(($B27-Analysis!$C$100)&lt;LOOKUP(Analysis!$C$100,$B:$B,CT:CT),CO26,0)))</f>
        <v>3.6999999999999998E-2</v>
      </c>
      <c r="CP27" s="1">
        <f>IF(OR($B27&lt;Analysis!$C$100, $B27&gt;=Analysis!$C$101),0,IF($B27=Analysis!$C$100,-CM27*CN27,IF(CS27&gt;=0,0,CS27-CR27)))</f>
        <v>-19196.730338534675</v>
      </c>
      <c r="CQ27" s="1">
        <f>IF(OR($B27&lt;Analysis!$C$100, $B27&gt;=Analysis!$C$101),0,IF($B27=Analysis!$C$100,-CM27-CP27,MIN(0,CQ26-CP27)))</f>
        <v>-58185.787538906676</v>
      </c>
      <c r="CR27" s="1">
        <f>IF(OR($B27&lt;Analysis!$C$100, $B27&gt;=Analysis!$C$101),0,IF($B27=Analysis!$C$100,-CO27*CM27,CO26*CQ26))</f>
        <v>-2863.15316146533</v>
      </c>
      <c r="CS27" s="1">
        <f>IF(OR($B27&lt;Analysis!$C$100, $B27&gt;=Analysis!$C$101),0,IF($B27=Analysis!$C$100,CP27+CR27,IF(CQ26&lt;0,IF(CQ26&gt;LOOKUP(Analysis!$C$100,$B:$B,CS:CS), CQ26*(1+CO26),CS26),0)))</f>
        <v>-22059.883500000004</v>
      </c>
      <c r="CT27" s="65">
        <f>IF($B27=Analysis!$C$100,NPER(CO27,-CS27,-CM27),0)</f>
        <v>0</v>
      </c>
      <c r="CU27" s="1">
        <f>IF(OR($B27&lt;Analysis!$C$100, $B27&gt;=Analysis!$C$101),0,IF($B27=Analysis!$C$100,PMT(CO27,CT27,CM27)*CT27-CS27-CQ27,IF(($B27-Analysis!$C$100+1)&lt;LOOKUP(Analysis!$C$100,$B:$B,CT:CT),IF(CU26-CR27&lt;0, CU26-CR27,0),0)))</f>
        <v>-4164.4305302193497</v>
      </c>
      <c r="CV27" s="1">
        <f>IF($B27=Analysis!$C$100,Analysis!$C$105,0)</f>
        <v>0</v>
      </c>
      <c r="CW27" s="1">
        <f>IF($B27=Analysis!$C$100,PMT(CO27,CX27,CV27)*CX27,0)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29"/>
        <v>35138.047352541849</v>
      </c>
      <c r="DE27" s="1">
        <f t="shared" si="8"/>
        <v>-2569.7894044299628</v>
      </c>
      <c r="DF27" s="64">
        <f>IF(OR($B27&lt;Analysis!$C$100, $B27&gt;=Analysis!$C$101),0,Analysis!$C$118)</f>
        <v>3.0000000000000001E-3</v>
      </c>
      <c r="DG27" s="1">
        <f t="shared" si="9"/>
        <v>-6424.4735110749061</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-2145.6193461083913</v>
      </c>
      <c r="DR27" s="1">
        <f t="shared" si="30"/>
        <v>-23399.88226161326</v>
      </c>
      <c r="DS27" s="1">
        <f>MIN(0,-(DB27+DR27)*Analysis!$C$28)-CR27*Analysis!$C$28</f>
        <v>-1039.1681008422524</v>
      </c>
      <c r="DT27" s="1">
        <f>-Analysis!$C$116*DD27/12</f>
        <v>-2928.1706127118209</v>
      </c>
      <c r="DU27" s="53"/>
      <c r="DV27" s="1">
        <f t="shared" si="10"/>
        <v>-109216.04968827342</v>
      </c>
      <c r="DW27" s="64">
        <f>IF(OR($B27&lt;Analysis!$C$100, $B27&gt;=Analysis!$C$101),0,IF($B27=Analysis!$C$100,Analysis!$C$31,DW26))</f>
        <v>0.1275</v>
      </c>
      <c r="DX27" s="1">
        <f>IF(OR($B27&lt;Analysis!$C$100, $B27&gt;=Analysis!$C$101),0,CK27+DV27)</f>
        <v>747380.41845504742</v>
      </c>
      <c r="DY27" s="1">
        <f>IF(OR($B27&lt;Analysis!$C$100, $B27&gt;=Analysis!$C$101),0,IF($B27-Analysis!$C$100&gt;3,0,IF(CK27&gt;LOOKUP(Analysis!$C$100,$B:$B, CK:CK),$V27*(LOOKUP(Analysis!$C$100,$B:$B, CK:CK)-CK27),0)))</f>
        <v>0</v>
      </c>
      <c r="DZ27" s="1">
        <f t="shared" si="52"/>
        <v>747380.41845504742</v>
      </c>
      <c r="EA27" s="53"/>
      <c r="EB27" s="1">
        <f t="shared" si="31"/>
        <v>1424220.6337804617</v>
      </c>
      <c r="EC27" s="64">
        <f t="shared" si="53"/>
        <v>2.941176470588247E-2</v>
      </c>
      <c r="ED27" s="1">
        <f>MAX(0,IF($B27=Analysis!$C$130,(EB27*(1+Analysis!$C$23+Analysis!$C$24+Analysis!$C$25))-(IF($B27=$B$2,(Analysis!$C$6-Analysis!$C$7+Analysis!$C$132), (FU26-Analysis!$C$7+EM27)) + IF($B27=Analysis!$C$101,DZ26+CQ26+CU26+CZ26,0)),0))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$P27+$N27+IF($B27&lt;Analysis!$C$130,$CI27+$CJ27,0)+CP27+CR27+CY27+DE27+DG27+MIN(DI27,SUM(DJ27:DN27))+DQ27+DS27+DT27+EG27+EJ27+EP27+ES27+EU27+MIN(EW27,SUM(EX27:FB27))+FD27</f>
        <v>-152182.25641586661</v>
      </c>
      <c r="FM27" s="1">
        <f>$M27+$R27+DD27+IF(AND($B27&lt;&gt;Analysis!$C$130,$B27=Analysis!$C$101),DZ26+CQ26+CU26+CZ26,0)</f>
        <v>166605.97059376774</v>
      </c>
      <c r="FN27" s="1">
        <f t="shared" si="34"/>
        <v>14423.714177901129</v>
      </c>
      <c r="FO27" s="1">
        <f>IF(FN27 &lt; 0,
    IF(FO26 + FN27 &gt; 0,
        FO26 + FN27, IF(FT26-ABS(FO26 + FN27)*(1+$V27) &gt;= FO26 + FN27,
        0, FO26 + FN27)),
    MIN(FO26 + FN27, Analysis!$C$7))+IF(FO26&lt;0, FO26*Analysis!$C$9,0)</f>
        <v>24000</v>
      </c>
      <c r="FP27" s="53"/>
      <c r="FQ27" s="1">
        <f t="shared" si="54"/>
        <v>27815.785932268784</v>
      </c>
      <c r="FR27" s="1">
        <f>IF(OR($B27=Analysis!$C$100, $B27=Analysis!$C$130),0,IF(FN27 &gt;= 0,
    MAX(0, FO26 + FN27 - Analysis!$C$7),
    0))</f>
        <v>14423.714177901129</v>
      </c>
      <c r="FS27" s="1">
        <f>IF(OR($B27=Analysis!$C$100, $B27=Analysis!$C$130),0,MAX(0, FS26 + FR27 - IF(FN27 &lt; 0, MIN(ABS(FN27), FS26 + FR27), 0)))</f>
        <v>507643.02449596068</v>
      </c>
      <c r="FT27" s="1">
        <f>IF(OR($B27=Analysis!$C$100, $B27=Analysis!$C$130),0,IF(FN27 &lt; 0,
    IF(FN27 + FO26 &lt; 0,
        MAX(0, FT26 - (ABS(FN27 + FO26) * (1+$V26))),
        FT26 + FQ27),
    FT26 + FR27 + FQ27))</f>
        <v>824147.81332433608</v>
      </c>
      <c r="FU27" s="1">
        <f t="shared" si="60"/>
        <v>740669.67527085205</v>
      </c>
      <c r="FV27" s="36"/>
      <c r="FW27" s="1">
        <f t="shared" si="55"/>
        <v>856596.46814332088</v>
      </c>
      <c r="FX27" s="64">
        <f t="shared" si="56"/>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-19196.730338534675</v>
      </c>
      <c r="GC27" s="1">
        <f>IF($B27&lt;Analysis!$C$159,0,IF($B27=Analysis!$C$159,-FY27-GB27,MIN(0,GC26-GB27)))</f>
        <v>-58185.787538906676</v>
      </c>
      <c r="GD27" s="64">
        <f>IF($B27&lt;Analysis!$C$159,0,IF($B27=Analysis!$C$159,Analysis!$C$160,IF(($B27-Analysis!$C$159)&lt;LOOKUP(Analysis!$C$159,$B:$B,FZ:FZ),GD26,0)))</f>
        <v>3.6999999999999998E-2</v>
      </c>
      <c r="GE27" s="1">
        <f>IF($B27&lt;Analysis!$C$159,0,IF($B27=Analysis!$C$159,-GD27*FY27,GD26*GC26))</f>
        <v>-2863.15316146533</v>
      </c>
      <c r="GF27" s="1">
        <f>IF($B27&lt;Analysis!$C$159,0,IF($B27=Analysis!$C$159,PMT(GD27,FZ27,FY27)*FZ27-GG27-GC27,IF(($B27-Analysis!$C$159+1)&lt;LOOKUP(Analysis!$C$159,$B:$B,FZ:FZ),IF(GF26-GE27&lt;0, GF26-GE27,0),0)))</f>
        <v>-4164.4305302193497</v>
      </c>
      <c r="GG27" s="1">
        <f>IF($B27&lt;Analysis!$C$159,0,IF($B27=Analysis!$C$159,GB27+GE27,IF(GC26&lt;0,IF(GC26&gt;LOOKUP(Analysis!$C$159,$B:$B,GG:GG), GC26*(1+GD26),GG26),0)))</f>
        <v>-22059.883500000004</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36"/>
        <v>35138.047352541849</v>
      </c>
      <c r="GQ27" s="1">
        <f t="shared" si="37"/>
        <v>-2569.7894044299628</v>
      </c>
      <c r="GR27" s="64">
        <f>IF($B27&lt;Analysis!$C$159,0,Analysis!$C$178)</f>
        <v>3.0000000000000001E-3</v>
      </c>
      <c r="GS27" s="1">
        <f t="shared" si="38"/>
        <v>-6424.4735110749061</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-2145.6193461083913</v>
      </c>
      <c r="HD27" s="1">
        <f t="shared" si="39"/>
        <v>-23399.88226161326</v>
      </c>
      <c r="HE27" s="1">
        <f>MIN(0,-(GN27+HD27)*Analysis!$C$28)-GE27*Analysis!$C$28</f>
        <v>-1039.1681008422524</v>
      </c>
      <c r="HF27" s="1">
        <f>-Analysis!$C$176*GP27/12</f>
        <v>-2928.1706127118209</v>
      </c>
      <c r="HG27" s="38"/>
      <c r="HH27" s="1">
        <f>IF($B27&lt;Analysis!$C$159,0,-$HI27*$FW27)</f>
        <v>-109216.04968827342</v>
      </c>
      <c r="HI27" s="64">
        <f>IF($B27&lt;Analysis!$C$159,0,IF($B27=Analysis!$C$159,Analysis!$C$31,HI26))</f>
        <v>0.1275</v>
      </c>
      <c r="HJ27" s="1">
        <f>IF($B27&lt;Analysis!$C$159,0,$FW27+HH27)</f>
        <v>747380.41845504742</v>
      </c>
      <c r="HK27" s="1">
        <f>IF($B27-Analysis!$C$159&gt;10,0,IF($FW27&gt;LOOKUP(Analysis!$C$159,$B:$B, FW:FW),$V27*(LOOKUP(Analysis!$C$159,$B:$B, FW:FW)-FW27),0))</f>
        <v>0</v>
      </c>
      <c r="HL27" s="1">
        <f t="shared" si="40"/>
        <v>747380.41845504742</v>
      </c>
      <c r="HM27" s="38"/>
      <c r="HN27" s="1">
        <f t="shared" si="41"/>
        <v>-152182.25641586661</v>
      </c>
      <c r="HO27" s="1">
        <f t="shared" si="12"/>
        <v>166605.97059376774</v>
      </c>
      <c r="HP27" s="1">
        <f t="shared" si="42"/>
        <v>14423.714177901129</v>
      </c>
      <c r="HQ27" s="1">
        <f>IF(HP27 &lt; 0,
    IF(HQ26 + HP27 &gt; 0,
        HQ26 + HP27, IF(HV26-ABS(HQ26 + HP27)*(1+$V27) &gt;= HQ26 + HP27,
        0, HQ26 + HP27)),
    MIN(HQ26 + HP27, Analysis!$C$7))+IF(HQ26&lt;0, HQ26*Analysis!$C$9,0)</f>
        <v>24000</v>
      </c>
      <c r="HR27" s="38"/>
      <c r="HS27" s="1">
        <f t="shared" si="57"/>
        <v>27815.785932268784</v>
      </c>
      <c r="HT27" s="1">
        <f>IF($B27=Analysis!$C$159,0,IF(HP27 &gt;= 0,
    MAX(0, HQ26 + HP27 - Analysis!$C$7),
    0))</f>
        <v>14423.714177901129</v>
      </c>
      <c r="HU27" s="1">
        <f>IF($B27=Analysis!$C$159,0,MAX(0, HU26 + HT27 - IF(HP27 &lt; 0, MIN(ABS(HP27), HU26 + HT27), 0)))</f>
        <v>507643.02449596068</v>
      </c>
      <c r="HV27" s="1">
        <f>IF($B27=Analysis!$C$159,0,IF(HP27 &lt; 0,
    IF(HP27 + HQ26 &lt; 0,
        MAX(0, HV26 - (ABS(HP27 + HQ26) * (1+$V26))),
        HV26 + HS27),
    HV26 + HT27 + HS27))</f>
        <v>824147.81332433608</v>
      </c>
      <c r="HW27" s="1">
        <f t="shared" si="61"/>
        <v>740669.67527085205</v>
      </c>
      <c r="HX27" s="36"/>
    </row>
    <row r="28" spans="1:232" x14ac:dyDescent="0.35">
      <c r="A28">
        <f t="shared" si="0"/>
        <v>61</v>
      </c>
      <c r="B28">
        <v>2051</v>
      </c>
      <c r="C28" s="1">
        <f>IF($B28&lt;Analysis!C$66,0,$AN28)+$AT28+$AW28+$BC28+$CF28+$CA28</f>
        <v>980316.97276569519</v>
      </c>
      <c r="D28" s="1">
        <f>IF($B28&lt;Analysis!C$66, 0, BV28)+AT28+AW28+BC28+CG28+CA28</f>
        <v>793388.01458200964</v>
      </c>
      <c r="E28" s="1">
        <f t="shared" si="13"/>
        <v>1549420.702730926</v>
      </c>
      <c r="F28" s="1">
        <f t="shared" si="14"/>
        <v>1355726.1111988723</v>
      </c>
      <c r="G28" s="1">
        <f>IF(AND($B28&gt;=Analysis!$C$100, $B28&lt;Analysis!$C$101),$CK28,0)+IF($B28&gt;=Analysis!$C$130,EB28,0)+CQ28+CU28+CZ28+EH28+EK28+EQ28+$FO28+$FT28</f>
        <v>1744186.2138597951</v>
      </c>
      <c r="H28" s="1">
        <f t="shared" si="2"/>
        <v>1540919.6876820554</v>
      </c>
      <c r="I28" s="1">
        <f>IF($B28&lt;Analysis!$C$159,0,$FW28)+$GC28+$GF28+$GL28+$HQ28+$HV28</f>
        <v>1744186.2138597951</v>
      </c>
      <c r="J28" s="1">
        <f t="shared" si="3"/>
        <v>1540919.6876820554</v>
      </c>
      <c r="K28" s="36"/>
      <c r="L28" s="1">
        <f t="shared" si="15"/>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4"/>
        <v>0</v>
      </c>
      <c r="R28" s="1">
        <f>IF(AND(AND(B28=Analysis!C$35,Analysis!C$34&lt;&gt;0),AND(B28=Analysis!C$37,Analysis!C$36&lt;&gt;0)),Analysis!C$34+Analysis!C$36,IF(AND(B28=Analysis!C$35,Analysis!C$34&lt;&gt;0),Analysis!C$34,IF(AND(B28=Analysis!C$37,Analysis!C$36&lt;&gt;0),Analysis!C$36,0)))</f>
        <v>0</v>
      </c>
      <c r="S28" s="64">
        <f t="shared" si="6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63"/>
        <v>0.26374999999999998</v>
      </c>
      <c r="W28" s="36"/>
      <c r="X28" s="1">
        <f t="shared" si="45"/>
        <v>-33656.774056602211</v>
      </c>
      <c r="Y28" s="64">
        <f t="shared" si="18"/>
        <v>2.941176470588247E-2</v>
      </c>
      <c r="Z28" s="1">
        <f t="shared" si="19"/>
        <v>-3960</v>
      </c>
      <c r="AA28" s="64">
        <f t="shared" si="20"/>
        <v>0</v>
      </c>
      <c r="AB28" s="40"/>
      <c r="AC28" s="1">
        <f t="shared" si="4"/>
        <v>-98816.774056602211</v>
      </c>
      <c r="AD28" s="1">
        <f t="shared" si="5"/>
        <v>131467.92324122589</v>
      </c>
      <c r="AE28" s="1">
        <f t="shared" si="21"/>
        <v>32651.149184623675</v>
      </c>
      <c r="AF28" s="1">
        <f>IF(AE28 &lt; 0,
    IF(AF27 + AE28 &gt; 0,
        AF27 + AE28, IF(AK27-ABS(AF27 + AE28)*(1+$V28) &gt;= AF27 + AE28,
        0, AF27 + AE28)),
    MIN(AF27 + AE28, Analysis!$C$7))+IF(AF27&lt;0, AF27*Analysis!$C$9,0)</f>
        <v>24000</v>
      </c>
      <c r="AG28" s="40"/>
      <c r="AH28" s="1">
        <f t="shared" si="22"/>
        <v>48889.691247799397</v>
      </c>
      <c r="AI28" s="1">
        <f>IF(AE28 &gt;= 0,
    MAX(0, AF27 + AE28 - Analysis!$C$7),
    0)</f>
        <v>32651.149184623675</v>
      </c>
      <c r="AJ28" s="1">
        <f t="shared" si="46"/>
        <v>791033.62583214464</v>
      </c>
      <c r="AK28" s="1">
        <f t="shared" si="23"/>
        <v>1525420.702730926</v>
      </c>
      <c r="AL28" s="1">
        <f t="shared" si="6"/>
        <v>1331726.1111988723</v>
      </c>
      <c r="AM28" s="36"/>
      <c r="AN28" s="1">
        <f t="shared" si="47"/>
        <v>1466109.4759504755</v>
      </c>
      <c r="AO28" s="64">
        <f t="shared" si="24"/>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-35688.854906360742</v>
      </c>
      <c r="AT28" s="1">
        <f>IF($B28&lt;Analysis!$C$66,0,IF($B28=Analysis!$C$66,-AP28-AS28,MIN(0,AT27-AS28)))</f>
        <v>-68625.363840646489</v>
      </c>
      <c r="AU28" s="64">
        <f>IF($B28&lt;Analysis!$C$66,0,IF($B28=Analysis!$C$66,Analysis!$C$72,IF(($B28-Analysis!$C$66)&lt;LOOKUP(Analysis!$C$66,$B:$B,AQ:AQ),AU27,0)))</f>
        <v>3.6999999999999998E-2</v>
      </c>
      <c r="AV28" s="1">
        <f>IF($B28&lt;Analysis!$C$66,0,IF($B28=Analysis!$C$66,-AU28*AP28,AU27*AT27))</f>
        <v>-3859.6260936392673</v>
      </c>
      <c r="AW28" s="1">
        <f>IF($B28&lt;Analysis!$C$66,0,IF($B28=Analysis!$C$66,PMT(AU28,AQ28,AP28)*AQ28-AX28-AT28,IF(($B28-Analysis!$C$66+1)&lt;LOOKUP(Analysis!$C$66,$B:$B,AQ:AQ),IF(AW27-AV28&lt;0, AW27-AV28,0),0)))</f>
        <v>-3606.2746986380926</v>
      </c>
      <c r="AX28" s="1">
        <f>IF($B28&lt;Analysis!$C$66,0,IF($B28=Analysis!$C$66,AS28+AV28,IF(AT27&lt;0,IF(AT27&gt;LOOKUP(Analysis!$C$66,$B:$B,AX:AX), AT27*(1+AU27),AX27),0)))</f>
        <v>-39548.481000000007</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-4398.3284278514266</v>
      </c>
      <c r="BF28" s="64">
        <f>IF($B28&lt;Analysis!$C$66,0,Analysis!$C$78)</f>
        <v>3.0000000000000001E-3</v>
      </c>
      <c r="BG28" s="1">
        <f>IF($B28&lt;Analysis!$C$66,0,-BH28*AN28)</f>
        <v>-10995.821069628566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5"/>
        <v>-186928.95818368564</v>
      </c>
      <c r="BS28" s="64">
        <f>IF($B28&lt;Analysis!C$66,0,Analysis!C$31)</f>
        <v>0.1275</v>
      </c>
      <c r="BT28" s="1">
        <f>IF($B28&lt;Analysis!$C$66,0,AN28+BR28)</f>
        <v>1279180.51776679</v>
      </c>
      <c r="BU28" s="1">
        <f>IF($B28-Analysis!$C$66&gt;3,0,IF($AN28&gt;LOOKUP(Analysis!$C$66,$B:$B, AN:AN),$V28*(LOOKUP(Analysis!$C$66,$B:$B, AN:AN)-AN28),0))</f>
        <v>0</v>
      </c>
      <c r="BV28" s="1">
        <f t="shared" si="26"/>
        <v>1279180.51776679</v>
      </c>
      <c r="BW28" s="42"/>
      <c r="BX28" s="1">
        <f>IF($B28&lt;Analysis!$C$66,$P28+$N28+$X28+$Z28,$P28+$N28+AS28+AV28+BB28+BE28+BG28+MAX(BI28,SUM(BJ28:BN28))+BP28)</f>
        <v>-120102.63049748</v>
      </c>
      <c r="BY28" s="1">
        <f t="shared" si="27"/>
        <v>131467.92324122589</v>
      </c>
      <c r="BZ28" s="1">
        <f t="shared" si="48"/>
        <v>11365.292743745886</v>
      </c>
      <c r="CA28" s="1">
        <f>IF(BZ28 &lt; 0,
    IF(CA27 + BZ28 &gt; 0,
        CA27 + BZ28, IF(CF27-ABS(CA27 + BZ28)*(1+$V28) &gt;= CA27 + BZ28,
        0, CA27 + BZ28)),
    MIN(CA27 + BZ28, Analysis!$C$7))+IF(CA27&lt;0, CA27*Analysis!$C$9,0)</f>
        <v>-413560.86464549566</v>
      </c>
      <c r="CB28" s="42"/>
      <c r="CC28" s="1">
        <f t="shared" si="49"/>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8"/>
        <v>0</v>
      </c>
      <c r="CH28" s="36"/>
      <c r="CI28" s="1">
        <f>IF(OR($B28&lt;Analysis!$C$100, $B28&gt;=Analysis!$C$130),0,X28)</f>
        <v>-33656.774056602211</v>
      </c>
      <c r="CJ28" s="1">
        <f>IF(OR($B28&lt;Analysis!$C$100, $B28&gt;=Analysis!$C$130),0,Z28)</f>
        <v>-3960</v>
      </c>
      <c r="CK28" s="1">
        <f t="shared" si="50"/>
        <v>881790.48191224213</v>
      </c>
      <c r="CL28" s="64">
        <f t="shared" si="51"/>
        <v>2.941176470588247E-2</v>
      </c>
      <c r="CM28" s="1">
        <f>IF($B28=Analysis!$C$100,(CK28*(1+Analysis!$C$23+Analysis!$C$24+Analysis!$C$25))-IF($B28=$B$2,(Analysis!$C$6-Analysis!$C$7+Analysis!$C$105), (FU27-Analysis!$C$7+CV28)),0)</f>
        <v>0</v>
      </c>
      <c r="CN28" s="64">
        <f>IF($B28=Analysis!$C$100,Analysis!$C$103,0)</f>
        <v>0</v>
      </c>
      <c r="CO28" s="64">
        <f>IF(OR($B28&lt;Analysis!$C$100, $B28&gt;=Analysis!$C$101),0,IF($B28=Analysis!$C$100,Analysis!$C$102,IF(($B28-Analysis!$C$100)&lt;LOOKUP(Analysis!$C$100,$B:$B,CT:CT),CO27,0)))</f>
        <v>3.6999999999999998E-2</v>
      </c>
      <c r="CP28" s="1">
        <f>IF(OR($B28&lt;Analysis!$C$100, $B28&gt;=Analysis!$C$101),0,IF($B28=Analysis!$C$100,-CM28*CN28,IF(CS28&gt;=0,0,CS28-CR28)))</f>
        <v>-19907.009361060456</v>
      </c>
      <c r="CQ28" s="1">
        <f>IF(OR($B28&lt;Analysis!$C$100, $B28&gt;=Analysis!$C$101),0,IF($B28=Analysis!$C$100,-CM28-CP28,MIN(0,CQ27-CP28)))</f>
        <v>-38278.778177846223</v>
      </c>
      <c r="CR28" s="1">
        <f>IF(OR($B28&lt;Analysis!$C$100, $B28&gt;=Analysis!$C$101),0,IF($B28=Analysis!$C$100,-CO28*CM28,CO27*CQ27))</f>
        <v>-2152.8741389395468</v>
      </c>
      <c r="CS28" s="1">
        <f>IF(OR($B28&lt;Analysis!$C$100, $B28&gt;=Analysis!$C$101),0,IF($B28=Analysis!$C$100,CP28+CR28,IF(CQ27&lt;0,IF(CQ27&gt;LOOKUP(Analysis!$C$100,$B:$B,CS:CS), CQ27*(1+CO27),CS27),0)))</f>
        <v>-22059.883500000004</v>
      </c>
      <c r="CT28" s="65">
        <f>IF($B28=Analysis!$C$100,NPER(CO28,-CS28,-CM28),0)</f>
        <v>0</v>
      </c>
      <c r="CU28" s="1">
        <f>IF(OR($B28&lt;Analysis!$C$100, $B28&gt;=Analysis!$C$101),0,IF($B28=Analysis!$C$100,PMT(CO28,CT28,CM28)*CT28-CS28-CQ28,IF(($B28-Analysis!$C$100+1)&lt;LOOKUP(Analysis!$C$100,$B:$B,CT:CT),IF(CU27-CR28&lt;0, CU27-CR28,0),0)))</f>
        <v>-2011.5563912798029</v>
      </c>
      <c r="CV28" s="1">
        <f>IF($B28=Analysis!$C$100,Analysis!$C$105,0)</f>
        <v>0</v>
      </c>
      <c r="CW28" s="1">
        <f>IF($B28=Analysis!$C$100,PMT(CO28,CX28,CV28)*CX28,0)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29"/>
        <v>36055.048745263666</v>
      </c>
      <c r="DE28" s="1">
        <f t="shared" si="8"/>
        <v>-2645.3714457367264</v>
      </c>
      <c r="DF28" s="64">
        <f>IF(OR($B28&lt;Analysis!$C$100, $B28&gt;=Analysis!$C$101),0,Analysis!$C$118)</f>
        <v>3.0000000000000001E-3</v>
      </c>
      <c r="DG28" s="1">
        <f t="shared" si="9"/>
        <v>-6613.4286143418158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-2208.7257974645204</v>
      </c>
      <c r="DR28" s="1">
        <f t="shared" si="30"/>
        <v>-23727.525857543063</v>
      </c>
      <c r="DS28" s="1">
        <f>MIN(0,-(DB28+DR28)*Analysis!$C$28)-CR28*Analysis!$C$28</f>
        <v>-1581.5467729789434</v>
      </c>
      <c r="DT28" s="1">
        <f>-Analysis!$C$116*DD28/12</f>
        <v>-3004.5873954386389</v>
      </c>
      <c r="DU28" s="53"/>
      <c r="DV28" s="1">
        <f t="shared" si="10"/>
        <v>-112428.28644381088</v>
      </c>
      <c r="DW28" s="64">
        <f>IF(OR($B28&lt;Analysis!$C$100, $B28&gt;=Analysis!$C$101),0,IF($B28=Analysis!$C$100,Analysis!$C$31,DW27))</f>
        <v>0.1275</v>
      </c>
      <c r="DX28" s="1">
        <f>IF(OR($B28&lt;Analysis!$C$100, $B28&gt;=Analysis!$C$101),0,CK28+DV28)</f>
        <v>769362.19546843122</v>
      </c>
      <c r="DY28" s="1">
        <f>IF(OR($B28&lt;Analysis!$C$100, $B28&gt;=Analysis!$C$101),0,IF($B28-Analysis!$C$100&gt;3,0,IF(CK28&gt;LOOKUP(Analysis!$C$100,$B:$B, CK:CK),$V28*(LOOKUP(Analysis!$C$100,$B:$B, CK:CK)-CK28),0)))</f>
        <v>0</v>
      </c>
      <c r="DZ28" s="1">
        <f t="shared" si="52"/>
        <v>769362.19546843122</v>
      </c>
      <c r="EA28" s="53"/>
      <c r="EB28" s="1">
        <f t="shared" si="31"/>
        <v>1466109.4759504755</v>
      </c>
      <c r="EC28" s="64">
        <f t="shared" si="53"/>
        <v>2.941176470588247E-2</v>
      </c>
      <c r="ED28" s="1">
        <f>MAX(0,IF($B28=Analysis!$C$130,(EB28*(1+Analysis!$C$23+Analysis!$C$24+Analysis!$C$25))-(IF($B28=$B$2,(Analysis!$C$6-Analysis!$C$7+Analysis!$C$132), (FU27-Analysis!$C$7+EM28)) + IF($B28=Analysis!$C$101,DZ27+CQ27+CU27+CZ27,0)),0))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$P28+$N28+IF($B28&lt;Analysis!$C$130,$CI28+$CJ28,0)+CP28+CR28+CY28+DE28+DG28+MIN(DI28,SUM(DJ28:DN28))+DQ28+DS28+DT28+EG28+EJ28+EP28+ES28+EU28+MIN(EW28,SUM(EX28:FB28))+FD28</f>
        <v>-140890.31758256286</v>
      </c>
      <c r="FM28" s="1">
        <f>$M28+$R28+DD28+IF(AND($B28&lt;&gt;Analysis!$C$130,$B28=Analysis!$C$101),DZ27+CQ27+CU27+CZ27,0)</f>
        <v>167522.97198648955</v>
      </c>
      <c r="FN28" s="1">
        <f t="shared" si="34"/>
        <v>26632.654403926688</v>
      </c>
      <c r="FO28" s="1">
        <f>IF(FN28 &lt; 0,
    IF(FO27 + FN28 &gt; 0,
        FO27 + FN28, IF(FT27-ABS(FO27 + FN28)*(1+$V28) &gt;= FO27 + FN28,
        0, FO27 + FN28)),
    MIN(FO27 + FN28, Analysis!$C$7))+IF(FO27&lt;0, FO27*Analysis!$C$9,0)</f>
        <v>24000</v>
      </c>
      <c r="FP28" s="53"/>
      <c r="FQ28" s="1">
        <f t="shared" si="54"/>
        <v>27905.598788416308</v>
      </c>
      <c r="FR28" s="1">
        <f>IF(OR($B28=Analysis!$C$100, $B28=Analysis!$C$130),0,IF(FN28 &gt;= 0,
    MAX(0, FO27 + FN28 - Analysis!$C$7),
    0))</f>
        <v>26632.654403926688</v>
      </c>
      <c r="FS28" s="1">
        <f>IF(OR($B28=Analysis!$C$100, $B28=Analysis!$C$130),0,MAX(0, FS27 + FR28 - IF(FN28 &lt; 0, MIN(ABS(FN28), FS27 + FR28), 0)))</f>
        <v>534275.67889988737</v>
      </c>
      <c r="FT28" s="1">
        <f>IF(OR($B28=Analysis!$C$100, $B28=Analysis!$C$130),0,IF(FN28 &lt; 0,
    IF(FN28 + FO27 &lt; 0,
        MAX(0, FT27 - (ABS(FN28 + FO27) * (1+$V27))),
        FT27 + FQ28),
    FT27 + FR28 + FQ28))</f>
        <v>878686.06651667913</v>
      </c>
      <c r="FU28" s="1">
        <f t="shared" si="60"/>
        <v>787847.82678275032</v>
      </c>
      <c r="FV28" s="36"/>
      <c r="FW28" s="1">
        <f t="shared" si="55"/>
        <v>881790.48191224213</v>
      </c>
      <c r="FX28" s="64">
        <f t="shared" si="56"/>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-19907.009361060456</v>
      </c>
      <c r="GC28" s="1">
        <f>IF($B28&lt;Analysis!$C$159,0,IF($B28=Analysis!$C$159,-FY28-GB28,MIN(0,GC27-GB28)))</f>
        <v>-38278.778177846223</v>
      </c>
      <c r="GD28" s="64">
        <f>IF($B28&lt;Analysis!$C$159,0,IF($B28=Analysis!$C$159,Analysis!$C$160,IF(($B28-Analysis!$C$159)&lt;LOOKUP(Analysis!$C$159,$B:$B,FZ:FZ),GD27,0)))</f>
        <v>3.6999999999999998E-2</v>
      </c>
      <c r="GE28" s="1">
        <f>IF($B28&lt;Analysis!$C$159,0,IF($B28=Analysis!$C$159,-GD28*FY28,GD27*GC27))</f>
        <v>-2152.8741389395468</v>
      </c>
      <c r="GF28" s="1">
        <f>IF($B28&lt;Analysis!$C$159,0,IF($B28=Analysis!$C$159,PMT(GD28,FZ28,FY28)*FZ28-GG28-GC28,IF(($B28-Analysis!$C$159+1)&lt;LOOKUP(Analysis!$C$159,$B:$B,FZ:FZ),IF(GF27-GE28&lt;0, GF27-GE28,0),0)))</f>
        <v>-2011.5563912798029</v>
      </c>
      <c r="GG28" s="1">
        <f>IF($B28&lt;Analysis!$C$159,0,IF($B28=Analysis!$C$159,GB28+GE28,IF(GC27&lt;0,IF(GC27&gt;LOOKUP(Analysis!$C$159,$B:$B,GG:GG), GC27*(1+GD27),GG27),0)))</f>
        <v>-22059.883500000004</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36"/>
        <v>36055.048745263666</v>
      </c>
      <c r="GQ28" s="1">
        <f t="shared" si="37"/>
        <v>-2645.3714457367264</v>
      </c>
      <c r="GR28" s="64">
        <f>IF($B28&lt;Analysis!$C$159,0,Analysis!$C$178)</f>
        <v>3.0000000000000001E-3</v>
      </c>
      <c r="GS28" s="1">
        <f t="shared" si="38"/>
        <v>-6613.4286143418158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-2208.7257974645204</v>
      </c>
      <c r="HD28" s="1">
        <f t="shared" si="39"/>
        <v>-23727.525857543063</v>
      </c>
      <c r="HE28" s="1">
        <f>MIN(0,-(GN28+HD28)*Analysis!$C$28)-GE28*Analysis!$C$28</f>
        <v>-1581.5467729789434</v>
      </c>
      <c r="HF28" s="1">
        <f>-Analysis!$C$176*GP28/12</f>
        <v>-3004.5873954386389</v>
      </c>
      <c r="HG28" s="38"/>
      <c r="HH28" s="1">
        <f>IF($B28&lt;Analysis!$C$159,0,-$HI28*$FW28)</f>
        <v>-112428.28644381088</v>
      </c>
      <c r="HI28" s="64">
        <f>IF($B28&lt;Analysis!$C$159,0,IF($B28=Analysis!$C$159,Analysis!$C$31,HI27))</f>
        <v>0.1275</v>
      </c>
      <c r="HJ28" s="1">
        <f>IF($B28&lt;Analysis!$C$159,0,$FW28+HH28)</f>
        <v>769362.19546843122</v>
      </c>
      <c r="HK28" s="1">
        <f>IF($B28-Analysis!$C$159&gt;10,0,IF($FW28&gt;LOOKUP(Analysis!$C$159,$B:$B, FW:FW),$V28*(LOOKUP(Analysis!$C$159,$B:$B, FW:FW)-FW28),0))</f>
        <v>0</v>
      </c>
      <c r="HL28" s="1">
        <f t="shared" si="40"/>
        <v>769362.19546843122</v>
      </c>
      <c r="HM28" s="38"/>
      <c r="HN28" s="1">
        <f t="shared" si="41"/>
        <v>-140890.31758256286</v>
      </c>
      <c r="HO28" s="1">
        <f t="shared" si="12"/>
        <v>167522.97198648955</v>
      </c>
      <c r="HP28" s="1">
        <f t="shared" si="42"/>
        <v>26632.654403926688</v>
      </c>
      <c r="HQ28" s="1">
        <f>IF(HP28 &lt; 0,
    IF(HQ27 + HP28 &gt; 0,
        HQ27 + HP28, IF(HV27-ABS(HQ27 + HP28)*(1+$V28) &gt;= HQ27 + HP28,
        0, HQ27 + HP28)),
    MIN(HQ27 + HP28, Analysis!$C$7))+IF(HQ27&lt;0, HQ27*Analysis!$C$9,0)</f>
        <v>24000</v>
      </c>
      <c r="HR28" s="38"/>
      <c r="HS28" s="1">
        <f t="shared" si="57"/>
        <v>27905.598788416308</v>
      </c>
      <c r="HT28" s="1">
        <f>IF($B28=Analysis!$C$159,0,IF(HP28 &gt;= 0,
    MAX(0, HQ27 + HP28 - Analysis!$C$7),
    0))</f>
        <v>26632.654403926688</v>
      </c>
      <c r="HU28" s="1">
        <f>IF($B28=Analysis!$C$159,0,MAX(0, HU27 + HT28 - IF(HP28 &lt; 0, MIN(ABS(HP28), HU27 + HT28), 0)))</f>
        <v>534275.67889988737</v>
      </c>
      <c r="HV28" s="1">
        <f>IF($B28=Analysis!$C$159,0,IF(HP28 &lt; 0,
    IF(HP28 + HQ27 &lt; 0,
        MAX(0, HV27 - (ABS(HP28 + HQ27) * (1+$V27))),
        HV27 + HS28),
    HV27 + HT28 + HS28))</f>
        <v>878686.06651667913</v>
      </c>
      <c r="HW28" s="1">
        <f t="shared" si="61"/>
        <v>787847.82678275032</v>
      </c>
      <c r="HX28" s="36"/>
    </row>
    <row r="29" spans="1:232" x14ac:dyDescent="0.35">
      <c r="A29">
        <f t="shared" si="0"/>
        <v>62</v>
      </c>
      <c r="B29">
        <v>2052</v>
      </c>
      <c r="C29" s="1">
        <f>IF($B29&lt;Analysis!C$66,0,$AN29)+$AT29+$AW29+$BC29+$CF29+$CA29</f>
        <v>1040813.9751746545</v>
      </c>
      <c r="D29" s="1">
        <f>IF($B29&lt;Analysis!C$66, 0, BV29)+AT29+AW29+BC29+CG29+CA29</f>
        <v>848387.10645615449</v>
      </c>
      <c r="E29" s="1">
        <f t="shared" si="13"/>
        <v>1630117.5994139973</v>
      </c>
      <c r="F29" s="1">
        <f t="shared" si="14"/>
        <v>1423489.8545040097</v>
      </c>
      <c r="G29" s="1">
        <f>IF(AND($B29&gt;=Analysis!$C$100, $B29&lt;Analysis!$C$101),$CK29,0)+IF($B29&gt;=Analysis!$C$130,EB29,0)+CQ29+CU29+CZ29+EH29+EK29+EQ29+$FO29+$FT29</f>
        <v>1846037.1111571463</v>
      </c>
      <c r="H29" s="1">
        <f t="shared" si="2"/>
        <v>1632014.0034657866</v>
      </c>
      <c r="I29" s="1">
        <f>IF($B29&lt;Analysis!$C$159,0,$FW29)+$GC29+$GF29+$GL29+$HQ29+$HV29</f>
        <v>1846037.1111571463</v>
      </c>
      <c r="J29" s="1">
        <f t="shared" si="3"/>
        <v>1632014.0034657866</v>
      </c>
      <c r="K29" s="36"/>
      <c r="L29" s="1">
        <f t="shared" si="15"/>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4"/>
        <v>0</v>
      </c>
      <c r="R29" s="1">
        <f>IF(AND(AND(B29=Analysis!C$35,Analysis!C$34&lt;&gt;0),AND(B29=Analysis!C$37,Analysis!C$36&lt;&gt;0)),Analysis!C$34+Analysis!C$36,IF(AND(B29=Analysis!C$35,Analysis!C$34&lt;&gt;0),Analysis!C$34,IF(AND(B29=Analysis!C$37,Analysis!C$36&lt;&gt;0),Analysis!C$36,0)))</f>
        <v>0</v>
      </c>
      <c r="S29" s="64">
        <f t="shared" si="6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63"/>
        <v>0.26374999999999998</v>
      </c>
      <c r="W29" s="36"/>
      <c r="X29" s="1">
        <f t="shared" si="45"/>
        <v>-34646.679175914047</v>
      </c>
      <c r="Y29" s="64">
        <f t="shared" si="18"/>
        <v>2.941176470588247E-2</v>
      </c>
      <c r="Z29" s="1">
        <f t="shared" si="19"/>
        <v>-3960</v>
      </c>
      <c r="AA29" s="64">
        <f t="shared" si="20"/>
        <v>0</v>
      </c>
      <c r="AB29" s="40"/>
      <c r="AC29" s="1">
        <f t="shared" si="4"/>
        <v>-99806.679175914047</v>
      </c>
      <c r="AD29" s="1">
        <f t="shared" si="5"/>
        <v>131467.92324122589</v>
      </c>
      <c r="AE29" s="1">
        <f t="shared" si="21"/>
        <v>31661.244065311839</v>
      </c>
      <c r="AF29" s="1">
        <f>IF(AE29 &lt; 0,
    IF(AF28 + AE29 &gt; 0,
        AF28 + AE29, IF(AK28-ABS(AF28 + AE29)*(1+$V29) &gt;= AF28 + AE29,
        0, AF28 + AE29)),
    MIN(AF28 + AE29, Analysis!$C$7))+IF(AF28&lt;0, AF28*Analysis!$C$9,0)</f>
        <v>24000</v>
      </c>
      <c r="AG29" s="40"/>
      <c r="AH29" s="1">
        <f t="shared" si="22"/>
        <v>49035.652617759646</v>
      </c>
      <c r="AI29" s="1">
        <f>IF(AE29 &gt;= 0,
    MAX(0, AF28 + AE29 - Analysis!$C$7),
    0)</f>
        <v>31661.244065311839</v>
      </c>
      <c r="AJ29" s="1">
        <f t="shared" si="46"/>
        <v>822694.86989745649</v>
      </c>
      <c r="AK29" s="1">
        <f t="shared" si="23"/>
        <v>1606117.5994139973</v>
      </c>
      <c r="AL29" s="1">
        <f t="shared" si="6"/>
        <v>1399489.8545040097</v>
      </c>
      <c r="AM29" s="36"/>
      <c r="AN29" s="1">
        <f t="shared" si="47"/>
        <v>1509230.3428901955</v>
      </c>
      <c r="AO29" s="64">
        <f t="shared" si="24"/>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-37009.342537896089</v>
      </c>
      <c r="AT29" s="1">
        <f>IF($B29&lt;Analysis!$C$66,0,IF($B29=Analysis!$C$66,-AP29-AS29,MIN(0,AT28-AS29)))</f>
        <v>-31616.0213027504</v>
      </c>
      <c r="AU29" s="64">
        <f>IF($B29&lt;Analysis!$C$66,0,IF($B29=Analysis!$C$66,Analysis!$C$72,IF(($B29-Analysis!$C$66)&lt;LOOKUP(Analysis!$C$66,$B:$B,AQ:AQ),AU28,0)))</f>
        <v>3.6999999999999998E-2</v>
      </c>
      <c r="AV29" s="1">
        <f>IF($B29&lt;Analysis!$C$66,0,IF($B29=Analysis!$C$66,-AU29*AP29,AU28*AT28))</f>
        <v>-2539.1384621039201</v>
      </c>
      <c r="AW29" s="1">
        <f>IF($B29&lt;Analysis!$C$66,0,IF($B29=Analysis!$C$66,PMT(AU29,AQ29,AP29)*AQ29-AX29-AT29,IF(($B29-Analysis!$C$66+1)&lt;LOOKUP(Analysis!$C$66,$B:$B,AQ:AQ),IF(AW28-AV29&lt;0, AW28-AV29,0),0)))</f>
        <v>-1067.1362365341724</v>
      </c>
      <c r="AX29" s="1">
        <f>IF($B29&lt;Analysis!$C$66,0,IF($B29=Analysis!$C$66,AS29+AV29,IF(AT28&lt;0,IF(AT28&gt;LOOKUP(Analysis!$C$66,$B:$B,AX:AX), AT28*(1+AU28),AX28),0)))</f>
        <v>-39548.481000000007</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-4527.691028670587</v>
      </c>
      <c r="BF29" s="64">
        <f>IF($B29&lt;Analysis!$C$66,0,Analysis!$C$78)</f>
        <v>3.0000000000000001E-3</v>
      </c>
      <c r="BG29" s="1">
        <f>IF($B29&lt;Analysis!$C$66,0,-BH29*AN29)</f>
        <v>-11319.227571676467</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5"/>
        <v>-192426.86871849993</v>
      </c>
      <c r="BS29" s="64">
        <f>IF($B29&lt;Analysis!C$66,0,Analysis!C$31)</f>
        <v>0.1275</v>
      </c>
      <c r="BT29" s="1">
        <f>IF($B29&lt;Analysis!$C$66,0,AN29+BR29)</f>
        <v>1316803.4741716955</v>
      </c>
      <c r="BU29" s="1">
        <f>IF($B29-Analysis!$C$66&gt;3,0,IF($AN29&gt;LOOKUP(Analysis!$C$66,$B:$B, AN:AN),$V29*(LOOKUP(Analysis!$C$66,$B:$B, AN:AN)-AN29),0))</f>
        <v>0</v>
      </c>
      <c r="BV29" s="1">
        <f t="shared" si="26"/>
        <v>1316803.4741716955</v>
      </c>
      <c r="BW29" s="42"/>
      <c r="BX29" s="1">
        <f>IF($B29&lt;Analysis!$C$66,$P29+$N29+$X29+$Z29,$P29+$N29+AS29+AV29+BB29+BE29+BG29+MAX(BI29,SUM(BJ29:BN29))+BP29)</f>
        <v>-120555.39960034707</v>
      </c>
      <c r="BY29" s="1">
        <f t="shared" si="27"/>
        <v>131467.92324122589</v>
      </c>
      <c r="BZ29" s="1">
        <f t="shared" si="48"/>
        <v>10912.523640878819</v>
      </c>
      <c r="CA29" s="1">
        <f>IF(BZ29 &lt; 0,
    IF(CA28 + BZ29 &gt; 0,
        CA28 + BZ29, IF(CF28-ABS(CA28 + BZ29)*(1+$V29) &gt;= CA28 + BZ29,
        0, CA28 + BZ29)),
    MIN(CA28 + BZ29, Analysis!$C$7))+IF(CA28&lt;0, CA28*Analysis!$C$9,0)</f>
        <v>-435733.21017625649</v>
      </c>
      <c r="CB29" s="42"/>
      <c r="CC29" s="1">
        <f t="shared" si="49"/>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8"/>
        <v>0</v>
      </c>
      <c r="CH29" s="36"/>
      <c r="CI29" s="1">
        <f>IF(OR($B29&lt;Analysis!$C$100, $B29&gt;=Analysis!$C$130),0,X29)</f>
        <v>-34646.679175914047</v>
      </c>
      <c r="CJ29" s="1">
        <f>IF(OR($B29&lt;Analysis!$C$100, $B29&gt;=Analysis!$C$130),0,Z29)</f>
        <v>-3960</v>
      </c>
      <c r="CK29" s="1">
        <f t="shared" si="50"/>
        <v>907725.49608613166</v>
      </c>
      <c r="CL29" s="64">
        <f t="shared" si="51"/>
        <v>2.941176470588247E-2</v>
      </c>
      <c r="CM29" s="1">
        <f>IF($B29=Analysis!$C$100,(CK29*(1+Analysis!$C$23+Analysis!$C$24+Analysis!$C$25))-IF($B29=$B$2,(Analysis!$C$6-Analysis!$C$7+Analysis!$C$105), (FU28-Analysis!$C$7+CV29)),0)</f>
        <v>0</v>
      </c>
      <c r="CN29" s="64">
        <f>IF($B29=Analysis!$C$100,Analysis!$C$103,0)</f>
        <v>0</v>
      </c>
      <c r="CO29" s="64">
        <f>IF(OR($B29&lt;Analysis!$C$100, $B29&gt;=Analysis!$C$101),0,IF($B29=Analysis!$C$100,Analysis!$C$102,IF(($B29-Analysis!$C$100)&lt;LOOKUP(Analysis!$C$100,$B:$B,CT:CT),CO28,0)))</f>
        <v>3.6999999999999998E-2</v>
      </c>
      <c r="CP29" s="1">
        <f>IF(OR($B29&lt;Analysis!$C$100, $B29&gt;=Analysis!$C$101),0,IF($B29=Analysis!$C$100,-CM29*CN29,IF(CS29&gt;=0,0,CS29-CR29)))</f>
        <v>-20643.568707419694</v>
      </c>
      <c r="CQ29" s="1">
        <f>IF(OR($B29&lt;Analysis!$C$100, $B29&gt;=Analysis!$C$101),0,IF($B29=Analysis!$C$100,-CM29-CP29,MIN(0,CQ28-CP29)))</f>
        <v>-17635.209470426529</v>
      </c>
      <c r="CR29" s="1">
        <f>IF(OR($B29&lt;Analysis!$C$100, $B29&gt;=Analysis!$C$101),0,IF($B29=Analysis!$C$100,-CO29*CM29,CO28*CQ28))</f>
        <v>-1416.3147925803103</v>
      </c>
      <c r="CS29" s="1">
        <f>IF(OR($B29&lt;Analysis!$C$100, $B29&gt;=Analysis!$C$101),0,IF($B29=Analysis!$C$100,CP29+CR29,IF(CQ28&lt;0,IF(CQ28&gt;LOOKUP(Analysis!$C$100,$B:$B,CS:CS), CQ28*(1+CO28),CS28),0)))</f>
        <v>-22059.883500000004</v>
      </c>
      <c r="CT29" s="65">
        <f>IF($B29=Analysis!$C$100,NPER(CO29,-CS29,-CM29),0)</f>
        <v>0</v>
      </c>
      <c r="CU29" s="1">
        <f>IF(OR($B29&lt;Analysis!$C$100, $B29&gt;=Analysis!$C$101),0,IF($B29=Analysis!$C$100,PMT(CO29,CT29,CM29)*CT29-CS29-CQ29,IF(($B29-Analysis!$C$100+1)&lt;LOOKUP(Analysis!$C$100,$B:$B,CT:CT),IF(CU28-CR29&lt;0, CU28-CR29,0),0)))</f>
        <v>-595.24159869949267</v>
      </c>
      <c r="CV29" s="1">
        <f>IF($B29=Analysis!$C$100,Analysis!$C$105,0)</f>
        <v>0</v>
      </c>
      <c r="CW29" s="1">
        <f>IF($B29=Analysis!$C$100,PMT(CO29,CX29,CV29)*CX29,0)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29"/>
        <v>36999.020767183189</v>
      </c>
      <c r="DE29" s="1">
        <f t="shared" si="8"/>
        <v>-2723.1764882583952</v>
      </c>
      <c r="DF29" s="64">
        <f>IF(OR($B29&lt;Analysis!$C$100, $B29&gt;=Analysis!$C$101),0,Analysis!$C$118)</f>
        <v>3.0000000000000001E-3</v>
      </c>
      <c r="DG29" s="1">
        <f t="shared" si="9"/>
        <v>-6807.9412206459874</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-2273.6883209193597</v>
      </c>
      <c r="DR29" s="1">
        <f t="shared" si="30"/>
        <v>-24064.806029823743</v>
      </c>
      <c r="DS29" s="1">
        <f>MIN(0,-(DB29+DR29)*Analysis!$C$28)-CR29*Analysis!$C$28</f>
        <v>-2142.2659635843406</v>
      </c>
      <c r="DT29" s="1">
        <f>-Analysis!$C$116*DD29/12</f>
        <v>-3083.2517305985989</v>
      </c>
      <c r="DU29" s="53"/>
      <c r="DV29" s="1">
        <f t="shared" si="10"/>
        <v>-115735.0007509818</v>
      </c>
      <c r="DW29" s="64">
        <f>IF(OR($B29&lt;Analysis!$C$100, $B29&gt;=Analysis!$C$101),0,IF($B29=Analysis!$C$100,Analysis!$C$31,DW28))</f>
        <v>0.1275</v>
      </c>
      <c r="DX29" s="1">
        <f>IF(OR($B29&lt;Analysis!$C$100, $B29&gt;=Analysis!$C$101),0,CK29+DV29)</f>
        <v>791990.49533514981</v>
      </c>
      <c r="DY29" s="1">
        <f>IF(OR($B29&lt;Analysis!$C$100, $B29&gt;=Analysis!$C$101),0,IF($B29-Analysis!$C$100&gt;3,0,IF(CK29&gt;LOOKUP(Analysis!$C$100,$B:$B, CK:CK),$V29*(LOOKUP(Analysis!$C$100,$B:$B, CK:CK)-CK29),0)))</f>
        <v>0</v>
      </c>
      <c r="DZ29" s="1">
        <f t="shared" si="52"/>
        <v>791990.49533514981</v>
      </c>
      <c r="EA29" s="53"/>
      <c r="EB29" s="1">
        <f t="shared" si="31"/>
        <v>1509230.3428901955</v>
      </c>
      <c r="EC29" s="64">
        <f t="shared" si="53"/>
        <v>2.941176470588247E-2</v>
      </c>
      <c r="ED29" s="1">
        <f>MAX(0,IF($B29=Analysis!$C$130,(EB29*(1+Analysis!$C$23+Analysis!$C$24+Analysis!$C$25))-(IF($B29=$B$2,(Analysis!$C$6-Analysis!$C$7+Analysis!$C$132), (FU28-Analysis!$C$7+EM29)) + IF($B29=Analysis!$C$101,DZ28+CQ28+CU28+CZ28,0)),0))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$P29+$N29+IF($B29&lt;Analysis!$C$130,$CI29+$CJ29,0)+CP29+CR29+CY29+DE29+DG29+MIN(DI29,SUM(DJ29:DN29))+DQ29+DS29+DT29+EG29+EJ29+EP29+ES29+EU29+MIN(EW29,SUM(EX29:FB29))+FD29</f>
        <v>-142856.88639992071</v>
      </c>
      <c r="FM29" s="1">
        <f>$M29+$R29+DD29+IF(AND($B29&lt;&gt;Analysis!$C$130,$B29=Analysis!$C$101),DZ28+CQ28+CU28+CZ28,0)</f>
        <v>168466.94400840907</v>
      </c>
      <c r="FN29" s="1">
        <f t="shared" si="34"/>
        <v>25610.057608488365</v>
      </c>
      <c r="FO29" s="1">
        <f>IF(FN29 &lt; 0,
    IF(FO28 + FN29 &gt; 0,
        FO28 + FN29, IF(FT28-ABS(FO28 + FN29)*(1+$V29) &gt;= FO28 + FN29,
        0, FO28 + FN29)),
    MIN(FO28 + FN29, Analysis!$C$7))+IF(FO28&lt;0, FO28*Analysis!$C$9,0)</f>
        <v>24000</v>
      </c>
      <c r="FP29" s="53"/>
      <c r="FQ29" s="1">
        <f t="shared" si="54"/>
        <v>28245.942014973276</v>
      </c>
      <c r="FR29" s="1">
        <f>IF(OR($B29=Analysis!$C$100, $B29=Analysis!$C$130),0,IF(FN29 &gt;= 0,
    MAX(0, FO28 + FN29 - Analysis!$C$7),
    0))</f>
        <v>25610.057608488365</v>
      </c>
      <c r="FS29" s="1">
        <f>IF(OR($B29=Analysis!$C$100, $B29=Analysis!$C$130),0,MAX(0, FS28 + FR29 - IF(FN29 &lt; 0, MIN(ABS(FN29), FS28 + FR29), 0)))</f>
        <v>559885.73650837573</v>
      </c>
      <c r="FT29" s="1">
        <f>IF(OR($B29=Analysis!$C$100, $B29=Analysis!$C$130),0,IF(FN29 &lt; 0,
    IF(FN29 + FO28 &lt; 0,
        MAX(0, FT28 - (ABS(FN29 + FO28) * (1+$V28))),
        FT28 + FQ29),
    FT28 + FR29 + FQ29))</f>
        <v>932542.06614014076</v>
      </c>
      <c r="FU29" s="1">
        <f t="shared" si="60"/>
        <v>834253.95919976279</v>
      </c>
      <c r="FV29" s="36"/>
      <c r="FW29" s="1">
        <f t="shared" si="55"/>
        <v>907725.49608613166</v>
      </c>
      <c r="FX29" s="64">
        <f t="shared" si="56"/>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-20643.568707419694</v>
      </c>
      <c r="GC29" s="1">
        <f>IF($B29&lt;Analysis!$C$159,0,IF($B29=Analysis!$C$159,-FY29-GB29,MIN(0,GC28-GB29)))</f>
        <v>-17635.209470426529</v>
      </c>
      <c r="GD29" s="64">
        <f>IF($B29&lt;Analysis!$C$159,0,IF($B29=Analysis!$C$159,Analysis!$C$160,IF(($B29-Analysis!$C$159)&lt;LOOKUP(Analysis!$C$159,$B:$B,FZ:FZ),GD28,0)))</f>
        <v>3.6999999999999998E-2</v>
      </c>
      <c r="GE29" s="1">
        <f>IF($B29&lt;Analysis!$C$159,0,IF($B29=Analysis!$C$159,-GD29*FY29,GD28*GC28))</f>
        <v>-1416.3147925803103</v>
      </c>
      <c r="GF29" s="1">
        <f>IF($B29&lt;Analysis!$C$159,0,IF($B29=Analysis!$C$159,PMT(GD29,FZ29,FY29)*FZ29-GG29-GC29,IF(($B29-Analysis!$C$159+1)&lt;LOOKUP(Analysis!$C$159,$B:$B,FZ:FZ),IF(GF28-GE29&lt;0, GF28-GE29,0),0)))</f>
        <v>-595.24159869949267</v>
      </c>
      <c r="GG29" s="1">
        <f>IF($B29&lt;Analysis!$C$159,0,IF($B29=Analysis!$C$159,GB29+GE29,IF(GC28&lt;0,IF(GC28&gt;LOOKUP(Analysis!$C$159,$B:$B,GG:GG), GC28*(1+GD28),GG28),0)))</f>
        <v>-22059.883500000004</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36"/>
        <v>36999.020767183189</v>
      </c>
      <c r="GQ29" s="1">
        <f t="shared" si="37"/>
        <v>-2723.1764882583952</v>
      </c>
      <c r="GR29" s="64">
        <f>IF($B29&lt;Analysis!$C$159,0,Analysis!$C$178)</f>
        <v>3.0000000000000001E-3</v>
      </c>
      <c r="GS29" s="1">
        <f t="shared" si="38"/>
        <v>-6807.9412206459874</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-2273.6883209193597</v>
      </c>
      <c r="HD29" s="1">
        <f t="shared" si="39"/>
        <v>-24064.806029823743</v>
      </c>
      <c r="HE29" s="1">
        <f>MIN(0,-(GN29+HD29)*Analysis!$C$28)-GE29*Analysis!$C$28</f>
        <v>-2142.2659635843406</v>
      </c>
      <c r="HF29" s="1">
        <f>-Analysis!$C$176*GP29/12</f>
        <v>-3083.2517305985989</v>
      </c>
      <c r="HG29" s="38"/>
      <c r="HH29" s="1">
        <f>IF($B29&lt;Analysis!$C$159,0,-$HI29*$FW29)</f>
        <v>-115735.0007509818</v>
      </c>
      <c r="HI29" s="64">
        <f>IF($B29&lt;Analysis!$C$159,0,IF($B29=Analysis!$C$159,Analysis!$C$31,HI28))</f>
        <v>0.1275</v>
      </c>
      <c r="HJ29" s="1">
        <f>IF($B29&lt;Analysis!$C$159,0,$FW29+HH29)</f>
        <v>791990.49533514981</v>
      </c>
      <c r="HK29" s="1">
        <f>IF($B29-Analysis!$C$159&gt;10,0,IF($FW29&gt;LOOKUP(Analysis!$C$159,$B:$B, FW:FW),$V29*(LOOKUP(Analysis!$C$159,$B:$B, FW:FW)-FW29),0))</f>
        <v>0</v>
      </c>
      <c r="HL29" s="1">
        <f t="shared" si="40"/>
        <v>791990.49533514981</v>
      </c>
      <c r="HM29" s="38"/>
      <c r="HN29" s="1">
        <f t="shared" si="41"/>
        <v>-142856.88639992071</v>
      </c>
      <c r="HO29" s="1">
        <f t="shared" si="12"/>
        <v>168466.94400840907</v>
      </c>
      <c r="HP29" s="1">
        <f t="shared" si="42"/>
        <v>25610.057608488365</v>
      </c>
      <c r="HQ29" s="1">
        <f>IF(HP29 &lt; 0,
    IF(HQ28 + HP29 &gt; 0,
        HQ28 + HP29, IF(HV28-ABS(HQ28 + HP29)*(1+$V29) &gt;= HQ28 + HP29,
        0, HQ28 + HP29)),
    MIN(HQ28 + HP29, Analysis!$C$7))+IF(HQ28&lt;0, HQ28*Analysis!$C$9,0)</f>
        <v>24000</v>
      </c>
      <c r="HR29" s="38"/>
      <c r="HS29" s="1">
        <f t="shared" si="57"/>
        <v>28245.942014973276</v>
      </c>
      <c r="HT29" s="1">
        <f>IF($B29=Analysis!$C$159,0,IF(HP29 &gt;= 0,
    MAX(0, HQ28 + HP29 - Analysis!$C$7),
    0))</f>
        <v>25610.057608488365</v>
      </c>
      <c r="HU29" s="1">
        <f>IF($B29=Analysis!$C$159,0,MAX(0, HU28 + HT29 - IF(HP29 &lt; 0, MIN(ABS(HP29), HU28 + HT29), 0)))</f>
        <v>559885.73650837573</v>
      </c>
      <c r="HV29" s="1">
        <f>IF($B29=Analysis!$C$159,0,IF(HP29 &lt; 0,
    IF(HP29 + HQ28 &lt; 0,
        MAX(0, HV28 - (ABS(HP29 + HQ28) * (1+$V28))),
        HV28 + HS29),
    HV28 + HT29 + HS29))</f>
        <v>932542.06614014076</v>
      </c>
      <c r="HW29" s="1">
        <f t="shared" si="61"/>
        <v>834253.95919976279</v>
      </c>
      <c r="HX29" s="36"/>
    </row>
    <row r="30" spans="1:232" x14ac:dyDescent="0.35">
      <c r="A30">
        <f t="shared" si="0"/>
        <v>63</v>
      </c>
      <c r="B30">
        <v>2053</v>
      </c>
      <c r="C30" s="1">
        <f>IF($B30&lt;Analysis!C$66,0,$AN30)+$AT30+$AW30+$BC30+$CF30+$CA30</f>
        <v>1113436.7083406434</v>
      </c>
      <c r="D30" s="1">
        <f>IF($B30&lt;Analysis!C$66, 0, BV30)+AT30+AW30+BC30+CG30+CA30</f>
        <v>915350.22583630518</v>
      </c>
      <c r="E30" s="1">
        <f t="shared" si="13"/>
        <v>1722836.1865288515</v>
      </c>
      <c r="F30" s="1">
        <f t="shared" si="14"/>
        <v>1503317.3008709399</v>
      </c>
      <c r="G30" s="1">
        <f>IF(AND($B30&gt;=Analysis!$C$100, $B30&lt;Analysis!$C$101),$CK30,0)+IF($B30&gt;=Analysis!$C$130,EB30,0)+CQ30+CU30+CZ30+EH30+EK30+EQ30+$FO30+$FT30</f>
        <v>1960870.9851147607</v>
      </c>
      <c r="H30" s="1">
        <f t="shared" si="2"/>
        <v>1735959.0681982976</v>
      </c>
      <c r="I30" s="1">
        <f>IF($B30&lt;Analysis!$C$159,0,$FW30)+$GC30+$GF30+$GL30+$HQ30+$HV30</f>
        <v>1960870.9851147607</v>
      </c>
      <c r="J30" s="1">
        <f t="shared" si="3"/>
        <v>1735959.0681982976</v>
      </c>
      <c r="K30" s="36"/>
      <c r="L30" s="1">
        <f t="shared" si="15"/>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4"/>
        <v>0</v>
      </c>
      <c r="R30" s="1">
        <f>IF(AND(AND(B30=Analysis!C$35,Analysis!C$34&lt;&gt;0),AND(B30=Analysis!C$37,Analysis!C$36&lt;&gt;0)),Analysis!C$34+Analysis!C$36,IF(AND(B30=Analysis!C$35,Analysis!C$34&lt;&gt;0),Analysis!C$34,IF(AND(B30=Analysis!C$37,Analysis!C$36&lt;&gt;0),Analysis!C$36,0)))</f>
        <v>0</v>
      </c>
      <c r="S30" s="64">
        <f t="shared" si="6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63"/>
        <v>0.26374999999999998</v>
      </c>
      <c r="W30" s="36"/>
      <c r="X30" s="1">
        <f t="shared" si="45"/>
        <v>-35665.699151676228</v>
      </c>
      <c r="Y30" s="64">
        <f t="shared" si="18"/>
        <v>2.941176470588247E-2</v>
      </c>
      <c r="Z30" s="1">
        <f t="shared" si="19"/>
        <v>-3960</v>
      </c>
      <c r="AA30" s="64">
        <f t="shared" si="20"/>
        <v>0</v>
      </c>
      <c r="AB30" s="40"/>
      <c r="AC30" s="1">
        <f t="shared" si="4"/>
        <v>-87625.699151676235</v>
      </c>
      <c r="AD30" s="1">
        <f t="shared" si="5"/>
        <v>131467.92324122589</v>
      </c>
      <c r="AE30" s="1">
        <f t="shared" si="21"/>
        <v>43842.224089549651</v>
      </c>
      <c r="AF30" s="1">
        <f>IF(AE30 &lt; 0,
    IF(AF29 + AE30 &gt; 0,
        AF29 + AE30, IF(AK29-ABS(AF29 + AE30)*(1+$V30) &gt;= AF29 + AE30,
        0, AF29 + AE30)),
    MIN(AF29 + AE30, Analysis!$C$7))+IF(AF29&lt;0, AF29*Analysis!$C$9,0)</f>
        <v>24000</v>
      </c>
      <c r="AG30" s="40"/>
      <c r="AH30" s="1">
        <f t="shared" si="22"/>
        <v>48876.363025304643</v>
      </c>
      <c r="AI30" s="1">
        <f>IF(AE30 &gt;= 0,
    MAX(0, AF29 + AE30 - Analysis!$C$7),
    0)</f>
        <v>43842.224089549651</v>
      </c>
      <c r="AJ30" s="1">
        <f t="shared" si="46"/>
        <v>866537.09398700611</v>
      </c>
      <c r="AK30" s="1">
        <f t="shared" si="23"/>
        <v>1698836.1865288515</v>
      </c>
      <c r="AL30" s="1">
        <f t="shared" si="6"/>
        <v>1479317.3008709399</v>
      </c>
      <c r="AM30" s="36"/>
      <c r="AN30" s="1">
        <f t="shared" si="47"/>
        <v>1553619.4706222604</v>
      </c>
      <c r="AO30" s="64">
        <f t="shared" si="24"/>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-31616.021302750396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-1169.7927882017648</v>
      </c>
      <c r="AW30" s="1">
        <f>IF($B30&lt;Analysis!$C$66,0,IF($B30=Analysis!$C$66,PMT(AU30,AQ30,AP30)*AQ30-AX30-AT30,IF(($B30-Analysis!$C$66+1)&lt;LOOKUP(Analysis!$C$66,$B:$B,AQ:AQ),IF(AW29-AV30&lt;0, AW29-AV30,0),0)))</f>
        <v>0</v>
      </c>
      <c r="AX30" s="1">
        <f>IF($B30&lt;Analysis!$C$66,0,IF($B30=Analysis!$C$66,AS30+AV30,IF(AT29&lt;0,IF(AT29&gt;LOOKUP(Analysis!$C$66,$B:$B,AX:AX), AT29*(1+AU29),AX29),0)))</f>
        <v>-32785.814090952161</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-4660.8584118667814</v>
      </c>
      <c r="BF30" s="64">
        <f>IF($B30&lt;Analysis!$C$66,0,Analysis!$C$78)</f>
        <v>3.0000000000000001E-3</v>
      </c>
      <c r="BG30" s="1">
        <f>IF($B30&lt;Analysis!$C$66,0,-BH30*AN30)</f>
        <v>-11652.146029666952</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5"/>
        <v>-198086.4825043382</v>
      </c>
      <c r="BS30" s="64">
        <f>IF($B30&lt;Analysis!C$66,0,Analysis!C$31)</f>
        <v>0.1275</v>
      </c>
      <c r="BT30" s="1">
        <f>IF($B30&lt;Analysis!$C$66,0,AN30+BR30)</f>
        <v>1355532.9881179221</v>
      </c>
      <c r="BU30" s="1">
        <f>IF($B30-Analysis!$C$66&gt;3,0,IF($AN30&gt;LOOKUP(Analysis!$C$66,$B:$B, AN:AN),$V30*(LOOKUP(Analysis!$C$66,$B:$B, AN:AN)-AN30),0))</f>
        <v>0</v>
      </c>
      <c r="BV30" s="1">
        <f t="shared" si="26"/>
        <v>1355532.9881179221</v>
      </c>
      <c r="BW30" s="42"/>
      <c r="BX30" s="1">
        <f>IF($B30&lt;Analysis!$C$66,$P30+$N30+$X30+$Z30,$P30+$N30+AS30+AV30+BB30+BE30+BG30+MAX(BI30,SUM(BJ30:BN30))+BP30)</f>
        <v>-101058.81853248589</v>
      </c>
      <c r="BY30" s="1">
        <f t="shared" si="27"/>
        <v>131467.92324122589</v>
      </c>
      <c r="BZ30" s="1">
        <f t="shared" si="48"/>
        <v>30409.104708739993</v>
      </c>
      <c r="CA30" s="1">
        <f>IF(BZ30 &lt; 0,
    IF(CA29 + BZ30 &gt; 0,
        CA29 + BZ30, IF(CF29-ABS(CA29 + BZ30)*(1+$V30) &gt;= CA29 + BZ30,
        0, CA29 + BZ30)),
    MIN(CA29 + BZ30, Analysis!$C$7))+IF(CA29&lt;0, CA29*Analysis!$C$9,0)</f>
        <v>-440182.76228161698</v>
      </c>
      <c r="CB30" s="42"/>
      <c r="CC30" s="1">
        <f t="shared" si="49"/>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8"/>
        <v>0</v>
      </c>
      <c r="CH30" s="36"/>
      <c r="CI30" s="1">
        <f>IF(OR($B30&lt;Analysis!$C$100, $B30&gt;=Analysis!$C$130),0,X30)</f>
        <v>-35665.699151676228</v>
      </c>
      <c r="CJ30" s="1">
        <f>IF(OR($B30&lt;Analysis!$C$100, $B30&gt;=Analysis!$C$130),0,Z30)</f>
        <v>-3960</v>
      </c>
      <c r="CK30" s="1">
        <f t="shared" si="50"/>
        <v>934423.30479454738</v>
      </c>
      <c r="CL30" s="64">
        <f t="shared" si="51"/>
        <v>2.941176470588247E-2</v>
      </c>
      <c r="CM30" s="1">
        <f>IF($B30=Analysis!$C$100,(CK30*(1+Analysis!$C$23+Analysis!$C$24+Analysis!$C$25))-IF($B30=$B$2,(Analysis!$C$6-Analysis!$C$7+Analysis!$C$105), (FU29-Analysis!$C$7+CV30)),0)</f>
        <v>0</v>
      </c>
      <c r="CN30" s="64">
        <f>IF($B30=Analysis!$C$100,Analysis!$C$103,0)</f>
        <v>0</v>
      </c>
      <c r="CO30" s="64">
        <f>IF(OR($B30&lt;Analysis!$C$100, $B30&gt;=Analysis!$C$101),0,IF($B30=Analysis!$C$100,Analysis!$C$102,IF(($B30-Analysis!$C$100)&lt;LOOKUP(Analysis!$C$100,$B:$B,CT:CT),CO29,0)))</f>
        <v>3.6999999999999998E-2</v>
      </c>
      <c r="CP30" s="1">
        <f>IF(OR($B30&lt;Analysis!$C$100, $B30&gt;=Analysis!$C$101),0,IF($B30=Analysis!$C$100,-CM30*CN30,IF(CS30&gt;=0,0,CS30-CR30)))</f>
        <v>-17635.209470426529</v>
      </c>
      <c r="CQ30" s="1">
        <f>IF(OR($B30&lt;Analysis!$C$100, $B30&gt;=Analysis!$C$101),0,IF($B30=Analysis!$C$100,-CM30-CP30,MIN(0,CQ29-CP30)))</f>
        <v>0</v>
      </c>
      <c r="CR30" s="1">
        <f>IF(OR($B30&lt;Analysis!$C$100, $B30&gt;=Analysis!$C$101),0,IF($B30=Analysis!$C$100,-CO30*CM30,CO29*CQ29))</f>
        <v>-652.50275040578151</v>
      </c>
      <c r="CS30" s="1">
        <f>IF(OR($B30&lt;Analysis!$C$100, $B30&gt;=Analysis!$C$101),0,IF($B30=Analysis!$C$100,CP30+CR30,IF(CQ29&lt;0,IF(CQ29&gt;LOOKUP(Analysis!$C$100,$B:$B,CS:CS), CQ29*(1+CO29),CS29),0)))</f>
        <v>-18287.712220832309</v>
      </c>
      <c r="CT30" s="65">
        <f>IF($B30=Analysis!$C$100,NPER(CO30,-CS30,-CM30),0)</f>
        <v>0</v>
      </c>
      <c r="CU30" s="1">
        <f>IF(OR($B30&lt;Analysis!$C$100, $B30&gt;=Analysis!$C$101),0,IF($B30=Analysis!$C$100,PMT(CO30,CT30,CM30)*CT30-CS30-CQ30,IF(($B30-Analysis!$C$100+1)&lt;LOOKUP(Analysis!$C$100,$B:$B,CT:CT),IF(CU29-CR30&lt;0, CU29-CR30,0),0)))</f>
        <v>0</v>
      </c>
      <c r="CV30" s="1">
        <f>IF($B30=Analysis!$C$100,Analysis!$C$105,0)</f>
        <v>0</v>
      </c>
      <c r="CW30" s="1">
        <f>IF($B30=Analysis!$C$100,PMT(CO30,CX30,CV30)*CX30,0)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29"/>
        <v>37970.756672100346</v>
      </c>
      <c r="DE30" s="1">
        <f t="shared" si="8"/>
        <v>-2803.2699143836421</v>
      </c>
      <c r="DF30" s="64">
        <f>IF(OR($B30&lt;Analysis!$C$100, $B30&gt;=Analysis!$C$101),0,Analysis!$C$118)</f>
        <v>3.0000000000000001E-3</v>
      </c>
      <c r="DG30" s="1">
        <f t="shared" si="9"/>
        <v>-7008.1747859591051</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-2340.561506828753</v>
      </c>
      <c r="DR30" s="1">
        <f t="shared" si="30"/>
        <v>-24412.0062071715</v>
      </c>
      <c r="DS30" s="1">
        <f>MIN(0,-(DB30+DR30)*Analysis!$C$28)-CR30*Analysis!$C$28</f>
        <v>-2721.9534632417785</v>
      </c>
      <c r="DT30" s="1">
        <f>-Analysis!$C$116*DD30/12</f>
        <v>-3164.2297226750288</v>
      </c>
      <c r="DU30" s="53"/>
      <c r="DV30" s="1">
        <f t="shared" si="10"/>
        <v>-119138.97136130479</v>
      </c>
      <c r="DW30" s="64">
        <f>IF(OR($B30&lt;Analysis!$C$100, $B30&gt;=Analysis!$C$101),0,IF($B30=Analysis!$C$100,Analysis!$C$31,DW29))</f>
        <v>0.1275</v>
      </c>
      <c r="DX30" s="1">
        <f>IF(OR($B30&lt;Analysis!$C$100, $B30&gt;=Analysis!$C$101),0,CK30+DV30)</f>
        <v>815284.33343324263</v>
      </c>
      <c r="DY30" s="1">
        <f>IF(OR($B30&lt;Analysis!$C$100, $B30&gt;=Analysis!$C$101),0,IF($B30-Analysis!$C$100&gt;3,0,IF(CK30&gt;LOOKUP(Analysis!$C$100,$B:$B, CK:CK),$V30*(LOOKUP(Analysis!$C$100,$B:$B, CK:CK)-CK30),0)))</f>
        <v>0</v>
      </c>
      <c r="DZ30" s="1">
        <f t="shared" si="52"/>
        <v>815284.33343324263</v>
      </c>
      <c r="EA30" s="53"/>
      <c r="EB30" s="1">
        <f t="shared" si="31"/>
        <v>1553619.4706222604</v>
      </c>
      <c r="EC30" s="64">
        <f t="shared" si="53"/>
        <v>2.941176470588247E-2</v>
      </c>
      <c r="ED30" s="1">
        <f>MAX(0,IF($B30=Analysis!$C$130,(EB30*(1+Analysis!$C$23+Analysis!$C$24+Analysis!$C$25))-(IF($B30=$B$2,(Analysis!$C$6-Analysis!$C$7+Analysis!$C$132), (FU29-Analysis!$C$7+EM30)) + IF($B30=Analysis!$C$101,DZ29+CQ29+CU29+CZ29,0)),0))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$P30+$N30+IF($B30&lt;Analysis!$C$130,$CI30+$CJ30,0)+CP30+CR30+CY30+DE30+DG30+MIN(DI30,SUM(DJ30:DN30))+DQ30+DS30+DT30+EG30+EJ30+EP30+ES30+EU30+MIN(EW30,SUM(EX30:FB30))+FD30</f>
        <v>-127911.60076559684</v>
      </c>
      <c r="FM30" s="1">
        <f>$M30+$R30+DD30+IF(AND($B30&lt;&gt;Analysis!$C$130,$B30=Analysis!$C$101),DZ29+CQ29+CU29+CZ29,0)</f>
        <v>169438.67991332622</v>
      </c>
      <c r="FN30" s="1">
        <f t="shared" si="34"/>
        <v>41527.079147729382</v>
      </c>
      <c r="FO30" s="1">
        <f>IF(FN30 &lt; 0,
    IF(FO29 + FN30 &gt; 0,
        FO29 + FN30, IF(FT29-ABS(FO29 + FN30)*(1+$V30) &gt;= FO29 + FN30,
        0, FO29 + FN30)),
    MIN(FO29 + FN30, Analysis!$C$7))+IF(FO29&lt;0, FO29*Analysis!$C$9,0)</f>
        <v>24000</v>
      </c>
      <c r="FP30" s="53"/>
      <c r="FQ30" s="1">
        <f t="shared" si="54"/>
        <v>28378.535032343258</v>
      </c>
      <c r="FR30" s="1">
        <f>IF(OR($B30=Analysis!$C$100, $B30=Analysis!$C$130),0,IF(FN30 &gt;= 0,
    MAX(0, FO29 + FN30 - Analysis!$C$7),
    0))</f>
        <v>41527.079147729382</v>
      </c>
      <c r="FS30" s="1">
        <f>IF(OR($B30=Analysis!$C$100, $B30=Analysis!$C$130),0,MAX(0, FS29 + FR30 - IF(FN30 &lt; 0, MIN(ABS(FN30), FS29 + FR30), 0)))</f>
        <v>601412.81565610506</v>
      </c>
      <c r="FT30" s="1">
        <f>IF(OR($B30=Analysis!$C$100, $B30=Analysis!$C$130),0,IF(FN30 &lt; 0,
    IF(FN30 + FO29 &lt; 0,
        MAX(0, FT29 - (ABS(FN30 + FO29) * (1+$V29))),
        FT29 + FQ30),
    FT29 + FR30 + FQ30))</f>
        <v>1002447.6803202134</v>
      </c>
      <c r="FU30" s="1">
        <f t="shared" si="60"/>
        <v>896674.73476505489</v>
      </c>
      <c r="FV30" s="36"/>
      <c r="FW30" s="1">
        <f t="shared" si="55"/>
        <v>934423.30479454738</v>
      </c>
      <c r="FX30" s="64">
        <f t="shared" si="56"/>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-17635.209470426529</v>
      </c>
      <c r="GC30" s="1">
        <f>IF($B30&lt;Analysis!$C$159,0,IF($B30=Analysis!$C$159,-FY30-GB30,MIN(0,GC29-GB30)))</f>
        <v>0</v>
      </c>
      <c r="GD30" s="64">
        <f>IF($B30&lt;Analysis!$C$159,0,IF($B30=Analysis!$C$159,Analysis!$C$160,IF(($B30-Analysis!$C$159)&lt;LOOKUP(Analysis!$C$159,$B:$B,FZ:FZ),GD29,0)))</f>
        <v>3.6999999999999998E-2</v>
      </c>
      <c r="GE30" s="1">
        <f>IF($B30&lt;Analysis!$C$159,0,IF($B30=Analysis!$C$159,-GD30*FY30,GD29*GC29))</f>
        <v>-652.50275040578151</v>
      </c>
      <c r="GF30" s="1">
        <f>IF($B30&lt;Analysis!$C$159,0,IF($B30=Analysis!$C$159,PMT(GD30,FZ30,FY30)*FZ30-GG30-GC30,IF(($B30-Analysis!$C$159+1)&lt;LOOKUP(Analysis!$C$159,$B:$B,FZ:FZ),IF(GF29-GE30&lt;0, GF29-GE30,0),0)))</f>
        <v>0</v>
      </c>
      <c r="GG30" s="1">
        <f>IF($B30&lt;Analysis!$C$159,0,IF($B30=Analysis!$C$159,GB30+GE30,IF(GC29&lt;0,IF(GC29&gt;LOOKUP(Analysis!$C$159,$B:$B,GG:GG), GC29*(1+GD29),GG29),0)))</f>
        <v>-18287.712220832309</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36"/>
        <v>37970.756672100346</v>
      </c>
      <c r="GQ30" s="1">
        <f t="shared" si="37"/>
        <v>-2803.2699143836421</v>
      </c>
      <c r="GR30" s="64">
        <f>IF($B30&lt;Analysis!$C$159,0,Analysis!$C$178)</f>
        <v>3.0000000000000001E-3</v>
      </c>
      <c r="GS30" s="1">
        <f t="shared" si="38"/>
        <v>-7008.1747859591051</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-2340.561506828753</v>
      </c>
      <c r="HD30" s="1">
        <f t="shared" si="39"/>
        <v>-24412.0062071715</v>
      </c>
      <c r="HE30" s="1">
        <f>MIN(0,-(GN30+HD30)*Analysis!$C$28)-GE30*Analysis!$C$28</f>
        <v>-2721.9534632417785</v>
      </c>
      <c r="HF30" s="1">
        <f>-Analysis!$C$176*GP30/12</f>
        <v>-3164.2297226750288</v>
      </c>
      <c r="HG30" s="38"/>
      <c r="HH30" s="1">
        <f>IF($B30&lt;Analysis!$C$159,0,-$HI30*$FW30)</f>
        <v>-119138.97136130479</v>
      </c>
      <c r="HI30" s="64">
        <f>IF($B30&lt;Analysis!$C$159,0,IF($B30=Analysis!$C$159,Analysis!$C$31,HI29))</f>
        <v>0.1275</v>
      </c>
      <c r="HJ30" s="1">
        <f>IF($B30&lt;Analysis!$C$159,0,$FW30+HH30)</f>
        <v>815284.33343324263</v>
      </c>
      <c r="HK30" s="1">
        <f>IF($B30-Analysis!$C$159&gt;10,0,IF($FW30&gt;LOOKUP(Analysis!$C$159,$B:$B, FW:FW),$V30*(LOOKUP(Analysis!$C$159,$B:$B, FW:FW)-FW30),0))</f>
        <v>0</v>
      </c>
      <c r="HL30" s="1">
        <f t="shared" si="40"/>
        <v>815284.33343324263</v>
      </c>
      <c r="HM30" s="38"/>
      <c r="HN30" s="1">
        <f t="shared" si="41"/>
        <v>-127911.60076559684</v>
      </c>
      <c r="HO30" s="1">
        <f t="shared" si="12"/>
        <v>169438.67991332622</v>
      </c>
      <c r="HP30" s="1">
        <f t="shared" si="42"/>
        <v>41527.079147729382</v>
      </c>
      <c r="HQ30" s="1">
        <f>IF(HP30 &lt; 0,
    IF(HQ29 + HP30 &gt; 0,
        HQ29 + HP30, IF(HV29-ABS(HQ29 + HP30)*(1+$V30) &gt;= HQ29 + HP30,
        0, HQ29 + HP30)),
    MIN(HQ29 + HP30, Analysis!$C$7))+IF(HQ29&lt;0, HQ29*Analysis!$C$9,0)</f>
        <v>24000</v>
      </c>
      <c r="HR30" s="38"/>
      <c r="HS30" s="1">
        <f t="shared" si="57"/>
        <v>28378.535032343258</v>
      </c>
      <c r="HT30" s="1">
        <f>IF($B30=Analysis!$C$159,0,IF(HP30 &gt;= 0,
    MAX(0, HQ29 + HP30 - Analysis!$C$7),
    0))</f>
        <v>41527.079147729382</v>
      </c>
      <c r="HU30" s="1">
        <f>IF($B30=Analysis!$C$159,0,MAX(0, HU29 + HT30 - IF(HP30 &lt; 0, MIN(ABS(HP30), HU29 + HT30), 0)))</f>
        <v>601412.81565610506</v>
      </c>
      <c r="HV30" s="1">
        <f>IF($B30=Analysis!$C$159,0,IF(HP30 &lt; 0,
    IF(HP30 + HQ29 &lt; 0,
        MAX(0, HV29 - (ABS(HP30 + HQ29) * (1+$V29))),
        HV29 + HS30),
    HV29 + HT30 + HS30))</f>
        <v>1002447.6803202134</v>
      </c>
      <c r="HW30" s="1">
        <f t="shared" si="61"/>
        <v>896674.73476505489</v>
      </c>
      <c r="HX30" s="36"/>
    </row>
    <row r="31" spans="1:232" x14ac:dyDescent="0.35">
      <c r="A31">
        <f t="shared" si="0"/>
        <v>64</v>
      </c>
      <c r="B31">
        <v>2054</v>
      </c>
      <c r="C31" s="1">
        <f>IF($B31&lt;Analysis!C$66,0,$AN31)+$AT31+$AW31+$BC31+$CF31+$CA31</f>
        <v>1186631.9022219453</v>
      </c>
      <c r="D31" s="1">
        <f>IF($B31&lt;Analysis!C$66, 0, BV31)+AT31+AW31+BC31+CG31+CA31</f>
        <v>982719.34670277359</v>
      </c>
      <c r="E31" s="1">
        <f t="shared" si="13"/>
        <v>1814415.0457534187</v>
      </c>
      <c r="F31" s="1">
        <f t="shared" si="14"/>
        <v>1582028.9511624328</v>
      </c>
      <c r="G31" s="1">
        <f>IF(AND($B31&gt;=Analysis!$C$100, $B31&lt;Analysis!$C$101),$CK31,0)+IF($B31&gt;=Analysis!$C$130,EB31,0)+CQ31+CU31+CZ31+EH31+EK31+EQ31+$FO31+$FT31</f>
        <v>2075929.2838021566</v>
      </c>
      <c r="H31" s="1">
        <f t="shared" si="2"/>
        <v>1839920.6087870635</v>
      </c>
      <c r="I31" s="1">
        <f>IF($B31&lt;Analysis!$C$159,0,$FW31)+$GC31+$GF31+$GL31+$HQ31+$HV31</f>
        <v>2075929.2838021566</v>
      </c>
      <c r="J31" s="1">
        <f t="shared" si="3"/>
        <v>1839920.6087870635</v>
      </c>
      <c r="K31" s="36"/>
      <c r="L31" s="1">
        <f t="shared" si="15"/>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4"/>
        <v>0</v>
      </c>
      <c r="R31" s="1">
        <f>IF(AND(AND(B31=Analysis!C$35,Analysis!C$34&lt;&gt;0),AND(B31=Analysis!C$37,Analysis!C$36&lt;&gt;0)),Analysis!C$34+Analysis!C$36,IF(AND(B31=Analysis!C$35,Analysis!C$34&lt;&gt;0),Analysis!C$34,IF(AND(B31=Analysis!C$37,Analysis!C$36&lt;&gt;0),Analysis!C$36,0)))</f>
        <v>0</v>
      </c>
      <c r="S31" s="64">
        <f t="shared" si="6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63"/>
        <v>0.26374999999999998</v>
      </c>
      <c r="W31" s="36"/>
      <c r="X31" s="1">
        <f t="shared" si="45"/>
        <v>-36714.690303196119</v>
      </c>
      <c r="Y31" s="64">
        <f t="shared" si="18"/>
        <v>2.941176470588247E-2</v>
      </c>
      <c r="Z31" s="1">
        <f t="shared" si="19"/>
        <v>-3960</v>
      </c>
      <c r="AA31" s="64">
        <f t="shared" si="20"/>
        <v>0</v>
      </c>
      <c r="AB31" s="40"/>
      <c r="AC31" s="1">
        <f t="shared" si="4"/>
        <v>-88674.690303196112</v>
      </c>
      <c r="AD31" s="1">
        <f t="shared" si="5"/>
        <v>131467.92324122589</v>
      </c>
      <c r="AE31" s="1">
        <f t="shared" si="21"/>
        <v>42793.232938029774</v>
      </c>
      <c r="AF31" s="1">
        <f>IF(AE31 &lt; 0,
    IF(AF30 + AE31 &gt; 0,
        AF30 + AE31, IF(AK30-ABS(AF30 + AE31)*(1+$V31) &gt;= AF30 + AE31,
        0, AF30 + AE31)),
    MIN(AF30 + AE31, Analysis!$C$7))+IF(AF30&lt;0, AF30*Analysis!$C$9,0)</f>
        <v>24000</v>
      </c>
      <c r="AG31" s="40"/>
      <c r="AH31" s="1">
        <f t="shared" si="22"/>
        <v>48785.626286537488</v>
      </c>
      <c r="AI31" s="1">
        <f>IF(AE31 &gt;= 0,
    MAX(0, AF30 + AE31 - Analysis!$C$7),
    0)</f>
        <v>42793.232938029774</v>
      </c>
      <c r="AJ31" s="1">
        <f t="shared" si="46"/>
        <v>909330.32692503592</v>
      </c>
      <c r="AK31" s="1">
        <f t="shared" si="23"/>
        <v>1790415.0457534187</v>
      </c>
      <c r="AL31" s="1">
        <f t="shared" si="6"/>
        <v>1558028.9511624328</v>
      </c>
      <c r="AM31" s="36"/>
      <c r="AN31" s="1">
        <f t="shared" si="47"/>
        <v>1599314.1609346799</v>
      </c>
      <c r="AO31" s="64">
        <f t="shared" si="24"/>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-4797.9424828040401</v>
      </c>
      <c r="BF31" s="64">
        <f>IF($B31&lt;Analysis!$C$66,0,Analysis!$C$78)</f>
        <v>3.0000000000000001E-3</v>
      </c>
      <c r="BG31" s="1">
        <f>IF($B31&lt;Analysis!$C$66,0,-BH31*AN31)</f>
        <v>-11994.8562070101</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5"/>
        <v>-203912.5555191717</v>
      </c>
      <c r="BS31" s="64">
        <f>IF($B31&lt;Analysis!C$66,0,Analysis!C$31)</f>
        <v>0.1275</v>
      </c>
      <c r="BT31" s="1">
        <f>IF($B31&lt;Analysis!$C$66,0,AN31+BR31)</f>
        <v>1395401.6054155082</v>
      </c>
      <c r="BU31" s="1">
        <f>IF($B31-Analysis!$C$66&gt;3,0,IF($AN31&gt;LOOKUP(Analysis!$C$66,$B:$B, AN:AN),$V31*(LOOKUP(Analysis!$C$66,$B:$B, AN:AN)-AN31),0))</f>
        <v>0</v>
      </c>
      <c r="BV31" s="1">
        <f t="shared" si="26"/>
        <v>1395401.6054155082</v>
      </c>
      <c r="BW31" s="42"/>
      <c r="BX31" s="1">
        <f>IF($B31&lt;Analysis!$C$66,$P31+$N31+$X31+$Z31,$P31+$N31+AS31+AV31+BB31+BE31+BG31+MAX(BI31,SUM(BJ31:BN31))+BP31)</f>
        <v>-68752.798689814139</v>
      </c>
      <c r="BY31" s="1">
        <f t="shared" si="27"/>
        <v>131467.92324122589</v>
      </c>
      <c r="BZ31" s="1">
        <f t="shared" si="48"/>
        <v>62715.124551411747</v>
      </c>
      <c r="CA31" s="1">
        <f>IF(BZ31 &lt; 0,
    IF(CA30 + BZ31 &gt; 0,
        CA30 + BZ31, IF(CF30-ABS(CA30 + BZ31)*(1+$V31) &gt;= CA30 + BZ31,
        0, CA30 + BZ31)),
    MIN(CA30 + BZ31, Analysis!$C$7))+IF(CA30&lt;0, CA30*Analysis!$C$9,0)</f>
        <v>-412682.25871273456</v>
      </c>
      <c r="CB31" s="42"/>
      <c r="CC31" s="1">
        <f t="shared" si="49"/>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8"/>
        <v>0</v>
      </c>
      <c r="CH31" s="36"/>
      <c r="CI31" s="1">
        <f>IF(OR($B31&lt;Analysis!$C$100, $B31&gt;=Analysis!$C$130),0,X31)</f>
        <v>-36714.690303196119</v>
      </c>
      <c r="CJ31" s="1">
        <f>IF(OR($B31&lt;Analysis!$C$100, $B31&gt;=Analysis!$C$130),0,Z31)</f>
        <v>-3960</v>
      </c>
      <c r="CK31" s="1">
        <f t="shared" si="50"/>
        <v>961906.34317085776</v>
      </c>
      <c r="CL31" s="64">
        <f t="shared" si="51"/>
        <v>2.941176470588247E-2</v>
      </c>
      <c r="CM31" s="1">
        <f>IF($B31=Analysis!$C$100,(CK31*(1+Analysis!$C$23+Analysis!$C$24+Analysis!$C$25))-IF($B31=$B$2,(Analysis!$C$6-Analysis!$C$7+Analysis!$C$105), (FU30-Analysis!$C$7+CV31)),0)</f>
        <v>0</v>
      </c>
      <c r="CN31" s="64">
        <f>IF($B31=Analysis!$C$100,Analysis!$C$103,0)</f>
        <v>0</v>
      </c>
      <c r="CO31" s="64">
        <f>IF(OR($B31&lt;Analysis!$C$100, $B31&gt;=Analysis!$C$101),0,IF($B31=Analysis!$C$100,Analysis!$C$102,IF(($B31-Analysis!$C$100)&lt;LOOKUP(Analysis!$C$100,$B:$B,CT:CT),CO30,0)))</f>
        <v>0</v>
      </c>
      <c r="CP31" s="1">
        <f>IF(OR($B31&lt;Analysis!$C$100, $B31&gt;=Analysis!$C$101),0,IF($B31=Analysis!$C$100,-CM31*CN31,IF(CS31&gt;=0,0,CS31-CR31)))</f>
        <v>0</v>
      </c>
      <c r="CQ31" s="1">
        <f>IF(OR($B31&lt;Analysis!$C$100, $B31&gt;=Analysis!$C$101),0,IF($B31=Analysis!$C$100,-CM31-CP31,MIN(0,CQ30-CP31)))</f>
        <v>0</v>
      </c>
      <c r="CR31" s="1">
        <f>IF(OR($B31&lt;Analysis!$C$100, $B31&gt;=Analysis!$C$101),0,IF($B31=Analysis!$C$100,-CO31*CM31,CO30*CQ30))</f>
        <v>0</v>
      </c>
      <c r="CS31" s="1">
        <f>IF(OR($B31&lt;Analysis!$C$100, $B31&gt;=Analysis!$C$101),0,IF($B31=Analysis!$C$100,CP31+CR31,IF(CQ30&lt;0,IF(CQ30&gt;LOOKUP(Analysis!$C$100,$B:$B,CS:CS), CQ30*(1+CO30),CS30),0)))</f>
        <v>0</v>
      </c>
      <c r="CT31" s="65">
        <f>IF($B31=Analysis!$C$100,NPER(CO31,-CS31,-CM31),0)</f>
        <v>0</v>
      </c>
      <c r="CU31" s="1">
        <f>IF(OR($B31&lt;Analysis!$C$100, $B31&gt;=Analysis!$C$101),0,IF($B31=Analysis!$C$100,PMT(CO31,CT31,CM31)*CT31-CS31-CQ31,IF(($B31-Analysis!$C$100+1)&lt;LOOKUP(Analysis!$C$100,$B:$B,CT:CT),IF(CU30-CR31&lt;0, CU30-CR31,0),0)))</f>
        <v>0</v>
      </c>
      <c r="CV31" s="1">
        <f>IF($B31=Analysis!$C$100,Analysis!$C$105,0)</f>
        <v>0</v>
      </c>
      <c r="CW31" s="1">
        <f>IF($B31=Analysis!$C$100,PMT(CO31,CX31,CV31)*CX31,0)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29"/>
        <v>38971.073044809193</v>
      </c>
      <c r="DE31" s="1">
        <f t="shared" si="8"/>
        <v>-2885.7190295125733</v>
      </c>
      <c r="DF31" s="64">
        <f>IF(OR($B31&lt;Analysis!$C$100, $B31&gt;=Analysis!$C$101),0,Analysis!$C$118)</f>
        <v>3.0000000000000001E-3</v>
      </c>
      <c r="DG31" s="1">
        <f t="shared" si="9"/>
        <v>-7214.2975737814331</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-2409.4015511472458</v>
      </c>
      <c r="DR31" s="1">
        <f t="shared" si="30"/>
        <v>-24769.418154441253</v>
      </c>
      <c r="DS31" s="1">
        <f>MIN(0,-(DB31+DR31)*Analysis!$C$28)-CR31*Analysis!$C$28</f>
        <v>-3259.4151799450092</v>
      </c>
      <c r="DT31" s="1">
        <f>-Analysis!$C$116*DD31/12</f>
        <v>-3247.5894204007659</v>
      </c>
      <c r="DU31" s="53"/>
      <c r="DV31" s="1">
        <f t="shared" si="10"/>
        <v>-122643.05875428437</v>
      </c>
      <c r="DW31" s="64">
        <f>IF(OR($B31&lt;Analysis!$C$100, $B31&gt;=Analysis!$C$101),0,IF($B31=Analysis!$C$100,Analysis!$C$31,DW30))</f>
        <v>0.1275</v>
      </c>
      <c r="DX31" s="1">
        <f>IF(OR($B31&lt;Analysis!$C$100, $B31&gt;=Analysis!$C$101),0,CK31+DV31)</f>
        <v>839263.28441657335</v>
      </c>
      <c r="DY31" s="1">
        <f>IF(OR($B31&lt;Analysis!$C$100, $B31&gt;=Analysis!$C$101),0,IF($B31-Analysis!$C$100&gt;3,0,IF(CK31&gt;LOOKUP(Analysis!$C$100,$B:$B, CK:CK),$V31*(LOOKUP(Analysis!$C$100,$B:$B, CK:CK)-CK31),0)))</f>
        <v>0</v>
      </c>
      <c r="DZ31" s="1">
        <f t="shared" si="52"/>
        <v>839263.28441657335</v>
      </c>
      <c r="EA31" s="53"/>
      <c r="EB31" s="1">
        <f t="shared" si="31"/>
        <v>1599314.1609346799</v>
      </c>
      <c r="EC31" s="64">
        <f t="shared" si="53"/>
        <v>2.941176470588247E-2</v>
      </c>
      <c r="ED31" s="1">
        <f>MAX(0,IF($B31=Analysis!$C$130,(EB31*(1+Analysis!$C$23+Analysis!$C$24+Analysis!$C$25))-(IF($B31=$B$2,(Analysis!$C$6-Analysis!$C$7+Analysis!$C$132), (FU30-Analysis!$C$7+EM31)) + IF($B31=Analysis!$C$101,DZ30+CQ30+CU30+CZ30,0)),0))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$P31+$N31+IF($B31&lt;Analysis!$C$130,$CI31+$CJ31,0)+CP31+CR31+CY31+DE31+DG31+MIN(DI31,SUM(DJ31:DN31))+DQ31+DS31+DT31+EG31+EJ31+EP31+ES31+EU31+MIN(EW31,SUM(EX31:FB31))+FD31</f>
        <v>-111651.11305798312</v>
      </c>
      <c r="FM31" s="1">
        <f>$M31+$R31+DD31+IF(AND($B31&lt;&gt;Analysis!$C$130,$B31=Analysis!$C$101),DZ30+CQ30+CU30+CZ30,0)</f>
        <v>170438.99628603508</v>
      </c>
      <c r="FN31" s="1">
        <f t="shared" si="34"/>
        <v>58787.883228051956</v>
      </c>
      <c r="FO31" s="1">
        <f>IF(FN31 &lt; 0,
    IF(FO30 + FN31 &gt; 0,
        FO30 + FN31, IF(FT30-ABS(FO30 + FN31)*(1+$V31) &gt;= FO30 + FN31,
        0, FO30 + FN31)),
    MIN(FO30 + FN31, Analysis!$C$7))+IF(FO30&lt;0, FO30*Analysis!$C$9,0)</f>
        <v>24000</v>
      </c>
      <c r="FP31" s="53"/>
      <c r="FQ31" s="1">
        <f t="shared" si="54"/>
        <v>28787.377083033294</v>
      </c>
      <c r="FR31" s="1">
        <f>IF(OR($B31=Analysis!$C$100, $B31=Analysis!$C$130),0,IF(FN31 &gt;= 0,
    MAX(0, FO30 + FN31 - Analysis!$C$7),
    0))</f>
        <v>58787.883228051956</v>
      </c>
      <c r="FS31" s="1">
        <f>IF(OR($B31=Analysis!$C$100, $B31=Analysis!$C$130),0,MAX(0, FS30 + FR31 - IF(FN31 &lt; 0, MIN(ABS(FN31), FS30 + FR31), 0)))</f>
        <v>660200.698884157</v>
      </c>
      <c r="FT31" s="1">
        <f>IF(OR($B31=Analysis!$C$100, $B31=Analysis!$C$130),0,IF(FN31 &lt; 0,
    IF(FN31 + FO30 &lt; 0,
        MAX(0, FT30 - (ABS(FN31 + FO30) * (1+$V30))),
        FT30 + FQ31),
    FT30 + FR31 + FQ31))</f>
        <v>1090022.9406312988</v>
      </c>
      <c r="FU31" s="1">
        <f t="shared" si="60"/>
        <v>976657.32437049015</v>
      </c>
      <c r="FV31" s="36"/>
      <c r="FW31" s="1">
        <f t="shared" si="55"/>
        <v>961906.34317085776</v>
      </c>
      <c r="FX31" s="64">
        <f t="shared" si="56"/>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36"/>
        <v>38971.073044809193</v>
      </c>
      <c r="GQ31" s="1">
        <f t="shared" si="37"/>
        <v>-2885.7190295125733</v>
      </c>
      <c r="GR31" s="64">
        <f>IF($B31&lt;Analysis!$C$159,0,Analysis!$C$178)</f>
        <v>3.0000000000000001E-3</v>
      </c>
      <c r="GS31" s="1">
        <f t="shared" si="38"/>
        <v>-7214.2975737814331</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-2409.4015511472458</v>
      </c>
      <c r="HD31" s="1">
        <f t="shared" si="39"/>
        <v>-24769.418154441253</v>
      </c>
      <c r="HE31" s="1">
        <f>MIN(0,-(GN31+HD31)*Analysis!$C$28)-GE31*Analysis!$C$28</f>
        <v>-3259.4151799450092</v>
      </c>
      <c r="HF31" s="1">
        <f>-Analysis!$C$176*GP31/12</f>
        <v>-3247.5894204007659</v>
      </c>
      <c r="HG31" s="38"/>
      <c r="HH31" s="1">
        <f>IF($B31&lt;Analysis!$C$159,0,-$HI31*$FW31)</f>
        <v>-122643.05875428437</v>
      </c>
      <c r="HI31" s="64">
        <f>IF($B31&lt;Analysis!$C$159,0,IF($B31=Analysis!$C$159,Analysis!$C$31,HI30))</f>
        <v>0.1275</v>
      </c>
      <c r="HJ31" s="1">
        <f>IF($B31&lt;Analysis!$C$159,0,$FW31+HH31)</f>
        <v>839263.28441657335</v>
      </c>
      <c r="HK31" s="1">
        <f>IF($B31-Analysis!$C$159&gt;10,0,IF($FW31&gt;LOOKUP(Analysis!$C$159,$B:$B, FW:FW),$V31*(LOOKUP(Analysis!$C$159,$B:$B, FW:FW)-FW31),0))</f>
        <v>0</v>
      </c>
      <c r="HL31" s="1">
        <f t="shared" si="40"/>
        <v>839263.28441657335</v>
      </c>
      <c r="HM31" s="38"/>
      <c r="HN31" s="1">
        <f t="shared" si="41"/>
        <v>-111651.11305798312</v>
      </c>
      <c r="HO31" s="1">
        <f t="shared" si="12"/>
        <v>170438.99628603508</v>
      </c>
      <c r="HP31" s="1">
        <f t="shared" si="42"/>
        <v>58787.883228051956</v>
      </c>
      <c r="HQ31" s="1">
        <f>IF(HP31 &lt; 0,
    IF(HQ30 + HP31 &gt; 0,
        HQ30 + HP31, IF(HV30-ABS(HQ30 + HP31)*(1+$V31) &gt;= HQ30 + HP31,
        0, HQ30 + HP31)),
    MIN(HQ30 + HP31, Analysis!$C$7))+IF(HQ30&lt;0, HQ30*Analysis!$C$9,0)</f>
        <v>24000</v>
      </c>
      <c r="HR31" s="38"/>
      <c r="HS31" s="1">
        <f t="shared" si="57"/>
        <v>28787.377083033294</v>
      </c>
      <c r="HT31" s="1">
        <f>IF($B31=Analysis!$C$159,0,IF(HP31 &gt;= 0,
    MAX(0, HQ30 + HP31 - Analysis!$C$7),
    0))</f>
        <v>58787.883228051956</v>
      </c>
      <c r="HU31" s="1">
        <f>IF($B31=Analysis!$C$159,0,MAX(0, HU30 + HT31 - IF(HP31 &lt; 0, MIN(ABS(HP31), HU30 + HT31), 0)))</f>
        <v>660200.698884157</v>
      </c>
      <c r="HV31" s="1">
        <f>IF($B31=Analysis!$C$159,0,IF(HP31 &lt; 0,
    IF(HP31 + HQ30 &lt; 0,
        MAX(0, HV30 - (ABS(HP31 + HQ30) * (1+$V30))),
        HV30 + HS31),
    HV30 + HT31 + HS31))</f>
        <v>1090022.9406312988</v>
      </c>
      <c r="HW31" s="1">
        <f t="shared" si="61"/>
        <v>976657.32437049015</v>
      </c>
      <c r="HX31" s="36"/>
    </row>
    <row r="32" spans="1:232" x14ac:dyDescent="0.35">
      <c r="A32">
        <f t="shared" si="0"/>
        <v>65</v>
      </c>
      <c r="B32">
        <v>2055</v>
      </c>
      <c r="C32" s="1">
        <f>IF($B32&lt;Analysis!C$66,0,$AN32)+$AT32+$AW32+$BC32+$CF32+$CA32</f>
        <v>1262877.1920247169</v>
      </c>
      <c r="D32" s="1">
        <f>IF($B32&lt;Analysis!C$66, 0, BV32)+AT32+AW32+BC32+CG32+CA32</f>
        <v>1052967.2084020402</v>
      </c>
      <c r="E32" s="1">
        <f t="shared" si="13"/>
        <v>1904474.6562625396</v>
      </c>
      <c r="F32" s="1">
        <f t="shared" si="14"/>
        <v>1659337.2457763704</v>
      </c>
      <c r="G32" s="1">
        <f>IF(AND($B32&gt;=Analysis!$C$100, $B32&lt;Analysis!$C$101),$CK32,0)+IF($B32&gt;=Analysis!$C$130,EB32,0)+CQ32+CU32+CZ32+EH32+EK32+EQ32+$FO32+$FT32</f>
        <v>2191682.7190409689</v>
      </c>
      <c r="H32" s="1">
        <f t="shared" si="2"/>
        <v>1944303.7640689514</v>
      </c>
      <c r="I32" s="1">
        <f>IF($B32&lt;Analysis!$C$159,0,$FW32)+$GC32+$GF32+$GL32+$HQ32+$HV32</f>
        <v>2191682.7190409689</v>
      </c>
      <c r="J32" s="1">
        <f t="shared" si="3"/>
        <v>1944303.7640689514</v>
      </c>
      <c r="K32" s="36"/>
      <c r="L32" s="1">
        <f t="shared" si="15"/>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4"/>
        <v>0</v>
      </c>
      <c r="R32" s="1">
        <f>IF(AND(AND(B32=Analysis!C$35,Analysis!C$34&lt;&gt;0),AND(B32=Analysis!C$37,Analysis!C$36&lt;&gt;0)),Analysis!C$34+Analysis!C$36,IF(AND(B32=Analysis!C$35,Analysis!C$34&lt;&gt;0),Analysis!C$34,IF(AND(B32=Analysis!C$37,Analysis!C$36&lt;&gt;0),Analysis!C$36,0)))</f>
        <v>0</v>
      </c>
      <c r="S32" s="64">
        <f t="shared" si="6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63"/>
        <v>0.26374999999999998</v>
      </c>
      <c r="W32" s="36"/>
      <c r="X32" s="1">
        <f t="shared" si="45"/>
        <v>-37794.534135643065</v>
      </c>
      <c r="Y32" s="64">
        <f t="shared" si="18"/>
        <v>2.941176470588247E-2</v>
      </c>
      <c r="Z32" s="1">
        <f t="shared" si="19"/>
        <v>-3960</v>
      </c>
      <c r="AA32" s="64">
        <f t="shared" si="20"/>
        <v>0</v>
      </c>
      <c r="AB32" s="40"/>
      <c r="AC32" s="1">
        <f t="shared" si="4"/>
        <v>-89754.534135643073</v>
      </c>
      <c r="AD32" s="1">
        <f t="shared" si="5"/>
        <v>131467.92324122589</v>
      </c>
      <c r="AE32" s="1">
        <f t="shared" si="21"/>
        <v>41713.389105582813</v>
      </c>
      <c r="AF32" s="1">
        <f>IF(AE32 &lt; 0,
    IF(AF31 + AE32 &gt; 0,
        AF31 + AE32, IF(AK31-ABS(AF31 + AE32)*(1+$V32) &gt;= AF31 + AE32,
        0, AF31 + AE32)),
    MIN(AF31 + AE32, Analysis!$C$7))+IF(AF31&lt;0, AF31*Analysis!$C$9,0)</f>
        <v>24000</v>
      </c>
      <c r="AG32" s="40"/>
      <c r="AH32" s="1">
        <f t="shared" si="22"/>
        <v>48346.221403537987</v>
      </c>
      <c r="AI32" s="1">
        <f>IF(AE32 &gt;= 0,
    MAX(0, AF31 + AE32 - Analysis!$C$7),
    0)</f>
        <v>41713.389105582813</v>
      </c>
      <c r="AJ32" s="1">
        <f t="shared" si="46"/>
        <v>951043.71603061876</v>
      </c>
      <c r="AK32" s="1">
        <f t="shared" si="23"/>
        <v>1880474.6562625396</v>
      </c>
      <c r="AL32" s="1">
        <f t="shared" si="6"/>
        <v>1635337.2457763704</v>
      </c>
      <c r="AM32" s="36"/>
      <c r="AN32" s="1">
        <f t="shared" si="47"/>
        <v>1646352.8127268765</v>
      </c>
      <c r="AO32" s="64">
        <f t="shared" si="24"/>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-4939.0584381806293</v>
      </c>
      <c r="BF32" s="64">
        <f>IF($B32&lt;Analysis!$C$66,0,Analysis!$C$78)</f>
        <v>3.0000000000000001E-3</v>
      </c>
      <c r="BG32" s="1">
        <f>IF($B32&lt;Analysis!$C$66,0,-BH32*AN32)</f>
        <v>-12347.646095451573</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5"/>
        <v>-209909.98362267675</v>
      </c>
      <c r="BS32" s="64">
        <f>IF($B32&lt;Analysis!C$66,0,Analysis!C$31)</f>
        <v>0.1275</v>
      </c>
      <c r="BT32" s="1">
        <f>IF($B32&lt;Analysis!$C$66,0,AN32+BR32)</f>
        <v>1436442.8291041998</v>
      </c>
      <c r="BU32" s="1">
        <f>IF($B32-Analysis!$C$66&gt;3,0,IF($AN32&gt;LOOKUP(Analysis!$C$66,$B:$B, AN:AN),$V32*(LOOKUP(Analysis!$C$66,$B:$B, AN:AN)-AN32),0))</f>
        <v>0</v>
      </c>
      <c r="BV32" s="1">
        <f t="shared" si="26"/>
        <v>1436442.8291041998</v>
      </c>
      <c r="BW32" s="42"/>
      <c r="BX32" s="1">
        <f>IF($B32&lt;Analysis!$C$66,$P32+$N32+$X32+$Z32,$P32+$N32+AS32+AV32+BB32+BE32+BG32+MAX(BI32,SUM(BJ32:BN32))+BP32)</f>
        <v>-69246.704533632204</v>
      </c>
      <c r="BY32" s="1">
        <f t="shared" si="27"/>
        <v>131467.92324122589</v>
      </c>
      <c r="BZ32" s="1">
        <f t="shared" si="48"/>
        <v>62221.218707593682</v>
      </c>
      <c r="CA32" s="1">
        <f>IF(BZ32 &lt; 0,
    IF(CA31 + BZ32 &gt; 0,
        CA31 + BZ32, IF(CF31-ABS(CA31 + BZ32)*(1+$V32) &gt;= CA31 + BZ32,
        0, CA31 + BZ32)),
    MIN(CA31 + BZ32, Analysis!$C$7))+IF(CA31&lt;0, CA31*Analysis!$C$9,0)</f>
        <v>-383475.62070215965</v>
      </c>
      <c r="CB32" s="42"/>
      <c r="CC32" s="1">
        <f t="shared" si="49"/>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8"/>
        <v>0</v>
      </c>
      <c r="CH32" s="36"/>
      <c r="CI32" s="1">
        <f>IF(OR($B32&lt;Analysis!$C$100, $B32&gt;=Analysis!$C$130),0,X32)</f>
        <v>-37794.534135643065</v>
      </c>
      <c r="CJ32" s="1">
        <f>IF(OR($B32&lt;Analysis!$C$100, $B32&gt;=Analysis!$C$130),0,Z32)</f>
        <v>-3960</v>
      </c>
      <c r="CK32" s="1">
        <f t="shared" si="50"/>
        <v>990197.70620529482</v>
      </c>
      <c r="CL32" s="64">
        <f t="shared" si="51"/>
        <v>2.941176470588247E-2</v>
      </c>
      <c r="CM32" s="1">
        <f>IF($B32=Analysis!$C$100,(CK32*(1+Analysis!$C$23+Analysis!$C$24+Analysis!$C$25))-IF($B32=$B$2,(Analysis!$C$6-Analysis!$C$7+Analysis!$C$105), (FU31-Analysis!$C$7+CV32)),0)</f>
        <v>0</v>
      </c>
      <c r="CN32" s="64">
        <f>IF($B32=Analysis!$C$100,Analysis!$C$103,0)</f>
        <v>0</v>
      </c>
      <c r="CO32" s="64">
        <f>IF(OR($B32&lt;Analysis!$C$100, $B32&gt;=Analysis!$C$101),0,IF($B32=Analysis!$C$100,Analysis!$C$102,IF(($B32-Analysis!$C$100)&lt;LOOKUP(Analysis!$C$100,$B:$B,CT:CT),CO31,0)))</f>
        <v>0</v>
      </c>
      <c r="CP32" s="1">
        <f>IF(OR($B32&lt;Analysis!$C$100, $B32&gt;=Analysis!$C$101),0,IF($B32=Analysis!$C$100,-CM32*CN32,IF(CS32&gt;=0,0,CS32-CR32)))</f>
        <v>0</v>
      </c>
      <c r="CQ32" s="1">
        <f>IF(OR($B32&lt;Analysis!$C$100, $B32&gt;=Analysis!$C$101),0,IF($B32=Analysis!$C$100,-CM32-CP32,MIN(0,CQ31-CP32)))</f>
        <v>0</v>
      </c>
      <c r="CR32" s="1">
        <f>IF(OR($B32&lt;Analysis!$C$100, $B32&gt;=Analysis!$C$101),0,IF($B32=Analysis!$C$100,-CO32*CM32,CO31*CQ31))</f>
        <v>0</v>
      </c>
      <c r="CS32" s="1">
        <f>IF(OR($B32&lt;Analysis!$C$100, $B32&gt;=Analysis!$C$101),0,IF($B32=Analysis!$C$100,CP32+CR32,IF(CQ31&lt;0,IF(CQ31&gt;LOOKUP(Analysis!$C$100,$B:$B,CS:CS), CQ31*(1+CO31),CS31),0)))</f>
        <v>0</v>
      </c>
      <c r="CT32" s="65">
        <f>IF($B32=Analysis!$C$100,NPER(CO32,-CS32,-CM32),0)</f>
        <v>0</v>
      </c>
      <c r="CU32" s="1">
        <f>IF(OR($B32&lt;Analysis!$C$100, $B32&gt;=Analysis!$C$101),0,IF($B32=Analysis!$C$100,PMT(CO32,CT32,CM32)*CT32-CS32-CQ32,IF(($B32-Analysis!$C$100+1)&lt;LOOKUP(Analysis!$C$100,$B:$B,CT:CT),IF(CU31-CR32&lt;0, CU31-CR32,0),0)))</f>
        <v>0</v>
      </c>
      <c r="CV32" s="1">
        <f>IF($B32=Analysis!$C$100,Analysis!$C$105,0)</f>
        <v>0</v>
      </c>
      <c r="CW32" s="1">
        <f>IF($B32=Analysis!$C$100,PMT(CO32,CX32,CV32)*CX32,0)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29"/>
        <v>40000.810487303577</v>
      </c>
      <c r="DE32" s="1">
        <f t="shared" si="8"/>
        <v>-2970.5931186158846</v>
      </c>
      <c r="DF32" s="64">
        <f>IF(OR($B32&lt;Analysis!$C$100, $B32&gt;=Analysis!$C$101),0,Analysis!$C$118)</f>
        <v>3.0000000000000001E-3</v>
      </c>
      <c r="DG32" s="1">
        <f t="shared" si="9"/>
        <v>-7426.4827965397108</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-2480.266302651577</v>
      </c>
      <c r="DR32" s="1">
        <f t="shared" si="30"/>
        <v>-25137.342217807174</v>
      </c>
      <c r="DS32" s="1">
        <f>MIN(0,-(DB32+DR32)*Analysis!$C$28)-CR32*Analysis!$C$28</f>
        <v>-3515.0569793551572</v>
      </c>
      <c r="DT32" s="1">
        <f>-Analysis!$C$116*DD32/12</f>
        <v>-3333.4008739419646</v>
      </c>
      <c r="DU32" s="53"/>
      <c r="DV32" s="1">
        <f t="shared" si="10"/>
        <v>-126250.20754117508</v>
      </c>
      <c r="DW32" s="64">
        <f>IF(OR($B32&lt;Analysis!$C$100, $B32&gt;=Analysis!$C$101),0,IF($B32=Analysis!$C$100,Analysis!$C$31,DW31))</f>
        <v>0.1275</v>
      </c>
      <c r="DX32" s="1">
        <f>IF(OR($B32&lt;Analysis!$C$100, $B32&gt;=Analysis!$C$101),0,CK32+DV32)</f>
        <v>863947.49866411975</v>
      </c>
      <c r="DY32" s="1">
        <f>IF(OR($B32&lt;Analysis!$C$100, $B32&gt;=Analysis!$C$101),0,IF($B32-Analysis!$C$100&gt;3,0,IF(CK32&gt;LOOKUP(Analysis!$C$100,$B:$B, CK:CK),$V32*(LOOKUP(Analysis!$C$100,$B:$B, CK:CK)-CK32),0)))</f>
        <v>0</v>
      </c>
      <c r="DZ32" s="1">
        <f t="shared" si="52"/>
        <v>863947.49866411975</v>
      </c>
      <c r="EA32" s="53"/>
      <c r="EB32" s="1">
        <f t="shared" si="31"/>
        <v>1646352.8127268765</v>
      </c>
      <c r="EC32" s="64">
        <f t="shared" si="53"/>
        <v>2.941176470588247E-2</v>
      </c>
      <c r="ED32" s="1">
        <f>MAX(0,IF($B32=Analysis!$C$130,(EB32*(1+Analysis!$C$23+Analysis!$C$24+Analysis!$C$25))-(IF($B32=$B$2,(Analysis!$C$6-Analysis!$C$7+Analysis!$C$132), (FU31-Analysis!$C$7+EM32)) + IF($B32=Analysis!$C$101,DZ31+CQ31+CU31+CZ31,0)),0))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$P32+$N32+IF($B32&lt;Analysis!$C$130,$CI32+$CJ32,0)+CP32+CR32+CY32+DE32+DG32+MIN(DI32,SUM(DJ32:DN32))+DQ32+DS32+DT32+EG32+EJ32+EP32+ES32+EU32+MIN(EW32,SUM(EX32:FB32))+FD32</f>
        <v>-113440.33420674737</v>
      </c>
      <c r="FM32" s="1">
        <f>$M32+$R32+DD32+IF(AND($B32&lt;&gt;Analysis!$C$130,$B32=Analysis!$C$101),DZ31+CQ31+CU31+CZ31,0)</f>
        <v>171468.73372852948</v>
      </c>
      <c r="FN32" s="1">
        <f t="shared" si="34"/>
        <v>58028.399521782107</v>
      </c>
      <c r="FO32" s="1">
        <f>IF(FN32 &lt; 0,
    IF(FO31 + FN32 &gt; 0,
        FO31 + FN32, IF(FT31-ABS(FO31 + FN32)*(1+$V32) &gt;= FO31 + FN32,
        0, FO31 + FN32)),
    MIN(FO31 + FN32, Analysis!$C$7))+IF(FO31&lt;0, FO31*Analysis!$C$9,0)</f>
        <v>24000</v>
      </c>
      <c r="FP32" s="53"/>
      <c r="FQ32" s="1">
        <f t="shared" si="54"/>
        <v>29433.672682593231</v>
      </c>
      <c r="FR32" s="1">
        <f>IF(OR($B32=Analysis!$C$100, $B32=Analysis!$C$130),0,IF(FN32 &gt;= 0,
    MAX(0, FO31 + FN32 - Analysis!$C$7),
    0))</f>
        <v>58028.399521782107</v>
      </c>
      <c r="FS32" s="1">
        <f>IF(OR($B32=Analysis!$C$100, $B32=Analysis!$C$130),0,MAX(0, FS31 + FR32 - IF(FN32 &lt; 0, MIN(ABS(FN32), FS31 + FR32), 0)))</f>
        <v>718229.09840593906</v>
      </c>
      <c r="FT32" s="1">
        <f>IF(OR($B32=Analysis!$C$100, $B32=Analysis!$C$130),0,IF(FN32 &lt; 0,
    IF(FN32 + FO31 &lt; 0,
        MAX(0, FT31 - (ABS(FN32 + FO31) * (1+$V31))),
        FT31 + FQ32),
    FT31 + FR32 + FQ32))</f>
        <v>1177485.0128356742</v>
      </c>
      <c r="FU32" s="1">
        <f t="shared" si="60"/>
        <v>1056356.2654048316</v>
      </c>
      <c r="FV32" s="36"/>
      <c r="FW32" s="1">
        <f t="shared" si="55"/>
        <v>990197.70620529482</v>
      </c>
      <c r="FX32" s="64">
        <f t="shared" si="56"/>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36"/>
        <v>40000.810487303577</v>
      </c>
      <c r="GQ32" s="1">
        <f t="shared" si="37"/>
        <v>-2970.5931186158846</v>
      </c>
      <c r="GR32" s="64">
        <f>IF($B32&lt;Analysis!$C$159,0,Analysis!$C$178)</f>
        <v>3.0000000000000001E-3</v>
      </c>
      <c r="GS32" s="1">
        <f t="shared" si="38"/>
        <v>-7426.4827965397108</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-2480.266302651577</v>
      </c>
      <c r="HD32" s="1">
        <f t="shared" si="39"/>
        <v>-25137.342217807174</v>
      </c>
      <c r="HE32" s="1">
        <f>MIN(0,-(GN32+HD32)*Analysis!$C$28)-GE32*Analysis!$C$28</f>
        <v>-3515.0569793551572</v>
      </c>
      <c r="HF32" s="1">
        <f>-Analysis!$C$176*GP32/12</f>
        <v>-3333.4008739419646</v>
      </c>
      <c r="HG32" s="38"/>
      <c r="HH32" s="1">
        <f>IF($B32&lt;Analysis!$C$159,0,-$HI32*$FW32)</f>
        <v>-126250.20754117508</v>
      </c>
      <c r="HI32" s="64">
        <f>IF($B32&lt;Analysis!$C$159,0,IF($B32=Analysis!$C$159,Analysis!$C$31,HI31))</f>
        <v>0.1275</v>
      </c>
      <c r="HJ32" s="1">
        <f>IF($B32&lt;Analysis!$C$159,0,$FW32+HH32)</f>
        <v>863947.49866411975</v>
      </c>
      <c r="HK32" s="1">
        <f>IF($B32-Analysis!$C$159&gt;10,0,IF($FW32&gt;LOOKUP(Analysis!$C$159,$B:$B, FW:FW),$V32*(LOOKUP(Analysis!$C$159,$B:$B, FW:FW)-FW32),0))</f>
        <v>0</v>
      </c>
      <c r="HL32" s="1">
        <f t="shared" si="40"/>
        <v>863947.49866411975</v>
      </c>
      <c r="HM32" s="38"/>
      <c r="HN32" s="1">
        <f t="shared" si="41"/>
        <v>-113440.33420674737</v>
      </c>
      <c r="HO32" s="1">
        <f t="shared" si="12"/>
        <v>171468.73372852948</v>
      </c>
      <c r="HP32" s="1">
        <f t="shared" si="42"/>
        <v>58028.399521782107</v>
      </c>
      <c r="HQ32" s="1">
        <f>IF(HP32 &lt; 0,
    IF(HQ31 + HP32 &gt; 0,
        HQ31 + HP32, IF(HV31-ABS(HQ31 + HP32)*(1+$V32) &gt;= HQ31 + HP32,
        0, HQ31 + HP32)),
    MIN(HQ31 + HP32, Analysis!$C$7))+IF(HQ31&lt;0, HQ31*Analysis!$C$9,0)</f>
        <v>24000</v>
      </c>
      <c r="HR32" s="38"/>
      <c r="HS32" s="1">
        <f t="shared" si="57"/>
        <v>29433.672682593231</v>
      </c>
      <c r="HT32" s="1">
        <f>IF($B32=Analysis!$C$159,0,IF(HP32 &gt;= 0,
    MAX(0, HQ31 + HP32 - Analysis!$C$7),
    0))</f>
        <v>58028.399521782107</v>
      </c>
      <c r="HU32" s="1">
        <f>IF($B32=Analysis!$C$159,0,MAX(0, HU31 + HT32 - IF(HP32 &lt; 0, MIN(ABS(HP32), HU31 + HT32), 0)))</f>
        <v>718229.09840593906</v>
      </c>
      <c r="HV32" s="1">
        <f>IF($B32=Analysis!$C$159,0,IF(HP32 &lt; 0,
    IF(HP32 + HQ31 &lt; 0,
        MAX(0, HV31 - (ABS(HP32 + HQ31) * (1+$V31))),
        HV31 + HS32),
    HV31 + HT32 + HS32))</f>
        <v>1177485.0128356742</v>
      </c>
      <c r="HW32" s="1">
        <f t="shared" si="61"/>
        <v>1056356.2654048316</v>
      </c>
      <c r="HX32" s="36"/>
    </row>
    <row r="33" spans="1:232" x14ac:dyDescent="0.35">
      <c r="A33">
        <f t="shared" si="0"/>
        <v>66</v>
      </c>
      <c r="B33">
        <v>2056</v>
      </c>
      <c r="C33" s="1">
        <f>IF($B33&lt;Analysis!C$66,0,$AN33)+$AT33+$AW33+$BC33+$CF33+$CA33</f>
        <v>1342334.0701406451</v>
      </c>
      <c r="D33" s="1">
        <f>IF($B33&lt;Analysis!C$66, 0, BV33)+AT33+AW33+BC33+CG33+CA33</f>
        <v>1126250.2634702425</v>
      </c>
      <c r="E33" s="1">
        <f t="shared" si="13"/>
        <v>1992630.8537387501</v>
      </c>
      <c r="F33" s="1">
        <f t="shared" si="14"/>
        <v>1734950.9670042903</v>
      </c>
      <c r="G33" s="1">
        <f>IF(AND($B33&gt;=Analysis!$C$100, $B33&lt;Analysis!$C$101),$CK33,0)+IF($B33&gt;=Analysis!$C$130,EB33,0)+CQ33+CU33+CZ33+EH33+EK33+EQ33+$FO33+$FT33</f>
        <v>2307829.6069352496</v>
      </c>
      <c r="H33" s="1">
        <f t="shared" si="2"/>
        <v>2048883.7669346023</v>
      </c>
      <c r="I33" s="1">
        <f>IF($B33&lt;Analysis!$C$159,0,$FW33)+$GC33+$GF33+$GL33+$HQ33+$HV33</f>
        <v>2307829.6069352496</v>
      </c>
      <c r="J33" s="1">
        <f t="shared" si="3"/>
        <v>2048883.7669346023</v>
      </c>
      <c r="K33" s="36"/>
      <c r="L33" s="1">
        <f t="shared" si="15"/>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4"/>
        <v>0</v>
      </c>
      <c r="R33" s="1">
        <f>IF(AND(AND(B33=Analysis!C$35,Analysis!C$34&lt;&gt;0),AND(B33=Analysis!C$37,Analysis!C$36&lt;&gt;0)),Analysis!C$34+Analysis!C$36,IF(AND(B33=Analysis!C$35,Analysis!C$34&lt;&gt;0),Analysis!C$34,IF(AND(B33=Analysis!C$37,Analysis!C$36&lt;&gt;0),Analysis!C$36,0)))</f>
        <v>0</v>
      </c>
      <c r="S33" s="64">
        <f t="shared" si="6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63"/>
        <v>0.26374999999999998</v>
      </c>
      <c r="W33" s="36"/>
      <c r="X33" s="1">
        <f t="shared" si="45"/>
        <v>-38906.13808080904</v>
      </c>
      <c r="Y33" s="64">
        <f t="shared" si="18"/>
        <v>2.941176470588247E-2</v>
      </c>
      <c r="Z33" s="1">
        <f t="shared" si="19"/>
        <v>-3960</v>
      </c>
      <c r="AA33" s="64">
        <f t="shared" si="20"/>
        <v>0</v>
      </c>
      <c r="AB33" s="40"/>
      <c r="AC33" s="1">
        <f t="shared" si="4"/>
        <v>-90866.138080809033</v>
      </c>
      <c r="AD33" s="1">
        <f t="shared" si="5"/>
        <v>131467.92324122589</v>
      </c>
      <c r="AE33" s="1">
        <f t="shared" si="21"/>
        <v>40601.785160416854</v>
      </c>
      <c r="AF33" s="1">
        <f>IF(AE33 &lt; 0,
    IF(AF32 + AE33 &gt; 0,
        AF32 + AE33, IF(AK32-ABS(AF32 + AE33)*(1+$V33) &gt;= AF32 + AE33,
        0, AF32 + AE33)),
    MIN(AF32 + AE33, Analysis!$C$7))+IF(AF32&lt;0, AF32*Analysis!$C$9,0)</f>
        <v>24000</v>
      </c>
      <c r="AG33" s="40"/>
      <c r="AH33" s="1">
        <f t="shared" si="22"/>
        <v>47554.412315793605</v>
      </c>
      <c r="AI33" s="1">
        <f>IF(AE33 &gt;= 0,
    MAX(0, AF32 + AE33 - Analysis!$C$7),
    0)</f>
        <v>40601.785160416854</v>
      </c>
      <c r="AJ33" s="1">
        <f t="shared" si="46"/>
        <v>991645.50119103561</v>
      </c>
      <c r="AK33" s="1">
        <f t="shared" si="23"/>
        <v>1968630.8537387501</v>
      </c>
      <c r="AL33" s="1">
        <f t="shared" si="6"/>
        <v>1710950.9670042903</v>
      </c>
      <c r="AM33" s="36"/>
      <c r="AN33" s="1">
        <f t="shared" si="47"/>
        <v>1694774.9542776672</v>
      </c>
      <c r="AO33" s="64">
        <f t="shared" si="24"/>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-5084.324862833002</v>
      </c>
      <c r="BF33" s="64">
        <f>IF($B33&lt;Analysis!$C$66,0,Analysis!$C$78)</f>
        <v>3.0000000000000001E-3</v>
      </c>
      <c r="BG33" s="1">
        <f>IF($B33&lt;Analysis!$C$66,0,-BH33*AN33)</f>
        <v>-12710.812157082504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5"/>
        <v>-216083.80667040258</v>
      </c>
      <c r="BS33" s="64">
        <f>IF($B33&lt;Analysis!C$66,0,Analysis!C$31)</f>
        <v>0.1275</v>
      </c>
      <c r="BT33" s="1">
        <f>IF($B33&lt;Analysis!$C$66,0,AN33+BR33)</f>
        <v>1478691.1476072646</v>
      </c>
      <c r="BU33" s="1">
        <f>IF($B33-Analysis!$C$66&gt;3,0,IF($AN33&gt;LOOKUP(Analysis!$C$66,$B:$B, AN:AN),$V33*(LOOKUP(Analysis!$C$66,$B:$B, AN:AN)-AN33),0))</f>
        <v>0</v>
      </c>
      <c r="BV33" s="1">
        <f t="shared" si="26"/>
        <v>1478691.1476072646</v>
      </c>
      <c r="BW33" s="42"/>
      <c r="BX33" s="1">
        <f>IF($B33&lt;Analysis!$C$66,$P33+$N33+$X33+$Z33,$P33+$N33+AS33+AV33+BB33+BE33+BG33+MAX(BI33,SUM(BJ33:BN33))+BP33)</f>
        <v>-69755.137019915506</v>
      </c>
      <c r="BY33" s="1">
        <f t="shared" si="27"/>
        <v>131467.92324122589</v>
      </c>
      <c r="BZ33" s="1">
        <f t="shared" si="48"/>
        <v>61712.78622131038</v>
      </c>
      <c r="CA33" s="1">
        <f>IF(BZ33 &lt; 0,
    IF(CA32 + BZ33 &gt; 0,
        CA32 + BZ33, IF(CF32-ABS(CA32 + BZ33)*(1+$V33) &gt;= CA32 + BZ33,
        0, CA32 + BZ33)),
    MIN(CA32 + BZ33, Analysis!$C$7))+IF(CA32&lt;0, CA32*Analysis!$C$9,0)</f>
        <v>-352440.88413702202</v>
      </c>
      <c r="CB33" s="42"/>
      <c r="CC33" s="1">
        <f t="shared" si="49"/>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8"/>
        <v>0</v>
      </c>
      <c r="CH33" s="36"/>
      <c r="CI33" s="1">
        <f>IF(OR($B33&lt;Analysis!$C$100, $B33&gt;=Analysis!$C$130),0,X33)</f>
        <v>-38906.13808080904</v>
      </c>
      <c r="CJ33" s="1">
        <f>IF(OR($B33&lt;Analysis!$C$100, $B33&gt;=Analysis!$C$130),0,Z33)</f>
        <v>-3960</v>
      </c>
      <c r="CK33" s="1">
        <f t="shared" si="50"/>
        <v>1019321.1681525095</v>
      </c>
      <c r="CL33" s="64">
        <f t="shared" si="51"/>
        <v>2.941176470588247E-2</v>
      </c>
      <c r="CM33" s="1">
        <f>IF($B33=Analysis!$C$100,(CK33*(1+Analysis!$C$23+Analysis!$C$24+Analysis!$C$25))-IF($B33=$B$2,(Analysis!$C$6-Analysis!$C$7+Analysis!$C$105), (FU32-Analysis!$C$7+CV33)),0)</f>
        <v>0</v>
      </c>
      <c r="CN33" s="64">
        <f>IF($B33=Analysis!$C$100,Analysis!$C$103,0)</f>
        <v>0</v>
      </c>
      <c r="CO33" s="64">
        <f>IF(OR($B33&lt;Analysis!$C$100, $B33&gt;=Analysis!$C$101),0,IF($B33=Analysis!$C$100,Analysis!$C$102,IF(($B33-Analysis!$C$100)&lt;LOOKUP(Analysis!$C$100,$B:$B,CT:CT),CO32,0)))</f>
        <v>0</v>
      </c>
      <c r="CP33" s="1">
        <f>IF(OR($B33&lt;Analysis!$C$100, $B33&gt;=Analysis!$C$101),0,IF($B33=Analysis!$C$100,-CM33*CN33,IF(CS33&gt;=0,0,CS33-CR33)))</f>
        <v>0</v>
      </c>
      <c r="CQ33" s="1">
        <f>IF(OR($B33&lt;Analysis!$C$100, $B33&gt;=Analysis!$C$101),0,IF($B33=Analysis!$C$100,-CM33-CP33,MIN(0,CQ32-CP33)))</f>
        <v>0</v>
      </c>
      <c r="CR33" s="1">
        <f>IF(OR($B33&lt;Analysis!$C$100, $B33&gt;=Analysis!$C$101),0,IF($B33=Analysis!$C$100,-CO33*CM33,CO32*CQ32))</f>
        <v>0</v>
      </c>
      <c r="CS33" s="1">
        <f>IF(OR($B33&lt;Analysis!$C$100, $B33&gt;=Analysis!$C$101),0,IF($B33=Analysis!$C$100,CP33+CR33,IF(CQ32&lt;0,IF(CQ32&gt;LOOKUP(Analysis!$C$100,$B:$B,CS:CS), CQ32*(1+CO32),CS32),0)))</f>
        <v>0</v>
      </c>
      <c r="CT33" s="65">
        <f>IF($B33=Analysis!$C$100,NPER(CO33,-CS33,-CM33),0)</f>
        <v>0</v>
      </c>
      <c r="CU33" s="1">
        <f>IF(OR($B33&lt;Analysis!$C$100, $B33&gt;=Analysis!$C$101),0,IF($B33=Analysis!$C$100,PMT(CO33,CT33,CM33)*CT33-CS33-CQ33,IF(($B33-Analysis!$C$100+1)&lt;LOOKUP(Analysis!$C$100,$B:$B,CT:CT),IF(CU32-CR33&lt;0, CU32-CR33,0),0)))</f>
        <v>0</v>
      </c>
      <c r="CV33" s="1">
        <f>IF($B33=Analysis!$C$100,Analysis!$C$105,0)</f>
        <v>0</v>
      </c>
      <c r="CW33" s="1">
        <f>IF($B33=Analysis!$C$100,PMT(CO33,CX33,CV33)*CX33,0)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29"/>
        <v>41060.834325165451</v>
      </c>
      <c r="DE33" s="1">
        <f t="shared" si="8"/>
        <v>-3057.9635044575284</v>
      </c>
      <c r="DF33" s="64">
        <f>IF(OR($B33&lt;Analysis!$C$100, $B33&gt;=Analysis!$C$101),0,Analysis!$C$118)</f>
        <v>3.0000000000000001E-3</v>
      </c>
      <c r="DG33" s="1">
        <f t="shared" si="9"/>
        <v>-7644.9087611438208</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-2553.2153115530941</v>
      </c>
      <c r="DR33" s="1">
        <f t="shared" si="30"/>
        <v>-25516.087577154442</v>
      </c>
      <c r="DS33" s="1">
        <f>MIN(0,-(DB33+DR33)*Analysis!$C$28)-CR33*Analysis!$C$28</f>
        <v>-3778.2176552185483</v>
      </c>
      <c r="DT33" s="1">
        <f>-Analysis!$C$116*DD33/12</f>
        <v>-3421.7361937637875</v>
      </c>
      <c r="DU33" s="53"/>
      <c r="DV33" s="1">
        <f t="shared" si="10"/>
        <v>-129963.44893944496</v>
      </c>
      <c r="DW33" s="64">
        <f>IF(OR($B33&lt;Analysis!$C$100, $B33&gt;=Analysis!$C$101),0,IF($B33=Analysis!$C$100,Analysis!$C$31,DW32))</f>
        <v>0.1275</v>
      </c>
      <c r="DX33" s="1">
        <f>IF(OR($B33&lt;Analysis!$C$100, $B33&gt;=Analysis!$C$101),0,CK33+DV33)</f>
        <v>889357.71921306453</v>
      </c>
      <c r="DY33" s="1">
        <f>IF(OR($B33&lt;Analysis!$C$100, $B33&gt;=Analysis!$C$101),0,IF($B33-Analysis!$C$100&gt;3,0,IF(CK33&gt;LOOKUP(Analysis!$C$100,$B:$B, CK:CK),$V33*(LOOKUP(Analysis!$C$100,$B:$B, CK:CK)-CK33),0)))</f>
        <v>0</v>
      </c>
      <c r="DZ33" s="1">
        <f t="shared" si="52"/>
        <v>889357.71921306453</v>
      </c>
      <c r="EA33" s="53"/>
      <c r="EB33" s="1">
        <f t="shared" si="31"/>
        <v>1694774.9542776672</v>
      </c>
      <c r="EC33" s="64">
        <f t="shared" si="53"/>
        <v>2.941176470588247E-2</v>
      </c>
      <c r="ED33" s="1">
        <f>MAX(0,IF($B33=Analysis!$C$130,(EB33*(1+Analysis!$C$23+Analysis!$C$24+Analysis!$C$25))-(IF($B33=$B$2,(Analysis!$C$6-Analysis!$C$7+Analysis!$C$132), (FU32-Analysis!$C$7+EM33)) + IF($B33=Analysis!$C$101,DZ32+CQ32+CU32+CZ32,0)),0))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$P33+$N33+IF($B33&lt;Analysis!$C$130,$CI33+$CJ33,0)+CP33+CR33+CY33+DE33+DG33+MIN(DI33,SUM(DJ33:DN33))+DQ33+DS33+DT33+EG33+EJ33+EP33+ES33+EU33+MIN(EW33,SUM(EX33:FB33))+FD33</f>
        <v>-115282.1795069458</v>
      </c>
      <c r="FM33" s="1">
        <f>$M33+$R33+DD33+IF(AND($B33&lt;&gt;Analysis!$C$130,$B33=Analysis!$C$101),DZ32+CQ32+CU32+CZ32,0)</f>
        <v>172528.75756639134</v>
      </c>
      <c r="FN33" s="1">
        <f t="shared" si="34"/>
        <v>57246.578059445543</v>
      </c>
      <c r="FO33" s="1">
        <f>IF(FN33 &lt; 0,
    IF(FO32 + FN33 &gt; 0,
        FO32 + FN33, IF(FT32-ABS(FO32 + FN33)*(1+$V33) &gt;= FO32 + FN33,
        0, FO32 + FN33)),
    MIN(FO32 + FN33, Analysis!$C$7))+IF(FO32&lt;0, FO32*Analysis!$C$9,0)</f>
        <v>24000</v>
      </c>
      <c r="FP33" s="53"/>
      <c r="FQ33" s="1">
        <f t="shared" si="54"/>
        <v>29776.847887620548</v>
      </c>
      <c r="FR33" s="1">
        <f>IF(OR($B33=Analysis!$C$100, $B33=Analysis!$C$130),0,IF(FN33 &gt;= 0,
    MAX(0, FO32 + FN33 - Analysis!$C$7),
    0))</f>
        <v>57246.578059445543</v>
      </c>
      <c r="FS33" s="1">
        <f>IF(OR($B33=Analysis!$C$100, $B33=Analysis!$C$130),0,MAX(0, FS32 + FR33 - IF(FN33 &lt; 0, MIN(ABS(FN33), FS32 + FR33), 0)))</f>
        <v>775475.67646538466</v>
      </c>
      <c r="FT33" s="1">
        <f>IF(OR($B33=Analysis!$C$100, $B33=Analysis!$C$130),0,IF(FN33 &lt; 0,
    IF(FN33 + FO32 &lt; 0,
        MAX(0, FT32 - (ABS(FN33 + FO32) * (1+$V32))),
        FT32 + FQ33),
    FT32 + FR33 + FQ33))</f>
        <v>1264508.4387827404</v>
      </c>
      <c r="FU33" s="1">
        <f t="shared" si="60"/>
        <v>1135526.0477215378</v>
      </c>
      <c r="FV33" s="36"/>
      <c r="FW33" s="1">
        <f t="shared" si="55"/>
        <v>1019321.1681525095</v>
      </c>
      <c r="FX33" s="64">
        <f t="shared" si="56"/>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36"/>
        <v>41060.834325165451</v>
      </c>
      <c r="GQ33" s="1">
        <f t="shared" si="37"/>
        <v>-3057.9635044575284</v>
      </c>
      <c r="GR33" s="64">
        <f>IF($B33&lt;Analysis!$C$159,0,Analysis!$C$178)</f>
        <v>3.0000000000000001E-3</v>
      </c>
      <c r="GS33" s="1">
        <f t="shared" si="38"/>
        <v>-7644.9087611438208</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-2553.2153115530941</v>
      </c>
      <c r="HD33" s="1">
        <f t="shared" si="39"/>
        <v>-25516.087577154442</v>
      </c>
      <c r="HE33" s="1">
        <f>MIN(0,-(GN33+HD33)*Analysis!$C$28)-GE33*Analysis!$C$28</f>
        <v>-3778.2176552185483</v>
      </c>
      <c r="HF33" s="1">
        <f>-Analysis!$C$176*GP33/12</f>
        <v>-3421.7361937637875</v>
      </c>
      <c r="HG33" s="38"/>
      <c r="HH33" s="1">
        <f>IF($B33&lt;Analysis!$C$159,0,-$HI33*$FW33)</f>
        <v>-129963.44893944496</v>
      </c>
      <c r="HI33" s="64">
        <f>IF($B33&lt;Analysis!$C$159,0,IF($B33=Analysis!$C$159,Analysis!$C$31,HI32))</f>
        <v>0.1275</v>
      </c>
      <c r="HJ33" s="1">
        <f>IF($B33&lt;Analysis!$C$159,0,$FW33+HH33)</f>
        <v>889357.71921306453</v>
      </c>
      <c r="HK33" s="1">
        <f>IF($B33-Analysis!$C$159&gt;10,0,IF($FW33&gt;LOOKUP(Analysis!$C$159,$B:$B, FW:FW),$V33*(LOOKUP(Analysis!$C$159,$B:$B, FW:FW)-FW33),0))</f>
        <v>0</v>
      </c>
      <c r="HL33" s="1">
        <f t="shared" si="40"/>
        <v>889357.71921306453</v>
      </c>
      <c r="HM33" s="38"/>
      <c r="HN33" s="1">
        <f t="shared" si="41"/>
        <v>-115282.1795069458</v>
      </c>
      <c r="HO33" s="1">
        <f t="shared" si="12"/>
        <v>172528.75756639134</v>
      </c>
      <c r="HP33" s="1">
        <f t="shared" si="42"/>
        <v>57246.578059445543</v>
      </c>
      <c r="HQ33" s="1">
        <f>IF(HP33 &lt; 0,
    IF(HQ32 + HP33 &gt; 0,
        HQ32 + HP33, IF(HV32-ABS(HQ32 + HP33)*(1+$V33) &gt;= HQ32 + HP33,
        0, HQ32 + HP33)),
    MIN(HQ32 + HP33, Analysis!$C$7))+IF(HQ32&lt;0, HQ32*Analysis!$C$9,0)</f>
        <v>24000</v>
      </c>
      <c r="HR33" s="38"/>
      <c r="HS33" s="1">
        <f t="shared" si="57"/>
        <v>29776.847887620548</v>
      </c>
      <c r="HT33" s="1">
        <f>IF($B33=Analysis!$C$159,0,IF(HP33 &gt;= 0,
    MAX(0, HQ32 + HP33 - Analysis!$C$7),
    0))</f>
        <v>57246.578059445543</v>
      </c>
      <c r="HU33" s="1">
        <f>IF($B33=Analysis!$C$159,0,MAX(0, HU32 + HT33 - IF(HP33 &lt; 0, MIN(ABS(HP33), HU32 + HT33), 0)))</f>
        <v>775475.67646538466</v>
      </c>
      <c r="HV33" s="1">
        <f>IF($B33=Analysis!$C$159,0,IF(HP33 &lt; 0,
    IF(HP33 + HQ32 &lt; 0,
        MAX(0, HV32 - (ABS(HP33 + HQ32) * (1+$V32))),
        HV32 + HS33),
    HV32 + HT33 + HS33))</f>
        <v>1264508.4387827404</v>
      </c>
      <c r="HW33" s="1">
        <f t="shared" si="61"/>
        <v>1135526.0477215378</v>
      </c>
      <c r="HX33" s="36"/>
    </row>
    <row r="34" spans="1:232" x14ac:dyDescent="0.35">
      <c r="A34">
        <f t="shared" si="0"/>
        <v>67</v>
      </c>
      <c r="B34">
        <v>2057</v>
      </c>
      <c r="C34" s="1">
        <f>IF($B34&lt;Analysis!C$66,0,$AN34)+$AT34+$AW34+$BC34+$CF34+$CA34</f>
        <v>1425174.5214326927</v>
      </c>
      <c r="D34" s="1">
        <f>IF($B34&lt;Analysis!C$66, 0, BV34)+AT34+AW34+BC34+CG34+CA34</f>
        <v>1202735.3086837488</v>
      </c>
      <c r="E34" s="1">
        <f t="shared" si="13"/>
        <v>2078497.2966448728</v>
      </c>
      <c r="F34" s="1">
        <f t="shared" si="14"/>
        <v>1808577.0477853122</v>
      </c>
      <c r="G34" s="1">
        <f>IF(AND($B34&gt;=Analysis!$C$100, $B34&lt;Analysis!$C$101),$CK34,0)+IF($B34&gt;=Analysis!$C$130,EB34,0)+CQ34+CU34+CZ34+EH34+EK34+EQ34+$FO34+$FT34</f>
        <v>2424061.2155240746</v>
      </c>
      <c r="H34" s="1">
        <f t="shared" ref="H34:H52" si="64">$DZ34+FJ34+CQ34+CU34+CZ34+EH34+EK34+EQ34+$FO34+$FU34</f>
        <v>2153430.5831267908</v>
      </c>
      <c r="I34" s="1">
        <f>IF($B34&lt;Analysis!$C$159,0,$FW34)+$GC34+$GF34+$GL34+$HQ34+$HV34</f>
        <v>2424061.2155240746</v>
      </c>
      <c r="J34" s="1">
        <f t="shared" ref="J34:J52" si="65">$HL34+$GC34+$GF34+$GL34+$HQ34+$HW34</f>
        <v>2153430.5831267908</v>
      </c>
      <c r="K34" s="36"/>
      <c r="L34" s="1">
        <f t="shared" si="15"/>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4"/>
        <v>0</v>
      </c>
      <c r="R34" s="1">
        <f>IF(AND(AND(B34=Analysis!C$35,Analysis!C$34&lt;&gt;0),AND(B34=Analysis!C$37,Analysis!C$36&lt;&gt;0)),Analysis!C$34+Analysis!C$36,IF(AND(B34=Analysis!C$35,Analysis!C$34&lt;&gt;0),Analysis!C$34,IF(AND(B34=Analysis!C$37,Analysis!C$36&lt;&gt;0),Analysis!C$36,0)))</f>
        <v>0</v>
      </c>
      <c r="S34" s="64">
        <f t="shared" si="6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63"/>
        <v>0.26374999999999998</v>
      </c>
      <c r="W34" s="36"/>
      <c r="X34" s="1">
        <f t="shared" si="45"/>
        <v>-40050.436259656366</v>
      </c>
      <c r="Y34" s="64">
        <f t="shared" si="18"/>
        <v>2.941176470588247E-2</v>
      </c>
      <c r="Z34" s="1">
        <f t="shared" si="19"/>
        <v>-3960</v>
      </c>
      <c r="AA34" s="64">
        <f t="shared" si="20"/>
        <v>0</v>
      </c>
      <c r="AB34" s="40"/>
      <c r="AC34" s="1">
        <f t="shared" ref="AC34:AC52" si="66">X34+$Z34+$P34+$N34</f>
        <v>-92010.436259656359</v>
      </c>
      <c r="AD34" s="1">
        <f t="shared" ref="AD34:AD52" si="67">$M34+$R34</f>
        <v>131467.92324122589</v>
      </c>
      <c r="AE34" s="1">
        <f t="shared" si="21"/>
        <v>39457.486981569527</v>
      </c>
      <c r="AF34" s="1">
        <f>IF(AE34 &lt; 0,
    IF(AF33 + AE34 &gt; 0,
        AF33 + AE34, IF(AK33-ABS(AF33 + AE34)*(1+$V34) &gt;= AF33 + AE34,
        0, AF33 + AE34)),
    MIN(AF33 + AE34, Analysis!$C$7))+IF(AF33&lt;0, AF33*Analysis!$C$9,0)</f>
        <v>24000</v>
      </c>
      <c r="AG34" s="40"/>
      <c r="AH34" s="1">
        <f t="shared" si="22"/>
        <v>46408.955924553047</v>
      </c>
      <c r="AI34" s="1">
        <f>IF(AE34 &gt;= 0,
    MAX(0, AF33 + AE34 - Analysis!$C$7),
    0)</f>
        <v>39457.486981569527</v>
      </c>
      <c r="AJ34" s="1">
        <f t="shared" si="46"/>
        <v>1031102.9881726052</v>
      </c>
      <c r="AK34" s="1">
        <f t="shared" si="23"/>
        <v>2054497.2966448728</v>
      </c>
      <c r="AL34" s="1">
        <f t="shared" ref="AL34:AL52" si="68">IF(AK34-AJ34&gt;0, AK34-$V34*(AK34-AJ34),AK34)</f>
        <v>1784577.0477853122</v>
      </c>
      <c r="AM34" s="36"/>
      <c r="AN34" s="1">
        <f t="shared" si="47"/>
        <v>1744621.2764623046</v>
      </c>
      <c r="AO34" s="64">
        <f t="shared" si="24"/>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-5233.8638293869144</v>
      </c>
      <c r="BF34" s="64">
        <f>IF($B34&lt;Analysis!$C$66,0,Analysis!$C$78)</f>
        <v>3.0000000000000001E-3</v>
      </c>
      <c r="BG34" s="1">
        <f>IF($B34&lt;Analysis!$C$66,0,-BH34*AN34)</f>
        <v>-13084.659573467285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5"/>
        <v>-222439.21274894386</v>
      </c>
      <c r="BS34" s="64">
        <f>IF($B34&lt;Analysis!C$66,0,Analysis!C$31)</f>
        <v>0.1275</v>
      </c>
      <c r="BT34" s="1">
        <f>IF($B34&lt;Analysis!$C$66,0,AN34+BR34)</f>
        <v>1522182.0637133608</v>
      </c>
      <c r="BU34" s="1">
        <f>IF($B34-Analysis!$C$66&gt;3,0,IF($AN34&gt;LOOKUP(Analysis!$C$66,$B:$B, AN:AN),$V34*(LOOKUP(Analysis!$C$66,$B:$B, AN:AN)-AN34),0))</f>
        <v>0</v>
      </c>
      <c r="BV34" s="1">
        <f t="shared" si="26"/>
        <v>1522182.0637133608</v>
      </c>
      <c r="BW34" s="42"/>
      <c r="BX34" s="1">
        <f>IF($B34&lt;Analysis!$C$66,$P34+$N34+$X34+$Z34,$P34+$N34+AS34+AV34+BB34+BE34+BG34+MAX(BI34,SUM(BJ34:BN34))+BP34)</f>
        <v>-70278.523402854204</v>
      </c>
      <c r="BY34" s="1">
        <f t="shared" ref="BY34:BY52" si="69">$M34+$R34</f>
        <v>131467.92324122589</v>
      </c>
      <c r="BZ34" s="1">
        <f t="shared" si="48"/>
        <v>61189.399838371683</v>
      </c>
      <c r="CA34" s="1">
        <f>IF(BZ34 &lt; 0,
    IF(CA33 + BZ34 &gt; 0,
        CA33 + BZ34, IF(CF33-ABS(CA33 + BZ34)*(1+$V34) &gt;= CA33 + BZ34,
        0, CA33 + BZ34)),
    MIN(CA33 + BZ34, Analysis!$C$7))+IF(CA33&lt;0, CA33*Analysis!$C$9,0)</f>
        <v>-319446.7550296121</v>
      </c>
      <c r="CB34" s="42"/>
      <c r="CC34" s="1">
        <f t="shared" si="49"/>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8"/>
        <v>0</v>
      </c>
      <c r="CH34" s="36"/>
      <c r="CI34" s="1">
        <f>IF(OR($B34&lt;Analysis!$C$100, $B34&gt;=Analysis!$C$130),0,X34)</f>
        <v>-40050.436259656366</v>
      </c>
      <c r="CJ34" s="1">
        <f>IF(OR($B34&lt;Analysis!$C$100, $B34&gt;=Analysis!$C$130),0,Z34)</f>
        <v>-3960</v>
      </c>
      <c r="CK34" s="1">
        <f t="shared" si="50"/>
        <v>1049301.2025099364</v>
      </c>
      <c r="CL34" s="64">
        <f t="shared" si="51"/>
        <v>2.941176470588247E-2</v>
      </c>
      <c r="CM34" s="1">
        <f>IF($B34=Analysis!$C$100,(CK34*(1+Analysis!$C$23+Analysis!$C$24+Analysis!$C$25))-IF($B34=$B$2,(Analysis!$C$6-Analysis!$C$7+Analysis!$C$105), (FU33-Analysis!$C$7+CV34)),0)</f>
        <v>0</v>
      </c>
      <c r="CN34" s="64">
        <f>IF($B34=Analysis!$C$100,Analysis!$C$103,0)</f>
        <v>0</v>
      </c>
      <c r="CO34" s="64">
        <f>IF(OR($B34&lt;Analysis!$C$100, $B34&gt;=Analysis!$C$101),0,IF($B34=Analysis!$C$100,Analysis!$C$102,IF(($B34-Analysis!$C$100)&lt;LOOKUP(Analysis!$C$100,$B:$B,CT:CT),CO33,0)))</f>
        <v>0</v>
      </c>
      <c r="CP34" s="1">
        <f>IF(OR($B34&lt;Analysis!$C$100, $B34&gt;=Analysis!$C$101),0,IF($B34=Analysis!$C$100,-CM34*CN34,IF(CS34&gt;=0,0,CS34-CR34)))</f>
        <v>0</v>
      </c>
      <c r="CQ34" s="1">
        <f>IF(OR($B34&lt;Analysis!$C$100, $B34&gt;=Analysis!$C$101),0,IF($B34=Analysis!$C$100,-CM34-CP34,MIN(0,CQ33-CP34)))</f>
        <v>0</v>
      </c>
      <c r="CR34" s="1">
        <f>IF(OR($B34&lt;Analysis!$C$100, $B34&gt;=Analysis!$C$101),0,IF($B34=Analysis!$C$100,-CO34*CM34,CO33*CQ33))</f>
        <v>0</v>
      </c>
      <c r="CS34" s="1">
        <f>IF(OR($B34&lt;Analysis!$C$100, $B34&gt;=Analysis!$C$101),0,IF($B34=Analysis!$C$100,CP34+CR34,IF(CQ33&lt;0,IF(CQ33&gt;LOOKUP(Analysis!$C$100,$B:$B,CS:CS), CQ33*(1+CO33),CS33),0)))</f>
        <v>0</v>
      </c>
      <c r="CT34" s="65">
        <f>IF($B34=Analysis!$C$100,NPER(CO34,-CS34,-CM34),0)</f>
        <v>0</v>
      </c>
      <c r="CU34" s="1">
        <f>IF(OR($B34&lt;Analysis!$C$100, $B34&gt;=Analysis!$C$101),0,IF($B34=Analysis!$C$100,PMT(CO34,CT34,CM34)*CT34-CS34-CQ34,IF(($B34-Analysis!$C$100+1)&lt;LOOKUP(Analysis!$C$100,$B:$B,CT:CT),IF(CU33-CR34&lt;0, CU33-CR34,0),0)))</f>
        <v>0</v>
      </c>
      <c r="CV34" s="1">
        <f>IF($B34=Analysis!$C$100,Analysis!$C$105,0)</f>
        <v>0</v>
      </c>
      <c r="CW34" s="1">
        <f>IF($B34=Analysis!$C$100,PMT(CO34,CX34,CV34)*CX34,0)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29"/>
        <v>42152.035334729146</v>
      </c>
      <c r="DE34" s="1">
        <f t="shared" ref="DE34:DE52" si="70">-DF34*CK34</f>
        <v>-3147.9036075298095</v>
      </c>
      <c r="DF34" s="64">
        <f>IF(OR($B34&lt;Analysis!$C$100, $B34&gt;=Analysis!$C$101),0,Analysis!$C$118)</f>
        <v>3.0000000000000001E-3</v>
      </c>
      <c r="DG34" s="1">
        <f t="shared" ref="DG34:DG52" si="71">-DH34*CK34</f>
        <v>-7869.7590188245231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-2628.3098795399505</v>
      </c>
      <c r="DR34" s="1">
        <f t="shared" si="30"/>
        <v>-25905.972505894282</v>
      </c>
      <c r="DS34" s="1">
        <f>MIN(0,-(DB34+DR34)*Analysis!$C$28)-CR34*Analysis!$C$28</f>
        <v>-4049.1183509602702</v>
      </c>
      <c r="DT34" s="1">
        <f>-Analysis!$C$116*DD34/12</f>
        <v>-3512.669611227429</v>
      </c>
      <c r="DU34" s="53"/>
      <c r="DV34" s="1">
        <f t="shared" ref="DV34:DV52" si="72">-DW34*CK34</f>
        <v>-133785.90332001689</v>
      </c>
      <c r="DW34" s="64">
        <f>IF(OR($B34&lt;Analysis!$C$100, $B34&gt;=Analysis!$C$101),0,IF($B34=Analysis!$C$100,Analysis!$C$31,DW33))</f>
        <v>0.1275</v>
      </c>
      <c r="DX34" s="1">
        <f>IF(OR($B34&lt;Analysis!$C$100, $B34&gt;=Analysis!$C$101),0,CK34+DV34)</f>
        <v>915515.29918991949</v>
      </c>
      <c r="DY34" s="1">
        <f>IF(OR($B34&lt;Analysis!$C$100, $B34&gt;=Analysis!$C$101),0,IF($B34-Analysis!$C$100&gt;3,0,IF(CK34&gt;LOOKUP(Analysis!$C$100,$B:$B, CK:CK),$V34*(LOOKUP(Analysis!$C$100,$B:$B, CK:CK)-CK34),0)))</f>
        <v>0</v>
      </c>
      <c r="DZ34" s="1">
        <f t="shared" si="52"/>
        <v>915515.29918991949</v>
      </c>
      <c r="EA34" s="53"/>
      <c r="EB34" s="1">
        <f t="shared" si="31"/>
        <v>1744621.2764623046</v>
      </c>
      <c r="EC34" s="64">
        <f t="shared" si="53"/>
        <v>2.941176470588247E-2</v>
      </c>
      <c r="ED34" s="1">
        <f>MAX(0,IF($B34=Analysis!$C$130,(EB34*(1+Analysis!$C$23+Analysis!$C$24+Analysis!$C$25))-(IF($B34=$B$2,(Analysis!$C$6-Analysis!$C$7+Analysis!$C$132), (FU33-Analysis!$C$7+EM34)) + IF($B34=Analysis!$C$101,DZ33+CQ33+CU33+CZ33,0)),0))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$P34+$N34+IF($B34&lt;Analysis!$C$130,$CI34+$CJ34,0)+CP34+CR34+CY34+DE34+DG34+MIN(DI34,SUM(DJ34:DN34))+DQ34+DS34+DT34+EG34+EJ34+EP34+ES34+EU34+MIN(EW34,SUM(EX34:FB34))+FD34</f>
        <v>-117178.19672773834</v>
      </c>
      <c r="FM34" s="1">
        <f>$M34+$R34+DD34+IF(AND($B34&lt;&gt;Analysis!$C$130,$B34=Analysis!$C$101),DZ33+CQ33+CU33+CZ33,0)</f>
        <v>173619.95857595504</v>
      </c>
      <c r="FN34" s="1">
        <f t="shared" si="34"/>
        <v>56441.761848216702</v>
      </c>
      <c r="FO34" s="1">
        <f>IF(FN34 &lt; 0,
    IF(FO33 + FN34 &gt; 0,
        FO33 + FN34, IF(FT33-ABS(FO33 + FN34)*(1+$V34) &gt;= FO33 + FN34,
        0, FO33 + FN34)),
    MIN(FO33 + FN34, Analysis!$C$7))+IF(FO33&lt;0, FO33*Analysis!$C$9,0)</f>
        <v>24000</v>
      </c>
      <c r="FP34" s="53"/>
      <c r="FQ34" s="1">
        <f t="shared" si="54"/>
        <v>29809.812383181001</v>
      </c>
      <c r="FR34" s="1">
        <f>IF(OR($B34=Analysis!$C$100, $B34=Analysis!$C$130),0,IF(FN34 &gt;= 0,
    MAX(0, FO33 + FN34 - Analysis!$C$7),
    0))</f>
        <v>56441.761848216702</v>
      </c>
      <c r="FS34" s="1">
        <f>IF(OR($B34=Analysis!$C$100, $B34=Analysis!$C$130),0,MAX(0, FS33 + FR34 - IF(FN34 &lt; 0, MIN(ABS(FN34), FS33 + FR34), 0)))</f>
        <v>831917.43831360131</v>
      </c>
      <c r="FT34" s="1">
        <f>IF(OR($B34=Analysis!$C$100, $B34=Analysis!$C$130),0,IF(FN34 &lt; 0,
    IF(FN34 + FO33 &lt; 0,
        MAX(0, FT33 - (ABS(FN34 + FO33) * (1+$V33))),
        FT33 + FQ34),
    FT33 + FR34 + FQ34))</f>
        <v>1350760.013014138</v>
      </c>
      <c r="FU34" s="1">
        <f t="shared" si="60"/>
        <v>1213915.2839368714</v>
      </c>
      <c r="FV34" s="36"/>
      <c r="FW34" s="1">
        <f t="shared" si="55"/>
        <v>1049301.2025099364</v>
      </c>
      <c r="FX34" s="64">
        <f t="shared" si="56"/>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36"/>
        <v>42152.035334729146</v>
      </c>
      <c r="GQ34" s="1">
        <f t="shared" si="37"/>
        <v>-3147.9036075298095</v>
      </c>
      <c r="GR34" s="64">
        <f>IF($B34&lt;Analysis!$C$159,0,Analysis!$C$178)</f>
        <v>3.0000000000000001E-3</v>
      </c>
      <c r="GS34" s="1">
        <f t="shared" si="38"/>
        <v>-7869.7590188245231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-2628.3098795399505</v>
      </c>
      <c r="HD34" s="1">
        <f t="shared" si="39"/>
        <v>-25905.972505894282</v>
      </c>
      <c r="HE34" s="1">
        <f>MIN(0,-(GN34+HD34)*Analysis!$C$28)-GE34*Analysis!$C$28</f>
        <v>-4049.1183509602702</v>
      </c>
      <c r="HF34" s="1">
        <f>-Analysis!$C$176*GP34/12</f>
        <v>-3512.669611227429</v>
      </c>
      <c r="HG34" s="38"/>
      <c r="HH34" s="1">
        <f>IF($B34&lt;Analysis!$C$159,0,-$HI34*$FW34)</f>
        <v>-133785.90332001689</v>
      </c>
      <c r="HI34" s="64">
        <f>IF($B34&lt;Analysis!$C$159,0,IF($B34=Analysis!$C$159,Analysis!$C$31,HI33))</f>
        <v>0.1275</v>
      </c>
      <c r="HJ34" s="1">
        <f>IF($B34&lt;Analysis!$C$159,0,$FW34+HH34)</f>
        <v>915515.29918991949</v>
      </c>
      <c r="HK34" s="1">
        <f>IF($B34-Analysis!$C$159&gt;10,0,IF($FW34&gt;LOOKUP(Analysis!$C$159,$B:$B, FW:FW),$V34*(LOOKUP(Analysis!$C$159,$B:$B, FW:FW)-FW34),0))</f>
        <v>0</v>
      </c>
      <c r="HL34" s="1">
        <f t="shared" si="40"/>
        <v>915515.29918991949</v>
      </c>
      <c r="HM34" s="38"/>
      <c r="HN34" s="1">
        <f t="shared" si="41"/>
        <v>-117178.19672773834</v>
      </c>
      <c r="HO34" s="1">
        <f t="shared" ref="HO34:HO52" si="73">$M34+$R34+$GP34</f>
        <v>173619.95857595504</v>
      </c>
      <c r="HP34" s="1">
        <f t="shared" si="42"/>
        <v>56441.761848216702</v>
      </c>
      <c r="HQ34" s="1">
        <f>IF(HP34 &lt; 0,
    IF(HQ33 + HP34 &gt; 0,
        HQ33 + HP34, IF(HV33-ABS(HQ33 + HP34)*(1+$V34) &gt;= HQ33 + HP34,
        0, HQ33 + HP34)),
    MIN(HQ33 + HP34, Analysis!$C$7))+IF(HQ33&lt;0, HQ33*Analysis!$C$9,0)</f>
        <v>24000</v>
      </c>
      <c r="HR34" s="38"/>
      <c r="HS34" s="1">
        <f t="shared" si="57"/>
        <v>29809.812383181001</v>
      </c>
      <c r="HT34" s="1">
        <f>IF($B34=Analysis!$C$159,0,IF(HP34 &gt;= 0,
    MAX(0, HQ33 + HP34 - Analysis!$C$7),
    0))</f>
        <v>56441.761848216702</v>
      </c>
      <c r="HU34" s="1">
        <f>IF($B34=Analysis!$C$159,0,MAX(0, HU33 + HT34 - IF(HP34 &lt; 0, MIN(ABS(HP34), HU33 + HT34), 0)))</f>
        <v>831917.43831360131</v>
      </c>
      <c r="HV34" s="1">
        <f>IF($B34=Analysis!$C$159,0,IF(HP34 &lt; 0,
    IF(HP34 + HQ33 &lt; 0,
        MAX(0, HV33 - (ABS(HP34 + HQ33) * (1+$V33))),
        HV33 + HS34),
    HV33 + HT34 + HS34))</f>
        <v>1350760.013014138</v>
      </c>
      <c r="HW34" s="1">
        <f t="shared" si="61"/>
        <v>1213915.2839368714</v>
      </c>
      <c r="HX34" s="36"/>
    </row>
    <row r="35" spans="1:232" x14ac:dyDescent="0.35">
      <c r="A35">
        <f t="shared" si="0"/>
        <v>68</v>
      </c>
      <c r="B35">
        <v>2058</v>
      </c>
      <c r="C35" s="1">
        <f>IF($B35&lt;Analysis!C$66,0,$AN35)+$AT35+$AW35+$BC35+$CF35+$CA35</f>
        <v>1511581.791252797</v>
      </c>
      <c r="D35" s="1">
        <f>IF($B35&lt;Analysis!C$66, 0, BV35)+AT35+AW35+BC35+CG35+CA35</f>
        <v>1282600.2487171195</v>
      </c>
      <c r="E35" s="1">
        <f t="shared" si="13"/>
        <v>2161688.0254255747</v>
      </c>
      <c r="F35" s="1">
        <f t="shared" si="14"/>
        <v>1879922.4486719787</v>
      </c>
      <c r="G35" s="1">
        <f>IF(AND($B35&gt;=Analysis!$C$100, $B35&lt;Analysis!$C$101),$CK35,0)+IF($B35&gt;=Analysis!$C$130,EB35,0)+CQ35+CU35+CZ35+EH35+EK35+EQ35+$FO35+$FT35</f>
        <v>2540063.8283815077</v>
      </c>
      <c r="H35" s="1">
        <f t="shared" si="64"/>
        <v>2257710.4282714864</v>
      </c>
      <c r="I35" s="1">
        <f>IF($B35&lt;Analysis!$C$159,0,$FW35)+$GC35+$GF35+$GL35+$HQ35+$HV35</f>
        <v>2540063.8283815077</v>
      </c>
      <c r="J35" s="1">
        <f t="shared" si="65"/>
        <v>2257710.4282714864</v>
      </c>
      <c r="K35" s="36"/>
      <c r="L35" s="1">
        <f t="shared" ref="L35:L52" si="74">L34 * (1 + T35)</f>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4"/>
        <v>0</v>
      </c>
      <c r="R35" s="1">
        <f>IF(AND(AND(B35=Analysis!C$35,Analysis!C$34&lt;&gt;0),AND(B35=Analysis!C$37,Analysis!C$36&lt;&gt;0)),Analysis!C$34+Analysis!C$36,IF(AND(B35=Analysis!C$35,Analysis!C$34&lt;&gt;0),Analysis!C$34,IF(AND(B35=Analysis!C$37,Analysis!C$36&lt;&gt;0),Analysis!C$36,0)))</f>
        <v>0</v>
      </c>
      <c r="S35" s="64">
        <f t="shared" si="6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63"/>
        <v>0.26374999999999998</v>
      </c>
      <c r="W35" s="36"/>
      <c r="X35" s="1">
        <f t="shared" ref="X35:X52" si="75">X34+X34*$Y34</f>
        <v>-41228.390267293325</v>
      </c>
      <c r="Y35" s="64">
        <f t="shared" ref="Y35:Y52" si="76">Y$2</f>
        <v>2.941176470588247E-2</v>
      </c>
      <c r="Z35" s="1">
        <f t="shared" si="19"/>
        <v>-3960</v>
      </c>
      <c r="AA35" s="64">
        <f t="shared" ref="AA35:AA52" si="77">AA$2</f>
        <v>0</v>
      </c>
      <c r="AB35" s="40"/>
      <c r="AC35" s="1">
        <f t="shared" si="66"/>
        <v>-93188.390267293318</v>
      </c>
      <c r="AD35" s="1">
        <f t="shared" si="67"/>
        <v>131467.92324122589</v>
      </c>
      <c r="AE35" s="1">
        <f t="shared" si="21"/>
        <v>38279.532973932568</v>
      </c>
      <c r="AF35" s="1">
        <f>IF(AE35 &lt; 0,
    IF(AF34 + AE35 &gt; 0,
        AF34 + AE35, IF(AK34-ABS(AF34 + AE35)*(1+$V35) &gt;= AF34 + AE35,
        0, AF34 + AE35)),
    MIN(AF34 + AE35, Analysis!$C$7))+IF(AF34&lt;0, AF34*Analysis!$C$9,0)</f>
        <v>24000</v>
      </c>
      <c r="AG35" s="40"/>
      <c r="AH35" s="1">
        <f t="shared" ref="AH35:AH52" si="78">IF(AK34&gt;0,AK34*$U35,0)</f>
        <v>44911.195806769494</v>
      </c>
      <c r="AI35" s="1">
        <f>IF(AE35 &gt;= 0,
    MAX(0, AF34 + AE35 - Analysis!$C$7),
    0)</f>
        <v>38279.532973932568</v>
      </c>
      <c r="AJ35" s="1">
        <f t="shared" si="46"/>
        <v>1069382.5211465377</v>
      </c>
      <c r="AK35" s="1">
        <f t="shared" ref="AK35:AK52" si="79">IF(AE35 &lt; 0,
    IF(AE35 + AF34 &lt; 0,
        MAX(0, AK34 - (ABS(AE35 + AF34) * (1+$V34))),
        AK34 + AH35),
    AK34 + AI35 + AH35)</f>
        <v>2137688.0254255747</v>
      </c>
      <c r="AL35" s="1">
        <f t="shared" si="68"/>
        <v>1855922.4486719787</v>
      </c>
      <c r="AM35" s="36"/>
      <c r="AN35" s="1">
        <f t="shared" si="47"/>
        <v>1795933.6669464903</v>
      </c>
      <c r="AO35" s="64">
        <f t="shared" ref="AO35:AO52" si="80">AO$2</f>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-5387.8010008394713</v>
      </c>
      <c r="BF35" s="64">
        <f>IF($B35&lt;Analysis!$C$66,0,Analysis!$C$78)</f>
        <v>3.0000000000000001E-3</v>
      </c>
      <c r="BG35" s="1">
        <f>IF($B35&lt;Analysis!$C$66,0,-BH35*AN35)</f>
        <v>-13469.502502098676</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5"/>
        <v>-228981.54253567752</v>
      </c>
      <c r="BS35" s="64">
        <f>IF($B35&lt;Analysis!C$66,0,Analysis!C$31)</f>
        <v>0.1275</v>
      </c>
      <c r="BT35" s="1">
        <f>IF($B35&lt;Analysis!$C$66,0,AN35+BR35)</f>
        <v>1566952.1244108127</v>
      </c>
      <c r="BU35" s="1">
        <f>IF($B35-Analysis!$C$66&gt;3,0,IF($AN35&gt;LOOKUP(Analysis!$C$66,$B:$B, AN:AN),$V35*(LOOKUP(Analysis!$C$66,$B:$B, AN:AN)-AN35),0))</f>
        <v>0</v>
      </c>
      <c r="BV35" s="1">
        <f t="shared" si="26"/>
        <v>1566952.1244108127</v>
      </c>
      <c r="BW35" s="42"/>
      <c r="BX35" s="1">
        <f>IF($B35&lt;Analysis!$C$66,$P35+$N35+$X35+$Z35,$P35+$N35+AS35+AV35+BB35+BE35+BG35+MAX(BI35,SUM(BJ35:BN35))+BP35)</f>
        <v>-70817.303502938143</v>
      </c>
      <c r="BY35" s="1">
        <f t="shared" si="69"/>
        <v>131467.92324122589</v>
      </c>
      <c r="BZ35" s="1">
        <f t="shared" si="48"/>
        <v>60650.619738287744</v>
      </c>
      <c r="CA35" s="1">
        <f>IF(BZ35 &lt; 0,
    IF(CA34 + BZ35 &gt; 0,
        CA34 + BZ35, IF(CF34-ABS(CA34 + BZ35)*(1+$V35) &gt;= CA34 + BZ35,
        0, CA34 + BZ35)),
    MIN(CA34 + BZ35, Analysis!$C$7))+IF(CA34&lt;0, CA34*Analysis!$C$9,0)</f>
        <v>-284351.87569369329</v>
      </c>
      <c r="CB35" s="42"/>
      <c r="CC35" s="1">
        <f t="shared" si="49"/>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8"/>
        <v>0</v>
      </c>
      <c r="CH35" s="36"/>
      <c r="CI35" s="1">
        <f>IF(OR($B35&lt;Analysis!$C$100, $B35&gt;=Analysis!$C$130),0,X35)</f>
        <v>-41228.390267293325</v>
      </c>
      <c r="CJ35" s="1">
        <f>IF(OR($B35&lt;Analysis!$C$100, $B35&gt;=Analysis!$C$130),0,Z35)</f>
        <v>-3960</v>
      </c>
      <c r="CK35" s="1">
        <f t="shared" ref="CK35:CK52" si="81">CK34*(1+$CL34)</f>
        <v>1080163.0025837582</v>
      </c>
      <c r="CL35" s="64">
        <f t="shared" si="51"/>
        <v>2.941176470588247E-2</v>
      </c>
      <c r="CM35" s="1">
        <f>IF($B35=Analysis!$C$100,(CK35*(1+Analysis!$C$23+Analysis!$C$24+Analysis!$C$25))-IF($B35=$B$2,(Analysis!$C$6-Analysis!$C$7+Analysis!$C$105), (FU34-Analysis!$C$7+CV35)),0)</f>
        <v>0</v>
      </c>
      <c r="CN35" s="64">
        <f>IF($B35=Analysis!$C$100,Analysis!$C$103,0)</f>
        <v>0</v>
      </c>
      <c r="CO35" s="64">
        <f>IF(OR($B35&lt;Analysis!$C$100, $B35&gt;=Analysis!$C$101),0,IF($B35=Analysis!$C$100,Analysis!$C$102,IF(($B35-Analysis!$C$100)&lt;LOOKUP(Analysis!$C$100,$B:$B,CT:CT),CO34,0)))</f>
        <v>0</v>
      </c>
      <c r="CP35" s="1">
        <f>IF(OR($B35&lt;Analysis!$C$100, $B35&gt;=Analysis!$C$101),0,IF($B35=Analysis!$C$100,-CM35*CN35,IF(CS35&gt;=0,0,CS35-CR35)))</f>
        <v>0</v>
      </c>
      <c r="CQ35" s="1">
        <f>IF(OR($B35&lt;Analysis!$C$100, $B35&gt;=Analysis!$C$101),0,IF($B35=Analysis!$C$100,-CM35-CP35,MIN(0,CQ34-CP35)))</f>
        <v>0</v>
      </c>
      <c r="CR35" s="1">
        <f>IF(OR($B35&lt;Analysis!$C$100, $B35&gt;=Analysis!$C$101),0,IF($B35=Analysis!$C$100,-CO35*CM35,CO34*CQ34))</f>
        <v>0</v>
      </c>
      <c r="CS35" s="1">
        <f>IF(OR($B35&lt;Analysis!$C$100, $B35&gt;=Analysis!$C$101),0,IF($B35=Analysis!$C$100,CP35+CR35,IF(CQ34&lt;0,IF(CQ34&gt;LOOKUP(Analysis!$C$100,$B:$B,CS:CS), CQ34*(1+CO34),CS34),0)))</f>
        <v>0</v>
      </c>
      <c r="CT35" s="65">
        <f>IF($B35=Analysis!$C$100,NPER(CO35,-CS35,-CM35),0)</f>
        <v>0</v>
      </c>
      <c r="CU35" s="1">
        <f>IF(OR($B35&lt;Analysis!$C$100, $B35&gt;=Analysis!$C$101),0,IF($B35=Analysis!$C$100,PMT(CO35,CT35,CM35)*CT35-CS35-CQ35,IF(($B35-Analysis!$C$100+1)&lt;LOOKUP(Analysis!$C$100,$B:$B,CT:CT),IF(CU34-CR35&lt;0, CU34-CR35,0),0)))</f>
        <v>0</v>
      </c>
      <c r="CV35" s="1">
        <f>IF($B35=Analysis!$C$100,Analysis!$C$105,0)</f>
        <v>0</v>
      </c>
      <c r="CW35" s="1">
        <f>IF($B35=Analysis!$C$100,PMT(CO35,CX35,CV35)*CX35,0)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29"/>
        <v>43275.330491632951</v>
      </c>
      <c r="DE35" s="1">
        <f t="shared" si="70"/>
        <v>-3240.4890077512746</v>
      </c>
      <c r="DF35" s="64">
        <f>IF(OR($B35&lt;Analysis!$C$100, $B35&gt;=Analysis!$C$101),0,Analysis!$C$118)</f>
        <v>3.0000000000000001E-3</v>
      </c>
      <c r="DG35" s="1">
        <f t="shared" si="71"/>
        <v>-8101.222519378186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-2705.6131112911257</v>
      </c>
      <c r="DR35" s="1">
        <f t="shared" si="30"/>
        <v>-26307.324638420585</v>
      </c>
      <c r="DS35" s="1">
        <f>MIN(0,-(DB35+DR35)*Analysis!$C$28)-CR35*Analysis!$C$28</f>
        <v>-4327.9867142238081</v>
      </c>
      <c r="DT35" s="1">
        <f>-Analysis!$C$116*DD35/12</f>
        <v>-3606.2775409694127</v>
      </c>
      <c r="DU35" s="53"/>
      <c r="DV35" s="1">
        <f t="shared" si="72"/>
        <v>-137720.78282942917</v>
      </c>
      <c r="DW35" s="64">
        <f>IF(OR($B35&lt;Analysis!$C$100, $B35&gt;=Analysis!$C$101),0,IF($B35=Analysis!$C$100,Analysis!$C$31,DW34))</f>
        <v>0.1275</v>
      </c>
      <c r="DX35" s="1">
        <f>IF(OR($B35&lt;Analysis!$C$100, $B35&gt;=Analysis!$C$101),0,CK35+DV35)</f>
        <v>942442.21975432907</v>
      </c>
      <c r="DY35" s="1">
        <f>IF(OR($B35&lt;Analysis!$C$100, $B35&gt;=Analysis!$C$101),0,IF($B35-Analysis!$C$100&gt;3,0,IF(CK35&gt;LOOKUP(Analysis!$C$100,$B:$B, CK:CK),$V35*(LOOKUP(Analysis!$C$100,$B:$B, CK:CK)-CK35),0)))</f>
        <v>0</v>
      </c>
      <c r="DZ35" s="1">
        <f t="shared" si="52"/>
        <v>942442.21975432907</v>
      </c>
      <c r="EA35" s="53"/>
      <c r="EB35" s="1">
        <f t="shared" ref="EB35:EB52" si="82">EB34*(1+EC34)</f>
        <v>1795933.6669464903</v>
      </c>
      <c r="EC35" s="64">
        <f t="shared" si="53"/>
        <v>2.941176470588247E-2</v>
      </c>
      <c r="ED35" s="1">
        <f>MAX(0,IF($B35=Analysis!$C$130,(EB35*(1+Analysis!$C$23+Analysis!$C$24+Analysis!$C$25))-(IF($B35=$B$2,(Analysis!$C$6-Analysis!$C$7+Analysis!$C$132), (FU34-Analysis!$C$7+EM35)) + IF($B35=Analysis!$C$101,DZ34+CQ34+CU34+CZ34,0)),0))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$P35+$N35+IF($B35&lt;Analysis!$C$130,$CI35+$CJ35,0)+CP35+CR35+CY35+DE35+DG35+MIN(DI35,SUM(DJ35:DN35))+DQ35+DS35+DT35+EG35+EJ35+EP35+ES35+EU35+MIN(EW35,SUM(EX35:FB35))+FD35</f>
        <v>-119129.97916090713</v>
      </c>
      <c r="FM35" s="1">
        <f>$M35+$R35+DD35+IF(AND($B35&lt;&gt;Analysis!$C$130,$B35=Analysis!$C$101),DZ34+CQ34+CU34+CZ34,0)</f>
        <v>174743.25373285884</v>
      </c>
      <c r="FN35" s="1">
        <f t="shared" si="34"/>
        <v>55613.274571951712</v>
      </c>
      <c r="FO35" s="1">
        <f>IF(FN35 &lt; 0,
    IF(FO34 + FN35 &gt; 0,
        FO34 + FN35, IF(FT34-ABS(FO34 + FN35)*(1+$V35) &gt;= FO34 + FN35,
        0, FO34 + FN35)),
    MIN(FO34 + FN35, Analysis!$C$7))+IF(FO34&lt;0, FO34*Analysis!$C$9,0)</f>
        <v>24000</v>
      </c>
      <c r="FP35" s="53"/>
      <c r="FQ35" s="1">
        <f t="shared" si="54"/>
        <v>29527.538211659419</v>
      </c>
      <c r="FR35" s="1">
        <f>IF(OR($B35=Analysis!$C$100, $B35=Analysis!$C$130),0,IF(FN35 &gt;= 0,
    MAX(0, FO34 + FN35 - Analysis!$C$7),
    0))</f>
        <v>55613.274571951712</v>
      </c>
      <c r="FS35" s="1">
        <f>IF(OR($B35=Analysis!$C$100, $B35=Analysis!$C$130),0,MAX(0, FS34 + FR35 - IF(FN35 &lt; 0, MIN(ABS(FN35), FS34 + FR35), 0)))</f>
        <v>887530.71288555302</v>
      </c>
      <c r="FT35" s="1">
        <f>IF(OR($B35=Analysis!$C$100, $B35=Analysis!$C$130),0,IF(FN35 &lt; 0,
    IF(FN35 + FO34 &lt; 0,
        MAX(0, FT34 - (ABS(FN35 + FO34) * (1+$V34))),
        FT34 + FQ35),
    FT34 + FR35 + FQ35))</f>
        <v>1435900.8257977492</v>
      </c>
      <c r="FU35" s="1">
        <f t="shared" si="60"/>
        <v>1291268.2085171575</v>
      </c>
      <c r="FV35" s="36"/>
      <c r="FW35" s="1">
        <f t="shared" si="55"/>
        <v>1080163.0025837582</v>
      </c>
      <c r="FX35" s="64">
        <f t="shared" si="56"/>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36"/>
        <v>43275.330491632951</v>
      </c>
      <c r="GQ35" s="1">
        <f t="shared" si="37"/>
        <v>-3240.4890077512746</v>
      </c>
      <c r="GR35" s="64">
        <f>IF($B35&lt;Analysis!$C$159,0,Analysis!$C$178)</f>
        <v>3.0000000000000001E-3</v>
      </c>
      <c r="GS35" s="1">
        <f t="shared" si="38"/>
        <v>-8101.222519378186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-2705.6131112911257</v>
      </c>
      <c r="HD35" s="1">
        <f t="shared" si="39"/>
        <v>-26307.324638420585</v>
      </c>
      <c r="HE35" s="1">
        <f>MIN(0,-(GN35+HD35)*Analysis!$C$28)-GE35*Analysis!$C$28</f>
        <v>-4327.9867142238081</v>
      </c>
      <c r="HF35" s="1">
        <f>-Analysis!$C$176*GP35/12</f>
        <v>-3606.2775409694127</v>
      </c>
      <c r="HG35" s="38"/>
      <c r="HH35" s="1">
        <f>IF($B35&lt;Analysis!$C$159,0,-$HI35*$FW35)</f>
        <v>-137720.78282942917</v>
      </c>
      <c r="HI35" s="64">
        <f>IF($B35&lt;Analysis!$C$159,0,IF($B35=Analysis!$C$159,Analysis!$C$31,HI34))</f>
        <v>0.1275</v>
      </c>
      <c r="HJ35" s="1">
        <f>IF($B35&lt;Analysis!$C$159,0,$FW35+HH35)</f>
        <v>942442.21975432907</v>
      </c>
      <c r="HK35" s="1">
        <f>IF($B35-Analysis!$C$159&gt;10,0,IF($FW35&gt;LOOKUP(Analysis!$C$159,$B:$B, FW:FW),$V35*(LOOKUP(Analysis!$C$159,$B:$B, FW:FW)-FW35),0))</f>
        <v>0</v>
      </c>
      <c r="HL35" s="1">
        <f t="shared" si="40"/>
        <v>942442.21975432907</v>
      </c>
      <c r="HM35" s="38"/>
      <c r="HN35" s="1">
        <f t="shared" si="41"/>
        <v>-119129.97916090713</v>
      </c>
      <c r="HO35" s="1">
        <f t="shared" si="73"/>
        <v>174743.25373285884</v>
      </c>
      <c r="HP35" s="1">
        <f t="shared" si="42"/>
        <v>55613.274571951712</v>
      </c>
      <c r="HQ35" s="1">
        <f>IF(HP35 &lt; 0,
    IF(HQ34 + HP35 &gt; 0,
        HQ34 + HP35, IF(HV34-ABS(HQ34 + HP35)*(1+$V35) &gt;= HQ34 + HP35,
        0, HQ34 + HP35)),
    MIN(HQ34 + HP35, Analysis!$C$7))+IF(HQ34&lt;0, HQ34*Analysis!$C$9,0)</f>
        <v>24000</v>
      </c>
      <c r="HR35" s="38"/>
      <c r="HS35" s="1">
        <f t="shared" si="57"/>
        <v>29527.538211659419</v>
      </c>
      <c r="HT35" s="1">
        <f>IF($B35=Analysis!$C$159,0,IF(HP35 &gt;= 0,
    MAX(0, HQ34 + HP35 - Analysis!$C$7),
    0))</f>
        <v>55613.274571951712</v>
      </c>
      <c r="HU35" s="1">
        <f>IF($B35=Analysis!$C$159,0,MAX(0, HU34 + HT35 - IF(HP35 &lt; 0, MIN(ABS(HP35), HU34 + HT35), 0)))</f>
        <v>887530.71288555302</v>
      </c>
      <c r="HV35" s="1">
        <f>IF($B35=Analysis!$C$159,0,IF(HP35 &lt; 0,
    IF(HP35 + HQ34 &lt; 0,
        MAX(0, HV34 - (ABS(HP35 + HQ34) * (1+$V34))),
        HV34 + HS35),
    HV34 + HT35 + HS35))</f>
        <v>1435900.8257977492</v>
      </c>
      <c r="HW35" s="1">
        <f t="shared" si="61"/>
        <v>1291268.2085171575</v>
      </c>
      <c r="HX35" s="36"/>
    </row>
    <row r="36" spans="1:232" x14ac:dyDescent="0.35">
      <c r="A36">
        <f t="shared" si="0"/>
        <v>69</v>
      </c>
      <c r="B36">
        <v>2059</v>
      </c>
      <c r="C36" s="1">
        <f>IF($B36&lt;Analysis!C$66,0,$AN36)+$AT36+$AW36+$BC36+$CF36+$CA36</f>
        <v>1601751.2128015764</v>
      </c>
      <c r="D36" s="1">
        <f>IF($B36&lt;Analysis!C$66, 0, BV36)+AT36+AW36+BC36+CG36+CA36</f>
        <v>1366034.9190148495</v>
      </c>
      <c r="E36" s="1">
        <f t="shared" si="13"/>
        <v>2241820.0911195469</v>
      </c>
      <c r="F36" s="1">
        <f t="shared" si="14"/>
        <v>1948696.0856865405</v>
      </c>
      <c r="G36" s="1">
        <f>IF(AND($B36&gt;=Analysis!$C$100, $B36&lt;Analysis!$C$101),$CK36,0)+IF($B36&gt;=Analysis!$C$130,EB36,0)+CQ36+CU36+CZ36+EH36+EK36+EQ36+$FO36+$FT36</f>
        <v>2655520.9158168756</v>
      </c>
      <c r="H36" s="1">
        <f t="shared" si="64"/>
        <v>2361487.3640621584</v>
      </c>
      <c r="I36" s="1">
        <f>IF($B36&lt;Analysis!$C$159,0,$FW36)+$GC36+$GF36+$GL36+$HQ36+$HV36</f>
        <v>2655520.9158168756</v>
      </c>
      <c r="J36" s="1">
        <f t="shared" si="65"/>
        <v>2361487.3640621584</v>
      </c>
      <c r="K36" s="36"/>
      <c r="L36" s="1">
        <f t="shared" si="74"/>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4"/>
        <v>0</v>
      </c>
      <c r="R36" s="1">
        <f>IF(AND(AND(B36=Analysis!C$35,Analysis!C$34&lt;&gt;0),AND(B36=Analysis!C$37,Analysis!C$36&lt;&gt;0)),Analysis!C$34+Analysis!C$36,IF(AND(B36=Analysis!C$35,Analysis!C$34&lt;&gt;0),Analysis!C$34,IF(AND(B36=Analysis!C$37,Analysis!C$36&lt;&gt;0),Analysis!C$36,0)))</f>
        <v>0</v>
      </c>
      <c r="S36" s="64">
        <f t="shared" si="6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63"/>
        <v>0.26374999999999998</v>
      </c>
      <c r="W36" s="36"/>
      <c r="X36" s="1">
        <f t="shared" si="75"/>
        <v>-42440.989981037252</v>
      </c>
      <c r="Y36" s="64">
        <f t="shared" si="76"/>
        <v>2.941176470588247E-2</v>
      </c>
      <c r="Z36" s="1">
        <f t="shared" si="19"/>
        <v>-3960</v>
      </c>
      <c r="AA36" s="64">
        <f t="shared" si="77"/>
        <v>0</v>
      </c>
      <c r="AB36" s="40"/>
      <c r="AC36" s="1">
        <f t="shared" si="66"/>
        <v>-94400.989981037244</v>
      </c>
      <c r="AD36" s="1">
        <f t="shared" si="67"/>
        <v>131467.92324122589</v>
      </c>
      <c r="AE36" s="1">
        <f t="shared" si="21"/>
        <v>37066.933260188642</v>
      </c>
      <c r="AF36" s="1">
        <f>IF(AE36 &lt; 0,
    IF(AF35 + AE36 &gt; 0,
        AF35 + AE36, IF(AK35-ABS(AF35 + AE36)*(1+$V36) &gt;= AF35 + AE36,
        0, AF35 + AE36)),
    MIN(AF35 + AE36, Analysis!$C$7))+IF(AF35&lt;0, AF35*Analysis!$C$9,0)</f>
        <v>24000</v>
      </c>
      <c r="AG36" s="40"/>
      <c r="AH36" s="1">
        <f t="shared" si="78"/>
        <v>43065.132433783925</v>
      </c>
      <c r="AI36" s="1">
        <f>IF(AE36 &gt;= 0,
    MAX(0, AF35 + AE36 - Analysis!$C$7),
    0)</f>
        <v>37066.933260188642</v>
      </c>
      <c r="AJ36" s="1">
        <f t="shared" si="46"/>
        <v>1106449.4544067264</v>
      </c>
      <c r="AK36" s="1">
        <f t="shared" si="79"/>
        <v>2217820.0911195469</v>
      </c>
      <c r="AL36" s="1">
        <f t="shared" si="68"/>
        <v>1924696.0856865405</v>
      </c>
      <c r="AM36" s="36"/>
      <c r="AN36" s="1">
        <f t="shared" si="47"/>
        <v>1848755.2453860932</v>
      </c>
      <c r="AO36" s="64">
        <f t="shared" si="80"/>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-5546.2657361582797</v>
      </c>
      <c r="BF36" s="64">
        <f>IF($B36&lt;Analysis!$C$66,0,Analysis!$C$78)</f>
        <v>3.0000000000000001E-3</v>
      </c>
      <c r="BG36" s="1">
        <f>IF($B36&lt;Analysis!$C$66,0,-BH36*AN36)</f>
        <v>-13865.664340395699</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5"/>
        <v>-235716.29378672689</v>
      </c>
      <c r="BS36" s="64">
        <f>IF($B36&lt;Analysis!C$66,0,Analysis!C$31)</f>
        <v>0.1275</v>
      </c>
      <c r="BT36" s="1">
        <f>IF($B36&lt;Analysis!$C$66,0,AN36+BR36)</f>
        <v>1613038.9515993663</v>
      </c>
      <c r="BU36" s="1">
        <f>IF($B36-Analysis!$C$66&gt;3,0,IF($AN36&gt;LOOKUP(Analysis!$C$66,$B:$B, AN:AN),$V36*(LOOKUP(Analysis!$C$66,$B:$B, AN:AN)-AN36),0))</f>
        <v>0</v>
      </c>
      <c r="BV36" s="1">
        <f t="shared" si="26"/>
        <v>1613038.9515993663</v>
      </c>
      <c r="BW36" s="42"/>
      <c r="BX36" s="1">
        <f>IF($B36&lt;Analysis!$C$66,$P36+$N36+$X36+$Z36,$P36+$N36+AS36+AV36+BB36+BE36+BG36+MAX(BI36,SUM(BJ36:BN36))+BP36)</f>
        <v>-71371.930076553981</v>
      </c>
      <c r="BY36" s="1">
        <f t="shared" si="69"/>
        <v>131467.92324122589</v>
      </c>
      <c r="BZ36" s="1">
        <f t="shared" si="48"/>
        <v>60095.993164671905</v>
      </c>
      <c r="CA36" s="1">
        <f>IF(BZ36 &lt; 0,
    IF(CA35 + BZ36 &gt; 0,
        CA35 + BZ36, IF(CF35-ABS(CA35 + BZ36)*(1+$V36) &gt;= CA35 + BZ36,
        0, CA35 + BZ36)),
    MIN(CA35 + BZ36, Analysis!$C$7))+IF(CA35&lt;0, CA35*Analysis!$C$9,0)</f>
        <v>-247004.03258451686</v>
      </c>
      <c r="CB36" s="42"/>
      <c r="CC36" s="1">
        <f t="shared" si="49"/>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8"/>
        <v>0</v>
      </c>
      <c r="CH36" s="36"/>
      <c r="CI36" s="1">
        <f>IF(OR($B36&lt;Analysis!$C$100, $B36&gt;=Analysis!$C$130),0,X36)</f>
        <v>-42440.989981037252</v>
      </c>
      <c r="CJ36" s="1">
        <f>IF(OR($B36&lt;Analysis!$C$100, $B36&gt;=Analysis!$C$130),0,Z36)</f>
        <v>-3960</v>
      </c>
      <c r="CK36" s="1">
        <f t="shared" si="81"/>
        <v>1111932.5026597513</v>
      </c>
      <c r="CL36" s="64">
        <f t="shared" si="51"/>
        <v>2.941176470588247E-2</v>
      </c>
      <c r="CM36" s="1">
        <f>IF($B36=Analysis!$C$100,(CK36*(1+Analysis!$C$23+Analysis!$C$24+Analysis!$C$25))-IF($B36=$B$2,(Analysis!$C$6-Analysis!$C$7+Analysis!$C$105), (FU35-Analysis!$C$7+CV36)),0)</f>
        <v>0</v>
      </c>
      <c r="CN36" s="64">
        <f>IF($B36=Analysis!$C$100,Analysis!$C$103,0)</f>
        <v>0</v>
      </c>
      <c r="CO36" s="64">
        <f>IF(OR($B36&lt;Analysis!$C$100, $B36&gt;=Analysis!$C$101),0,IF($B36=Analysis!$C$100,Analysis!$C$102,IF(($B36-Analysis!$C$100)&lt;LOOKUP(Analysis!$C$100,$B:$B,CT:CT),CO35,0)))</f>
        <v>0</v>
      </c>
      <c r="CP36" s="1">
        <f>IF(OR($B36&lt;Analysis!$C$100, $B36&gt;=Analysis!$C$101),0,IF($B36=Analysis!$C$100,-CM36*CN36,IF(CS36&gt;=0,0,CS36-CR36)))</f>
        <v>0</v>
      </c>
      <c r="CQ36" s="1">
        <f>IF(OR($B36&lt;Analysis!$C$100, $B36&gt;=Analysis!$C$101),0,IF($B36=Analysis!$C$100,-CM36-CP36,MIN(0,CQ35-CP36)))</f>
        <v>0</v>
      </c>
      <c r="CR36" s="1">
        <f>IF(OR($B36&lt;Analysis!$C$100, $B36&gt;=Analysis!$C$101),0,IF($B36=Analysis!$C$100,-CO36*CM36,CO35*CQ35))</f>
        <v>0</v>
      </c>
      <c r="CS36" s="1">
        <f>IF(OR($B36&lt;Analysis!$C$100, $B36&gt;=Analysis!$C$101),0,IF($B36=Analysis!$C$100,CP36+CR36,IF(CQ35&lt;0,IF(CQ35&gt;LOOKUP(Analysis!$C$100,$B:$B,CS:CS), CQ35*(1+CO35),CS35),0)))</f>
        <v>0</v>
      </c>
      <c r="CT36" s="65">
        <f>IF($B36=Analysis!$C$100,NPER(CO36,-CS36,-CM36),0)</f>
        <v>0</v>
      </c>
      <c r="CU36" s="1">
        <f>IF(OR($B36&lt;Analysis!$C$100, $B36&gt;=Analysis!$C$101),0,IF($B36=Analysis!$C$100,PMT(CO36,CT36,CM36)*CT36-CS36-CQ36,IF(($B36-Analysis!$C$100+1)&lt;LOOKUP(Analysis!$C$100,$B:$B,CT:CT),IF(CU35-CR36&lt;0, CU35-CR36,0),0)))</f>
        <v>0</v>
      </c>
      <c r="CV36" s="1">
        <f>IF($B36=Analysis!$C$100,Analysis!$C$105,0)</f>
        <v>0</v>
      </c>
      <c r="CW36" s="1">
        <f>IF($B36=Analysis!$C$100,PMT(CO36,CX36,CV36)*CX36,0)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29"/>
        <v>44431.663741386867</v>
      </c>
      <c r="DE36" s="1">
        <f t="shared" si="70"/>
        <v>-3335.7975079792541</v>
      </c>
      <c r="DF36" s="64">
        <f>IF(OR($B36&lt;Analysis!$C$100, $B36&gt;=Analysis!$C$101),0,Analysis!$C$118)</f>
        <v>3.0000000000000001E-3</v>
      </c>
      <c r="DG36" s="1">
        <f t="shared" si="71"/>
        <v>-8339.4937699481343</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-2785.1899675055711</v>
      </c>
      <c r="DR36" s="1">
        <f t="shared" si="30"/>
        <v>-26720.481245432962</v>
      </c>
      <c r="DS36" s="1">
        <f>MIN(0,-(DB36+DR36)*Analysis!$C$28)-CR36*Analysis!$C$28</f>
        <v>-4615.0570881715676</v>
      </c>
      <c r="DT36" s="1">
        <f>-Analysis!$C$116*DD36/12</f>
        <v>-3702.6386451155722</v>
      </c>
      <c r="DU36" s="53"/>
      <c r="DV36" s="1">
        <f t="shared" si="72"/>
        <v>-141771.39408911829</v>
      </c>
      <c r="DW36" s="64">
        <f>IF(OR($B36&lt;Analysis!$C$100, $B36&gt;=Analysis!$C$101),0,IF($B36=Analysis!$C$100,Analysis!$C$31,DW35))</f>
        <v>0.1275</v>
      </c>
      <c r="DX36" s="1">
        <f>IF(OR($B36&lt;Analysis!$C$100, $B36&gt;=Analysis!$C$101),0,CK36+DV36)</f>
        <v>970161.10857063299</v>
      </c>
      <c r="DY36" s="1">
        <f>IF(OR($B36&lt;Analysis!$C$100, $B36&gt;=Analysis!$C$101),0,IF($B36-Analysis!$C$100&gt;3,0,IF(CK36&gt;LOOKUP(Analysis!$C$100,$B:$B, CK:CK),$V36*(LOOKUP(Analysis!$C$100,$B:$B, CK:CK)-CK36),0)))</f>
        <v>0</v>
      </c>
      <c r="DZ36" s="1">
        <f t="shared" si="52"/>
        <v>970161.10857063299</v>
      </c>
      <c r="EA36" s="53"/>
      <c r="EB36" s="1">
        <f t="shared" si="82"/>
        <v>1848755.2453860932</v>
      </c>
      <c r="EC36" s="64">
        <f t="shared" si="53"/>
        <v>2.941176470588247E-2</v>
      </c>
      <c r="ED36" s="1">
        <f>MAX(0,IF($B36=Analysis!$C$130,(EB36*(1+Analysis!$C$23+Analysis!$C$24+Analysis!$C$25))-(IF($B36=$B$2,(Analysis!$C$6-Analysis!$C$7+Analysis!$C$132), (FU35-Analysis!$C$7+EM36)) + IF($B36=Analysis!$C$101,DZ35+CQ35+CU35+CZ35,0)),0))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$P36+$N36+IF($B36&lt;Analysis!$C$130,$CI36+$CJ36,0)+CP36+CR36+CY36+DE36+DG36+MIN(DI36,SUM(DJ36:DN36))+DQ36+DS36+DT36+EG36+EJ36+EP36+ES36+EU36+MIN(EW36,SUM(EX36:FB36))+FD36</f>
        <v>-121139.16695975735</v>
      </c>
      <c r="FM36" s="1">
        <f>$M36+$R36+DD36+IF(AND($B36&lt;&gt;Analysis!$C$130,$B36=Analysis!$C$101),DZ35+CQ35+CU35+CZ35,0)</f>
        <v>175899.58698261276</v>
      </c>
      <c r="FN36" s="1">
        <f t="shared" si="34"/>
        <v>54760.420022855411</v>
      </c>
      <c r="FO36" s="1">
        <f>IF(FN36 &lt; 0,
    IF(FO35 + FN36 &gt; 0,
        FO35 + FN36, IF(FT35-ABS(FO35 + FN36)*(1+$V36) &gt;= FO35 + FN36,
        0, FO35 + FN36)),
    MIN(FO35 + FN36, Analysis!$C$7))+IF(FO35&lt;0, FO35*Analysis!$C$9,0)</f>
        <v>24000</v>
      </c>
      <c r="FP36" s="53"/>
      <c r="FQ36" s="1">
        <f t="shared" si="54"/>
        <v>28927.1673365196</v>
      </c>
      <c r="FR36" s="1">
        <f>IF(OR($B36=Analysis!$C$100, $B36=Analysis!$C$130),0,IF(FN36 &gt;= 0,
    MAX(0, FO35 + FN36 - Analysis!$C$7),
    0))</f>
        <v>54760.420022855411</v>
      </c>
      <c r="FS36" s="1">
        <f>IF(OR($B36=Analysis!$C$100, $B36=Analysis!$C$130),0,MAX(0, FS35 + FR36 - IF(FN36 &lt; 0, MIN(ABS(FN36), FS35 + FR36), 0)))</f>
        <v>942291.13290840841</v>
      </c>
      <c r="FT36" s="1">
        <f>IF(OR($B36=Analysis!$C$100, $B36=Analysis!$C$130),0,IF(FN36 &lt; 0,
    IF(FN36 + FO35 &lt; 0,
        MAX(0, FT35 - (ABS(FN36 + FO35) * (1+$V35))),
        FT35 + FQ36),
    FT35 + FR36 + FQ36))</f>
        <v>1519588.4131571243</v>
      </c>
      <c r="FU36" s="1">
        <f t="shared" si="60"/>
        <v>1367326.2554915254</v>
      </c>
      <c r="FV36" s="36"/>
      <c r="FW36" s="1">
        <f t="shared" si="55"/>
        <v>1111932.5026597513</v>
      </c>
      <c r="FX36" s="64">
        <f t="shared" si="56"/>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36"/>
        <v>44431.663741386867</v>
      </c>
      <c r="GQ36" s="1">
        <f t="shared" si="37"/>
        <v>-3335.7975079792541</v>
      </c>
      <c r="GR36" s="64">
        <f>IF($B36&lt;Analysis!$C$159,0,Analysis!$C$178)</f>
        <v>3.0000000000000001E-3</v>
      </c>
      <c r="GS36" s="1">
        <f t="shared" si="38"/>
        <v>-8339.4937699481343</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-2785.1899675055711</v>
      </c>
      <c r="HD36" s="1">
        <f t="shared" si="39"/>
        <v>-26720.481245432962</v>
      </c>
      <c r="HE36" s="1">
        <f>MIN(0,-(GN36+HD36)*Analysis!$C$28)-GE36*Analysis!$C$28</f>
        <v>-4615.0570881715676</v>
      </c>
      <c r="HF36" s="1">
        <f>-Analysis!$C$176*GP36/12</f>
        <v>-3702.6386451155722</v>
      </c>
      <c r="HG36" s="38"/>
      <c r="HH36" s="1">
        <f>IF($B36&lt;Analysis!$C$159,0,-$HI36*$FW36)</f>
        <v>-141771.39408911829</v>
      </c>
      <c r="HI36" s="64">
        <f>IF($B36&lt;Analysis!$C$159,0,IF($B36=Analysis!$C$159,Analysis!$C$31,HI35))</f>
        <v>0.1275</v>
      </c>
      <c r="HJ36" s="1">
        <f>IF($B36&lt;Analysis!$C$159,0,$FW36+HH36)</f>
        <v>970161.10857063299</v>
      </c>
      <c r="HK36" s="1">
        <f>IF($B36-Analysis!$C$159&gt;10,0,IF($FW36&gt;LOOKUP(Analysis!$C$159,$B:$B, FW:FW),$V36*(LOOKUP(Analysis!$C$159,$B:$B, FW:FW)-FW36),0))</f>
        <v>0</v>
      </c>
      <c r="HL36" s="1">
        <f t="shared" si="40"/>
        <v>970161.10857063299</v>
      </c>
      <c r="HM36" s="38"/>
      <c r="HN36" s="1">
        <f t="shared" si="41"/>
        <v>-121139.16695975735</v>
      </c>
      <c r="HO36" s="1">
        <f t="shared" si="73"/>
        <v>175899.58698261276</v>
      </c>
      <c r="HP36" s="1">
        <f t="shared" si="42"/>
        <v>54760.420022855411</v>
      </c>
      <c r="HQ36" s="1">
        <f>IF(HP36 &lt; 0,
    IF(HQ35 + HP36 &gt; 0,
        HQ35 + HP36, IF(HV35-ABS(HQ35 + HP36)*(1+$V36) &gt;= HQ35 + HP36,
        0, HQ35 + HP36)),
    MIN(HQ35 + HP36, Analysis!$C$7))+IF(HQ35&lt;0, HQ35*Analysis!$C$9,0)</f>
        <v>24000</v>
      </c>
      <c r="HR36" s="38"/>
      <c r="HS36" s="1">
        <f t="shared" si="57"/>
        <v>28927.1673365196</v>
      </c>
      <c r="HT36" s="1">
        <f>IF($B36=Analysis!$C$159,0,IF(HP36 &gt;= 0,
    MAX(0, HQ35 + HP36 - Analysis!$C$7),
    0))</f>
        <v>54760.420022855411</v>
      </c>
      <c r="HU36" s="1">
        <f>IF($B36=Analysis!$C$159,0,MAX(0, HU35 + HT36 - IF(HP36 &lt; 0, MIN(ABS(HP36), HU35 + HT36), 0)))</f>
        <v>942291.13290840841</v>
      </c>
      <c r="HV36" s="1">
        <f>IF($B36=Analysis!$C$159,0,IF(HP36 &lt; 0,
    IF(HP36 + HQ35 &lt; 0,
        MAX(0, HV35 - (ABS(HP36 + HQ35) * (1+$V35))),
        HV35 + HS36),
    HV35 + HT36 + HS36))</f>
        <v>1519588.4131571243</v>
      </c>
      <c r="HW36" s="1">
        <f t="shared" si="61"/>
        <v>1367326.2554915254</v>
      </c>
      <c r="HX36" s="36"/>
    </row>
    <row r="37" spans="1:232" x14ac:dyDescent="0.35">
      <c r="A37">
        <f t="shared" si="0"/>
        <v>70</v>
      </c>
      <c r="B37">
        <v>2060</v>
      </c>
      <c r="C37" s="1">
        <f>IF($B37&lt;Analysis!C$66,0,$AN37)+$AT37+$AW37+$BC37+$CF37+$CA37</f>
        <v>1630157.136895037</v>
      </c>
      <c r="D37" s="1">
        <f>IF($B37&lt;Analysis!C$66, 0, BV37)+AT37+AW37+BC37+CG37+CA37</f>
        <v>1387508.0109381122</v>
      </c>
      <c r="E37" s="1">
        <f t="shared" si="13"/>
        <v>2210344.639879398</v>
      </c>
      <c r="F37" s="1">
        <f t="shared" si="14"/>
        <v>1911302.126242463</v>
      </c>
      <c r="G37" s="1">
        <f>IF(AND($B37&gt;=Analysis!$C$100, $B37&lt;Analysis!$C$101),$CK37,0)+IF($B37&gt;=Analysis!$C$130,EB37,0)+CQ37+CU37+CZ37+EH37+EK37+EQ37+$FO37+$FT37</f>
        <v>1855435.3783000857</v>
      </c>
      <c r="H37" s="1">
        <f t="shared" si="64"/>
        <v>1612786.2523431608</v>
      </c>
      <c r="I37" s="1">
        <f>IF($B37&lt;Analysis!$C$159,0,$FW37)+$GC37+$GF37+$GL37+$HQ37+$HV37</f>
        <v>2706169.1840881221</v>
      </c>
      <c r="J37" s="1">
        <f t="shared" si="65"/>
        <v>2396981.4018068318</v>
      </c>
      <c r="K37" s="36"/>
      <c r="L37" s="1">
        <f t="shared" si="74"/>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4"/>
        <v>0</v>
      </c>
      <c r="R37" s="1">
        <f>IF(AND(AND(B37=Analysis!C$35,Analysis!C$34&lt;&gt;0),AND(B37=Analysis!C$37,Analysis!C$36&lt;&gt;0)),Analysis!C$34+Analysis!C$36,IF(AND(B37=Analysis!C$35,Analysis!C$34&lt;&gt;0),Analysis!C$34,IF(AND(B37=Analysis!C$37,Analysis!C$36&lt;&gt;0),Analysis!C$36,0)))</f>
        <v>0</v>
      </c>
      <c r="S37" s="64">
        <f t="shared" si="6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63"/>
        <v>0.26374999999999998</v>
      </c>
      <c r="W37" s="36"/>
      <c r="X37" s="1">
        <f t="shared" si="75"/>
        <v>-43689.254392244235</v>
      </c>
      <c r="Y37" s="64">
        <f t="shared" si="76"/>
        <v>2.941176470588247E-2</v>
      </c>
      <c r="Z37" s="1">
        <f t="shared" si="19"/>
        <v>-3960</v>
      </c>
      <c r="AA37" s="64">
        <f t="shared" si="77"/>
        <v>0</v>
      </c>
      <c r="AB37" s="40"/>
      <c r="AC37" s="1">
        <f t="shared" si="66"/>
        <v>-95649.254392244242</v>
      </c>
      <c r="AD37" s="1">
        <f t="shared" si="67"/>
        <v>65733.961620612943</v>
      </c>
      <c r="AE37" s="1">
        <f t="shared" si="21"/>
        <v>-29915.292771631299</v>
      </c>
      <c r="AF37" s="1">
        <f>IF(AE37 &lt; 0,
    IF(AF36 + AE37 &gt; 0,
        AF36 + AE37, IF(AK36-ABS(AF36 + AE37)*(1+$V37) &gt;= AF36 + AE37,
        0, AF36 + AE37)),
    MIN(AF36 + AE37, Analysis!$C$7))+IF(AF36&lt;0, AF36*Analysis!$C$9,0)</f>
        <v>0</v>
      </c>
      <c r="AG37" s="40"/>
      <c r="AH37" s="1">
        <f t="shared" si="78"/>
        <v>43486.668453324295</v>
      </c>
      <c r="AI37" s="1">
        <f>IF(AE37 &gt;= 0,
    MAX(0, AF36 + AE37 - Analysis!$C$7),
    0)</f>
        <v>0</v>
      </c>
      <c r="AJ37" s="1">
        <f t="shared" si="46"/>
        <v>1076534.161635095</v>
      </c>
      <c r="AK37" s="1">
        <f t="shared" si="79"/>
        <v>2210344.639879398</v>
      </c>
      <c r="AL37" s="1">
        <f t="shared" si="68"/>
        <v>1911302.126242463</v>
      </c>
      <c r="AM37" s="36"/>
      <c r="AN37" s="1">
        <f t="shared" si="47"/>
        <v>1903130.399662155</v>
      </c>
      <c r="AO37" s="64">
        <f t="shared" si="80"/>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-5709.3911989864646</v>
      </c>
      <c r="BF37" s="64">
        <f>IF($B37&lt;Analysis!$C$66,0,Analysis!$C$78)</f>
        <v>3.0000000000000001E-3</v>
      </c>
      <c r="BG37" s="1">
        <f>IF($B37&lt;Analysis!$C$66,0,-BH37*AN37)</f>
        <v>-14273.477997466161</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5"/>
        <v>-242649.12595692475</v>
      </c>
      <c r="BS37" s="64">
        <f>IF($B37&lt;Analysis!C$66,0,Analysis!C$31)</f>
        <v>0.1275</v>
      </c>
      <c r="BT37" s="1">
        <f>IF($B37&lt;Analysis!$C$66,0,AN37+BR37)</f>
        <v>1660481.2737052301</v>
      </c>
      <c r="BU37" s="1">
        <f>IF($B37-Analysis!$C$66&gt;3,0,IF($AN37&gt;LOOKUP(Analysis!$C$66,$B:$B, AN:AN),$V37*(LOOKUP(Analysis!$C$66,$B:$B, AN:AN)-AN37),0))</f>
        <v>0</v>
      </c>
      <c r="BV37" s="1">
        <f t="shared" si="26"/>
        <v>1660481.2737052301</v>
      </c>
      <c r="BW37" s="42"/>
      <c r="BX37" s="1">
        <f>IF($B37&lt;Analysis!$C$66,$P37+$N37+$X37+$Z37,$P37+$N37+AS37+AV37+BB37+BE37+BG37+MAX(BI37,SUM(BJ37:BN37))+BP37)</f>
        <v>-71942.869196452622</v>
      </c>
      <c r="BY37" s="1">
        <f t="shared" si="69"/>
        <v>65733.961620612943</v>
      </c>
      <c r="BZ37" s="1">
        <f t="shared" si="48"/>
        <v>-6208.9075758396793</v>
      </c>
      <c r="CA37" s="1">
        <f>IF(BZ37 &lt; 0,
    IF(CA36 + BZ37 &gt; 0,
        CA36 + BZ37, IF(CF36-ABS(CA36 + BZ37)*(1+$V37) &gt;= CA36 + BZ37,
        0, CA36 + BZ37)),
    MIN(CA36 + BZ37, Analysis!$C$7))+IF(CA36&lt;0, CA36*Analysis!$C$9,0)</f>
        <v>-272973.26276711788</v>
      </c>
      <c r="CB37" s="42"/>
      <c r="CC37" s="1">
        <f t="shared" si="49"/>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8"/>
        <v>0</v>
      </c>
      <c r="CH37" s="36"/>
      <c r="CI37" s="1">
        <f>IF(OR($B37&lt;Analysis!$C$100, $B37&gt;=Analysis!$C$130),0,X37)</f>
        <v>0</v>
      </c>
      <c r="CJ37" s="1">
        <f>IF(OR($B37&lt;Analysis!$C$100, $B37&gt;=Analysis!$C$130),0,Z37)</f>
        <v>0</v>
      </c>
      <c r="CK37" s="1">
        <f t="shared" si="81"/>
        <v>1144636.399796803</v>
      </c>
      <c r="CL37" s="64">
        <f t="shared" si="51"/>
        <v>2.941176470588247E-2</v>
      </c>
      <c r="CM37" s="1">
        <f>IF($B37=Analysis!$C$100,(CK37*(1+Analysis!$C$23+Analysis!$C$24+Analysis!$C$25))-IF($B37=$B$2,(Analysis!$C$6-Analysis!$C$7+Analysis!$C$105), (FU36-Analysis!$C$7+CV37)),0)</f>
        <v>0</v>
      </c>
      <c r="CN37" s="64">
        <f>IF($B37=Analysis!$C$100,Analysis!$C$103,0)</f>
        <v>0</v>
      </c>
      <c r="CO37" s="64">
        <f>IF(OR($B37&lt;Analysis!$C$100, $B37&gt;=Analysis!$C$101),0,IF($B37=Analysis!$C$100,Analysis!$C$102,IF(($B37-Analysis!$C$100)&lt;LOOKUP(Analysis!$C$100,$B:$B,CT:CT),CO36,0)))</f>
        <v>0</v>
      </c>
      <c r="CP37" s="1">
        <f>IF(OR($B37&lt;Analysis!$C$100, $B37&gt;=Analysis!$C$101),0,IF($B37=Analysis!$C$100,-CM37*CN37,IF(CS37&gt;=0,0,CS37-CR37)))</f>
        <v>0</v>
      </c>
      <c r="CQ37" s="1">
        <f>IF(OR($B37&lt;Analysis!$C$100, $B37&gt;=Analysis!$C$101),0,IF($B37=Analysis!$C$100,-CM37-CP37,MIN(0,CQ36-CP37)))</f>
        <v>0</v>
      </c>
      <c r="CR37" s="1">
        <f>IF(OR($B37&lt;Analysis!$C$100, $B37&gt;=Analysis!$C$101),0,IF($B37=Analysis!$C$100,-CO37*CM37,CO36*CQ36))</f>
        <v>0</v>
      </c>
      <c r="CS37" s="1">
        <f>IF(OR($B37&lt;Analysis!$C$100, $B37&gt;=Analysis!$C$101),0,IF($B37=Analysis!$C$100,CP37+CR37,IF(CQ36&lt;0,IF(CQ36&gt;LOOKUP(Analysis!$C$100,$B:$B,CS:CS), CQ36*(1+CO36),CS36),0)))</f>
        <v>0</v>
      </c>
      <c r="CT37" s="65">
        <f>IF($B37=Analysis!$C$100,NPER(CO37,-CS37,-CM37),0)</f>
        <v>0</v>
      </c>
      <c r="CU37" s="1">
        <f>IF(OR($B37&lt;Analysis!$C$100, $B37&gt;=Analysis!$C$101),0,IF($B37=Analysis!$C$100,PMT(CO37,CT37,CM37)*CT37-CS37-CQ37,IF(($B37-Analysis!$C$100+1)&lt;LOOKUP(Analysis!$C$100,$B:$B,CT:CT),IF(CU36-CR37&lt;0, CU36-CR37,0),0)))</f>
        <v>0</v>
      </c>
      <c r="CV37" s="1">
        <f>IF($B37=Analysis!$C$100,Analysis!$C$105,0)</f>
        <v>0</v>
      </c>
      <c r="CW37" s="1">
        <f>IF($B37=Analysis!$C$100,PMT(CO37,CX37,CV37)*CX37,0)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29"/>
        <v>0</v>
      </c>
      <c r="DE37" s="1">
        <f t="shared" si="70"/>
        <v>0</v>
      </c>
      <c r="DF37" s="64">
        <f>IF(OR($B37&lt;Analysis!$C$100, $B37&gt;=Analysis!$C$101),0,Analysis!$C$118)</f>
        <v>0</v>
      </c>
      <c r="DG37" s="1">
        <f t="shared" si="71"/>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30"/>
        <v>0</v>
      </c>
      <c r="DS37" s="1">
        <f>MIN(0,-(DB37+DR37)*Analysis!$C$28)-CR37*Analysis!$C$28</f>
        <v>0</v>
      </c>
      <c r="DT37" s="1">
        <f>-Analysis!$C$116*DD37/12</f>
        <v>0</v>
      </c>
      <c r="DU37" s="53"/>
      <c r="DV37" s="1">
        <f t="shared" si="72"/>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52"/>
        <v>0</v>
      </c>
      <c r="EA37" s="53"/>
      <c r="EB37" s="1">
        <f t="shared" si="82"/>
        <v>1903130.399662155</v>
      </c>
      <c r="EC37" s="64">
        <f t="shared" si="53"/>
        <v>2.941176470588247E-2</v>
      </c>
      <c r="ED37" s="1">
        <f>MAX(0,IF($B37=Analysis!$C$130,(EB37*(1+Analysis!$C$23+Analysis!$C$24+Analysis!$C$25))-(IF($B37=$B$2,(Analysis!$C$6-Analysis!$C$7+Analysis!$C$132), (FU36-Analysis!$C$7+EM37)) + IF($B37=Analysis!$C$101,DZ36+CQ36+CU36+CZ36,0)),0))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$P37+$N37+IF($B37&lt;Analysis!$C$130,$CI37+$CJ37,0)+CP37+CR37+CY37+DE37+DG37+MIN(DI37,SUM(DJ37:DN37))+DQ37+DS37+DT37+EG37+EJ37+EP37+ES37+EU37+MIN(EW37,SUM(EX37:FB37))+FD37</f>
        <v>-82773.523974315438</v>
      </c>
      <c r="FM37" s="1">
        <f>$M37+$R37+DD37+IF(AND($B37&lt;&gt;Analysis!$C$130,$B37=Analysis!$C$101),DZ36+CQ36+CU36+CZ36,0)</f>
        <v>65733.961620612943</v>
      </c>
      <c r="FN37" s="1">
        <f t="shared" si="34"/>
        <v>-17039.562353702495</v>
      </c>
      <c r="FO37" s="1">
        <f>IF(FN37 &lt; 0,
    IF(FO36 + FN37 &gt; 0,
        FO36 + FN37, IF(FT36-ABS(FO36 + FN37)*(1+$V37) &gt;= FO36 + FN37,
        0, FO36 + FN37)),
    MIN(FO36 + FN37, Analysis!$C$7))+IF(FO36&lt;0, FO36*Analysis!$C$9,0)</f>
        <v>6960.4376462975051</v>
      </c>
      <c r="FP37" s="53"/>
      <c r="FQ37" s="1">
        <f t="shared" si="54"/>
        <v>29795.851238374882</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60"/>
        <v>0</v>
      </c>
      <c r="FV37" s="36"/>
      <c r="FW37" s="1">
        <f t="shared" si="55"/>
        <v>1144636.399796803</v>
      </c>
      <c r="FX37" s="64">
        <f t="shared" si="56"/>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36"/>
        <v>45622.00679260413</v>
      </c>
      <c r="GQ37" s="1">
        <f t="shared" si="37"/>
        <v>-3433.909199390409</v>
      </c>
      <c r="GR37" s="64">
        <f>IF($B37&lt;Analysis!$C$159,0,Analysis!$C$178)</f>
        <v>3.0000000000000001E-3</v>
      </c>
      <c r="GS37" s="1">
        <f t="shared" si="38"/>
        <v>-8584.7729984760226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-2867.1073194910291</v>
      </c>
      <c r="HD37" s="1">
        <f t="shared" si="39"/>
        <v>-27145.789517357458</v>
      </c>
      <c r="HE37" s="1">
        <f>MIN(0,-(GN37+HD37)*Analysis!$C$28)-GE37*Analysis!$C$28</f>
        <v>-4910.5707084119103</v>
      </c>
      <c r="HF37" s="1">
        <f>-Analysis!$C$176*GP37/12</f>
        <v>-3801.8338993836774</v>
      </c>
      <c r="HG37" s="38"/>
      <c r="HH37" s="1">
        <f>IF($B37&lt;Analysis!$C$159,0,-$HI37*$FW37)</f>
        <v>-145941.14097409238</v>
      </c>
      <c r="HI37" s="64">
        <f>IF($B37&lt;Analysis!$C$159,0,IF($B37=Analysis!$C$159,Analysis!$C$31,HI36))</f>
        <v>0.1275</v>
      </c>
      <c r="HJ37" s="1">
        <f>IF($B37&lt;Analysis!$C$159,0,$FW37+HH37)</f>
        <v>998695.2588227106</v>
      </c>
      <c r="HK37" s="1">
        <f>IF($B37-Analysis!$C$159&gt;10,0,IF($FW37&gt;LOOKUP(Analysis!$C$159,$B:$B, FW:FW),$V37*(LOOKUP(Analysis!$C$159,$B:$B, FW:FW)-FW37),0))</f>
        <v>0</v>
      </c>
      <c r="HL37" s="1">
        <f t="shared" si="40"/>
        <v>998695.2588227106</v>
      </c>
      <c r="HM37" s="38"/>
      <c r="HN37" s="1">
        <f t="shared" si="41"/>
        <v>-123207.44851739729</v>
      </c>
      <c r="HO37" s="1">
        <f t="shared" si="73"/>
        <v>111355.96841321708</v>
      </c>
      <c r="HP37" s="1">
        <f t="shared" si="42"/>
        <v>-11851.480104180213</v>
      </c>
      <c r="HQ37" s="1">
        <f>IF(HP37 &lt; 0,
    IF(HQ36 + HP37 &gt; 0,
        HQ36 + HP37, IF(HV36-ABS(HQ36 + HP37)*(1+$V37) &gt;= HQ36 + HP37,
        0, HQ36 + HP37)),
    MIN(HQ36 + HP37, Analysis!$C$7))+IF(HQ36&lt;0, HQ36*Analysis!$C$9,0)</f>
        <v>12148.519895819787</v>
      </c>
      <c r="HR37" s="38"/>
      <c r="HS37" s="1">
        <f t="shared" si="57"/>
        <v>29795.851238374882</v>
      </c>
      <c r="HT37" s="1">
        <f>IF($B37=Analysis!$C$159,0,IF(HP37 &gt;= 0,
    MAX(0, HQ36 + HP37 - Analysis!$C$7),
    0))</f>
        <v>0</v>
      </c>
      <c r="HU37" s="1">
        <f>IF($B37=Analysis!$C$159,0,MAX(0, HU36 + HT37 - IF(HP37 &lt; 0, MIN(ABS(HP37), HU36 + HT37), 0)))</f>
        <v>930439.65280422824</v>
      </c>
      <c r="HV37" s="1">
        <f>IF($B37=Analysis!$C$159,0,IF(HP37 &lt; 0,
    IF(HP37 + HQ36 &lt; 0,
        MAX(0, HV36 - (ABS(HP37 + HQ36) * (1+$V36))),
        HV36 + HS37),
    HV36 + HT37 + HS37))</f>
        <v>1549384.2643954991</v>
      </c>
      <c r="HW37" s="1">
        <f t="shared" si="61"/>
        <v>1386137.6230883014</v>
      </c>
      <c r="HX37" s="36"/>
    </row>
    <row r="38" spans="1:232" x14ac:dyDescent="0.35">
      <c r="A38">
        <f t="shared" si="0"/>
        <v>71</v>
      </c>
      <c r="B38">
        <v>2061</v>
      </c>
      <c r="C38" s="1">
        <f>IF($B38&lt;Analysis!C$66,0,$AN38)+$AT38+$AW38+$BC38+$CF38+$CA38</f>
        <v>1656182.3811379366</v>
      </c>
      <c r="D38" s="1">
        <f>IF($B38&lt;Analysis!C$66, 0, BV38)+AT38+AW38+BC38+CG38+CA38</f>
        <v>1406396.5161822787</v>
      </c>
      <c r="E38" s="1">
        <f t="shared" si="13"/>
        <v>2169253.8717228705</v>
      </c>
      <c r="F38" s="1">
        <f t="shared" si="14"/>
        <v>1872473.2301050958</v>
      </c>
      <c r="G38" s="1">
        <f>IF(AND($B38&gt;=Analysis!$C$100, $B38&lt;Analysis!$C$101),$CK38,0)+IF($B38&gt;=Analysis!$C$130,EB38,0)+CQ38+CU38+CZ38+EH38+EK38+EQ38+$FO38+$FT38</f>
        <v>1898400.7215064005</v>
      </c>
      <c r="H38" s="1">
        <f t="shared" si="64"/>
        <v>1633851.6023474811</v>
      </c>
      <c r="I38" s="1">
        <f>IF($B38&lt;Analysis!$C$159,0,$FW38)+$GC38+$GF38+$GL38+$HQ38+$HV38</f>
        <v>2725258.271826514</v>
      </c>
      <c r="J38" s="1">
        <f t="shared" si="65"/>
        <v>2408707.5912900534</v>
      </c>
      <c r="K38" s="36"/>
      <c r="L38" s="1">
        <f t="shared" si="74"/>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4"/>
        <v>0</v>
      </c>
      <c r="R38" s="1">
        <f>IF(AND(AND(B38=Analysis!C$35,Analysis!C$34&lt;&gt;0),AND(B38=Analysis!C$37,Analysis!C$36&lt;&gt;0)),Analysis!C$34+Analysis!C$36,IF(AND(B38=Analysis!C$35,Analysis!C$34&lt;&gt;0),Analysis!C$34,IF(AND(B38=Analysis!C$37,Analysis!C$36&lt;&gt;0),Analysis!C$36,0)))</f>
        <v>0</v>
      </c>
      <c r="S38" s="64">
        <f t="shared" si="6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63"/>
        <v>0.26374999999999998</v>
      </c>
      <c r="W38" s="36"/>
      <c r="X38" s="1">
        <f t="shared" si="75"/>
        <v>-44974.232462604363</v>
      </c>
      <c r="Y38" s="64">
        <f t="shared" si="76"/>
        <v>2.941176470588247E-2</v>
      </c>
      <c r="Z38" s="1">
        <f t="shared" si="19"/>
        <v>-3960</v>
      </c>
      <c r="AA38" s="64">
        <f t="shared" si="77"/>
        <v>0</v>
      </c>
      <c r="AB38" s="40"/>
      <c r="AC38" s="1">
        <f t="shared" si="66"/>
        <v>-96934.232462604356</v>
      </c>
      <c r="AD38" s="1">
        <f t="shared" si="67"/>
        <v>64419.282388200685</v>
      </c>
      <c r="AE38" s="1">
        <f t="shared" si="21"/>
        <v>-32514.95007440367</v>
      </c>
      <c r="AF38" s="1">
        <f>IF(AE38 &lt; 0,
    IF(AF37 + AE38 &gt; 0,
        AF37 + AE38, IF(AK37-ABS(AF37 + AE38)*(1+$V38) &gt;= AF37 + AE38,
        0, AF37 + AE38)),
    MIN(AF37 + AE38, Analysis!$C$7))+IF(AF37&lt;0, AF37*Analysis!$C$9,0)</f>
        <v>0</v>
      </c>
      <c r="AG38" s="40"/>
      <c r="AH38" s="1">
        <f t="shared" si="78"/>
        <v>43340.090978027256</v>
      </c>
      <c r="AI38" s="1">
        <f>IF(AE38 &gt;= 0,
    MAX(0, AF37 + AE38 - Analysis!$C$7),
    0)</f>
        <v>0</v>
      </c>
      <c r="AJ38" s="1">
        <f t="shared" si="46"/>
        <v>1044019.2115606914</v>
      </c>
      <c r="AK38" s="1">
        <f t="shared" si="79"/>
        <v>2169253.8717228705</v>
      </c>
      <c r="AL38" s="1">
        <f t="shared" si="68"/>
        <v>1872473.2301050958</v>
      </c>
      <c r="AM38" s="36"/>
      <c r="AN38" s="1">
        <f t="shared" si="47"/>
        <v>1959104.8231816303</v>
      </c>
      <c r="AO38" s="64">
        <f t="shared" si="80"/>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-5877.3144695448909</v>
      </c>
      <c r="BF38" s="64">
        <f>IF($B38&lt;Analysis!$C$66,0,Analysis!$C$78)</f>
        <v>3.0000000000000001E-3</v>
      </c>
      <c r="BG38" s="1">
        <f>IF($B38&lt;Analysis!$C$66,0,-BH38*AN38)</f>
        <v>-14693.286173862227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5"/>
        <v>-249785.86495565786</v>
      </c>
      <c r="BS38" s="64">
        <f>IF($B38&lt;Analysis!C$66,0,Analysis!C$31)</f>
        <v>0.1275</v>
      </c>
      <c r="BT38" s="1">
        <f>IF($B38&lt;Analysis!$C$66,0,AN38+BR38)</f>
        <v>1709318.9582259725</v>
      </c>
      <c r="BU38" s="1">
        <f>IF($B38-Analysis!$C$66&gt;3,0,IF($AN38&gt;LOOKUP(Analysis!$C$66,$B:$B, AN:AN),$V38*(LOOKUP(Analysis!$C$66,$B:$B, AN:AN)-AN38),0))</f>
        <v>0</v>
      </c>
      <c r="BV38" s="1">
        <f t="shared" si="26"/>
        <v>1709318.9582259725</v>
      </c>
      <c r="BW38" s="42"/>
      <c r="BX38" s="1">
        <f>IF($B38&lt;Analysis!$C$66,$P38+$N38+$X38+$Z38,$P38+$N38+AS38+AV38+BB38+BE38+BG38+MAX(BI38,SUM(BJ38:BN38))+BP38)</f>
        <v>-72530.600643407117</v>
      </c>
      <c r="BY38" s="1">
        <f t="shared" si="69"/>
        <v>64419.282388200685</v>
      </c>
      <c r="BZ38" s="1">
        <f t="shared" si="48"/>
        <v>-8111.3182552064318</v>
      </c>
      <c r="CA38" s="1">
        <f>IF(BZ38 &lt; 0,
    IF(CA37 + BZ38 &gt; 0,
        CA37 + BZ38, IF(CF37-ABS(CA37 + BZ38)*(1+$V38) &gt;= CA37 + BZ38,
        0, CA37 + BZ38)),
    MIN(CA37 + BZ38, Analysis!$C$7))+IF(CA37&lt;0, CA37*Analysis!$C$9,0)</f>
        <v>-302922.44204369374</v>
      </c>
      <c r="CB38" s="42"/>
      <c r="CC38" s="1">
        <f t="shared" si="49"/>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8"/>
        <v>0</v>
      </c>
      <c r="CH38" s="36"/>
      <c r="CI38" s="1">
        <f>IF(OR($B38&lt;Analysis!$C$100, $B38&gt;=Analysis!$C$130),0,X38)</f>
        <v>0</v>
      </c>
      <c r="CJ38" s="1">
        <f>IF(OR($B38&lt;Analysis!$C$100, $B38&gt;=Analysis!$C$130),0,Z38)</f>
        <v>0</v>
      </c>
      <c r="CK38" s="1">
        <f t="shared" si="81"/>
        <v>1178302.176261415</v>
      </c>
      <c r="CL38" s="64">
        <f t="shared" si="51"/>
        <v>2.941176470588247E-2</v>
      </c>
      <c r="CM38" s="1">
        <f>IF($B38=Analysis!$C$100,(CK38*(1+Analysis!$C$23+Analysis!$C$24+Analysis!$C$25))-IF($B38=$B$2,(Analysis!$C$6-Analysis!$C$7+Analysis!$C$105), (FU37-Analysis!$C$7+CV38)),0)</f>
        <v>0</v>
      </c>
      <c r="CN38" s="64">
        <f>IF($B38=Analysis!$C$100,Analysis!$C$103,0)</f>
        <v>0</v>
      </c>
      <c r="CO38" s="64">
        <f>IF(OR($B38&lt;Analysis!$C$100, $B38&gt;=Analysis!$C$101),0,IF($B38=Analysis!$C$100,Analysis!$C$102,IF(($B38-Analysis!$C$100)&lt;LOOKUP(Analysis!$C$100,$B:$B,CT:CT),CO37,0)))</f>
        <v>0</v>
      </c>
      <c r="CP38" s="1">
        <f>IF(OR($B38&lt;Analysis!$C$100, $B38&gt;=Analysis!$C$101),0,IF($B38=Analysis!$C$100,-CM38*CN38,IF(CS38&gt;=0,0,CS38-CR38)))</f>
        <v>0</v>
      </c>
      <c r="CQ38" s="1">
        <f>IF(OR($B38&lt;Analysis!$C$100, $B38&gt;=Analysis!$C$101),0,IF($B38=Analysis!$C$100,-CM38-CP38,MIN(0,CQ37-CP38)))</f>
        <v>0</v>
      </c>
      <c r="CR38" s="1">
        <f>IF(OR($B38&lt;Analysis!$C$100, $B38&gt;=Analysis!$C$101),0,IF($B38=Analysis!$C$100,-CO38*CM38,CO37*CQ37))</f>
        <v>0</v>
      </c>
      <c r="CS38" s="1">
        <f>IF(OR($B38&lt;Analysis!$C$100, $B38&gt;=Analysis!$C$101),0,IF($B38=Analysis!$C$100,CP38+CR38,IF(CQ37&lt;0,IF(CQ37&gt;LOOKUP(Analysis!$C$100,$B:$B,CS:CS), CQ37*(1+CO37),CS37),0)))</f>
        <v>0</v>
      </c>
      <c r="CT38" s="65">
        <f>IF($B38=Analysis!$C$100,NPER(CO38,-CS38,-CM38),0)</f>
        <v>0</v>
      </c>
      <c r="CU38" s="1">
        <f>IF(OR($B38&lt;Analysis!$C$100, $B38&gt;=Analysis!$C$101),0,IF($B38=Analysis!$C$100,PMT(CO38,CT38,CM38)*CT38-CS38-CQ38,IF(($B38-Analysis!$C$100+1)&lt;LOOKUP(Analysis!$C$100,$B:$B,CT:CT),IF(CU37-CR38&lt;0, CU37-CR38,0),0)))</f>
        <v>0</v>
      </c>
      <c r="CV38" s="1">
        <f>IF($B38=Analysis!$C$100,Analysis!$C$105,0)</f>
        <v>0</v>
      </c>
      <c r="CW38" s="1">
        <f>IF($B38=Analysis!$C$100,PMT(CO38,CX38,CV38)*CX38,0)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29"/>
        <v>0</v>
      </c>
      <c r="DE38" s="1">
        <f t="shared" si="70"/>
        <v>0</v>
      </c>
      <c r="DF38" s="64">
        <f>IF(OR($B38&lt;Analysis!$C$100, $B38&gt;=Analysis!$C$101),0,Analysis!$C$118)</f>
        <v>0</v>
      </c>
      <c r="DG38" s="1">
        <f t="shared" si="71"/>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30"/>
        <v>0</v>
      </c>
      <c r="DS38" s="1">
        <f>MIN(0,-(DB38+DR38)*Analysis!$C$28)-CR38*Analysis!$C$28</f>
        <v>0</v>
      </c>
      <c r="DT38" s="1">
        <f>-Analysis!$C$116*DD38/12</f>
        <v>0</v>
      </c>
      <c r="DU38" s="53"/>
      <c r="DV38" s="1">
        <f t="shared" si="72"/>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52"/>
        <v>0</v>
      </c>
      <c r="EA38" s="53"/>
      <c r="EB38" s="1">
        <f t="shared" si="82"/>
        <v>1959104.8231816303</v>
      </c>
      <c r="EC38" s="64">
        <f t="shared" si="53"/>
        <v>2.941176470588247E-2</v>
      </c>
      <c r="ED38" s="1">
        <f>IF($B38=Analysis!$C$130,(EB38*(1+Analysis!$C$23+Analysis!$C$24+Analysis!$C$25))-(IF($B38=$B$2,(Analysis!$C$6-Analysis!$C$7+Analysis!$C$132), (FU37-Analysis!$C$7+EM38)) + IF($B38=Analysis!$C$101,DZ37+CQ37+CU37+CZ37,0)),0)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$P38+$N38+IF($B38&lt;Analysis!$C$130,$CI38+$CJ38,0)+CP38+CR38+CY38+DE38+DG38+MIN(DI38,SUM(DJ38:DN38))+DQ38+DS38+DT38+EG38+EJ38+EP38+ES38+EU38+MIN(EW38,SUM(EX38:FB38))+FD38</f>
        <v>-83501.191480068621</v>
      </c>
      <c r="FM38" s="1">
        <f>$M38+$R38+DD38+IF(AND($B38&lt;&gt;Analysis!$C$130,$B38=Analysis!$C$101),DZ37+CQ37+CU37+CZ37,0)</f>
        <v>64419.282388200685</v>
      </c>
      <c r="FN38" s="1">
        <f t="shared" si="34"/>
        <v>-19081.909091867936</v>
      </c>
      <c r="FO38" s="1">
        <f>IF(FN38 &lt; 0,
    IF(FO37 + FN38 &gt; 0,
        FO37 + FN38, IF(FT37-ABS(FO37 + FN38)*(1+$V38) &gt;= FO37 + FN38,
        0, FO37 + FN38)),
    MIN(FO37 + FN38, Analysis!$C$7))+IF(FO37&lt;0, FO37*Analysis!$C$9,0)</f>
        <v>-12121.471445570431</v>
      </c>
      <c r="FP38" s="53"/>
      <c r="FQ38" s="1">
        <f t="shared" si="54"/>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60"/>
        <v>0</v>
      </c>
      <c r="FV38" s="36"/>
      <c r="FW38" s="1">
        <f t="shared" si="55"/>
        <v>1178302.176261415</v>
      </c>
      <c r="FX38" s="64">
        <f t="shared" si="56"/>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36"/>
        <v>46847.359933563079</v>
      </c>
      <c r="GQ38" s="1">
        <f t="shared" si="37"/>
        <v>-3534.906528784245</v>
      </c>
      <c r="GR38" s="64">
        <f>IF($B38&lt;Analysis!$C$159,0,Analysis!$C$178)</f>
        <v>3.0000000000000001E-3</v>
      </c>
      <c r="GS38" s="1">
        <f t="shared" si="38"/>
        <v>-8837.2663219606129</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-2951.4340053584124</v>
      </c>
      <c r="HD38" s="1">
        <f t="shared" si="39"/>
        <v>-27583.60685610327</v>
      </c>
      <c r="HE38" s="1">
        <f>MIN(0,-(GN38+HD38)*Analysis!$C$28)-GE38*Analysis!$C$28</f>
        <v>-5214.7759057181411</v>
      </c>
      <c r="HF38" s="1">
        <f>-Analysis!$C$176*GP38/12</f>
        <v>-3903.9466611302564</v>
      </c>
      <c r="HG38" s="38"/>
      <c r="HH38" s="1">
        <f>IF($B38&lt;Analysis!$C$159,0,-$HI38*$FW38)</f>
        <v>-150233.52747333041</v>
      </c>
      <c r="HI38" s="64">
        <f>IF($B38&lt;Analysis!$C$159,0,IF($B38=Analysis!$C$159,Analysis!$C$31,HI37))</f>
        <v>0.1275</v>
      </c>
      <c r="HJ38" s="1">
        <f>IF($B38&lt;Analysis!$C$159,0,$FW38+HH38)</f>
        <v>1028068.6487880846</v>
      </c>
      <c r="HK38" s="1">
        <f>IF($B38-Analysis!$C$159&gt;10,0,IF($FW38&gt;LOOKUP(Analysis!$C$159,$B:$B, FW:FW),$V38*(LOOKUP(Analysis!$C$159,$B:$B, FW:FW)-FW38),0))</f>
        <v>0</v>
      </c>
      <c r="HL38" s="1">
        <f t="shared" si="40"/>
        <v>1028068.6487880846</v>
      </c>
      <c r="HM38" s="38"/>
      <c r="HN38" s="1">
        <f t="shared" si="41"/>
        <v>-125336.56188555603</v>
      </c>
      <c r="HO38" s="1">
        <f t="shared" si="73"/>
        <v>111266.64232176376</v>
      </c>
      <c r="HP38" s="1">
        <f t="shared" si="42"/>
        <v>-14069.919563792268</v>
      </c>
      <c r="HQ38" s="1">
        <f>IF(HP38 &lt; 0,
    IF(HQ37 + HP38 &gt; 0,
        HQ37 + HP38, IF(HV37-ABS(HQ37 + HP38)*(1+$V38) &gt;= HQ37 + HP38,
        0, HQ37 + HP38)),
    MIN(HQ37 + HP38, Analysis!$C$7))+IF(HQ37&lt;0, HQ37*Analysis!$C$9,0)</f>
        <v>0</v>
      </c>
      <c r="HR38" s="38"/>
      <c r="HS38" s="1">
        <f t="shared" si="57"/>
        <v>30380.083615597916</v>
      </c>
      <c r="HT38" s="1">
        <f>IF($B38=Analysis!$C$159,0,IF(HP38 &gt;= 0,
    MAX(0, HQ37 + HP38 - Analysis!$C$7),
    0))</f>
        <v>0</v>
      </c>
      <c r="HU38" s="1">
        <f>IF($B38=Analysis!$C$159,0,MAX(0, HU37 + HT38 - IF(HP38 &lt; 0, MIN(ABS(HP38), HU37 + HT38), 0)))</f>
        <v>916369.73324043595</v>
      </c>
      <c r="HV38" s="1">
        <f>IF($B38=Analysis!$C$159,0,IF(HP38 &lt; 0,
    IF(HP38 + HQ37 &lt; 0,
        MAX(0, HV37 - (ABS(HP38 + HQ37) * (1+$V37))),
        HV37 + HS38),
    HV37 + HT38 + HS38))</f>
        <v>1546956.0955650988</v>
      </c>
      <c r="HW38" s="1">
        <f t="shared" si="61"/>
        <v>1380638.9425019689</v>
      </c>
      <c r="HX38" s="36"/>
    </row>
    <row r="39" spans="1:232" x14ac:dyDescent="0.35">
      <c r="A39">
        <f t="shared" si="0"/>
        <v>72</v>
      </c>
      <c r="B39">
        <v>2062</v>
      </c>
      <c r="C39" s="1">
        <f>IF($B39&lt;Analysis!C$66,0,$AN39)+$AT39+$AW39+$BC39+$CF39+$CA39</f>
        <v>1679564.5942990659</v>
      </c>
      <c r="D39" s="1">
        <f>IF($B39&lt;Analysis!C$66, 0, BV39)+AT39+AW39+BC39+CG39+CA39</f>
        <v>1422432.0862564766</v>
      </c>
      <c r="E39" s="1">
        <f t="shared" si="13"/>
        <v>2124863.2536664922</v>
      </c>
      <c r="F39" s="1">
        <f t="shared" si="14"/>
        <v>1830526.1267698945</v>
      </c>
      <c r="G39" s="1">
        <f>IF(AND($B39&gt;=Analysis!$C$100, $B39&lt;Analysis!$C$101),$CK39,0)+IF($B39&gt;=Analysis!$C$130,EB39,0)+CQ39+CU39+CZ39+EH39+EK39+EQ39+$FO39+$FT39</f>
        <v>1940005.1984321915</v>
      </c>
      <c r="H39" s="1">
        <f t="shared" si="64"/>
        <v>1652911.9686241597</v>
      </c>
      <c r="I39" s="1">
        <f>IF($B39&lt;Analysis!$C$159,0,$FW39)+$GC39+$GF39+$GL39+$HQ39+$HV39</f>
        <v>2739329.4410187062</v>
      </c>
      <c r="J39" s="1">
        <f t="shared" si="65"/>
        <v>2419493.2317529125</v>
      </c>
      <c r="K39" s="36"/>
      <c r="L39" s="1">
        <f t="shared" si="74"/>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4"/>
        <v>0</v>
      </c>
      <c r="R39" s="1">
        <f>IF(AND(AND(B39=Analysis!C$35,Analysis!C$34&lt;&gt;0),AND(B39=Analysis!C$37,Analysis!C$36&lt;&gt;0)),Analysis!C$34+Analysis!C$36,IF(AND(B39=Analysis!C$35,Analysis!C$34&lt;&gt;0),Analysis!C$34,IF(AND(B39=Analysis!C$37,Analysis!C$36&lt;&gt;0),Analysis!C$36,0)))</f>
        <v>0</v>
      </c>
      <c r="S39" s="64">
        <f t="shared" si="6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63"/>
        <v>0.26374999999999998</v>
      </c>
      <c r="W39" s="36"/>
      <c r="X39" s="1">
        <f t="shared" si="75"/>
        <v>-46297.004005622141</v>
      </c>
      <c r="Y39" s="64">
        <f t="shared" si="76"/>
        <v>2.941176470588247E-2</v>
      </c>
      <c r="Z39" s="1">
        <f t="shared" si="19"/>
        <v>-3960</v>
      </c>
      <c r="AA39" s="64">
        <f t="shared" si="77"/>
        <v>0</v>
      </c>
      <c r="AB39" s="40"/>
      <c r="AC39" s="1">
        <f t="shared" si="66"/>
        <v>-98257.004005622148</v>
      </c>
      <c r="AD39" s="1">
        <f t="shared" si="67"/>
        <v>63130.89674043667</v>
      </c>
      <c r="AE39" s="1">
        <f t="shared" si="21"/>
        <v>-35126.107265185477</v>
      </c>
      <c r="AF39" s="1">
        <f>IF(AE39 &lt; 0,
    IF(AF38 + AE39 &gt; 0,
        AF38 + AE39, IF(AK38-ABS(AF38 + AE39)*(1+$V39) &gt;= AF38 + AE39,
        0, AF38 + AE39)),
    MIN(AF38 + AE39, Analysis!$C$7))+IF(AF38&lt;0, AF38*Analysis!$C$9,0)</f>
        <v>0</v>
      </c>
      <c r="AG39" s="40"/>
      <c r="AH39" s="1">
        <f t="shared" si="78"/>
        <v>42534.389641624759</v>
      </c>
      <c r="AI39" s="1">
        <f>IF(AE39 &gt;= 0,
    MAX(0, AF38 + AE39 - Analysis!$C$7),
    0)</f>
        <v>0</v>
      </c>
      <c r="AJ39" s="1">
        <f t="shared" si="46"/>
        <v>1008893.1042955059</v>
      </c>
      <c r="AK39" s="1">
        <f t="shared" si="79"/>
        <v>2124863.2536664922</v>
      </c>
      <c r="AL39" s="1">
        <f t="shared" si="68"/>
        <v>1830526.1267698945</v>
      </c>
      <c r="AM39" s="36"/>
      <c r="AN39" s="1">
        <f t="shared" si="47"/>
        <v>2016725.553275208</v>
      </c>
      <c r="AO39" s="64">
        <f t="shared" si="80"/>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-6050.1766598256245</v>
      </c>
      <c r="BF39" s="64">
        <f>IF($B39&lt;Analysis!$C$66,0,Analysis!$C$78)</f>
        <v>3.0000000000000001E-3</v>
      </c>
      <c r="BG39" s="1">
        <f>IF($B39&lt;Analysis!$C$66,0,-BH39*AN39)</f>
        <v>-15125.44164956406</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5"/>
        <v>-257132.50804258903</v>
      </c>
      <c r="BS39" s="64">
        <f>IF($B39&lt;Analysis!C$66,0,Analysis!C$31)</f>
        <v>0.1275</v>
      </c>
      <c r="BT39" s="1">
        <f>IF($B39&lt;Analysis!$C$66,0,AN39+BR39)</f>
        <v>1759593.0452326189</v>
      </c>
      <c r="BU39" s="1">
        <f>IF($B39-Analysis!$C$66&gt;3,0,IF($AN39&gt;LOOKUP(Analysis!$C$66,$B:$B, AN:AN),$V39*(LOOKUP(Analysis!$C$66,$B:$B, AN:AN)-AN39),0))</f>
        <v>0</v>
      </c>
      <c r="BV39" s="1">
        <f t="shared" si="26"/>
        <v>1759593.0452326189</v>
      </c>
      <c r="BW39" s="42"/>
      <c r="BX39" s="1">
        <f>IF($B39&lt;Analysis!$C$66,$P39+$N39+$X39+$Z39,$P39+$N39+AS39+AV39+BB39+BE39+BG39+MAX(BI39,SUM(BJ39:BN39))+BP39)</f>
        <v>-73135.618309389683</v>
      </c>
      <c r="BY39" s="1">
        <f t="shared" si="69"/>
        <v>63130.89674043667</v>
      </c>
      <c r="BZ39" s="1">
        <f t="shared" si="48"/>
        <v>-10004.721568953013</v>
      </c>
      <c r="CA39" s="1">
        <f>IF(BZ39 &lt; 0,
    IF(CA38 + BZ39 &gt; 0,
        CA38 + BZ39, IF(CF38-ABS(CA38 + BZ39)*(1+$V39) &gt;= CA38 + BZ39,
        0, CA38 + BZ39)),
    MIN(CA38 + BZ39, Analysis!$C$7))+IF(CA38&lt;0, CA38*Analysis!$C$9,0)</f>
        <v>-337160.95897614222</v>
      </c>
      <c r="CB39" s="42"/>
      <c r="CC39" s="1">
        <f t="shared" si="49"/>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8"/>
        <v>0</v>
      </c>
      <c r="CH39" s="36"/>
      <c r="CI39" s="1">
        <f>IF(OR($B39&lt;Analysis!$C$100, $B39&gt;=Analysis!$C$130),0,X39)</f>
        <v>0</v>
      </c>
      <c r="CJ39" s="1">
        <f>IF(OR($B39&lt;Analysis!$C$100, $B39&gt;=Analysis!$C$130),0,Z39)</f>
        <v>0</v>
      </c>
      <c r="CK39" s="1">
        <f t="shared" si="81"/>
        <v>1212958.122622045</v>
      </c>
      <c r="CL39" s="64">
        <f t="shared" si="51"/>
        <v>2.941176470588247E-2</v>
      </c>
      <c r="CM39" s="1">
        <f>IF($B39=Analysis!$C$100,(CK39*(1+Analysis!$C$23+Analysis!$C$24+Analysis!$C$25))-IF($B39=$B$2,(Analysis!$C$6-Analysis!$C$7+Analysis!$C$105), (FU38-Analysis!$C$7+CV39)),0)</f>
        <v>0</v>
      </c>
      <c r="CN39" s="64">
        <f>IF($B39=Analysis!$C$100,Analysis!$C$103,0)</f>
        <v>0</v>
      </c>
      <c r="CO39" s="64">
        <f>IF(OR($B39&lt;Analysis!$C$100, $B39&gt;=Analysis!$C$101),0,IF($B39=Analysis!$C$100,Analysis!$C$102,IF(($B39-Analysis!$C$100)&lt;LOOKUP(Analysis!$C$100,$B:$B,CT:CT),CO38,0)))</f>
        <v>0</v>
      </c>
      <c r="CP39" s="1">
        <f>IF(OR($B39&lt;Analysis!$C$100, $B39&gt;=Analysis!$C$101),0,IF($B39=Analysis!$C$100,-CM39*CN39,IF(CS39&gt;=0,0,CS39-CR39)))</f>
        <v>0</v>
      </c>
      <c r="CQ39" s="1">
        <f>IF(OR($B39&lt;Analysis!$C$100, $B39&gt;=Analysis!$C$101),0,IF($B39=Analysis!$C$100,-CM39-CP39,MIN(0,CQ38-CP39)))</f>
        <v>0</v>
      </c>
      <c r="CR39" s="1">
        <f>IF(OR($B39&lt;Analysis!$C$100, $B39&gt;=Analysis!$C$101),0,IF($B39=Analysis!$C$100,-CO39*CM39,CO38*CQ38))</f>
        <v>0</v>
      </c>
      <c r="CS39" s="1">
        <f>IF(OR($B39&lt;Analysis!$C$100, $B39&gt;=Analysis!$C$101),0,IF($B39=Analysis!$C$100,CP39+CR39,IF(CQ38&lt;0,IF(CQ38&gt;LOOKUP(Analysis!$C$100,$B:$B,CS:CS), CQ38*(1+CO38),CS38),0)))</f>
        <v>0</v>
      </c>
      <c r="CT39" s="65">
        <f>IF($B39=Analysis!$C$100,NPER(CO39,-CS39,-CM39),0)</f>
        <v>0</v>
      </c>
      <c r="CU39" s="1">
        <f>IF(OR($B39&lt;Analysis!$C$100, $B39&gt;=Analysis!$C$101),0,IF($B39=Analysis!$C$100,PMT(CO39,CT39,CM39)*CT39-CS39-CQ39,IF(($B39-Analysis!$C$100+1)&lt;LOOKUP(Analysis!$C$100,$B:$B,CT:CT),IF(CU38-CR39&lt;0, CU38-CR39,0),0)))</f>
        <v>0</v>
      </c>
      <c r="CV39" s="1">
        <f>IF($B39=Analysis!$C$100,Analysis!$C$105,0)</f>
        <v>0</v>
      </c>
      <c r="CW39" s="1">
        <f>IF($B39=Analysis!$C$100,PMT(CO39,CX39,CV39)*CX39,0)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29"/>
        <v>0</v>
      </c>
      <c r="DE39" s="1">
        <f t="shared" si="70"/>
        <v>0</v>
      </c>
      <c r="DF39" s="64">
        <f>IF(OR($B39&lt;Analysis!$C$100, $B39&gt;=Analysis!$C$101),0,Analysis!$C$118)</f>
        <v>0</v>
      </c>
      <c r="DG39" s="1">
        <f t="shared" si="71"/>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30"/>
        <v>0</v>
      </c>
      <c r="DS39" s="1">
        <f>MIN(0,-(DB39+DR39)*Analysis!$C$28)-CR39*Analysis!$C$28</f>
        <v>0</v>
      </c>
      <c r="DT39" s="1">
        <f>-Analysis!$C$116*DD39/12</f>
        <v>0</v>
      </c>
      <c r="DU39" s="53"/>
      <c r="DV39" s="1">
        <f t="shared" si="72"/>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52"/>
        <v>0</v>
      </c>
      <c r="EA39" s="53"/>
      <c r="EB39" s="1">
        <f t="shared" si="82"/>
        <v>2016725.553275208</v>
      </c>
      <c r="EC39" s="64">
        <f t="shared" si="53"/>
        <v>2.941176470588247E-2</v>
      </c>
      <c r="ED39" s="1">
        <f>IF($B39=Analysis!$C$130,(EB39*(1+Analysis!$C$23+Analysis!$C$24+Analysis!$C$25))-(IF($B39=$B$2,(Analysis!$C$6-Analysis!$C$7+Analysis!$C$132), (FU38-Analysis!$C$7+EM39)) + IF($B39=Analysis!$C$101,DZ38+CQ38+CU38+CZ38,0)),0)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$P39+$N39+IF($B39&lt;Analysis!$C$130,$CI39+$CJ39,0)+CP39+CR39+CY39+DE39+DG39+MIN(DI39,SUM(DJ39:DN39))+DQ39+DS39+DT39+EG39+EJ39+EP39+ES39+EU39+MIN(EW39,SUM(EX39:FB39))+FD39</f>
        <v>-84250.260971285126</v>
      </c>
      <c r="FM39" s="1">
        <f>$M39+$R39+DD39+IF(AND($B39&lt;&gt;Analysis!$C$130,$B39=Analysis!$C$101),DZ38+CQ38+CU38+CZ38,0)</f>
        <v>63130.89674043667</v>
      </c>
      <c r="FN39" s="1">
        <f t="shared" si="34"/>
        <v>-21119.364230848456</v>
      </c>
      <c r="FO39" s="1">
        <f>IF(FN39 &lt; 0,
    IF(FO38 + FN39 &gt; 0,
        FO38 + FN39, IF(FT38-ABS(FO38 + FN39)*(1+$V39) &gt;= FO38 + FN39,
        0, FO38 + FN39)),
    MIN(FO38 + FN39, Analysis!$C$7))+IF(FO38&lt;0, FO38*Analysis!$C$9,0)</f>
        <v>-34210.553392064518</v>
      </c>
      <c r="FP39" s="53"/>
      <c r="FQ39" s="1">
        <f t="shared" si="54"/>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60"/>
        <v>0</v>
      </c>
      <c r="FV39" s="36"/>
      <c r="FW39" s="1">
        <f t="shared" si="55"/>
        <v>1212958.122622045</v>
      </c>
      <c r="FX39" s="64">
        <f t="shared" si="56"/>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36"/>
        <v>48108.752872785524</v>
      </c>
      <c r="GQ39" s="1">
        <f t="shared" si="37"/>
        <v>-3638.8743678661349</v>
      </c>
      <c r="GR39" s="64">
        <f>IF($B39&lt;Analysis!$C$159,0,Analysis!$C$178)</f>
        <v>3.0000000000000001E-3</v>
      </c>
      <c r="GS39" s="1">
        <f t="shared" si="38"/>
        <v>-9097.1859196653368</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-3038.2408878689544</v>
      </c>
      <c r="HD39" s="1">
        <f t="shared" si="39"/>
        <v>-28034.301175400426</v>
      </c>
      <c r="HE39" s="1">
        <f>MIN(0,-(GN39+HD39)*Analysis!$C$28)-GE39*Analysis!$C$28</f>
        <v>-5527.9283147098522</v>
      </c>
      <c r="HF39" s="1">
        <f>-Analysis!$C$176*GP39/12</f>
        <v>-4009.0627393987938</v>
      </c>
      <c r="HG39" s="38"/>
      <c r="HH39" s="1">
        <f>IF($B39&lt;Analysis!$C$159,0,-$HI39*$FW39)</f>
        <v>-154652.16063431074</v>
      </c>
      <c r="HI39" s="64">
        <f>IF($B39&lt;Analysis!$C$159,0,IF($B39=Analysis!$C$159,Analysis!$C$31,HI38))</f>
        <v>0.1275</v>
      </c>
      <c r="HJ39" s="1">
        <f>IF($B39&lt;Analysis!$C$159,0,$FW39+HH39)</f>
        <v>1058305.9619877343</v>
      </c>
      <c r="HK39" s="1">
        <f>IF($B39-Analysis!$C$159&gt;10,0,IF($FW39&gt;LOOKUP(Analysis!$C$159,$B:$B, FW:FW),$V39*(LOOKUP(Analysis!$C$159,$B:$B, FW:FW)-FW39),0))</f>
        <v>0</v>
      </c>
      <c r="HL39" s="1">
        <f t="shared" si="40"/>
        <v>1058305.9619877343</v>
      </c>
      <c r="HM39" s="38"/>
      <c r="HN39" s="1">
        <f t="shared" si="41"/>
        <v>-127528.29623513123</v>
      </c>
      <c r="HO39" s="1">
        <f t="shared" si="73"/>
        <v>111239.64961322219</v>
      </c>
      <c r="HP39" s="1">
        <f t="shared" si="42"/>
        <v>-16288.646621909036</v>
      </c>
      <c r="HQ39" s="1">
        <f>IF(HP39 &lt; 0,
    IF(HQ38 + HP39 &gt; 0,
        HQ38 + HP39, IF(HV38-ABS(HQ38 + HP39)*(1+$V39) &gt;= HQ38 + HP39,
        0, HQ38 + HP39)),
    MIN(HQ38 + HP39, Analysis!$C$7))+IF(HQ38&lt;0, HQ38*Analysis!$C$9,0)</f>
        <v>0</v>
      </c>
      <c r="HR39" s="38"/>
      <c r="HS39" s="1">
        <f t="shared" si="57"/>
        <v>30332.472462060654</v>
      </c>
      <c r="HT39" s="1">
        <f>IF($B39=Analysis!$C$159,0,IF(HP39 &gt;= 0,
    MAX(0, HQ38 + HP39 - Analysis!$C$7),
    0))</f>
        <v>0</v>
      </c>
      <c r="HU39" s="1">
        <f>IF($B39=Analysis!$C$159,0,MAX(0, HU38 + HT39 - IF(HP39 &lt; 0, MIN(ABS(HP39), HU38 + HT39), 0)))</f>
        <v>900081.08661852696</v>
      </c>
      <c r="HV39" s="1">
        <f>IF($B39=Analysis!$C$159,0,IF(HP39 &lt; 0,
    IF(HP39 + HQ38 &lt; 0,
        MAX(0, HV38 - (ABS(HP39 + HQ38) * (1+$V38))),
        HV38 + HS39),
    HV38 + HT39 + HS39))</f>
        <v>1526371.3183966612</v>
      </c>
      <c r="HW39" s="1">
        <f t="shared" si="61"/>
        <v>1361187.2697651782</v>
      </c>
      <c r="HX39" s="36"/>
    </row>
    <row r="40" spans="1:232" x14ac:dyDescent="0.35">
      <c r="A40">
        <f t="shared" si="0"/>
        <v>73</v>
      </c>
      <c r="B40">
        <v>2063</v>
      </c>
      <c r="C40" s="1">
        <f>IF($B40&lt;Analysis!C$66,0,$AN40)+$AT40+$AW40+$BC40+$CF40+$CA40</f>
        <v>1700017.0232232665</v>
      </c>
      <c r="D40" s="1">
        <f>IF($B40&lt;Analysis!C$66, 0, BV40)+AT40+AW40+BC40+CG40+CA40</f>
        <v>1435321.7943558954</v>
      </c>
      <c r="E40" s="1">
        <f t="shared" si="13"/>
        <v>2077156.1834064082</v>
      </c>
      <c r="F40" s="1">
        <f t="shared" si="14"/>
        <v>1785445.1278192187</v>
      </c>
      <c r="G40" s="1">
        <f>IF(AND($B40&gt;=Analysis!$C$100, $B40&lt;Analysis!$C$101),$CK40,0)+IF($B40&gt;=Analysis!$C$130,EB40,0)+CQ40+CU40+CZ40+EH40+EK40+EQ40+$FO40+$FT40</f>
        <v>1979503.5572763071</v>
      </c>
      <c r="H40" s="1">
        <f t="shared" si="64"/>
        <v>1669203.1547412481</v>
      </c>
      <c r="I40" s="1">
        <f>IF($B40&lt;Analysis!$C$159,0,$FW40)+$GC40+$GF40+$GL40+$HQ40+$HV40</f>
        <v>2751613.9704091363</v>
      </c>
      <c r="J40" s="1">
        <f t="shared" si="65"/>
        <v>2428516.727256339</v>
      </c>
      <c r="K40" s="36"/>
      <c r="L40" s="1">
        <f t="shared" si="74"/>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4"/>
        <v>0</v>
      </c>
      <c r="R40" s="1">
        <f>IF(AND(AND(B40=Analysis!C$35,Analysis!C$34&lt;&gt;0),AND(B40=Analysis!C$37,Analysis!C$36&lt;&gt;0)),Analysis!C$34+Analysis!C$36,IF(AND(B40=Analysis!C$35,Analysis!C$34&lt;&gt;0),Analysis!C$34,IF(AND(B40=Analysis!C$37,Analysis!C$36&lt;&gt;0),Analysis!C$36,0)))</f>
        <v>0</v>
      </c>
      <c r="S40" s="64">
        <f t="shared" si="6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63"/>
        <v>0.26374999999999998</v>
      </c>
      <c r="W40" s="36"/>
      <c r="X40" s="1">
        <f t="shared" si="75"/>
        <v>-47658.680594022801</v>
      </c>
      <c r="Y40" s="64">
        <f t="shared" si="76"/>
        <v>2.941176470588247E-2</v>
      </c>
      <c r="Z40" s="1">
        <f t="shared" si="19"/>
        <v>-3960</v>
      </c>
      <c r="AA40" s="64">
        <f t="shared" si="77"/>
        <v>0</v>
      </c>
      <c r="AB40" s="40"/>
      <c r="AC40" s="1">
        <f t="shared" si="66"/>
        <v>-99618.680594022793</v>
      </c>
      <c r="AD40" s="1">
        <f t="shared" si="67"/>
        <v>61868.278805627939</v>
      </c>
      <c r="AE40" s="1">
        <f t="shared" si="21"/>
        <v>-37750.401788394855</v>
      </c>
      <c r="AF40" s="1">
        <f>IF(AE40 &lt; 0,
    IF(AF39 + AE40 &gt; 0,
        AF39 + AE40, IF(AK39-ABS(AF39 + AE40)*(1+$V40) &gt;= AF39 + AE40,
        0, AF39 + AE40)),
    MIN(AF39 + AE40, Analysis!$C$7))+IF(AF39&lt;0, AF39*Analysis!$C$9,0)</f>
        <v>0</v>
      </c>
      <c r="AG40" s="40"/>
      <c r="AH40" s="1">
        <f t="shared" si="78"/>
        <v>41663.985366009503</v>
      </c>
      <c r="AI40" s="1">
        <f>IF(AE40 &gt;= 0,
    MAX(0, AF39 + AE40 - Analysis!$C$7),
    0)</f>
        <v>0</v>
      </c>
      <c r="AJ40" s="1">
        <f t="shared" si="46"/>
        <v>971142.70250711101</v>
      </c>
      <c r="AK40" s="1">
        <f t="shared" si="79"/>
        <v>2077156.1834064082</v>
      </c>
      <c r="AL40" s="1">
        <f t="shared" si="68"/>
        <v>1785445.1278192187</v>
      </c>
      <c r="AM40" s="36"/>
      <c r="AN40" s="1">
        <f t="shared" si="47"/>
        <v>2076041.0107244791</v>
      </c>
      <c r="AO40" s="64">
        <f t="shared" si="80"/>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-6228.1230321734374</v>
      </c>
      <c r="BF40" s="64">
        <f>IF($B40&lt;Analysis!$C$66,0,Analysis!$C$78)</f>
        <v>3.0000000000000001E-3</v>
      </c>
      <c r="BG40" s="1">
        <f>IF($B40&lt;Analysis!$C$66,0,-BH40*AN40)</f>
        <v>-15570.307580433593</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5"/>
        <v>-264695.2288673711</v>
      </c>
      <c r="BS40" s="64">
        <f>IF($B40&lt;Analysis!C$66,0,Analysis!C$31)</f>
        <v>0.1275</v>
      </c>
      <c r="BT40" s="1">
        <f>IF($B40&lt;Analysis!$C$66,0,AN40+BR40)</f>
        <v>1811345.781857108</v>
      </c>
      <c r="BU40" s="1">
        <f>IF($B40-Analysis!$C$66&gt;3,0,IF($AN40&gt;LOOKUP(Analysis!$C$66,$B:$B, AN:AN),$V40*(LOOKUP(Analysis!$C$66,$B:$B, AN:AN)-AN40),0))</f>
        <v>0</v>
      </c>
      <c r="BV40" s="1">
        <f t="shared" si="26"/>
        <v>1811345.781857108</v>
      </c>
      <c r="BW40" s="42"/>
      <c r="BX40" s="1">
        <f>IF($B40&lt;Analysis!$C$66,$P40+$N40+$X40+$Z40,$P40+$N40+AS40+AV40+BB40+BE40+BG40+MAX(BI40,SUM(BJ40:BN40))+BP40)</f>
        <v>-73758.43061260703</v>
      </c>
      <c r="BY40" s="1">
        <f t="shared" si="69"/>
        <v>61868.278805627939</v>
      </c>
      <c r="BZ40" s="1">
        <f t="shared" si="48"/>
        <v>-11890.151806979091</v>
      </c>
      <c r="CA40" s="1">
        <f>IF(BZ40 &lt; 0,
    IF(CA39 + BZ40 &gt; 0,
        CA39 + BZ40, IF(CF39-ABS(CA39 + BZ40)*(1+$V40) &gt;= CA39 + BZ40,
        0, CA39 + BZ40)),
    MIN(CA39 + BZ40, Analysis!$C$7))+IF(CA39&lt;0, CA39*Analysis!$C$9,0)</f>
        <v>-376023.98750121269</v>
      </c>
      <c r="CB40" s="42"/>
      <c r="CC40" s="1">
        <f t="shared" si="49"/>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8"/>
        <v>0</v>
      </c>
      <c r="CH40" s="36"/>
      <c r="CI40" s="1">
        <f>IF(OR($B40&lt;Analysis!$C$100, $B40&gt;=Analysis!$C$130),0,X40)</f>
        <v>0</v>
      </c>
      <c r="CJ40" s="1">
        <f>IF(OR($B40&lt;Analysis!$C$100, $B40&gt;=Analysis!$C$130),0,Z40)</f>
        <v>0</v>
      </c>
      <c r="CK40" s="1">
        <f t="shared" si="81"/>
        <v>1248633.3615226934</v>
      </c>
      <c r="CL40" s="64">
        <f t="shared" si="51"/>
        <v>2.941176470588247E-2</v>
      </c>
      <c r="CM40" s="1">
        <f>IF($B40=Analysis!$C$100,(CK40*(1+Analysis!$C$23+Analysis!$C$24+Analysis!$C$25))-IF($B40=$B$2,(Analysis!$C$6-Analysis!$C$7+Analysis!$C$105), (FU39-Analysis!$C$7+CV40)),0)</f>
        <v>0</v>
      </c>
      <c r="CN40" s="64">
        <f>IF($B40=Analysis!$C$100,Analysis!$C$103,0)</f>
        <v>0</v>
      </c>
      <c r="CO40" s="64">
        <f>IF(OR($B40&lt;Analysis!$C$100, $B40&gt;=Analysis!$C$101),0,IF($B40=Analysis!$C$100,Analysis!$C$102,IF(($B40-Analysis!$C$100)&lt;LOOKUP(Analysis!$C$100,$B:$B,CT:CT),CO39,0)))</f>
        <v>0</v>
      </c>
      <c r="CP40" s="1">
        <f>IF(OR($B40&lt;Analysis!$C$100, $B40&gt;=Analysis!$C$101),0,IF($B40=Analysis!$C$100,-CM40*CN40,IF(CS40&gt;=0,0,CS40-CR40)))</f>
        <v>0</v>
      </c>
      <c r="CQ40" s="1">
        <f>IF(OR($B40&lt;Analysis!$C$100, $B40&gt;=Analysis!$C$101),0,IF($B40=Analysis!$C$100,-CM40-CP40,MIN(0,CQ39-CP40)))</f>
        <v>0</v>
      </c>
      <c r="CR40" s="1">
        <f>IF(OR($B40&lt;Analysis!$C$100, $B40&gt;=Analysis!$C$101),0,IF($B40=Analysis!$C$100,-CO40*CM40,CO39*CQ39))</f>
        <v>0</v>
      </c>
      <c r="CS40" s="1">
        <f>IF(OR($B40&lt;Analysis!$C$100, $B40&gt;=Analysis!$C$101),0,IF($B40=Analysis!$C$100,CP40+CR40,IF(CQ39&lt;0,IF(CQ39&gt;LOOKUP(Analysis!$C$100,$B:$B,CS:CS), CQ39*(1+CO39),CS39),0)))</f>
        <v>0</v>
      </c>
      <c r="CT40" s="65">
        <f>IF($B40=Analysis!$C$100,NPER(CO40,-CS40,-CM40),0)</f>
        <v>0</v>
      </c>
      <c r="CU40" s="1">
        <f>IF(OR($B40&lt;Analysis!$C$100, $B40&gt;=Analysis!$C$101),0,IF($B40=Analysis!$C$100,PMT(CO40,CT40,CM40)*CT40-CS40-CQ40,IF(($B40-Analysis!$C$100+1)&lt;LOOKUP(Analysis!$C$100,$B:$B,CT:CT),IF(CU39-CR40&lt;0, CU39-CR40,0),0)))</f>
        <v>0</v>
      </c>
      <c r="CV40" s="1">
        <f>IF($B40=Analysis!$C$100,Analysis!$C$105,0)</f>
        <v>0</v>
      </c>
      <c r="CW40" s="1">
        <f>IF($B40=Analysis!$C$100,PMT(CO40,CX40,CV40)*CX40,0)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29"/>
        <v>0</v>
      </c>
      <c r="DE40" s="1">
        <f t="shared" si="70"/>
        <v>0</v>
      </c>
      <c r="DF40" s="64">
        <f>IF(OR($B40&lt;Analysis!$C$100, $B40&gt;=Analysis!$C$101),0,Analysis!$C$118)</f>
        <v>0</v>
      </c>
      <c r="DG40" s="1">
        <f t="shared" si="71"/>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30"/>
        <v>0</v>
      </c>
      <c r="DS40" s="1">
        <f>MIN(0,-(DB40+DR40)*Analysis!$C$28)-CR40*Analysis!$C$28</f>
        <v>0</v>
      </c>
      <c r="DT40" s="1">
        <f>-Analysis!$C$116*DD40/12</f>
        <v>0</v>
      </c>
      <c r="DU40" s="53"/>
      <c r="DV40" s="1">
        <f t="shared" si="72"/>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52"/>
        <v>0</v>
      </c>
      <c r="EA40" s="53"/>
      <c r="EB40" s="1">
        <f t="shared" si="82"/>
        <v>2076041.0107244791</v>
      </c>
      <c r="EC40" s="64">
        <f t="shared" si="53"/>
        <v>2.941176470588247E-2</v>
      </c>
      <c r="ED40" s="1">
        <f>IF($B40=Analysis!$C$130,(EB40*(1+Analysis!$C$23+Analysis!$C$24+Analysis!$C$25))-(IF($B40=$B$2,(Analysis!$C$6-Analysis!$C$7+Analysis!$C$132), (FU39-Analysis!$C$7+EM40)) + IF($B40=Analysis!$C$101,DZ39+CQ39+CU39+CZ39,0)),0)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$P40+$N40+IF($B40&lt;Analysis!$C$130,$CI40+$CJ40,0)+CP40+CR40+CY40+DE40+DG40+MIN(DI40,SUM(DJ40:DN40))+DQ40+DS40+DT40+EG40+EJ40+EP40+ES40+EU40+MIN(EW40,SUM(EX40:FB40))+FD40</f>
        <v>-85021.361918125651</v>
      </c>
      <c r="FM40" s="1">
        <f>$M40+$R40+DD40+IF(AND($B40&lt;&gt;Analysis!$C$130,$B40=Analysis!$C$101),DZ39+CQ39+CU39+CZ39,0)</f>
        <v>61868.278805627939</v>
      </c>
      <c r="FN40" s="1">
        <f t="shared" si="34"/>
        <v>-23153.083112497712</v>
      </c>
      <c r="FO40" s="1">
        <f>IF(FN40 &lt; 0,
    IF(FO39 + FN40 &gt; 0,
        FO39 + FN40, IF(FT39-ABS(FO39 + FN40)*(1+$V40) &gt;= FO39 + FN40,
        0, FO39 + FN40)),
    MIN(FO39 + FN40, Analysis!$C$7))+IF(FO39&lt;0, FO39*Analysis!$C$9,0)</f>
        <v>-60100.48077592739</v>
      </c>
      <c r="FP40" s="53"/>
      <c r="FQ40" s="1">
        <f t="shared" si="54"/>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60"/>
        <v>0</v>
      </c>
      <c r="FV40" s="36"/>
      <c r="FW40" s="1">
        <f t="shared" si="55"/>
        <v>1248633.3615226934</v>
      </c>
      <c r="FX40" s="64">
        <f t="shared" si="56"/>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36"/>
        <v>49407.245604338044</v>
      </c>
      <c r="GQ40" s="1">
        <f t="shared" si="37"/>
        <v>-3745.9000845680803</v>
      </c>
      <c r="GR40" s="64">
        <f>IF($B40&lt;Analysis!$C$159,0,Analysis!$C$178)</f>
        <v>3.0000000000000001E-3</v>
      </c>
      <c r="GS40" s="1">
        <f t="shared" si="38"/>
        <v>-9364.7502114201998</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-3127.6009139827474</v>
      </c>
      <c r="HD40" s="1">
        <f t="shared" si="39"/>
        <v>-28498.251209971026</v>
      </c>
      <c r="HE40" s="1">
        <f>MIN(0,-(GN40+HD40)*Analysis!$C$28)-GE40*Analysis!$C$28</f>
        <v>-5850.2910886719092</v>
      </c>
      <c r="HF40" s="1">
        <f>-Analysis!$C$176*GP40/12</f>
        <v>-4117.2704670281701</v>
      </c>
      <c r="HG40" s="38"/>
      <c r="HH40" s="1">
        <f>IF($B40&lt;Analysis!$C$159,0,-$HI40*$FW40)</f>
        <v>-159200.7535941434</v>
      </c>
      <c r="HI40" s="64">
        <f>IF($B40&lt;Analysis!$C$159,0,IF($B40=Analysis!$C$159,Analysis!$C$31,HI39))</f>
        <v>0.1275</v>
      </c>
      <c r="HJ40" s="1">
        <f>IF($B40&lt;Analysis!$C$159,0,$FW40+HH40)</f>
        <v>1089432.6079285501</v>
      </c>
      <c r="HK40" s="1">
        <f>IF($B40-Analysis!$C$159&gt;10,0,IF($FW40&gt;LOOKUP(Analysis!$C$159,$B:$B, FW:FW),$V40*(LOOKUP(Analysis!$C$159,$B:$B, FW:FW)-FW40),0))</f>
        <v>0</v>
      </c>
      <c r="HL40" s="1">
        <f t="shared" si="40"/>
        <v>1089432.6079285501</v>
      </c>
      <c r="HM40" s="38"/>
      <c r="HN40" s="1">
        <f t="shared" si="41"/>
        <v>-129784.49335969389</v>
      </c>
      <c r="HO40" s="1">
        <f t="shared" si="73"/>
        <v>111275.52440996599</v>
      </c>
      <c r="HP40" s="1">
        <f t="shared" si="42"/>
        <v>-18508.968949727903</v>
      </c>
      <c r="HQ40" s="1">
        <f>IF(HP40 &lt; 0,
    IF(HQ39 + HP40 &gt; 0,
        HQ39 + HP40, IF(HV39-ABS(HQ39 + HP40)*(1+$V40) &gt;= HQ39 + HP40,
        0, HQ39 + HP40)),
    MIN(HQ39 + HP40, Analysis!$C$7))+IF(HQ39&lt;0, HQ39*Analysis!$C$9,0)</f>
        <v>0</v>
      </c>
      <c r="HR40" s="38"/>
      <c r="HS40" s="1">
        <f t="shared" si="57"/>
        <v>29928.849380326585</v>
      </c>
      <c r="HT40" s="1">
        <f>IF($B40=Analysis!$C$159,0,IF(HP40 &gt;= 0,
    MAX(0, HQ39 + HP40 - Analysis!$C$7),
    0))</f>
        <v>0</v>
      </c>
      <c r="HU40" s="1">
        <f>IF($B40=Analysis!$C$159,0,MAX(0, HU39 + HT40 - IF(HP40 &lt; 0, MIN(ABS(HP40), HU39 + HT40), 0)))</f>
        <v>881572.11766879901</v>
      </c>
      <c r="HV40" s="1">
        <f>IF($B40=Analysis!$C$159,0,IF(HP40 &lt; 0,
    IF(HP40 + HQ39 &lt; 0,
        MAX(0, HV39 - (ABS(HP40 + HQ39) * (1+$V39))),
        HV39 + HS40),
    HV39 + HT40 + HS40))</f>
        <v>1502980.6088864426</v>
      </c>
      <c r="HW40" s="1">
        <f t="shared" si="61"/>
        <v>1339084.1193277892</v>
      </c>
      <c r="HX40" s="36"/>
    </row>
    <row r="41" spans="1:232" x14ac:dyDescent="0.35">
      <c r="A41">
        <f t="shared" si="0"/>
        <v>74</v>
      </c>
      <c r="B41">
        <v>2064</v>
      </c>
      <c r="C41" s="1">
        <f>IF($B41&lt;Analysis!C$66,0,$AN41)+$AT41+$AW41+$BC41+$CF41+$CA41</f>
        <v>1717226.4862551331</v>
      </c>
      <c r="D41" s="1">
        <f>IF($B41&lt;Analysis!C$66, 0, BV41)+AT41+AW41+BC41+CG41+CA41</f>
        <v>1444746.1035975451</v>
      </c>
      <c r="E41" s="1">
        <f t="shared" si="13"/>
        <v>2026113.9612936091</v>
      </c>
      <c r="F41" s="1">
        <f t="shared" si="14"/>
        <v>1737212.5629402029</v>
      </c>
      <c r="G41" s="1">
        <f>IF(AND($B41&gt;=Analysis!$C$100, $B41&lt;Analysis!$C$101),$CK41,0)+IF($B41&gt;=Analysis!$C$130,EB41,0)+CQ41+CU41+CZ41+EH41+EK41+EQ41+$FO41+$FT41</f>
        <v>2016644.1482450676</v>
      </c>
      <c r="H41" s="1">
        <f t="shared" si="64"/>
        <v>1744163.7655874796</v>
      </c>
      <c r="I41" s="1">
        <f>IF($B41&lt;Analysis!$C$159,0,$FW41)+$GC41+$GF41+$GL41+$HQ41+$HV41</f>
        <v>2762138.1548312041</v>
      </c>
      <c r="J41" s="1">
        <f t="shared" si="65"/>
        <v>2435800.7530949991</v>
      </c>
      <c r="K41" s="36"/>
      <c r="L41" s="1">
        <f t="shared" si="74"/>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4"/>
        <v>0</v>
      </c>
      <c r="R41" s="1">
        <f>IF(AND(AND(B41=Analysis!C$35,Analysis!C$34&lt;&gt;0),AND(B41=Analysis!C$37,Analysis!C$36&lt;&gt;0)),Analysis!C$34+Analysis!C$36,IF(AND(B41=Analysis!C$35,Analysis!C$34&lt;&gt;0),Analysis!C$34,IF(AND(B41=Analysis!C$37,Analysis!C$36&lt;&gt;0),Analysis!C$36,0)))</f>
        <v>0</v>
      </c>
      <c r="S41" s="64">
        <f t="shared" si="6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63"/>
        <v>0.26374999999999998</v>
      </c>
      <c r="W41" s="36"/>
      <c r="X41" s="1">
        <f t="shared" si="75"/>
        <v>-49060.406493847004</v>
      </c>
      <c r="Y41" s="64">
        <f t="shared" si="76"/>
        <v>2.941176470588247E-2</v>
      </c>
      <c r="Z41" s="1">
        <f t="shared" si="19"/>
        <v>-3960</v>
      </c>
      <c r="AA41" s="64">
        <f t="shared" si="77"/>
        <v>0</v>
      </c>
      <c r="AB41" s="40"/>
      <c r="AC41" s="1">
        <f t="shared" si="66"/>
        <v>-101020.406493847</v>
      </c>
      <c r="AD41" s="1">
        <f t="shared" si="67"/>
        <v>60630.913229515376</v>
      </c>
      <c r="AE41" s="1">
        <f t="shared" si="21"/>
        <v>-40389.493264331621</v>
      </c>
      <c r="AF41" s="1">
        <f>IF(AE41 &lt; 0,
    IF(AF40 + AE41 &gt; 0,
        AF40 + AE41, IF(AK40-ABS(AF40 + AE41)*(1+$V41) &gt;= AF40 + AE41,
        0, AF40 + AE41)),
    MIN(AF40 + AE41, Analysis!$C$7))+IF(AF40&lt;0, AF40*Analysis!$C$9,0)</f>
        <v>0</v>
      </c>
      <c r="AG41" s="40"/>
      <c r="AH41" s="1">
        <f t="shared" si="78"/>
        <v>40728.552615811779</v>
      </c>
      <c r="AI41" s="1">
        <f>IF(AE41 &gt;= 0,
    MAX(0, AF40 + AE41 - Analysis!$C$7),
    0)</f>
        <v>0</v>
      </c>
      <c r="AJ41" s="1">
        <f t="shared" si="46"/>
        <v>930753.20924277941</v>
      </c>
      <c r="AK41" s="1">
        <f t="shared" si="79"/>
        <v>2026113.9612936091</v>
      </c>
      <c r="AL41" s="1">
        <f t="shared" si="68"/>
        <v>1737212.5629402029</v>
      </c>
      <c r="AM41" s="36"/>
      <c r="AN41" s="1">
        <f t="shared" si="47"/>
        <v>2137101.0404516701</v>
      </c>
      <c r="AO41" s="64">
        <f t="shared" si="80"/>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-6411.3031213550103</v>
      </c>
      <c r="BF41" s="64">
        <f>IF($B41&lt;Analysis!$C$66,0,Analysis!$C$78)</f>
        <v>3.0000000000000001E-3</v>
      </c>
      <c r="BG41" s="1">
        <f>IF($B41&lt;Analysis!$C$66,0,-BH41*AN41)</f>
        <v>-16028.257803387525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5"/>
        <v>-272480.38265758794</v>
      </c>
      <c r="BS41" s="64">
        <f>IF($B41&lt;Analysis!C$66,0,Analysis!C$31)</f>
        <v>0.1275</v>
      </c>
      <c r="BT41" s="1">
        <f>IF($B41&lt;Analysis!$C$66,0,AN41+BR41)</f>
        <v>1864620.6577940821</v>
      </c>
      <c r="BU41" s="1">
        <f>IF($B41-Analysis!$C$66&gt;3,0,IF($AN41&gt;LOOKUP(Analysis!$C$66,$B:$B, AN:AN),$V41*(LOOKUP(Analysis!$C$66,$B:$B, AN:AN)-AN41),0))</f>
        <v>0</v>
      </c>
      <c r="BV41" s="1">
        <f t="shared" si="26"/>
        <v>1864620.6577940821</v>
      </c>
      <c r="BW41" s="42"/>
      <c r="BX41" s="1">
        <f>IF($B41&lt;Analysis!$C$66,$P41+$N41+$X41+$Z41,$P41+$N41+AS41+AV41+BB41+BE41+BG41+MAX(BI41,SUM(BJ41:BN41))+BP41)</f>
        <v>-74399.560924742545</v>
      </c>
      <c r="BY41" s="1">
        <f t="shared" si="69"/>
        <v>60630.913229515376</v>
      </c>
      <c r="BZ41" s="1">
        <f t="shared" si="48"/>
        <v>-13768.64769522717</v>
      </c>
      <c r="CA41" s="1">
        <f>IF(BZ41 &lt; 0,
    IF(CA40 + BZ41 &gt; 0,
        CA40 + BZ41, IF(CF40-ABS(CA40 + BZ41)*(1+$V41) &gt;= CA40 + BZ41,
        0, CA40 + BZ41)),
    MIN(CA40 + BZ41, Analysis!$C$7))+IF(CA40&lt;0, CA40*Analysis!$C$9,0)</f>
        <v>-419874.55419653689</v>
      </c>
      <c r="CB41" s="42"/>
      <c r="CC41" s="1">
        <f t="shared" si="49"/>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8"/>
        <v>0</v>
      </c>
      <c r="CH41" s="36"/>
      <c r="CI41" s="1">
        <f>IF(OR($B41&lt;Analysis!$C$100, $B41&gt;=Analysis!$C$130),0,X41)</f>
        <v>0</v>
      </c>
      <c r="CJ41" s="1">
        <f>IF(OR($B41&lt;Analysis!$C$100, $B41&gt;=Analysis!$C$130),0,Z41)</f>
        <v>0</v>
      </c>
      <c r="CK41" s="1">
        <f t="shared" si="81"/>
        <v>1285357.8721557138</v>
      </c>
      <c r="CL41" s="64">
        <f t="shared" si="51"/>
        <v>2.941176470588247E-2</v>
      </c>
      <c r="CM41" s="1">
        <f>IF($B41=Analysis!$C$100,(CK41*(1+Analysis!$C$23+Analysis!$C$24+Analysis!$C$25))-IF($B41=$B$2,(Analysis!$C$6-Analysis!$C$7+Analysis!$C$105), (FU40-Analysis!$C$7+CV41)),0)</f>
        <v>0</v>
      </c>
      <c r="CN41" s="64">
        <f>IF($B41=Analysis!$C$100,Analysis!$C$103,0)</f>
        <v>0</v>
      </c>
      <c r="CO41" s="64">
        <f>IF(OR($B41&lt;Analysis!$C$100, $B41&gt;=Analysis!$C$101),0,IF($B41=Analysis!$C$100,Analysis!$C$102,IF(($B41-Analysis!$C$100)&lt;LOOKUP(Analysis!$C$100,$B:$B,CT:CT),CO40,0)))</f>
        <v>0</v>
      </c>
      <c r="CP41" s="1">
        <f>IF(OR($B41&lt;Analysis!$C$100, $B41&gt;=Analysis!$C$101),0,IF($B41=Analysis!$C$100,-CM41*CN41,IF(CS41&gt;=0,0,CS41-CR41)))</f>
        <v>0</v>
      </c>
      <c r="CQ41" s="1">
        <f>IF(OR($B41&lt;Analysis!$C$100, $B41&gt;=Analysis!$C$101),0,IF($B41=Analysis!$C$100,-CM41-CP41,MIN(0,CQ40-CP41)))</f>
        <v>0</v>
      </c>
      <c r="CR41" s="1">
        <f>IF(OR($B41&lt;Analysis!$C$100, $B41&gt;=Analysis!$C$101),0,IF($B41=Analysis!$C$100,-CO41*CM41,CO40*CQ40))</f>
        <v>0</v>
      </c>
      <c r="CS41" s="1">
        <f>IF(OR($B41&lt;Analysis!$C$100, $B41&gt;=Analysis!$C$101),0,IF($B41=Analysis!$C$100,CP41+CR41,IF(CQ40&lt;0,IF(CQ40&gt;LOOKUP(Analysis!$C$100,$B:$B,CS:CS), CQ40*(1+CO40),CS40),0)))</f>
        <v>0</v>
      </c>
      <c r="CT41" s="65">
        <f>IF($B41=Analysis!$C$100,NPER(CO41,-CS41,-CM41),0)</f>
        <v>0</v>
      </c>
      <c r="CU41" s="1">
        <f>IF(OR($B41&lt;Analysis!$C$100, $B41&gt;=Analysis!$C$101),0,IF($B41=Analysis!$C$100,PMT(CO41,CT41,CM41)*CT41-CS41-CQ41,IF(($B41-Analysis!$C$100+1)&lt;LOOKUP(Analysis!$C$100,$B:$B,CT:CT),IF(CU40-CR41&lt;0, CU40-CR41,0),0)))</f>
        <v>0</v>
      </c>
      <c r="CV41" s="1">
        <f>IF($B41=Analysis!$C$100,Analysis!$C$105,0)</f>
        <v>0</v>
      </c>
      <c r="CW41" s="1">
        <f>IF($B41=Analysis!$C$100,PMT(CO41,CX41,CV41)*CX41,0)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29"/>
        <v>0</v>
      </c>
      <c r="DE41" s="1">
        <f t="shared" si="70"/>
        <v>0</v>
      </c>
      <c r="DF41" s="64">
        <f>IF(OR($B41&lt;Analysis!$C$100, $B41&gt;=Analysis!$C$101),0,Analysis!$C$118)</f>
        <v>0</v>
      </c>
      <c r="DG41" s="1">
        <f t="shared" si="71"/>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30"/>
        <v>0</v>
      </c>
      <c r="DS41" s="1">
        <f>MIN(0,-(DB41+DR41)*Analysis!$C$28)-CR41*Analysis!$C$28</f>
        <v>0</v>
      </c>
      <c r="DT41" s="1">
        <f>-Analysis!$C$116*DD41/12</f>
        <v>0</v>
      </c>
      <c r="DU41" s="53"/>
      <c r="DV41" s="1">
        <f t="shared" si="72"/>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52"/>
        <v>0</v>
      </c>
      <c r="EA41" s="53"/>
      <c r="EB41" s="1">
        <f t="shared" si="82"/>
        <v>2137101.0404516701</v>
      </c>
      <c r="EC41" s="64">
        <f t="shared" si="53"/>
        <v>2.941176470588247E-2</v>
      </c>
      <c r="ED41" s="1">
        <f>IF($B41=Analysis!$C$130,(EB41*(1+Analysis!$C$23+Analysis!$C$24+Analysis!$C$25))-(IF($B41=$B$2,(Analysis!$C$6-Analysis!$C$7+Analysis!$C$132), (FU40-Analysis!$C$7+EM41)) + IF($B41=Analysis!$C$101,DZ40+CQ40+CU40+CZ40,0)),0)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$P41+$N41+IF($B41&lt;Analysis!$C$130,$CI41+$CJ41,0)+CP41+CR41+CY41+DE41+DG41+MIN(DI41,SUM(DJ41:DN41))+DQ41+DS41+DT41+EG41+EJ41+EP41+ES41+EU41+MIN(EW41,SUM(EX41:FB41))+FD41</f>
        <v>-85815.142304579145</v>
      </c>
      <c r="FM41" s="1">
        <f>$M41+$R41+DD41+IF(AND($B41&lt;&gt;Analysis!$C$130,$B41=Analysis!$C$101),DZ40+CQ40+CU40+CZ40,0)</f>
        <v>60630.913229515376</v>
      </c>
      <c r="FN41" s="1">
        <f t="shared" si="34"/>
        <v>-25184.229075063769</v>
      </c>
      <c r="FO41" s="1">
        <f>IF(FN41 &lt; 0,
    IF(FO40 + FN41 &gt; 0,
        FO40 + FN41, IF(FT40-ABS(FO40 + FN41)*(1+$V41) &gt;= FO40 + FN41,
        0, FO40 + FN41)),
    MIN(FO40 + FN41, Analysis!$C$7))+IF(FO40&lt;0, FO40*Analysis!$C$9,0)</f>
        <v>-90092.748313065356</v>
      </c>
      <c r="FP41" s="53"/>
      <c r="FQ41" s="1">
        <f t="shared" si="54"/>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60"/>
        <v>0</v>
      </c>
      <c r="FV41" s="36"/>
      <c r="FW41" s="1">
        <f t="shared" si="55"/>
        <v>1285357.8721557138</v>
      </c>
      <c r="FX41" s="64">
        <f t="shared" si="56"/>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36"/>
        <v>50743.929298583287</v>
      </c>
      <c r="GQ41" s="1">
        <f t="shared" si="37"/>
        <v>-3856.0736164671416</v>
      </c>
      <c r="GR41" s="64">
        <f>IF($B41&lt;Analysis!$C$159,0,Analysis!$C$178)</f>
        <v>3.0000000000000001E-3</v>
      </c>
      <c r="GS41" s="1">
        <f t="shared" si="38"/>
        <v>-9640.1840411678531</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-3219.5891761587109</v>
      </c>
      <c r="HD41" s="1">
        <f t="shared" si="39"/>
        <v>-28975.846833793708</v>
      </c>
      <c r="HE41" s="1">
        <f>MIN(0,-(GN41+HD41)*Analysis!$C$28)-GE41*Analysis!$C$28</f>
        <v>-6182.1351206916715</v>
      </c>
      <c r="HF41" s="1">
        <f>-Analysis!$C$176*GP41/12</f>
        <v>-4228.6607748819406</v>
      </c>
      <c r="HG41" s="38"/>
      <c r="HH41" s="1">
        <f>IF($B41&lt;Analysis!$C$159,0,-$HI41*$FW41)</f>
        <v>-163883.12869985352</v>
      </c>
      <c r="HI41" s="64">
        <f>IF($B41&lt;Analysis!$C$159,0,IF($B41=Analysis!$C$159,Analysis!$C$31,HI40))</f>
        <v>0.1275</v>
      </c>
      <c r="HJ41" s="1">
        <f>IF($B41&lt;Analysis!$C$159,0,$FW41+HH41)</f>
        <v>1121474.7434558603</v>
      </c>
      <c r="HK41" s="1">
        <f>IF($B41-Analysis!$C$159&gt;10,0,IF($FW41&gt;LOOKUP(Analysis!$C$159,$B:$B, FW:FW),$V41*(LOOKUP(Analysis!$C$159,$B:$B, FW:FW)-FW41),0))</f>
        <v>0</v>
      </c>
      <c r="HL41" s="1">
        <f t="shared" si="40"/>
        <v>1121474.7434558603</v>
      </c>
      <c r="HM41" s="38"/>
      <c r="HN41" s="1">
        <f t="shared" si="41"/>
        <v>-132107.04922321433</v>
      </c>
      <c r="HO41" s="1">
        <f t="shared" si="73"/>
        <v>111374.84252809867</v>
      </c>
      <c r="HP41" s="1">
        <f t="shared" si="42"/>
        <v>-20732.206695115659</v>
      </c>
      <c r="HQ41" s="1">
        <f>IF(HP41 &lt; 0,
    IF(HQ40 + HP41 &gt; 0,
        HQ40 + HP41, IF(HV40-ABS(HQ40 + HP41)*(1+$V41) &gt;= HQ40 + HP41,
        0, HQ40 + HP41)),
    MIN(HQ40 + HP41, Analysis!$C$7))+IF(HQ40&lt;0, HQ40*Analysis!$C$9,0)</f>
        <v>0</v>
      </c>
      <c r="HR41" s="38"/>
      <c r="HS41" s="1">
        <f t="shared" si="57"/>
        <v>29470.208017381123</v>
      </c>
      <c r="HT41" s="1">
        <f>IF($B41=Analysis!$C$159,0,IF(HP41 &gt;= 0,
    MAX(0, HQ40 + HP41 - Analysis!$C$7),
    0))</f>
        <v>0</v>
      </c>
      <c r="HU41" s="1">
        <f>IF($B41=Analysis!$C$159,0,MAX(0, HU40 + HT41 - IF(HP41 &lt; 0, MIN(ABS(HP41), HU40 + HT41), 0)))</f>
        <v>860839.91097368335</v>
      </c>
      <c r="HV41" s="1">
        <f>IF($B41=Analysis!$C$159,0,IF(HP41 &lt; 0,
    IF(HP41 + HQ40 &lt; 0,
        MAX(0, HV40 - (ABS(HP41 + HQ40) * (1+$V40))),
        HV40 + HS41),
    HV40 + HT41 + HS41))</f>
        <v>1476780.2826754902</v>
      </c>
      <c r="HW41" s="1">
        <f t="shared" si="61"/>
        <v>1314326.0096391386</v>
      </c>
      <c r="HX41" s="36"/>
    </row>
    <row r="42" spans="1:232" x14ac:dyDescent="0.35">
      <c r="A42">
        <f t="shared" si="0"/>
        <v>75</v>
      </c>
      <c r="B42">
        <v>2065</v>
      </c>
      <c r="C42" s="1">
        <f>IF($B42&lt;Analysis!C$66,0,$AN42)+$AT42+$AW42+$BC42+$CF42+$CA42</f>
        <v>1730851.1818280322</v>
      </c>
      <c r="D42" s="1">
        <f>IF($B42&lt;Analysis!C$66, 0, BV42)+AT42+AW42+BC42+CG42+CA42</f>
        <v>1450356.6702687505</v>
      </c>
      <c r="E42" s="1">
        <f t="shared" si="13"/>
        <v>1971715.7608281516</v>
      </c>
      <c r="F42" s="1">
        <f t="shared" si="14"/>
        <v>1685808.7520431462</v>
      </c>
      <c r="G42" s="1">
        <f>IF(AND($B42&gt;=Analysis!$C$100, $B42&lt;Analysis!$C$101),$CK42,0)+IF($B42&gt;=Analysis!$C$130,EB42,0)+CQ42+CU42+CZ42+EH42+EK42+EQ42+$FO42+$FT42</f>
        <v>2051151.495905129</v>
      </c>
      <c r="H42" s="1">
        <f t="shared" si="64"/>
        <v>1770656.9843458473</v>
      </c>
      <c r="I42" s="1">
        <f>IF($B42&lt;Analysis!$C$159,0,$FW42)+$GC42+$GF42+$GL42+$HQ42+$HV42</f>
        <v>2770927.4856345071</v>
      </c>
      <c r="J42" s="1">
        <f t="shared" si="65"/>
        <v>2441367.1614222378</v>
      </c>
      <c r="K42" s="36"/>
      <c r="L42" s="1">
        <f t="shared" si="74"/>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4"/>
        <v>0</v>
      </c>
      <c r="R42" s="1">
        <f>IF(AND(AND(B42=Analysis!C$35,Analysis!C$34&lt;&gt;0),AND(B42=Analysis!C$37,Analysis!C$36&lt;&gt;0)),Analysis!C$34+Analysis!C$36,IF(AND(B42=Analysis!C$35,Analysis!C$34&lt;&gt;0),Analysis!C$34,IF(AND(B42=Analysis!C$37,Analysis!C$36&lt;&gt;0),Analysis!C$36,0)))</f>
        <v>0</v>
      </c>
      <c r="S42" s="64">
        <f t="shared" si="6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63"/>
        <v>0.26374999999999998</v>
      </c>
      <c r="W42" s="36"/>
      <c r="X42" s="1">
        <f t="shared" si="75"/>
        <v>-50503.359626018981</v>
      </c>
      <c r="Y42" s="64">
        <f t="shared" si="76"/>
        <v>2.941176470588247E-2</v>
      </c>
      <c r="Z42" s="1">
        <f t="shared" si="19"/>
        <v>-3960</v>
      </c>
      <c r="AA42" s="64">
        <f t="shared" si="77"/>
        <v>0</v>
      </c>
      <c r="AB42" s="40"/>
      <c r="AC42" s="1">
        <f t="shared" si="66"/>
        <v>-102463.35962601898</v>
      </c>
      <c r="AD42" s="1">
        <f t="shared" si="67"/>
        <v>59418.294964925066</v>
      </c>
      <c r="AE42" s="1">
        <f t="shared" si="21"/>
        <v>-43045.064661093915</v>
      </c>
      <c r="AF42" s="1">
        <f>IF(AE42 &lt; 0,
    IF(AF41 + AE42 &gt; 0,
        AF41 + AE42, IF(AK41-ABS(AF41 + AE42)*(1+$V42) &gt;= AF41 + AE42,
        0, AF41 + AE42)),
    MIN(AF41 + AE42, Analysis!$C$7))+IF(AF41&lt;0, AF41*Analysis!$C$9,0)</f>
        <v>0</v>
      </c>
      <c r="AG42" s="40"/>
      <c r="AH42" s="1">
        <f t="shared" si="78"/>
        <v>39727.724731247094</v>
      </c>
      <c r="AI42" s="1">
        <f>IF(AE42 &gt;= 0,
    MAX(0, AF41 + AE42 - Analysis!$C$7),
    0)</f>
        <v>0</v>
      </c>
      <c r="AJ42" s="1">
        <f t="shared" si="46"/>
        <v>887708.14458168554</v>
      </c>
      <c r="AK42" s="1">
        <f t="shared" si="79"/>
        <v>1971715.7608281516</v>
      </c>
      <c r="AL42" s="1">
        <f t="shared" si="68"/>
        <v>1685808.7520431462</v>
      </c>
      <c r="AM42" s="36"/>
      <c r="AN42" s="1">
        <f t="shared" si="47"/>
        <v>2199956.9534061314</v>
      </c>
      <c r="AO42" s="64">
        <f t="shared" si="80"/>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-6599.8708602183942</v>
      </c>
      <c r="BF42" s="64">
        <f>IF($B42&lt;Analysis!$C$66,0,Analysis!$C$78)</f>
        <v>3.0000000000000001E-3</v>
      </c>
      <c r="BG42" s="1">
        <f>IF($B42&lt;Analysis!$C$66,0,-BH42*AN42)</f>
        <v>-16499.677150545984</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5"/>
        <v>-280494.51155928173</v>
      </c>
      <c r="BS42" s="64">
        <f>IF($B42&lt;Analysis!C$66,0,Analysis!C$31)</f>
        <v>0.1275</v>
      </c>
      <c r="BT42" s="1">
        <f>IF($B42&lt;Analysis!$C$66,0,AN42+BR42)</f>
        <v>1919462.4418468496</v>
      </c>
      <c r="BU42" s="1">
        <f>IF($B42-Analysis!$C$66&gt;3,0,IF($AN42&gt;LOOKUP(Analysis!$C$66,$B:$B, AN:AN),$V42*(LOOKUP(Analysis!$C$66,$B:$B, AN:AN)-AN42),0))</f>
        <v>0</v>
      </c>
      <c r="BV42" s="1">
        <f t="shared" si="26"/>
        <v>1919462.4418468496</v>
      </c>
      <c r="BW42" s="42"/>
      <c r="BX42" s="1">
        <f>IF($B42&lt;Analysis!$C$66,$P42+$N42+$X42+$Z42,$P42+$N42+AS42+AV42+BB42+BE42+BG42+MAX(BI42,SUM(BJ42:BN42))+BP42)</f>
        <v>-75059.548010764382</v>
      </c>
      <c r="BY42" s="1">
        <f t="shared" si="69"/>
        <v>59418.294964925066</v>
      </c>
      <c r="BZ42" s="1">
        <f t="shared" si="48"/>
        <v>-15641.253045839316</v>
      </c>
      <c r="CA42" s="1">
        <f>IF(BZ42 &lt; 0,
    IF(CA41 + BZ42 &gt; 0,
        CA41 + BZ42, IF(CF41-ABS(CA41 + BZ42)*(1+$V42) &gt;= CA41 + BZ42,
        0, CA41 + BZ42)),
    MIN(CA41 + BZ42, Analysis!$C$7))+IF(CA41&lt;0, CA41*Analysis!$C$9,0)</f>
        <v>-469105.77157809917</v>
      </c>
      <c r="CB42" s="42"/>
      <c r="CC42" s="1">
        <f t="shared" si="49"/>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8"/>
        <v>0</v>
      </c>
      <c r="CH42" s="36"/>
      <c r="CI42" s="1">
        <f>IF(OR($B42&lt;Analysis!$C$100, $B42&gt;=Analysis!$C$130),0,X42)</f>
        <v>0</v>
      </c>
      <c r="CJ42" s="1">
        <f>IF(OR($B42&lt;Analysis!$C$100, $B42&gt;=Analysis!$C$130),0,Z42)</f>
        <v>0</v>
      </c>
      <c r="CK42" s="1">
        <f t="shared" si="81"/>
        <v>1323162.5154544115</v>
      </c>
      <c r="CL42" s="64">
        <f t="shared" si="51"/>
        <v>2.941176470588247E-2</v>
      </c>
      <c r="CM42" s="1">
        <f>IF($B42=Analysis!$C$100,(CK42*(1+Analysis!$C$23+Analysis!$C$24+Analysis!$C$25))-IF($B42=$B$2,(Analysis!$C$6-Analysis!$C$7+Analysis!$C$105), (FU41-Analysis!$C$7+CV42)),0)</f>
        <v>0</v>
      </c>
      <c r="CN42" s="64">
        <f>IF($B42=Analysis!$C$100,Analysis!$C$103,0)</f>
        <v>0</v>
      </c>
      <c r="CO42" s="64">
        <f>IF(OR($B42&lt;Analysis!$C$100, $B42&gt;=Analysis!$C$101),0,IF($B42=Analysis!$C$100,Analysis!$C$102,IF(($B42-Analysis!$C$100)&lt;LOOKUP(Analysis!$C$100,$B:$B,CT:CT),CO41,0)))</f>
        <v>0</v>
      </c>
      <c r="CP42" s="1">
        <f>IF(OR($B42&lt;Analysis!$C$100, $B42&gt;=Analysis!$C$101),0,IF($B42=Analysis!$C$100,-CM42*CN42,IF(CS42&gt;=0,0,CS42-CR42)))</f>
        <v>0</v>
      </c>
      <c r="CQ42" s="1">
        <f>IF(OR($B42&lt;Analysis!$C$100, $B42&gt;=Analysis!$C$101),0,IF($B42=Analysis!$C$100,-CM42-CP42,MIN(0,CQ41-CP42)))</f>
        <v>0</v>
      </c>
      <c r="CR42" s="1">
        <f>IF(OR($B42&lt;Analysis!$C$100, $B42&gt;=Analysis!$C$101),0,IF($B42=Analysis!$C$100,-CO42*CM42,CO41*CQ41))</f>
        <v>0</v>
      </c>
      <c r="CS42" s="1">
        <f>IF(OR($B42&lt;Analysis!$C$100, $B42&gt;=Analysis!$C$101),0,IF($B42=Analysis!$C$100,CP42+CR42,IF(CQ41&lt;0,IF(CQ41&gt;LOOKUP(Analysis!$C$100,$B:$B,CS:CS), CQ41*(1+CO41),CS41),0)))</f>
        <v>0</v>
      </c>
      <c r="CT42" s="65">
        <f>IF($B42=Analysis!$C$100,NPER(CO42,-CS42,-CM42),0)</f>
        <v>0</v>
      </c>
      <c r="CU42" s="1">
        <f>IF(OR($B42&lt;Analysis!$C$100, $B42&gt;=Analysis!$C$101),0,IF($B42=Analysis!$C$100,PMT(CO42,CT42,CM42)*CT42-CS42-CQ42,IF(($B42-Analysis!$C$100+1)&lt;LOOKUP(Analysis!$C$100,$B:$B,CT:CT),IF(CU41-CR42&lt;0, CU41-CR42,0),0)))</f>
        <v>0</v>
      </c>
      <c r="CV42" s="1">
        <f>IF($B42=Analysis!$C$100,Analysis!$C$105,0)</f>
        <v>0</v>
      </c>
      <c r="CW42" s="1">
        <f>IF($B42=Analysis!$C$100,PMT(CO42,CX42,CV42)*CX42,0)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29"/>
        <v>0</v>
      </c>
      <c r="DE42" s="1">
        <f t="shared" si="70"/>
        <v>0</v>
      </c>
      <c r="DF42" s="64">
        <f>IF(OR($B42&lt;Analysis!$C$100, $B42&gt;=Analysis!$C$101),0,Analysis!$C$118)</f>
        <v>0</v>
      </c>
      <c r="DG42" s="1">
        <f t="shared" si="71"/>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30"/>
        <v>0</v>
      </c>
      <c r="DS42" s="1">
        <f>MIN(0,-(DB42+DR42)*Analysis!$C$28)-CR42*Analysis!$C$28</f>
        <v>0</v>
      </c>
      <c r="DT42" s="1">
        <f>-Analysis!$C$116*DD42/12</f>
        <v>0</v>
      </c>
      <c r="DU42" s="53"/>
      <c r="DV42" s="1">
        <f t="shared" si="72"/>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52"/>
        <v>0</v>
      </c>
      <c r="EA42" s="53"/>
      <c r="EB42" s="1">
        <f t="shared" si="82"/>
        <v>2199956.9534061314</v>
      </c>
      <c r="EC42" s="64">
        <f t="shared" si="53"/>
        <v>2.941176470588247E-2</v>
      </c>
      <c r="ED42" s="1">
        <f>IF($B42=Analysis!$C$130,(EB42*(1+Analysis!$C$23+Analysis!$C$24+Analysis!$C$25))-(IF($B42=$B$2,(Analysis!$C$6-Analysis!$C$7+Analysis!$C$132), (FU41-Analysis!$C$7+EM42)) + IF($B42=Analysis!$C$101,DZ41+CQ41+CU41+CZ41,0)),0)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$P42+$N42+IF($B42&lt;Analysis!$C$130,$CI42+$CJ42,0)+CP42+CR42+CY42+DE42+DG42+MIN(DI42,SUM(DJ42:DN42))+DQ42+DS42+DT42+EG42+EJ42+EP42+ES42+EU42+MIN(EW42,SUM(EX42:FB42))+FD42</f>
        <v>-86632.269172987129</v>
      </c>
      <c r="FM42" s="1">
        <f>$M42+$R42+DD42+IF(AND($B42&lt;&gt;Analysis!$C$130,$B42=Analysis!$C$101),DZ41+CQ41+CU41+CZ41,0)</f>
        <v>59418.294964925066</v>
      </c>
      <c r="FN42" s="1">
        <f t="shared" si="34"/>
        <v>-27213.974208062064</v>
      </c>
      <c r="FO42" s="1">
        <f>IF(FN42 &lt; 0,
    IF(FO41 + FN42 &gt; 0,
        FO41 + FN42, IF(FT41-ABS(FO41 + FN42)*(1+$V42) &gt;= FO41 + FN42,
        0, FO41 + FN42)),
    MIN(FO41 + FN42, Analysis!$C$7))+IF(FO41&lt;0, FO41*Analysis!$C$9,0)</f>
        <v>-124514.14238617265</v>
      </c>
      <c r="FP42" s="53"/>
      <c r="FQ42" s="1">
        <f t="shared" si="54"/>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60"/>
        <v>0</v>
      </c>
      <c r="FV42" s="36"/>
      <c r="FW42" s="1">
        <f t="shared" si="55"/>
        <v>1323162.5154544115</v>
      </c>
      <c r="FX42" s="64">
        <f t="shared" si="56"/>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36"/>
        <v>52119.927219129859</v>
      </c>
      <c r="GQ42" s="1">
        <f t="shared" si="37"/>
        <v>-3969.4875463632347</v>
      </c>
      <c r="GR42" s="64">
        <f>IF($B42&lt;Analysis!$C$159,0,Analysis!$C$178)</f>
        <v>3.0000000000000001E-3</v>
      </c>
      <c r="GS42" s="1">
        <f t="shared" si="38"/>
        <v>-9923.7188659080857</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-3314.2829754574968</v>
      </c>
      <c r="HD42" s="1">
        <f t="shared" si="39"/>
        <v>-29467.489387728816</v>
      </c>
      <c r="HE42" s="1">
        <f>MIN(0,-(GN42+HD42)*Analysis!$C$28)-GE42*Analysis!$C$28</f>
        <v>-6523.7392713002519</v>
      </c>
      <c r="HF42" s="1">
        <f>-Analysis!$C$176*GP42/12</f>
        <v>-4343.3272682608213</v>
      </c>
      <c r="HG42" s="38"/>
      <c r="HH42" s="1">
        <f>IF($B42&lt;Analysis!$C$159,0,-$HI42*$FW42)</f>
        <v>-168703.22072043747</v>
      </c>
      <c r="HI42" s="64">
        <f>IF($B42&lt;Analysis!$C$159,0,IF($B42=Analysis!$C$159,Analysis!$C$31,HI41))</f>
        <v>0.1275</v>
      </c>
      <c r="HJ42" s="1">
        <f>IF($B42&lt;Analysis!$C$159,0,$FW42+HH42)</f>
        <v>1154459.2947339742</v>
      </c>
      <c r="HK42" s="1">
        <f>IF($B42-Analysis!$C$159&gt;10,0,IF($FW42&gt;LOOKUP(Analysis!$C$159,$B:$B, FW:FW),$V42*(LOOKUP(Analysis!$C$159,$B:$B, FW:FW)-FW42),0))</f>
        <v>0</v>
      </c>
      <c r="HL42" s="1">
        <f t="shared" si="40"/>
        <v>1154459.2947339742</v>
      </c>
      <c r="HM42" s="38"/>
      <c r="HN42" s="1">
        <f t="shared" si="41"/>
        <v>-134497.91555330885</v>
      </c>
      <c r="HO42" s="1">
        <f t="shared" si="73"/>
        <v>111538.22218405493</v>
      </c>
      <c r="HP42" s="1">
        <f t="shared" si="42"/>
        <v>-22959.693369253917</v>
      </c>
      <c r="HQ42" s="1">
        <f>IF(HP42 &lt; 0,
    IF(HQ41 + HP42 &gt; 0,
        HQ41 + HP42, IF(HV41-ABS(HQ41 + HP42)*(1+$V42) &gt;= HQ41 + HP42,
        0, HQ41 + HP42)),
    MIN(HQ41 + HP42, Analysis!$C$7))+IF(HQ41&lt;0, HQ41*Analysis!$C$9,0)</f>
        <v>0</v>
      </c>
      <c r="HR42" s="38"/>
      <c r="HS42" s="1">
        <f t="shared" si="57"/>
        <v>28956.476130891864</v>
      </c>
      <c r="HT42" s="1">
        <f>IF($B42=Analysis!$C$159,0,IF(HP42 &gt;= 0,
    MAX(0, HQ41 + HP42 - Analysis!$C$7),
    0))</f>
        <v>0</v>
      </c>
      <c r="HU42" s="1">
        <f>IF($B42=Analysis!$C$159,0,MAX(0, HU41 + HT42 - IF(HP42 &lt; 0, MIN(ABS(HP42), HU41 + HT42), 0)))</f>
        <v>837880.21760442946</v>
      </c>
      <c r="HV42" s="1">
        <f>IF($B42=Analysis!$C$159,0,IF(HP42 &lt; 0,
    IF(HP42 + HQ41 &lt; 0,
        MAX(0, HV41 - (ABS(HP42 + HQ41) * (1+$V41))),
        HV41 + HS42),
    HV41 + HT42 + HS42))</f>
        <v>1447764.9701800956</v>
      </c>
      <c r="HW42" s="1">
        <f t="shared" si="61"/>
        <v>1286907.8666882636</v>
      </c>
      <c r="HX42" s="36"/>
    </row>
    <row r="43" spans="1:232" x14ac:dyDescent="0.35">
      <c r="A43">
        <f t="shared" si="0"/>
        <v>76</v>
      </c>
      <c r="B43">
        <v>2066</v>
      </c>
      <c r="C43" s="1">
        <f>IF($B43&lt;Analysis!C$66,0,$AN43)+$AT43+$AW43+$BC43+$CF43+$CA43</f>
        <v>1740518.3189623929</v>
      </c>
      <c r="D43" s="1">
        <f>IF($B43&lt;Analysis!C$66, 0, BV43)+AT43+AW43+BC43+CG43+CA43</f>
        <v>1451773.9688278381</v>
      </c>
      <c r="E43" s="1">
        <f t="shared" si="13"/>
        <v>1913938.5976419444</v>
      </c>
      <c r="F43" s="1">
        <f t="shared" si="14"/>
        <v>1631211.9759516635</v>
      </c>
      <c r="G43" s="1">
        <f>IF(AND($B43&gt;=Analysis!$C$100, $B43&lt;Analysis!$C$101),$CK43,0)+IF($B43&gt;=Analysis!$C$130,EB43,0)+CQ43+CU43+CZ43+EH43+EK43+EQ43+$FO43+$FT43</f>
        <v>2082724.3094506369</v>
      </c>
      <c r="H43" s="1">
        <f t="shared" si="64"/>
        <v>1793979.9593160821</v>
      </c>
      <c r="I43" s="1">
        <f>IF($B43&lt;Analysis!$C$159,0,$FW43)+$GC43+$GF43+$GL43+$HQ43+$HV43</f>
        <v>2778006.6585901855</v>
      </c>
      <c r="J43" s="1">
        <f t="shared" si="65"/>
        <v>2445236.9868412763</v>
      </c>
      <c r="K43" s="36"/>
      <c r="L43" s="1">
        <f t="shared" si="74"/>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4"/>
        <v>0</v>
      </c>
      <c r="R43" s="1">
        <f>IF(AND(AND(B43=Analysis!C$35,Analysis!C$34&lt;&gt;0),AND(B43=Analysis!C$37,Analysis!C$36&lt;&gt;0)),Analysis!C$34+Analysis!C$36,IF(AND(B43=Analysis!C$35,Analysis!C$34&lt;&gt;0),Analysis!C$34,IF(AND(B43=Analysis!C$37,Analysis!C$36&lt;&gt;0),Analysis!C$36,0)))</f>
        <v>0</v>
      </c>
      <c r="S43" s="64">
        <f t="shared" ref="S43:S52" si="83">S$2</f>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ref="V43:V52" si="84">V$2</f>
        <v>0.26374999999999998</v>
      </c>
      <c r="W43" s="36"/>
      <c r="X43" s="1">
        <f t="shared" si="75"/>
        <v>-51988.752556196014</v>
      </c>
      <c r="Y43" s="64">
        <f t="shared" si="76"/>
        <v>2.941176470588247E-2</v>
      </c>
      <c r="Z43" s="1">
        <f t="shared" si="19"/>
        <v>-3960</v>
      </c>
      <c r="AA43" s="64">
        <f t="shared" si="77"/>
        <v>0</v>
      </c>
      <c r="AB43" s="40"/>
      <c r="AC43" s="1">
        <f t="shared" si="66"/>
        <v>-103948.75255619601</v>
      </c>
      <c r="AD43" s="1">
        <f t="shared" si="67"/>
        <v>58229.929065626566</v>
      </c>
      <c r="AE43" s="1">
        <f t="shared" si="21"/>
        <v>-45718.823490569441</v>
      </c>
      <c r="AF43" s="1">
        <f>IF(AE43 &lt; 0,
    IF(AF42 + AE43 &gt; 0,
        AF42 + AE43, IF(AK42-ABS(AF42 + AE43)*(1+$V43) &gt;= AF42 + AE43,
        0, AF42 + AE43)),
    MIN(AF42 + AE43, Analysis!$C$7))+IF(AF42&lt;0, AF42*Analysis!$C$9,0)</f>
        <v>0</v>
      </c>
      <c r="AG43" s="40"/>
      <c r="AH43" s="1">
        <f t="shared" si="78"/>
        <v>38661.093349571463</v>
      </c>
      <c r="AI43" s="1">
        <f>IF(AE43 &gt;= 0,
    MAX(0, AF42 + AE43 - Analysis!$C$7),
    0)</f>
        <v>0</v>
      </c>
      <c r="AJ43" s="1">
        <f t="shared" si="46"/>
        <v>841989.32109111606</v>
      </c>
      <c r="AK43" s="1">
        <f t="shared" si="79"/>
        <v>1913938.5976419444</v>
      </c>
      <c r="AL43" s="1">
        <f t="shared" si="68"/>
        <v>1631211.9759516635</v>
      </c>
      <c r="AM43" s="36"/>
      <c r="AN43" s="1">
        <f t="shared" si="47"/>
        <v>2264661.5696827825</v>
      </c>
      <c r="AO43" s="64">
        <f t="shared" si="80"/>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-6793.9847090483481</v>
      </c>
      <c r="BF43" s="64">
        <f>IF($B43&lt;Analysis!$C$66,0,Analysis!$C$78)</f>
        <v>3.0000000000000001E-3</v>
      </c>
      <c r="BG43" s="1">
        <f>IF($B43&lt;Analysis!$C$66,0,-BH43*AN43)</f>
        <v>-16984.961772620867</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5"/>
        <v>-288744.35013455478</v>
      </c>
      <c r="BS43" s="64">
        <f>IF($B43&lt;Analysis!C$66,0,Analysis!C$31)</f>
        <v>0.1275</v>
      </c>
      <c r="BT43" s="1">
        <f>IF($B43&lt;Analysis!$C$66,0,AN43+BR43)</f>
        <v>1975917.2195482277</v>
      </c>
      <c r="BU43" s="1">
        <f>IF($B43-Analysis!$C$66&gt;3,0,IF($AN43&gt;LOOKUP(Analysis!$C$66,$B:$B, AN:AN),$V43*(LOOKUP(Analysis!$C$66,$B:$B, AN:AN)-AN43),0))</f>
        <v>0</v>
      </c>
      <c r="BV43" s="1">
        <f t="shared" si="26"/>
        <v>1975917.2195482277</v>
      </c>
      <c r="BW43" s="42"/>
      <c r="BX43" s="1">
        <f>IF($B43&lt;Analysis!$C$66,$P43+$N43+$X43+$Z43,$P43+$N43+AS43+AV43+BB43+BE43+BG43+MAX(BI43,SUM(BJ43:BN43))+BP43)</f>
        <v>-75738.946481669205</v>
      </c>
      <c r="BY43" s="1">
        <f t="shared" si="69"/>
        <v>58229.929065626566</v>
      </c>
      <c r="BZ43" s="1">
        <f t="shared" si="48"/>
        <v>-17509.01741604264</v>
      </c>
      <c r="CA43" s="1">
        <f>IF(BZ43 &lt; 0,
    IF(CA42 + BZ43 &gt; 0,
        CA42 + BZ43, IF(CF42-ABS(CA42 + BZ43)*(1+$V43) &gt;= CA42 + BZ43,
        0, CA42 + BZ43)),
    MIN(CA42 + BZ43, Analysis!$C$7))+IF(CA42&lt;0, CA42*Analysis!$C$9,0)</f>
        <v>-524143.25072038971</v>
      </c>
      <c r="CB43" s="42"/>
      <c r="CC43" s="1">
        <f t="shared" si="49"/>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8"/>
        <v>0</v>
      </c>
      <c r="CH43" s="36"/>
      <c r="CI43" s="1">
        <f>IF(OR($B43&lt;Analysis!$C$100, $B43&gt;=Analysis!$C$130),0,X43)</f>
        <v>0</v>
      </c>
      <c r="CJ43" s="1">
        <f>IF(OR($B43&lt;Analysis!$C$100, $B43&gt;=Analysis!$C$130),0,Z43)</f>
        <v>0</v>
      </c>
      <c r="CK43" s="1">
        <f t="shared" si="81"/>
        <v>1362079.0600266003</v>
      </c>
      <c r="CL43" s="64">
        <f t="shared" si="51"/>
        <v>2.941176470588247E-2</v>
      </c>
      <c r="CM43" s="1">
        <f>IF($B43=Analysis!$C$100,(CK43*(1+Analysis!$C$23+Analysis!$C$24+Analysis!$C$25))-IF($B43=$B$2,(Analysis!$C$6-Analysis!$C$7+Analysis!$C$105), (FU42-Analysis!$C$7+CV43)),0)</f>
        <v>0</v>
      </c>
      <c r="CN43" s="64">
        <f>IF($B43=Analysis!$C$100,Analysis!$C$103,0)</f>
        <v>0</v>
      </c>
      <c r="CO43" s="64">
        <f>IF(OR($B43&lt;Analysis!$C$100, $B43&gt;=Analysis!$C$101),0,IF($B43=Analysis!$C$100,Analysis!$C$102,IF(($B43-Analysis!$C$100)&lt;LOOKUP(Analysis!$C$100,$B:$B,CT:CT),CO42,0)))</f>
        <v>0</v>
      </c>
      <c r="CP43" s="1">
        <f>IF(OR($B43&lt;Analysis!$C$100, $B43&gt;=Analysis!$C$101),0,IF($B43=Analysis!$C$100,-CM43*CN43,IF(CS43&gt;=0,0,CS43-CR43)))</f>
        <v>0</v>
      </c>
      <c r="CQ43" s="1">
        <f>IF(OR($B43&lt;Analysis!$C$100, $B43&gt;=Analysis!$C$101),0,IF($B43=Analysis!$C$100,-CM43-CP43,MIN(0,CQ42-CP43)))</f>
        <v>0</v>
      </c>
      <c r="CR43" s="1">
        <f>IF(OR($B43&lt;Analysis!$C$100, $B43&gt;=Analysis!$C$101),0,IF($B43=Analysis!$C$100,-CO43*CM43,CO42*CQ42))</f>
        <v>0</v>
      </c>
      <c r="CS43" s="1">
        <f>IF(OR($B43&lt;Analysis!$C$100, $B43&gt;=Analysis!$C$101),0,IF($B43=Analysis!$C$100,CP43+CR43,IF(CQ42&lt;0,IF(CQ42&gt;LOOKUP(Analysis!$C$100,$B:$B,CS:CS), CQ42*(1+CO42),CS42),0)))</f>
        <v>0</v>
      </c>
      <c r="CT43" s="65">
        <f>IF($B43=Analysis!$C$100,NPER(CO43,-CS43,-CM43),0)</f>
        <v>0</v>
      </c>
      <c r="CU43" s="1">
        <f>IF(OR($B43&lt;Analysis!$C$100, $B43&gt;=Analysis!$C$101),0,IF($B43=Analysis!$C$100,PMT(CO43,CT43,CM43)*CT43-CS43-CQ43,IF(($B43-Analysis!$C$100+1)&lt;LOOKUP(Analysis!$C$100,$B:$B,CT:CT),IF(CU42-CR43&lt;0, CU42-CR43,0),0)))</f>
        <v>0</v>
      </c>
      <c r="CV43" s="1">
        <f>IF($B43=Analysis!$C$100,Analysis!$C$105,0)</f>
        <v>0</v>
      </c>
      <c r="CW43" s="1">
        <f>IF($B43=Analysis!$C$100,PMT(CO43,CX43,CV43)*CX43,0)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29"/>
        <v>0</v>
      </c>
      <c r="DE43" s="1">
        <f t="shared" si="70"/>
        <v>0</v>
      </c>
      <c r="DF43" s="64">
        <f>IF(OR($B43&lt;Analysis!$C$100, $B43&gt;=Analysis!$C$101),0,Analysis!$C$118)</f>
        <v>0</v>
      </c>
      <c r="DG43" s="1">
        <f t="shared" si="71"/>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30"/>
        <v>0</v>
      </c>
      <c r="DS43" s="1">
        <f>MIN(0,-(DB43+DR43)*Analysis!$C$28)-CR43*Analysis!$C$28</f>
        <v>0</v>
      </c>
      <c r="DT43" s="1">
        <f>-Analysis!$C$116*DD43/12</f>
        <v>0</v>
      </c>
      <c r="DU43" s="53"/>
      <c r="DV43" s="1">
        <f t="shared" si="72"/>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52"/>
        <v>0</v>
      </c>
      <c r="EA43" s="53"/>
      <c r="EB43" s="1">
        <f t="shared" si="82"/>
        <v>2264661.5696827825</v>
      </c>
      <c r="EC43" s="64">
        <f t="shared" si="53"/>
        <v>2.941176470588247E-2</v>
      </c>
      <c r="ED43" s="1">
        <f>IF($B43=Analysis!$C$130,(EB43*(1+Analysis!$C$23+Analysis!$C$24+Analysis!$C$25))-(IF($B43=$B$2,(Analysis!$C$6-Analysis!$C$7+Analysis!$C$132), (FU42-Analysis!$C$7+EM43)) + IF($B43=Analysis!$C$101,DZ42+CQ42+CU42+CZ42,0)),0)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$P43+$N43+IF($B43&lt;Analysis!$C$130,$CI43+$CJ43,0)+CP43+CR43+CY43+DE43+DG43+MIN(DI43,SUM(DJ43:DN43))+DQ43+DS43+DT43+EG43+EJ43+EP43+ES43+EU43+MIN(EW43,SUM(EX43:FB43))+FD43</f>
        <v>-87473.429184583598</v>
      </c>
      <c r="FM43" s="1">
        <f>$M43+$R43+DD43+IF(AND($B43&lt;&gt;Analysis!$C$130,$B43=Analysis!$C$101),DZ42+CQ42+CU42+CZ42,0)</f>
        <v>58229.929065626566</v>
      </c>
      <c r="FN43" s="1">
        <f t="shared" si="34"/>
        <v>-29243.500118957032</v>
      </c>
      <c r="FO43" s="1">
        <f>IF(FN43 &lt; 0,
    IF(FO42 + FN43 &gt; 0,
        FO42 + FN43, IF(FT42-ABS(FO42 + FN43)*(1+$V43) &gt;= FO42 + FN43,
        0, FO42 + FN43)),
    MIN(FO42 + FN43, Analysis!$C$7))+IF(FO42&lt;0, FO42*Analysis!$C$9,0)</f>
        <v>-163718.77389602349</v>
      </c>
      <c r="FP43" s="53"/>
      <c r="FQ43" s="1">
        <f t="shared" si="54"/>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60"/>
        <v>0</v>
      </c>
      <c r="FV43" s="36"/>
      <c r="FW43" s="1">
        <f t="shared" si="55"/>
        <v>1362079.0600266003</v>
      </c>
      <c r="FX43" s="64">
        <f t="shared" si="56"/>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36"/>
        <v>53536.395666751327</v>
      </c>
      <c r="GQ43" s="1">
        <f t="shared" si="37"/>
        <v>-4086.237180079801</v>
      </c>
      <c r="GR43" s="64">
        <f>IF($B43&lt;Analysis!$C$159,0,Analysis!$C$178)</f>
        <v>3.0000000000000001E-3</v>
      </c>
      <c r="GS43" s="1">
        <f t="shared" si="38"/>
        <v>-10215.592950199502</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-3411.7618865003647</v>
      </c>
      <c r="HD43" s="1">
        <f t="shared" si="39"/>
        <v>-29973.592016779668</v>
      </c>
      <c r="HE43" s="1">
        <f>MIN(0,-(GN43+HD43)*Analysis!$C$28)-GE43*Analysis!$C$28</f>
        <v>-6875.3906028090814</v>
      </c>
      <c r="HF43" s="1">
        <f>-Analysis!$C$176*GP43/12</f>
        <v>-4461.3663055626103</v>
      </c>
      <c r="HG43" s="38"/>
      <c r="HH43" s="1">
        <f>IF($B43&lt;Analysis!$C$159,0,-$HI43*$FW43)</f>
        <v>-173665.08015339152</v>
      </c>
      <c r="HI43" s="64">
        <f>IF($B43&lt;Analysis!$C$159,0,IF($B43=Analysis!$C$159,Analysis!$C$31,HI42))</f>
        <v>0.1275</v>
      </c>
      <c r="HJ43" s="1">
        <f>IF($B43&lt;Analysis!$C$159,0,$FW43+HH43)</f>
        <v>1188413.9798732088</v>
      </c>
      <c r="HK43" s="1">
        <f>IF($B43-Analysis!$C$159&gt;10,0,IF($FW43&gt;LOOKUP(Analysis!$C$159,$B:$B, FW:FW),$V43*(LOOKUP(Analysis!$C$159,$B:$B, FW:FW)-FW43),0))</f>
        <v>0</v>
      </c>
      <c r="HL43" s="1">
        <f t="shared" si="40"/>
        <v>1188413.9798732088</v>
      </c>
      <c r="HM43" s="38"/>
      <c r="HN43" s="1">
        <f t="shared" si="41"/>
        <v>-136959.10148134734</v>
      </c>
      <c r="HO43" s="1">
        <f t="shared" si="73"/>
        <v>111766.32473237789</v>
      </c>
      <c r="HP43" s="1">
        <f t="shared" si="42"/>
        <v>-25192.776748969452</v>
      </c>
      <c r="HQ43" s="1">
        <f>IF(HP43 &lt; 0,
    IF(HQ42 + HP43 &gt; 0,
        HQ42 + HP43, IF(HV42-ABS(HQ42 + HP43)*(1+$V43) &gt;= HQ42 + HP43,
        0, HQ42 + HP43)),
    MIN(HQ42 + HP43, Analysis!$C$7))+IF(HQ42&lt;0, HQ42*Analysis!$C$9,0)</f>
        <v>0</v>
      </c>
      <c r="HR43" s="38"/>
      <c r="HS43" s="1">
        <f t="shared" si="57"/>
        <v>28387.548434903736</v>
      </c>
      <c r="HT43" s="1">
        <f>IF($B43=Analysis!$C$159,0,IF(HP43 &gt;= 0,
    MAX(0, HQ42 + HP43 - Analysis!$C$7),
    0))</f>
        <v>0</v>
      </c>
      <c r="HU43" s="1">
        <f>IF($B43=Analysis!$C$159,0,MAX(0, HU42 + HT43 - IF(HP43 &lt; 0, MIN(ABS(HP43), HU42 + HT43), 0)))</f>
        <v>812687.44085546001</v>
      </c>
      <c r="HV43" s="1">
        <f>IF($B43=Analysis!$C$159,0,IF(HP43 &lt; 0,
    IF(HP43 + HQ42 &lt; 0,
        MAX(0, HV42 - (ABS(HP43 + HQ42) * (1+$V42))),
        HV42 + HS43),
    HV42 + HT43 + HS43))</f>
        <v>1415927.5985635854</v>
      </c>
      <c r="HW43" s="1">
        <f t="shared" si="61"/>
        <v>1256823.0069680673</v>
      </c>
      <c r="HX43" s="36"/>
    </row>
    <row r="44" spans="1:232" x14ac:dyDescent="0.35">
      <c r="A44">
        <f t="shared" si="0"/>
        <v>77</v>
      </c>
      <c r="B44">
        <v>2067</v>
      </c>
      <c r="C44" s="1">
        <f>IF($B44&lt;Analysis!C$66,0,$AN44)+$AT44+$AW44+$BC44+$CF44+$CA44</f>
        <v>1745821.5553544983</v>
      </c>
      <c r="D44" s="1">
        <f>IF($B44&lt;Analysis!C$66, 0, BV44)+AT44+AW44+BC44+CG44+CA44</f>
        <v>1448584.7243336332</v>
      </c>
      <c r="E44" s="1">
        <f t="shared" si="13"/>
        <v>1852757.2969385185</v>
      </c>
      <c r="F44" s="1">
        <f t="shared" si="14"/>
        <v>1573398.4456347574</v>
      </c>
      <c r="G44" s="1">
        <f>IF(AND($B44&gt;=Analysis!$C$100, $B44&lt;Analysis!$C$101),$CK44,0)+IF($B44&gt;=Analysis!$C$130,EB44,0)+CQ44+CU44+CZ44+EH44+EK44+EQ44+$FO44+$FT44</f>
        <v>2111033.3308314197</v>
      </c>
      <c r="H44" s="1">
        <f t="shared" si="64"/>
        <v>1813796.4998105546</v>
      </c>
      <c r="I44" s="1">
        <f>IF($B44&lt;Analysis!$C$159,0,$FW44)+$GC44+$GF44+$GL44+$HQ44+$HV44</f>
        <v>2783399.5813980391</v>
      </c>
      <c r="J44" s="1">
        <f t="shared" si="65"/>
        <v>2447430.4515648298</v>
      </c>
      <c r="K44" s="36"/>
      <c r="L44" s="1">
        <f t="shared" si="74"/>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4"/>
        <v>0</v>
      </c>
      <c r="R44" s="1">
        <f>IF(AND(AND(B44=Analysis!C$35,Analysis!C$34&lt;&gt;0),AND(B44=Analysis!C$37,Analysis!C$36&lt;&gt;0)),Analysis!C$34+Analysis!C$36,IF(AND(B44=Analysis!C$35,Analysis!C$34&lt;&gt;0),Analysis!C$34,IF(AND(B44=Analysis!C$37,Analysis!C$36&lt;&gt;0),Analysis!C$36,0)))</f>
        <v>0</v>
      </c>
      <c r="S44" s="64">
        <f t="shared" si="83"/>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84"/>
        <v>0.26374999999999998</v>
      </c>
      <c r="W44" s="36"/>
      <c r="X44" s="1">
        <f t="shared" si="75"/>
        <v>-53517.833513731195</v>
      </c>
      <c r="Y44" s="64">
        <f t="shared" si="76"/>
        <v>2.941176470588247E-2</v>
      </c>
      <c r="Z44" s="1">
        <f t="shared" si="19"/>
        <v>-3960</v>
      </c>
      <c r="AA44" s="64">
        <f t="shared" si="77"/>
        <v>0</v>
      </c>
      <c r="AB44" s="40"/>
      <c r="AC44" s="1">
        <f t="shared" si="66"/>
        <v>-105477.8335137312</v>
      </c>
      <c r="AD44" s="1">
        <f t="shared" si="67"/>
        <v>57065.330484314036</v>
      </c>
      <c r="AE44" s="1">
        <f t="shared" si="21"/>
        <v>-48412.503029417159</v>
      </c>
      <c r="AF44" s="1">
        <f>IF(AE44 &lt; 0,
    IF(AF43 + AE44 &gt; 0,
        AF43 + AE44, IF(AK43-ABS(AF43 + AE44)*(1+$V44) &gt;= AF43 + AE44,
        0, AF43 + AE44)),
    MIN(AF43 + AE44, Analysis!$C$7))+IF(AF43&lt;0, AF43*Analysis!$C$9,0)</f>
        <v>0</v>
      </c>
      <c r="AG44" s="40"/>
      <c r="AH44" s="1">
        <f t="shared" si="78"/>
        <v>37528.207796900737</v>
      </c>
      <c r="AI44" s="1">
        <f>IF(AE44 &gt;= 0,
    MAX(0, AF43 + AE44 - Analysis!$C$7),
    0)</f>
        <v>0</v>
      </c>
      <c r="AJ44" s="1">
        <f t="shared" si="46"/>
        <v>793576.81806169893</v>
      </c>
      <c r="AK44" s="1">
        <f t="shared" si="79"/>
        <v>1852757.2969385185</v>
      </c>
      <c r="AL44" s="1">
        <f t="shared" si="68"/>
        <v>1573398.4456347574</v>
      </c>
      <c r="AM44" s="36"/>
      <c r="AN44" s="1">
        <f t="shared" si="47"/>
        <v>2331269.262908747</v>
      </c>
      <c r="AO44" s="64">
        <f t="shared" si="80"/>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-6993.8077887262407</v>
      </c>
      <c r="BF44" s="64">
        <f>IF($B44&lt;Analysis!$C$66,0,Analysis!$C$78)</f>
        <v>3.0000000000000001E-3</v>
      </c>
      <c r="BG44" s="1">
        <f>IF($B44&lt;Analysis!$C$66,0,-BH44*AN44)</f>
        <v>-17484.519471815602</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5"/>
        <v>-297236.83102086524</v>
      </c>
      <c r="BS44" s="64">
        <f>IF($B44&lt;Analysis!C$66,0,Analysis!C$31)</f>
        <v>0.1275</v>
      </c>
      <c r="BT44" s="1">
        <f>IF($B44&lt;Analysis!$C$66,0,AN44+BR44)</f>
        <v>2034032.4318878818</v>
      </c>
      <c r="BU44" s="1">
        <f>IF($B44-Analysis!$C$66&gt;3,0,IF($AN44&gt;LOOKUP(Analysis!$C$66,$B:$B, AN:AN),$V44*(LOOKUP(Analysis!$C$66,$B:$B, AN:AN)-AN44),0))</f>
        <v>0</v>
      </c>
      <c r="BV44" s="1">
        <f t="shared" si="26"/>
        <v>2034032.4318878818</v>
      </c>
      <c r="BW44" s="42"/>
      <c r="BX44" s="1">
        <f>IF($B44&lt;Analysis!$C$66,$P44+$N44+$X44+$Z44,$P44+$N44+AS44+AV44+BB44+BE44+BG44+MAX(BI44,SUM(BJ44:BN44))+BP44)</f>
        <v>-76438.327260541846</v>
      </c>
      <c r="BY44" s="1">
        <f t="shared" si="69"/>
        <v>57065.330484314036</v>
      </c>
      <c r="BZ44" s="1">
        <f t="shared" si="48"/>
        <v>-19372.99677622781</v>
      </c>
      <c r="CA44" s="1">
        <f>IF(BZ44 &lt; 0,
    IF(CA43 + BZ44 &gt; 0,
        CA43 + BZ44, IF(CF43-ABS(CA43 + BZ44)*(1+$V44) &gt;= CA43 + BZ44,
        0, CA43 + BZ44)),
    MIN(CA43 + BZ44, Analysis!$C$7))+IF(CA43&lt;0, CA43*Analysis!$C$9,0)</f>
        <v>-585447.70755424863</v>
      </c>
      <c r="CB44" s="42"/>
      <c r="CC44" s="1">
        <f t="shared" si="49"/>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8"/>
        <v>0</v>
      </c>
      <c r="CH44" s="36"/>
      <c r="CI44" s="1">
        <f>IF(OR($B44&lt;Analysis!$C$100, $B44&gt;=Analysis!$C$130),0,X44)</f>
        <v>0</v>
      </c>
      <c r="CJ44" s="1">
        <f>IF(OR($B44&lt;Analysis!$C$100, $B44&gt;=Analysis!$C$130),0,Z44)</f>
        <v>0</v>
      </c>
      <c r="CK44" s="1">
        <f t="shared" si="81"/>
        <v>1402140.2088509123</v>
      </c>
      <c r="CL44" s="64">
        <f t="shared" si="51"/>
        <v>2.941176470588247E-2</v>
      </c>
      <c r="CM44" s="1">
        <f>IF($B44=Analysis!$C$100,(CK44*(1+Analysis!$C$23+Analysis!$C$24+Analysis!$C$25))-IF($B44=$B$2,(Analysis!$C$6-Analysis!$C$7+Analysis!$C$105), (FU43-Analysis!$C$7+CV44)),0)</f>
        <v>0</v>
      </c>
      <c r="CN44" s="64">
        <f>IF($B44=Analysis!$C$100,Analysis!$C$103,0)</f>
        <v>0</v>
      </c>
      <c r="CO44" s="64">
        <f>IF(OR($B44&lt;Analysis!$C$100, $B44&gt;=Analysis!$C$101),0,IF($B44=Analysis!$C$100,Analysis!$C$102,IF(($B44-Analysis!$C$100)&lt;LOOKUP(Analysis!$C$100,$B:$B,CT:CT),CO43,0)))</f>
        <v>0</v>
      </c>
      <c r="CP44" s="1">
        <f>IF(OR($B44&lt;Analysis!$C$100, $B44&gt;=Analysis!$C$101),0,IF($B44=Analysis!$C$100,-CM44*CN44,IF(CS44&gt;=0,0,CS44-CR44)))</f>
        <v>0</v>
      </c>
      <c r="CQ44" s="1">
        <f>IF(OR($B44&lt;Analysis!$C$100, $B44&gt;=Analysis!$C$101),0,IF($B44=Analysis!$C$100,-CM44-CP44,MIN(0,CQ43-CP44)))</f>
        <v>0</v>
      </c>
      <c r="CR44" s="1">
        <f>IF(OR($B44&lt;Analysis!$C$100, $B44&gt;=Analysis!$C$101),0,IF($B44=Analysis!$C$100,-CO44*CM44,CO43*CQ43))</f>
        <v>0</v>
      </c>
      <c r="CS44" s="1">
        <f>IF(OR($B44&lt;Analysis!$C$100, $B44&gt;=Analysis!$C$101),0,IF($B44=Analysis!$C$100,CP44+CR44,IF(CQ43&lt;0,IF(CQ43&gt;LOOKUP(Analysis!$C$100,$B:$B,CS:CS), CQ43*(1+CO43),CS43),0)))</f>
        <v>0</v>
      </c>
      <c r="CT44" s="65">
        <f>IF($B44=Analysis!$C$100,NPER(CO44,-CS44,-CM44),0)</f>
        <v>0</v>
      </c>
      <c r="CU44" s="1">
        <f>IF(OR($B44&lt;Analysis!$C$100, $B44&gt;=Analysis!$C$101),0,IF($B44=Analysis!$C$100,PMT(CO44,CT44,CM44)*CT44-CS44-CQ44,IF(($B44-Analysis!$C$100+1)&lt;LOOKUP(Analysis!$C$100,$B:$B,CT:CT),IF(CU43-CR44&lt;0, CU43-CR44,0),0)))</f>
        <v>0</v>
      </c>
      <c r="CV44" s="1">
        <f>IF($B44=Analysis!$C$100,Analysis!$C$105,0)</f>
        <v>0</v>
      </c>
      <c r="CW44" s="1">
        <f>IF($B44=Analysis!$C$100,PMT(CO44,CX44,CV44)*CX44,0)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29"/>
        <v>0</v>
      </c>
      <c r="DE44" s="1">
        <f t="shared" si="70"/>
        <v>0</v>
      </c>
      <c r="DF44" s="64">
        <f>IF(OR($B44&lt;Analysis!$C$100, $B44&gt;=Analysis!$C$101),0,Analysis!$C$118)</f>
        <v>0</v>
      </c>
      <c r="DG44" s="1">
        <f t="shared" si="71"/>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30"/>
        <v>0</v>
      </c>
      <c r="DS44" s="1">
        <f>MIN(0,-(DB44+DR44)*Analysis!$C$28)-CR44*Analysis!$C$28</f>
        <v>0</v>
      </c>
      <c r="DT44" s="1">
        <f>-Analysis!$C$116*DD44/12</f>
        <v>0</v>
      </c>
      <c r="DU44" s="53"/>
      <c r="DV44" s="1">
        <f t="shared" si="72"/>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52"/>
        <v>0</v>
      </c>
      <c r="EA44" s="53"/>
      <c r="EB44" s="1">
        <f t="shared" si="82"/>
        <v>2331269.262908747</v>
      </c>
      <c r="EC44" s="64">
        <f t="shared" si="53"/>
        <v>2.941176470588247E-2</v>
      </c>
      <c r="ED44" s="1">
        <f>IF($B44=Analysis!$C$130,(EB44*(1+Analysis!$C$23+Analysis!$C$24+Analysis!$C$25))-(IF($B44=$B$2,(Analysis!$C$6-Analysis!$C$7+Analysis!$C$132), (FU43-Analysis!$C$7+EM44)) + IF($B44=Analysis!$C$101,DZ43+CQ43+CU43+CZ43,0)),0)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$P44+$N44+IF($B44&lt;Analysis!$C$130,$CI44+$CJ44,0)+CP44+CR44+CY44+DE44+DG44+MIN(DI44,SUM(DJ44:DN44))+DQ44+DS44+DT44+EG44+EJ44+EP44+ES44+EU44+MIN(EW44,SUM(EX44:FB44))+FD44</f>
        <v>-88339.329196521139</v>
      </c>
      <c r="FM44" s="1">
        <f>$M44+$R44+DD44+IF(AND($B44&lt;&gt;Analysis!$C$130,$B44=Analysis!$C$101),DZ43+CQ43+CU43+CZ43,0)</f>
        <v>57065.330484314036</v>
      </c>
      <c r="FN44" s="1">
        <f t="shared" si="34"/>
        <v>-31273.998712207103</v>
      </c>
      <c r="FO44" s="1">
        <f>IF(FN44 &lt; 0,
    IF(FO43 + FN44 &gt; 0,
        FO43 + FN44, IF(FT43-ABS(FO43 + FN44)*(1+$V44) &gt;= FO43 + FN44,
        0, FO43 + FN44)),
    MIN(FO43 + FN44, Analysis!$C$7))+IF(FO43&lt;0, FO43*Analysis!$C$9,0)</f>
        <v>-208090.27451991246</v>
      </c>
      <c r="FP44" s="53"/>
      <c r="FQ44" s="1">
        <f t="shared" si="54"/>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60"/>
        <v>0</v>
      </c>
      <c r="FV44" s="36"/>
      <c r="FW44" s="1">
        <f t="shared" si="55"/>
        <v>1402140.2088509123</v>
      </c>
      <c r="FX44" s="64">
        <f t="shared" si="56"/>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36"/>
        <v>54994.524951067549</v>
      </c>
      <c r="GQ44" s="1">
        <f t="shared" si="37"/>
        <v>-4206.4206265527373</v>
      </c>
      <c r="GR44" s="64">
        <f>IF($B44&lt;Analysis!$C$159,0,Analysis!$C$178)</f>
        <v>3.0000000000000001E-3</v>
      </c>
      <c r="GS44" s="1">
        <f t="shared" si="38"/>
        <v>-10516.051566381842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-3512.1078243386105</v>
      </c>
      <c r="HD44" s="1">
        <f t="shared" si="39"/>
        <v>-30494.580017273191</v>
      </c>
      <c r="HE44" s="1">
        <f>MIN(0,-(GN44+HD44)*Analysis!$C$28)-GE44*Analysis!$C$28</f>
        <v>-7237.3846205387608</v>
      </c>
      <c r="HF44" s="1">
        <f>-Analysis!$C$176*GP44/12</f>
        <v>-4582.8770792556288</v>
      </c>
      <c r="HG44" s="38"/>
      <c r="HH44" s="1">
        <f>IF($B44&lt;Analysis!$C$159,0,-$HI44*$FW44)</f>
        <v>-178772.87662849133</v>
      </c>
      <c r="HI44" s="64">
        <f>IF($B44&lt;Analysis!$C$159,0,IF($B44=Analysis!$C$159,Analysis!$C$31,HI43))</f>
        <v>0.1275</v>
      </c>
      <c r="HJ44" s="1">
        <f>IF($B44&lt;Analysis!$C$159,0,$FW44+HH44)</f>
        <v>1223367.332222421</v>
      </c>
      <c r="HK44" s="1">
        <f>IF($B44-Analysis!$C$159&gt;10,0,IF($FW44&gt;LOOKUP(Analysis!$C$159,$B:$B, FW:FW),$V44*(LOOKUP(Analysis!$C$159,$B:$B, FW:FW)-FW44),0))</f>
        <v>0</v>
      </c>
      <c r="HL44" s="1">
        <f t="shared" si="40"/>
        <v>1223367.332222421</v>
      </c>
      <c r="HM44" s="38"/>
      <c r="HN44" s="1">
        <f t="shared" si="41"/>
        <v>-139492.67523079875</v>
      </c>
      <c r="HO44" s="1">
        <f t="shared" si="73"/>
        <v>112059.85543538159</v>
      </c>
      <c r="HP44" s="1">
        <f t="shared" si="42"/>
        <v>-27432.819795417163</v>
      </c>
      <c r="HQ44" s="1">
        <f>IF(HP44 &lt; 0,
    IF(HQ43 + HP44 &gt; 0,
        HQ43 + HP44, IF(HV43-ABS(HQ43 + HP44)*(1+$V44) &gt;= HQ43 + HP44,
        0, HQ43 + HP44)),
    MIN(HQ43 + HP44, Analysis!$C$7))+IF(HQ43&lt;0, HQ43*Analysis!$C$9,0)</f>
        <v>0</v>
      </c>
      <c r="HR44" s="38"/>
      <c r="HS44" s="1">
        <f t="shared" si="57"/>
        <v>27763.286246344713</v>
      </c>
      <c r="HT44" s="1">
        <f>IF($B44=Analysis!$C$159,0,IF(HP44 &gt;= 0,
    MAX(0, HQ43 + HP44 - Analysis!$C$7),
    0))</f>
        <v>0</v>
      </c>
      <c r="HU44" s="1">
        <f>IF($B44=Analysis!$C$159,0,MAX(0, HU43 + HT44 - IF(HP44 &lt; 0, MIN(ABS(HP44), HU43 + HT44), 0)))</f>
        <v>785254.62106004287</v>
      </c>
      <c r="HV44" s="1">
        <f>IF($B44=Analysis!$C$159,0,IF(HP44 &lt; 0,
    IF(HP44 + HQ43 &lt; 0,
        MAX(0, HV43 - (ABS(HP44 + HQ43) * (1+$V43))),
        HV43 + HS44),
    HV43 + HT44 + HS44))</f>
        <v>1381259.3725471271</v>
      </c>
      <c r="HW44" s="1">
        <f t="shared" si="61"/>
        <v>1224063.1193424086</v>
      </c>
      <c r="HX44" s="36"/>
    </row>
    <row r="45" spans="1:232" x14ac:dyDescent="0.35">
      <c r="A45">
        <f t="shared" si="0"/>
        <v>78</v>
      </c>
      <c r="B45">
        <v>2068</v>
      </c>
      <c r="C45" s="1">
        <f>IF($B45&lt;Analysis!C$66,0,$AN45)+$AT45+$AW45+$BC45+$CF45+$CA45</f>
        <v>1746318.2275891919</v>
      </c>
      <c r="D45" s="1">
        <f>IF($B45&lt;Analysis!C$66, 0, BV45)+AT45+AW45+BC45+CG45+CA45</f>
        <v>1440339.1368324189</v>
      </c>
      <c r="E45" s="1">
        <f t="shared" si="13"/>
        <v>1788144.4593570139</v>
      </c>
      <c r="F45" s="1">
        <f t="shared" si="14"/>
        <v>1512342.2699498478</v>
      </c>
      <c r="G45" s="1">
        <f>IF(AND($B45&gt;=Analysis!$C$100, $B45&lt;Analysis!$C$101),$CK45,0)+IF($B45&gt;=Analysis!$C$130,EB45,0)+CQ45+CU45+CZ45+EH45+EK45+EQ45+$FO45+$FT45</f>
        <v>2135719.0076940213</v>
      </c>
      <c r="H45" s="1">
        <f t="shared" si="64"/>
        <v>1829739.9169372485</v>
      </c>
      <c r="I45" s="1">
        <f>IF($B45&lt;Analysis!$C$159,0,$FW45)+$GC45+$GF45+$GL45+$HQ45+$HV45</f>
        <v>2787129.3807963077</v>
      </c>
      <c r="J45" s="1">
        <f t="shared" si="65"/>
        <v>2447966.9701423752</v>
      </c>
      <c r="K45" s="36"/>
      <c r="L45" s="1">
        <f t="shared" si="74"/>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4"/>
        <v>0</v>
      </c>
      <c r="R45" s="1">
        <f>IF(AND(AND(B45=Analysis!C$35,Analysis!C$34&lt;&gt;0),AND(B45=Analysis!C$37,Analysis!C$36&lt;&gt;0)),Analysis!C$34+Analysis!C$36,IF(AND(B45=Analysis!C$35,Analysis!C$34&lt;&gt;0),Analysis!C$34,IF(AND(B45=Analysis!C$37,Analysis!C$36&lt;&gt;0),Analysis!C$36,0)))</f>
        <v>0</v>
      </c>
      <c r="S45" s="64">
        <f t="shared" si="83"/>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84"/>
        <v>0.26374999999999998</v>
      </c>
      <c r="W45" s="36"/>
      <c r="X45" s="1">
        <f t="shared" si="75"/>
        <v>-55091.887440605649</v>
      </c>
      <c r="Y45" s="64">
        <f t="shared" si="76"/>
        <v>2.941176470588247E-2</v>
      </c>
      <c r="Z45" s="1">
        <f t="shared" si="19"/>
        <v>-3960</v>
      </c>
      <c r="AA45" s="64">
        <f t="shared" si="77"/>
        <v>0</v>
      </c>
      <c r="AB45" s="40"/>
      <c r="AC45" s="1">
        <f t="shared" si="66"/>
        <v>-107051.88744060564</v>
      </c>
      <c r="AD45" s="1">
        <f t="shared" si="67"/>
        <v>55924.023874627754</v>
      </c>
      <c r="AE45" s="1">
        <f t="shared" si="21"/>
        <v>-51127.863565977888</v>
      </c>
      <c r="AF45" s="1">
        <f>IF(AE45 &lt; 0,
    IF(AF44 + AE45 &gt; 0,
        AF44 + AE45, IF(AK44-ABS(AF44 + AE45)*(1+$V45) &gt;= AF44 + AE45,
        0, AF44 + AE45)),
    MIN(AF44 + AE45, Analysis!$C$7))+IF(AF44&lt;0, AF44*Analysis!$C$9,0)</f>
        <v>0</v>
      </c>
      <c r="AG45" s="40"/>
      <c r="AH45" s="1">
        <f t="shared" si="78"/>
        <v>36328.574449774744</v>
      </c>
      <c r="AI45" s="1">
        <f>IF(AE45 &gt;= 0,
    MAX(0, AF44 + AE45 - Analysis!$C$7),
    0)</f>
        <v>0</v>
      </c>
      <c r="AJ45" s="1">
        <f t="shared" si="46"/>
        <v>742448.95449572103</v>
      </c>
      <c r="AK45" s="1">
        <f t="shared" si="79"/>
        <v>1788144.4593570139</v>
      </c>
      <c r="AL45" s="1">
        <f t="shared" si="68"/>
        <v>1512342.2699498478</v>
      </c>
      <c r="AM45" s="36"/>
      <c r="AN45" s="1">
        <f t="shared" si="47"/>
        <v>2399836.0059354752</v>
      </c>
      <c r="AO45" s="64">
        <f t="shared" si="80"/>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-7199.5080178064254</v>
      </c>
      <c r="BF45" s="64">
        <f>IF($B45&lt;Analysis!$C$66,0,Analysis!$C$78)</f>
        <v>3.0000000000000001E-3</v>
      </c>
      <c r="BG45" s="1">
        <f>IF($B45&lt;Analysis!$C$66,0,-BH45*AN45)</f>
        <v>-17998.770044516063</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5"/>
        <v>-305979.09075677308</v>
      </c>
      <c r="BS45" s="64">
        <f>IF($B45&lt;Analysis!C$66,0,Analysis!C$31)</f>
        <v>0.1275</v>
      </c>
      <c r="BT45" s="1">
        <f>IF($B45&lt;Analysis!$C$66,0,AN45+BR45)</f>
        <v>2093856.9151787022</v>
      </c>
      <c r="BU45" s="1">
        <f>IF($B45-Analysis!$C$66&gt;3,0,IF($AN45&gt;LOOKUP(Analysis!$C$66,$B:$B, AN:AN),$V45*(LOOKUP(Analysis!$C$66,$B:$B, AN:AN)-AN45),0))</f>
        <v>0</v>
      </c>
      <c r="BV45" s="1">
        <f t="shared" si="26"/>
        <v>2093856.9151787022</v>
      </c>
      <c r="BW45" s="42"/>
      <c r="BX45" s="1">
        <f>IF($B45&lt;Analysis!$C$66,$P45+$N45+$X45+$Z45,$P45+$N45+AS45+AV45+BB45+BE45+BG45+MAX(BI45,SUM(BJ45:BN45))+BP45)</f>
        <v>-77158.278062322483</v>
      </c>
      <c r="BY45" s="1">
        <f t="shared" si="69"/>
        <v>55924.023874627754</v>
      </c>
      <c r="BZ45" s="1">
        <f t="shared" si="48"/>
        <v>-21234.254187694729</v>
      </c>
      <c r="CA45" s="1">
        <f>IF(BZ45 &lt; 0,
    IF(CA44 + BZ45 &gt; 0,
        CA44 + BZ45, IF(CF44-ABS(CA44 + BZ45)*(1+$V45) &gt;= CA44 + BZ45,
        0, CA44 + BZ45)),
    MIN(CA44 + BZ45, Analysis!$C$7))+IF(CA44&lt;0, CA44*Analysis!$C$9,0)</f>
        <v>-653517.77834628324</v>
      </c>
      <c r="CB45" s="42"/>
      <c r="CC45" s="1">
        <f t="shared" si="49"/>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8"/>
        <v>0</v>
      </c>
      <c r="CH45" s="36"/>
      <c r="CI45" s="1">
        <f>IF(OR($B45&lt;Analysis!$C$100, $B45&gt;=Analysis!$C$130),0,X45)</f>
        <v>0</v>
      </c>
      <c r="CJ45" s="1">
        <f>IF(OR($B45&lt;Analysis!$C$100, $B45&gt;=Analysis!$C$130),0,Z45)</f>
        <v>0</v>
      </c>
      <c r="CK45" s="1">
        <f t="shared" si="81"/>
        <v>1443379.6267582923</v>
      </c>
      <c r="CL45" s="64">
        <f t="shared" si="51"/>
        <v>2.941176470588247E-2</v>
      </c>
      <c r="CM45" s="1">
        <f>IF($B45=Analysis!$C$100,(CK45*(1+Analysis!$C$23+Analysis!$C$24+Analysis!$C$25))-IF($B45=$B$2,(Analysis!$C$6-Analysis!$C$7+Analysis!$C$105), (FU44-Analysis!$C$7+CV45)),0)</f>
        <v>0</v>
      </c>
      <c r="CN45" s="64">
        <f>IF($B45=Analysis!$C$100,Analysis!$C$103,0)</f>
        <v>0</v>
      </c>
      <c r="CO45" s="64">
        <f>IF(OR($B45&lt;Analysis!$C$100, $B45&gt;=Analysis!$C$101),0,IF($B45=Analysis!$C$100,Analysis!$C$102,IF(($B45-Analysis!$C$100)&lt;LOOKUP(Analysis!$C$100,$B:$B,CT:CT),CO44,0)))</f>
        <v>0</v>
      </c>
      <c r="CP45" s="1">
        <f>IF(OR($B45&lt;Analysis!$C$100, $B45&gt;=Analysis!$C$101),0,IF($B45=Analysis!$C$100,-CM45*CN45,IF(CS45&gt;=0,0,CS45-CR45)))</f>
        <v>0</v>
      </c>
      <c r="CQ45" s="1">
        <f>IF(OR($B45&lt;Analysis!$C$100, $B45&gt;=Analysis!$C$101),0,IF($B45=Analysis!$C$100,-CM45-CP45,MIN(0,CQ44-CP45)))</f>
        <v>0</v>
      </c>
      <c r="CR45" s="1">
        <f>IF(OR($B45&lt;Analysis!$C$100, $B45&gt;=Analysis!$C$101),0,IF($B45=Analysis!$C$100,-CO45*CM45,CO44*CQ44))</f>
        <v>0</v>
      </c>
      <c r="CS45" s="1">
        <f>IF(OR($B45&lt;Analysis!$C$100, $B45&gt;=Analysis!$C$101),0,IF($B45=Analysis!$C$100,CP45+CR45,IF(CQ44&lt;0,IF(CQ44&gt;LOOKUP(Analysis!$C$100,$B:$B,CS:CS), CQ44*(1+CO44),CS44),0)))</f>
        <v>0</v>
      </c>
      <c r="CT45" s="65">
        <f>IF($B45=Analysis!$C$100,NPER(CO45,-CS45,-CM45),0)</f>
        <v>0</v>
      </c>
      <c r="CU45" s="1">
        <f>IF(OR($B45&lt;Analysis!$C$100, $B45&gt;=Analysis!$C$101),0,IF($B45=Analysis!$C$100,PMT(CO45,CT45,CM45)*CT45-CS45-CQ45,IF(($B45-Analysis!$C$100+1)&lt;LOOKUP(Analysis!$C$100,$B:$B,CT:CT),IF(CU44-CR45&lt;0, CU44-CR45,0),0)))</f>
        <v>0</v>
      </c>
      <c r="CV45" s="1">
        <f>IF($B45=Analysis!$C$100,Analysis!$C$105,0)</f>
        <v>0</v>
      </c>
      <c r="CW45" s="1">
        <f>IF($B45=Analysis!$C$100,PMT(CO45,CX45,CV45)*CX45,0)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29"/>
        <v>0</v>
      </c>
      <c r="DE45" s="1">
        <f t="shared" si="70"/>
        <v>0</v>
      </c>
      <c r="DF45" s="64">
        <f>IF(OR($B45&lt;Analysis!$C$100, $B45&gt;=Analysis!$C$101),0,Analysis!$C$118)</f>
        <v>0</v>
      </c>
      <c r="DG45" s="1">
        <f t="shared" si="71"/>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30"/>
        <v>0</v>
      </c>
      <c r="DS45" s="1">
        <f>MIN(0,-(DB45+DR45)*Analysis!$C$28)-CR45*Analysis!$C$28</f>
        <v>0</v>
      </c>
      <c r="DT45" s="1">
        <f>-Analysis!$C$116*DD45/12</f>
        <v>0</v>
      </c>
      <c r="DU45" s="53"/>
      <c r="DV45" s="1">
        <f t="shared" si="72"/>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52"/>
        <v>0</v>
      </c>
      <c r="EA45" s="53"/>
      <c r="EB45" s="1">
        <f t="shared" si="82"/>
        <v>2399836.0059354752</v>
      </c>
      <c r="EC45" s="64">
        <f t="shared" si="53"/>
        <v>2.941176470588247E-2</v>
      </c>
      <c r="ED45" s="1">
        <f>IF($B45=Analysis!$C$130,(EB45*(1+Analysis!$C$23+Analysis!$C$24+Analysis!$C$25))-(IF($B45=$B$2,(Analysis!$C$6-Analysis!$C$7+Analysis!$C$132), (FU44-Analysis!$C$7+EM45)) + IF($B45=Analysis!$C$101,DZ44+CQ44+CU44+CZ44,0)),0)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$P45+$N45+IF($B45&lt;Analysis!$C$130,$CI45+$CJ45,0)+CP45+CR45+CY45+DE45+DG45+MIN(DI45,SUM(DJ45:DN45))+DQ45+DS45+DT45+EG45+EJ45+EP45+ES45+EU45+MIN(EW45,SUM(EX45:FB45))+FD45</f>
        <v>-89230.696855868591</v>
      </c>
      <c r="FM45" s="1">
        <f>$M45+$R45+DD45+IF(AND($B45&lt;&gt;Analysis!$C$130,$B45=Analysis!$C$101),DZ44+CQ44+CU44+CZ44,0)</f>
        <v>55924.023874627754</v>
      </c>
      <c r="FN45" s="1">
        <f t="shared" si="34"/>
        <v>-33306.672981240838</v>
      </c>
      <c r="FO45" s="1">
        <f>IF(FN45 &lt; 0,
    IF(FO44 + FN45 &gt; 0,
        FO44 + FN45, IF(FT44-ABS(FO44 + FN45)*(1+$V45) &gt;= FO44 + FN45,
        0, FO44 + FN45)),
    MIN(FO44 + FN45, Analysis!$C$7))+IF(FO44&lt;0, FO44*Analysis!$C$9,0)</f>
        <v>-258044.1694627463</v>
      </c>
      <c r="FP45" s="53"/>
      <c r="FQ45" s="1">
        <f t="shared" si="54"/>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60"/>
        <v>0</v>
      </c>
      <c r="FV45" s="36"/>
      <c r="FW45" s="1">
        <f t="shared" si="55"/>
        <v>1443379.6267582923</v>
      </c>
      <c r="FX45" s="64">
        <f t="shared" si="56"/>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36"/>
        <v>56495.540390804832</v>
      </c>
      <c r="GQ45" s="1">
        <f t="shared" si="37"/>
        <v>-4330.138880274877</v>
      </c>
      <c r="GR45" s="64">
        <f>IF($B45&lt;Analysis!$C$159,0,Analysis!$C$178)</f>
        <v>3.0000000000000001E-3</v>
      </c>
      <c r="GS45" s="1">
        <f t="shared" si="38"/>
        <v>-10825.347200687193</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-3615.4051132897466</v>
      </c>
      <c r="HD45" s="1">
        <f t="shared" si="39"/>
        <v>-31030.891194251817</v>
      </c>
      <c r="HE45" s="1">
        <f>MIN(0,-(GN45+HD45)*Analysis!$C$28)-GE45*Analysis!$C$28</f>
        <v>-7610.0255211428421</v>
      </c>
      <c r="HF45" s="1">
        <f>-Analysis!$C$176*GP45/12</f>
        <v>-4707.961699233736</v>
      </c>
      <c r="HG45" s="38"/>
      <c r="HH45" s="1">
        <f>IF($B45&lt;Analysis!$C$159,0,-$HI45*$FW45)</f>
        <v>-184030.90241168227</v>
      </c>
      <c r="HI45" s="64">
        <f>IF($B45&lt;Analysis!$C$159,0,IF($B45=Analysis!$C$159,Analysis!$C$31,HI44))</f>
        <v>0.1275</v>
      </c>
      <c r="HJ45" s="1">
        <f>IF($B45&lt;Analysis!$C$159,0,$FW45+HH45)</f>
        <v>1259348.72434661</v>
      </c>
      <c r="HK45" s="1">
        <f>IF($B45-Analysis!$C$159&gt;10,0,IF($FW45&gt;LOOKUP(Analysis!$C$159,$B:$B, FW:FW),$V45*(LOOKUP(Analysis!$C$159,$B:$B, FW:FW)-FW45),0))</f>
        <v>0</v>
      </c>
      <c r="HL45" s="1">
        <f t="shared" si="40"/>
        <v>1259348.72434661</v>
      </c>
      <c r="HM45" s="38"/>
      <c r="HN45" s="1">
        <f t="shared" si="41"/>
        <v>-142100.76585523403</v>
      </c>
      <c r="HO45" s="1">
        <f t="shared" si="73"/>
        <v>112419.56426543259</v>
      </c>
      <c r="HP45" s="1">
        <f t="shared" si="42"/>
        <v>-29681.201589801436</v>
      </c>
      <c r="HQ45" s="1">
        <f>IF(HP45 &lt; 0,
    IF(HQ44 + HP45 &gt; 0,
        HQ44 + HP45, IF(HV44-ABS(HQ44 + HP45)*(1+$V45) &gt;= HQ44 + HP45,
        0, HQ44 + HP45)),
    MIN(HQ44 + HP45, Analysis!$C$7))+IF(HQ44&lt;0, HQ44*Analysis!$C$9,0)</f>
        <v>0</v>
      </c>
      <c r="HR45" s="38"/>
      <c r="HS45" s="1">
        <f t="shared" si="57"/>
        <v>27083.517108767101</v>
      </c>
      <c r="HT45" s="1">
        <f>IF($B45=Analysis!$C$159,0,IF(HP45 &gt;= 0,
    MAX(0, HQ44 + HP45 - Analysis!$C$7),
    0))</f>
        <v>0</v>
      </c>
      <c r="HU45" s="1">
        <f>IF($B45=Analysis!$C$159,0,MAX(0, HU44 + HT45 - IF(HP45 &lt; 0, MIN(ABS(HP45), HU44 + HT45), 0)))</f>
        <v>755573.41947024141</v>
      </c>
      <c r="HV45" s="1">
        <f>IF($B45=Analysis!$C$159,0,IF(HP45 &lt; 0,
    IF(HP45 + HQ44 &lt; 0,
        MAX(0, HV44 - (ABS(HP45 + HQ44) * (1+$V44))),
        HV44 + HS45),
    HV44 + HT45 + HS45))</f>
        <v>1343749.7540380156</v>
      </c>
      <c r="HW45" s="1">
        <f t="shared" si="61"/>
        <v>1188618.2457957652</v>
      </c>
      <c r="HX45" s="36"/>
    </row>
    <row r="46" spans="1:232" x14ac:dyDescent="0.35">
      <c r="A46">
        <f t="shared" si="0"/>
        <v>79</v>
      </c>
      <c r="B46">
        <v>2069</v>
      </c>
      <c r="C46" s="1">
        <f>IF($B46&lt;Analysis!C$66,0,$AN46)+$AT46+$AW46+$BC46+$CF46+$CA46</f>
        <v>1741526.3567702188</v>
      </c>
      <c r="D46" s="1">
        <f>IF($B46&lt;Analysis!C$66, 0, BV46)+AT46+AW46+BC46+CG46+CA46</f>
        <v>1426547.8809911874</v>
      </c>
      <c r="E46" s="1">
        <f t="shared" si="13"/>
        <v>1720070.4252263997</v>
      </c>
      <c r="F46" s="1">
        <f t="shared" si="14"/>
        <v>1448015.4218646456</v>
      </c>
      <c r="G46" s="1">
        <f>IF(AND($B46&gt;=Analysis!$C$100, $B46&lt;Analysis!$C$101),$CK46,0)+IF($B46&gt;=Analysis!$C$130,EB46,0)+CQ46+CU46+CZ46+EH46+EK46+EQ46+$FO46+$FT46</f>
        <v>2156388.9770410443</v>
      </c>
      <c r="H46" s="1">
        <f t="shared" si="64"/>
        <v>1841410.5012620129</v>
      </c>
      <c r="I46" s="1">
        <f>IF($B46&lt;Analysis!$C$159,0,$FW46)+$GC46+$GF46+$GL46+$HQ46+$HV46</f>
        <v>2789218.4092747979</v>
      </c>
      <c r="J46" s="1">
        <f t="shared" si="65"/>
        <v>2446865.153754035</v>
      </c>
      <c r="K46" s="36"/>
      <c r="L46" s="1">
        <f t="shared" si="74"/>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4"/>
        <v>0</v>
      </c>
      <c r="R46" s="1">
        <f>IF(AND(AND(B46=Analysis!C$35,Analysis!C$34&lt;&gt;0),AND(B46=Analysis!C$37,Analysis!C$36&lt;&gt;0)),Analysis!C$34+Analysis!C$36,IF(AND(B46=Analysis!C$35,Analysis!C$34&lt;&gt;0),Analysis!C$34,IF(AND(B46=Analysis!C$37,Analysis!C$36&lt;&gt;0),Analysis!C$36,0)))</f>
        <v>0</v>
      </c>
      <c r="S46" s="64">
        <f t="shared" si="83"/>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84"/>
        <v>0.26374999999999998</v>
      </c>
      <c r="W46" s="36"/>
      <c r="X46" s="1">
        <f t="shared" si="75"/>
        <v>-56712.237071211704</v>
      </c>
      <c r="Y46" s="64">
        <f t="shared" si="76"/>
        <v>2.941176470588247E-2</v>
      </c>
      <c r="Z46" s="1">
        <f t="shared" si="19"/>
        <v>-3960</v>
      </c>
      <c r="AA46" s="64">
        <f t="shared" si="77"/>
        <v>0</v>
      </c>
      <c r="AB46" s="40"/>
      <c r="AC46" s="1">
        <f t="shared" si="66"/>
        <v>-108672.23707121171</v>
      </c>
      <c r="AD46" s="1">
        <f t="shared" si="67"/>
        <v>54805.543397135196</v>
      </c>
      <c r="AE46" s="1">
        <f t="shared" si="21"/>
        <v>-53866.693674076516</v>
      </c>
      <c r="AF46" s="1">
        <f>IF(AE46 &lt; 0,
    IF(AF45 + AE46 &gt; 0,
        AF45 + AE46, IF(AK45-ABS(AF45 + AE46)*(1+$V46) &gt;= AF45 + AE46,
        0, AF45 + AE46)),
    MIN(AF45 + AE46, Analysis!$C$7))+IF(AF45&lt;0, AF45*Analysis!$C$9,0)</f>
        <v>0</v>
      </c>
      <c r="AG46" s="40"/>
      <c r="AH46" s="1">
        <f t="shared" si="78"/>
        <v>35061.656065823678</v>
      </c>
      <c r="AI46" s="1">
        <f>IF(AE46 &gt;= 0,
    MAX(0, AF45 + AE46 - Analysis!$C$7),
    0)</f>
        <v>0</v>
      </c>
      <c r="AJ46" s="1">
        <f t="shared" si="46"/>
        <v>688582.26082164457</v>
      </c>
      <c r="AK46" s="1">
        <f t="shared" si="79"/>
        <v>1720070.4252263997</v>
      </c>
      <c r="AL46" s="1">
        <f t="shared" si="68"/>
        <v>1448015.4218646456</v>
      </c>
      <c r="AM46" s="36"/>
      <c r="AN46" s="1">
        <f t="shared" si="47"/>
        <v>2470419.4178747544</v>
      </c>
      <c r="AO46" s="64">
        <f t="shared" si="80"/>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-7411.2582536242635</v>
      </c>
      <c r="BF46" s="64">
        <f>IF($B46&lt;Analysis!$C$66,0,Analysis!$C$78)</f>
        <v>3.0000000000000001E-3</v>
      </c>
      <c r="BG46" s="1">
        <f>IF($B46&lt;Analysis!$C$66,0,-BH46*AN46)</f>
        <v>-18528.145634060656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5"/>
        <v>-314978.47577903117</v>
      </c>
      <c r="BS46" s="64">
        <f>IF($B46&lt;Analysis!C$66,0,Analysis!C$31)</f>
        <v>0.1275</v>
      </c>
      <c r="BT46" s="1">
        <f>IF($B46&lt;Analysis!$C$66,0,AN46+BR46)</f>
        <v>2155440.942095723</v>
      </c>
      <c r="BU46" s="1">
        <f>IF($B46-Analysis!$C$66&gt;3,0,IF($AN46&gt;LOOKUP(Analysis!$C$66,$B:$B, AN:AN),$V46*(LOOKUP(Analysis!$C$66,$B:$B, AN:AN)-AN46),0))</f>
        <v>0</v>
      </c>
      <c r="BV46" s="1">
        <f t="shared" si="26"/>
        <v>2155440.942095723</v>
      </c>
      <c r="BW46" s="42"/>
      <c r="BX46" s="1">
        <f>IF($B46&lt;Analysis!$C$66,$P46+$N46+$X46+$Z46,$P46+$N46+AS46+AV46+BB46+BE46+BG46+MAX(BI46,SUM(BJ46:BN46))+BP46)</f>
        <v>-77899.403887684923</v>
      </c>
      <c r="BY46" s="1">
        <f t="shared" si="69"/>
        <v>54805.543397135196</v>
      </c>
      <c r="BZ46" s="1">
        <f t="shared" si="48"/>
        <v>-23093.860490549727</v>
      </c>
      <c r="CA46" s="1">
        <f>IF(BZ46 &lt; 0,
    IF(CA45 + BZ46 &gt; 0,
        CA45 + BZ46, IF(CF45-ABS(CA45 + BZ46)*(1+$V46) &gt;= CA45 + BZ46,
        0, CA45 + BZ46)),
    MIN(CA45 + BZ46, Analysis!$C$7))+IF(CA45&lt;0, CA45*Analysis!$C$9,0)</f>
        <v>-728893.06110453559</v>
      </c>
      <c r="CB46" s="42"/>
      <c r="CC46" s="1">
        <f t="shared" si="49"/>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8"/>
        <v>0</v>
      </c>
      <c r="CH46" s="36"/>
      <c r="CI46" s="1">
        <f>IF(OR($B46&lt;Analysis!$C$100, $B46&gt;=Analysis!$C$130),0,X46)</f>
        <v>0</v>
      </c>
      <c r="CJ46" s="1">
        <f>IF(OR($B46&lt;Analysis!$C$100, $B46&gt;=Analysis!$C$130),0,Z46)</f>
        <v>0</v>
      </c>
      <c r="CK46" s="1">
        <f t="shared" si="81"/>
        <v>1485831.9687217716</v>
      </c>
      <c r="CL46" s="64">
        <f t="shared" si="51"/>
        <v>2.941176470588247E-2</v>
      </c>
      <c r="CM46" s="1">
        <f>IF($B46=Analysis!$C$100,(CK46*(1+Analysis!$C$23+Analysis!$C$24+Analysis!$C$25))-IF($B46=$B$2,(Analysis!$C$6-Analysis!$C$7+Analysis!$C$105), (FU45-Analysis!$C$7+CV46)),0)</f>
        <v>0</v>
      </c>
      <c r="CN46" s="64">
        <f>IF($B46=Analysis!$C$100,Analysis!$C$103,0)</f>
        <v>0</v>
      </c>
      <c r="CO46" s="64">
        <f>IF(OR($B46&lt;Analysis!$C$100, $B46&gt;=Analysis!$C$101),0,IF($B46=Analysis!$C$100,Analysis!$C$102,IF(($B46-Analysis!$C$100)&lt;LOOKUP(Analysis!$C$100,$B:$B,CT:CT),CO45,0)))</f>
        <v>0</v>
      </c>
      <c r="CP46" s="1">
        <f>IF(OR($B46&lt;Analysis!$C$100, $B46&gt;=Analysis!$C$101),0,IF($B46=Analysis!$C$100,-CM46*CN46,IF(CS46&gt;=0,0,CS46-CR46)))</f>
        <v>0</v>
      </c>
      <c r="CQ46" s="1">
        <f>IF(OR($B46&lt;Analysis!$C$100, $B46&gt;=Analysis!$C$101),0,IF($B46=Analysis!$C$100,-CM46-CP46,MIN(0,CQ45-CP46)))</f>
        <v>0</v>
      </c>
      <c r="CR46" s="1">
        <f>IF(OR($B46&lt;Analysis!$C$100, $B46&gt;=Analysis!$C$101),0,IF($B46=Analysis!$C$100,-CO46*CM46,CO45*CQ45))</f>
        <v>0</v>
      </c>
      <c r="CS46" s="1">
        <f>IF(OR($B46&lt;Analysis!$C$100, $B46&gt;=Analysis!$C$101),0,IF($B46=Analysis!$C$100,CP46+CR46,IF(CQ45&lt;0,IF(CQ45&gt;LOOKUP(Analysis!$C$100,$B:$B,CS:CS), CQ45*(1+CO45),CS45),0)))</f>
        <v>0</v>
      </c>
      <c r="CT46" s="65">
        <f>IF($B46=Analysis!$C$100,NPER(CO46,-CS46,-CM46),0)</f>
        <v>0</v>
      </c>
      <c r="CU46" s="1">
        <f>IF(OR($B46&lt;Analysis!$C$100, $B46&gt;=Analysis!$C$101),0,IF($B46=Analysis!$C$100,PMT(CO46,CT46,CM46)*CT46-CS46-CQ46,IF(($B46-Analysis!$C$100+1)&lt;LOOKUP(Analysis!$C$100,$B:$B,CT:CT),IF(CU45-CR46&lt;0, CU45-CR46,0),0)))</f>
        <v>0</v>
      </c>
      <c r="CV46" s="1">
        <f>IF($B46=Analysis!$C$100,Analysis!$C$105,0)</f>
        <v>0</v>
      </c>
      <c r="CW46" s="1">
        <f>IF($B46=Analysis!$C$100,PMT(CO46,CX46,CV46)*CX46,0)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29"/>
        <v>0</v>
      </c>
      <c r="DE46" s="1">
        <f t="shared" si="70"/>
        <v>0</v>
      </c>
      <c r="DF46" s="64">
        <f>IF(OR($B46&lt;Analysis!$C$100, $B46&gt;=Analysis!$C$101),0,Analysis!$C$118)</f>
        <v>0</v>
      </c>
      <c r="DG46" s="1">
        <f t="shared" si="71"/>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30"/>
        <v>0</v>
      </c>
      <c r="DS46" s="1">
        <f>MIN(0,-(DB46+DR46)*Analysis!$C$28)-CR46*Analysis!$C$28</f>
        <v>0</v>
      </c>
      <c r="DT46" s="1">
        <f>-Analysis!$C$116*DD46/12</f>
        <v>0</v>
      </c>
      <c r="DU46" s="53"/>
      <c r="DV46" s="1">
        <f t="shared" si="72"/>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52"/>
        <v>0</v>
      </c>
      <c r="EA46" s="53"/>
      <c r="EB46" s="1">
        <f t="shared" si="82"/>
        <v>2470419.4178747544</v>
      </c>
      <c r="EC46" s="64">
        <f t="shared" si="53"/>
        <v>2.941176470588247E-2</v>
      </c>
      <c r="ED46" s="1">
        <f>IF($B46=Analysis!$C$130,(EB46*(1+Analysis!$C$23+Analysis!$C$24+Analysis!$C$25))-(IF($B46=$B$2,(Analysis!$C$6-Analysis!$C$7+Analysis!$C$132), (FU45-Analysis!$C$7+EM46)) + IF($B46=Analysis!$C$101,DZ45+CQ45+CU45+CZ45,0)),0)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$P46+$N46+IF($B46&lt;Analysis!$C$130,$CI46+$CJ46,0)+CP46+CR46+CY46+DE46+DG46+MIN(DI46,SUM(DJ46:DN46))+DQ46+DS46+DT46+EG46+EJ46+EP46+ES46+EU46+MIN(EW46,SUM(EX46:FB46))+FD46</f>
        <v>-90148.281211079229</v>
      </c>
      <c r="FM46" s="1">
        <f>$M46+$R46+DD46+IF(AND($B46&lt;&gt;Analysis!$C$130,$B46=Analysis!$C$101),DZ45+CQ45+CU45+CZ45,0)</f>
        <v>54805.543397135196</v>
      </c>
      <c r="FN46" s="1">
        <f t="shared" si="34"/>
        <v>-35342.737813944033</v>
      </c>
      <c r="FO46" s="1">
        <f>IF(FN46 &lt; 0,
    IF(FO45 + FN46 &gt; 0,
        FO45 + FN46, IF(FT45-ABS(FO45 + FN46)*(1+$V46) &gt;= FO45 + FN46,
        0, FO45 + FN46)),
    MIN(FO45 + FN46, Analysis!$C$7))+IF(FO45&lt;0, FO45*Analysis!$C$9,0)</f>
        <v>-314030.44083371008</v>
      </c>
      <c r="FP46" s="53"/>
      <c r="FQ46" s="1">
        <f t="shared" si="54"/>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60"/>
        <v>0</v>
      </c>
      <c r="FV46" s="36"/>
      <c r="FW46" s="1">
        <f t="shared" si="55"/>
        <v>1485831.9687217716</v>
      </c>
      <c r="FX46" s="64">
        <f t="shared" si="56"/>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36"/>
        <v>58040.703343475565</v>
      </c>
      <c r="GQ46" s="1">
        <f t="shared" si="37"/>
        <v>-4457.4959061653153</v>
      </c>
      <c r="GR46" s="64">
        <f>IF($B46&lt;Analysis!$C$159,0,Analysis!$C$178)</f>
        <v>3.0000000000000001E-3</v>
      </c>
      <c r="GS46" s="1">
        <f t="shared" si="38"/>
        <v>-11143.739765413287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-3721.7405577982686</v>
      </c>
      <c r="HD46" s="1">
        <f t="shared" si="39"/>
        <v>-31582.976229376869</v>
      </c>
      <c r="HE46" s="1">
        <f>MIN(0,-(GN46+HD46)*Analysis!$C$28)-GE46*Analysis!$C$28</f>
        <v>-7993.6264482352808</v>
      </c>
      <c r="HF46" s="1">
        <f>-Analysis!$C$176*GP46/12</f>
        <v>-4836.7252786229637</v>
      </c>
      <c r="HG46" s="38"/>
      <c r="HH46" s="1">
        <f>IF($B46&lt;Analysis!$C$159,0,-$HI46*$FW46)</f>
        <v>-189443.57601202588</v>
      </c>
      <c r="HI46" s="64">
        <f>IF($B46&lt;Analysis!$C$159,0,IF($B46=Analysis!$C$159,Analysis!$C$31,HI45))</f>
        <v>0.1275</v>
      </c>
      <c r="HJ46" s="1">
        <f>IF($B46&lt;Analysis!$C$159,0,$FW46+HH46)</f>
        <v>1296388.3927097458</v>
      </c>
      <c r="HK46" s="1">
        <f>IF($B46-Analysis!$C$159&gt;10,0,IF($FW46&gt;LOOKUP(Analysis!$C$159,$B:$B, FW:FW),$V46*(LOOKUP(Analysis!$C$159,$B:$B, FW:FW)-FW46),0))</f>
        <v>0</v>
      </c>
      <c r="HL46" s="1">
        <f t="shared" si="40"/>
        <v>1296388.3927097458</v>
      </c>
      <c r="HM46" s="38"/>
      <c r="HN46" s="1">
        <f t="shared" si="41"/>
        <v>-144785.56502744684</v>
      </c>
      <c r="HO46" s="1">
        <f t="shared" si="73"/>
        <v>112846.24674061076</v>
      </c>
      <c r="HP46" s="1">
        <f t="shared" si="42"/>
        <v>-31939.318286836075</v>
      </c>
      <c r="HQ46" s="1">
        <f>IF(HP46 &lt; 0,
    IF(HQ45 + HP46 &gt; 0,
        HQ45 + HP46, IF(HV45-ABS(HQ45 + HP46)*(1+$V46) &gt;= HQ45 + HP46,
        0, HQ45 + HP46)),
    MIN(HQ45 + HP46, Analysis!$C$7))+IF(HQ45&lt;0, HQ45*Analysis!$C$9,0)</f>
        <v>0</v>
      </c>
      <c r="HR46" s="38"/>
      <c r="HS46" s="1">
        <f t="shared" si="57"/>
        <v>26348.034392902173</v>
      </c>
      <c r="HT46" s="1">
        <f>IF($B46=Analysis!$C$159,0,IF(HP46 &gt;= 0,
    MAX(0, HQ45 + HP46 - Analysis!$C$7),
    0))</f>
        <v>0</v>
      </c>
      <c r="HU46" s="1">
        <f>IF($B46=Analysis!$C$159,0,MAX(0, HU45 + HT46 - IF(HP46 &lt; 0, MIN(ABS(HP46), HU45 + HT46), 0)))</f>
        <v>723634.10118340538</v>
      </c>
      <c r="HV46" s="1">
        <f>IF($B46=Analysis!$C$159,0,IF(HP46 &lt; 0,
    IF(HP46 + HQ45 &lt; 0,
        MAX(0, HV45 - (ABS(HP46 + HQ45) * (1+$V45))),
        HV45 + HS46),
    HV45 + HT46 + HS46))</f>
        <v>1303386.4405530265</v>
      </c>
      <c r="HW46" s="1">
        <f t="shared" si="61"/>
        <v>1150476.761044289</v>
      </c>
      <c r="HX46" s="36"/>
    </row>
    <row r="47" spans="1:232" x14ac:dyDescent="0.35">
      <c r="A47">
        <f t="shared" si="0"/>
        <v>80</v>
      </c>
      <c r="B47">
        <v>2070</v>
      </c>
      <c r="C47" s="1">
        <f>IF($B47&lt;Analysis!C$66,0,$AN47)+$AT47+$AW47+$BC47+$CF47+$CA47</f>
        <v>1730921.4115229836</v>
      </c>
      <c r="D47" s="1">
        <f>IF($B47&lt;Analysis!C$66, 0, BV47)+AT47+AW47+BC47+CG47+CA47</f>
        <v>1406678.8629269218</v>
      </c>
      <c r="E47" s="1">
        <f t="shared" si="13"/>
        <v>1648503.2371746951</v>
      </c>
      <c r="F47" s="1">
        <f t="shared" si="14"/>
        <v>1380387.7031245753</v>
      </c>
      <c r="G47" s="1">
        <f>IF(AND($B47&gt;=Analysis!$C$100, $B47&lt;Analysis!$C$101),$CK47,0)+IF($B47&gt;=Analysis!$C$130,EB47,0)+CQ47+CU47+CZ47+EH47+EK47+EQ47+$FO47+$FT47</f>
        <v>2172615.3443841799</v>
      </c>
      <c r="H47" s="1">
        <f t="shared" si="64"/>
        <v>1848372.7957881182</v>
      </c>
      <c r="I47" s="1">
        <f>IF($B47&lt;Analysis!$C$159,0,$FW47)+$GC47+$GF47+$GL47+$HQ47+$HV47</f>
        <v>2789688.2513918038</v>
      </c>
      <c r="J47" s="1">
        <f t="shared" si="65"/>
        <v>2444142.8140697749</v>
      </c>
      <c r="K47" s="36"/>
      <c r="L47" s="1">
        <f t="shared" si="74"/>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4"/>
        <v>0</v>
      </c>
      <c r="R47" s="1">
        <f>IF(AND(AND(B47=Analysis!C$35,Analysis!C$34&lt;&gt;0),AND(B47=Analysis!C$37,Analysis!C$36&lt;&gt;0)),Analysis!C$34+Analysis!C$36,IF(AND(B47=Analysis!C$35,Analysis!C$34&lt;&gt;0),Analysis!C$34,IF(AND(B47=Analysis!C$37,Analysis!C$36&lt;&gt;0),Analysis!C$36,0)))</f>
        <v>0</v>
      </c>
      <c r="S47" s="64">
        <f t="shared" si="83"/>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84"/>
        <v>0.26374999999999998</v>
      </c>
      <c r="W47" s="36"/>
      <c r="X47" s="1">
        <f t="shared" si="75"/>
        <v>-58380.24404389441</v>
      </c>
      <c r="Y47" s="64">
        <f t="shared" si="76"/>
        <v>2.941176470588247E-2</v>
      </c>
      <c r="Z47" s="1">
        <f t="shared" si="19"/>
        <v>-3960</v>
      </c>
      <c r="AA47" s="64">
        <f t="shared" si="77"/>
        <v>0</v>
      </c>
      <c r="AB47" s="40"/>
      <c r="AC47" s="1">
        <f t="shared" si="66"/>
        <v>-110340.2440438944</v>
      </c>
      <c r="AD47" s="1">
        <f t="shared" si="67"/>
        <v>53709.432529192491</v>
      </c>
      <c r="AE47" s="1">
        <f t="shared" si="21"/>
        <v>-56630.811514701913</v>
      </c>
      <c r="AF47" s="1">
        <f>IF(AE47 &lt; 0,
    IF(AF46 + AE47 &gt; 0,
        AF46 + AE47, IF(AK46-ABS(AF46 + AE47)*(1+$V47) &gt;= AF46 + AE47,
        0, AF46 + AE47)),
    MIN(AF46 + AE47, Analysis!$C$7))+IF(AF46&lt;0, AF46*Analysis!$C$9,0)</f>
        <v>0</v>
      </c>
      <c r="AG47" s="40"/>
      <c r="AH47" s="1">
        <f t="shared" si="78"/>
        <v>33726.871082870464</v>
      </c>
      <c r="AI47" s="1">
        <f>IF(AE47 &gt;= 0,
    MAX(0, AF46 + AE47 - Analysis!$C$7),
    0)</f>
        <v>0</v>
      </c>
      <c r="AJ47" s="1">
        <f t="shared" si="46"/>
        <v>631951.44930694264</v>
      </c>
      <c r="AK47" s="1">
        <f t="shared" si="79"/>
        <v>1648503.2371746951</v>
      </c>
      <c r="AL47" s="1">
        <f t="shared" si="68"/>
        <v>1380387.7031245753</v>
      </c>
      <c r="AM47" s="36"/>
      <c r="AN47" s="1">
        <f t="shared" si="47"/>
        <v>2543078.8125181301</v>
      </c>
      <c r="AO47" s="64">
        <f t="shared" si="80"/>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-7629.2364375543902</v>
      </c>
      <c r="BF47" s="64">
        <f>IF($B47&lt;Analysis!$C$66,0,Analysis!$C$78)</f>
        <v>3.0000000000000001E-3</v>
      </c>
      <c r="BG47" s="1">
        <f>IF($B47&lt;Analysis!$C$66,0,-BH47*AN47)</f>
        <v>-19073.091093885974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5"/>
        <v>-324242.54859606159</v>
      </c>
      <c r="BS47" s="64">
        <f>IF($B47&lt;Analysis!C$66,0,Analysis!C$31)</f>
        <v>0.1275</v>
      </c>
      <c r="BT47" s="1">
        <f>IF($B47&lt;Analysis!$C$66,0,AN47+BR47)</f>
        <v>2218836.2639220683</v>
      </c>
      <c r="BU47" s="1">
        <f>IF($B47-Analysis!$C$66&gt;3,0,IF($AN47&gt;LOOKUP(Analysis!$C$66,$B:$B, AN:AN),$V47*(LOOKUP(Analysis!$C$66,$B:$B, AN:AN)-AN47),0))</f>
        <v>0</v>
      </c>
      <c r="BV47" s="1">
        <f t="shared" si="26"/>
        <v>2218836.2639220683</v>
      </c>
      <c r="BW47" s="42"/>
      <c r="BX47" s="1">
        <f>IF($B47&lt;Analysis!$C$66,$P47+$N47+$X47+$Z47,$P47+$N47+AS47+AV47+BB47+BE47+BG47+MAX(BI47,SUM(BJ47:BN47))+BP47)</f>
        <v>-78662.327531440358</v>
      </c>
      <c r="BY47" s="1">
        <f t="shared" si="69"/>
        <v>53709.432529192491</v>
      </c>
      <c r="BZ47" s="1">
        <f t="shared" si="48"/>
        <v>-24952.895002247868</v>
      </c>
      <c r="CA47" s="1">
        <f>IF(BZ47 &lt; 0,
    IF(CA46 + BZ47 &gt; 0,
        CA46 + BZ47, IF(CF46-ABS(CA46 + BZ47)*(1+$V47) &gt;= CA46 + BZ47,
        0, CA46 + BZ47)),
    MIN(CA46 + BZ47, Analysis!$C$7))+IF(CA46&lt;0, CA46*Analysis!$C$9,0)</f>
        <v>-812157.40099514637</v>
      </c>
      <c r="CB47" s="42"/>
      <c r="CC47" s="1">
        <f t="shared" si="49"/>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8"/>
        <v>0</v>
      </c>
      <c r="CH47" s="36"/>
      <c r="CI47" s="1">
        <f>IF(OR($B47&lt;Analysis!$C$100, $B47&gt;=Analysis!$C$130),0,X47)</f>
        <v>0</v>
      </c>
      <c r="CJ47" s="1">
        <f>IF(OR($B47&lt;Analysis!$C$100, $B47&gt;=Analysis!$C$130),0,Z47)</f>
        <v>0</v>
      </c>
      <c r="CK47" s="1">
        <f t="shared" si="81"/>
        <v>1529532.9089782946</v>
      </c>
      <c r="CL47" s="64">
        <f t="shared" si="51"/>
        <v>2.941176470588247E-2</v>
      </c>
      <c r="CM47" s="1">
        <f>IF($B47=Analysis!$C$100,(CK47*(1+Analysis!$C$23+Analysis!$C$24+Analysis!$C$25))-IF($B47=$B$2,(Analysis!$C$6-Analysis!$C$7+Analysis!$C$105), (FU46-Analysis!$C$7+CV47)),0)</f>
        <v>0</v>
      </c>
      <c r="CN47" s="64">
        <f>IF($B47=Analysis!$C$100,Analysis!$C$103,0)</f>
        <v>0</v>
      </c>
      <c r="CO47" s="64">
        <f>IF(OR($B47&lt;Analysis!$C$100, $B47&gt;=Analysis!$C$101),0,IF($B47=Analysis!$C$100,Analysis!$C$102,IF(($B47-Analysis!$C$100)&lt;LOOKUP(Analysis!$C$100,$B:$B,CT:CT),CO46,0)))</f>
        <v>0</v>
      </c>
      <c r="CP47" s="1">
        <f>IF(OR($B47&lt;Analysis!$C$100, $B47&gt;=Analysis!$C$101),0,IF($B47=Analysis!$C$100,-CM47*CN47,IF(CS47&gt;=0,0,CS47-CR47)))</f>
        <v>0</v>
      </c>
      <c r="CQ47" s="1">
        <f>IF(OR($B47&lt;Analysis!$C$100, $B47&gt;=Analysis!$C$101),0,IF($B47=Analysis!$C$100,-CM47-CP47,MIN(0,CQ46-CP47)))</f>
        <v>0</v>
      </c>
      <c r="CR47" s="1">
        <f>IF(OR($B47&lt;Analysis!$C$100, $B47&gt;=Analysis!$C$101),0,IF($B47=Analysis!$C$100,-CO47*CM47,CO46*CQ46))</f>
        <v>0</v>
      </c>
      <c r="CS47" s="1">
        <f>IF(OR($B47&lt;Analysis!$C$100, $B47&gt;=Analysis!$C$101),0,IF($B47=Analysis!$C$100,CP47+CR47,IF(CQ46&lt;0,IF(CQ46&gt;LOOKUP(Analysis!$C$100,$B:$B,CS:CS), CQ46*(1+CO46),CS46),0)))</f>
        <v>0</v>
      </c>
      <c r="CT47" s="65">
        <f>IF($B47=Analysis!$C$100,NPER(CO47,-CS47,-CM47),0)</f>
        <v>0</v>
      </c>
      <c r="CU47" s="1">
        <f>IF(OR($B47&lt;Analysis!$C$100, $B47&gt;=Analysis!$C$101),0,IF($B47=Analysis!$C$100,PMT(CO47,CT47,CM47)*CT47-CS47-CQ47,IF(($B47-Analysis!$C$100+1)&lt;LOOKUP(Analysis!$C$100,$B:$B,CT:CT),IF(CU46-CR47&lt;0, CU46-CR47,0),0)))</f>
        <v>0</v>
      </c>
      <c r="CV47" s="1">
        <f>IF($B47=Analysis!$C$100,Analysis!$C$105,0)</f>
        <v>0</v>
      </c>
      <c r="CW47" s="1">
        <f>IF($B47=Analysis!$C$100,PMT(CO47,CX47,CV47)*CX47,0)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29"/>
        <v>0</v>
      </c>
      <c r="DE47" s="1">
        <f t="shared" si="70"/>
        <v>0</v>
      </c>
      <c r="DF47" s="64">
        <f>IF(OR($B47&lt;Analysis!$C$100, $B47&gt;=Analysis!$C$101),0,Analysis!$C$118)</f>
        <v>0</v>
      </c>
      <c r="DG47" s="1">
        <f t="shared" si="71"/>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30"/>
        <v>0</v>
      </c>
      <c r="DS47" s="1">
        <f>MIN(0,-(DB47+DR47)*Analysis!$C$28)-CR47*Analysis!$C$28</f>
        <v>0</v>
      </c>
      <c r="DT47" s="1">
        <f>-Analysis!$C$116*DD47/12</f>
        <v>0</v>
      </c>
      <c r="DU47" s="53"/>
      <c r="DV47" s="1">
        <f t="shared" si="72"/>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52"/>
        <v>0</v>
      </c>
      <c r="EA47" s="53"/>
      <c r="EB47" s="1">
        <f t="shared" si="82"/>
        <v>2543078.8125181301</v>
      </c>
      <c r="EC47" s="64">
        <f t="shared" si="53"/>
        <v>2.941176470588247E-2</v>
      </c>
      <c r="ED47" s="1">
        <f>IF($B47=Analysis!$C$130,(EB47*(1+Analysis!$C$23+Analysis!$C$24+Analysis!$C$25))-(IF($B47=$B$2,(Analysis!$C$6-Analysis!$C$7+Analysis!$C$132), (FU46-Analysis!$C$7+EM47)) + IF($B47=Analysis!$C$101,DZ46+CQ46+CU46+CZ46,0)),0)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$P47+$N47+IF($B47&lt;Analysis!$C$130,$CI47+$CJ47,0)+CP47+CR47+CY47+DE47+DG47+MIN(DI47,SUM(DJ47:DN47))+DQ47+DS47+DT47+EG47+EJ47+EP47+ES47+EU47+MIN(EW47,SUM(EX47:FB47))+FD47</f>
        <v>-85020.024562735693</v>
      </c>
      <c r="FM47" s="1">
        <f>$M47+$R47+DD47+IF(AND($B47&lt;&gt;Analysis!$C$130,$B47=Analysis!$C$101),DZ46+CQ46+CU46+CZ46,0)</f>
        <v>53709.432529192491</v>
      </c>
      <c r="FN47" s="1">
        <f t="shared" si="34"/>
        <v>-31310.592033543202</v>
      </c>
      <c r="FO47" s="1">
        <f>IF(FN47 &lt; 0,
    IF(FO46 + FN47 &gt; 0,
        FO46 + FN47, IF(FT46-ABS(FO46 + FN47)*(1+$V47) &gt;= FO46 + FN47,
        0, FO46 + FN47)),
    MIN(FO46 + FN47, Analysis!$C$7))+IF(FO46&lt;0, FO46*Analysis!$C$9,0)</f>
        <v>-370463.46813395008</v>
      </c>
      <c r="FP47" s="53"/>
      <c r="FQ47" s="1">
        <f t="shared" si="54"/>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60"/>
        <v>0</v>
      </c>
      <c r="FV47" s="36"/>
      <c r="FW47" s="1">
        <f t="shared" si="55"/>
        <v>1529532.9089782946</v>
      </c>
      <c r="FX47" s="64">
        <f t="shared" si="56"/>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36"/>
        <v>59631.312265342502</v>
      </c>
      <c r="GQ47" s="1">
        <f t="shared" si="37"/>
        <v>-4588.5987269348834</v>
      </c>
      <c r="GR47" s="64">
        <f>IF($B47&lt;Analysis!$C$159,0,Analysis!$C$178)</f>
        <v>3.0000000000000001E-3</v>
      </c>
      <c r="GS47" s="1">
        <f t="shared" si="38"/>
        <v>-11471.496817337209</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-3831.2035153805709</v>
      </c>
      <c r="HD47" s="1">
        <f t="shared" si="39"/>
        <v>-32151.299059652662</v>
      </c>
      <c r="HE47" s="1">
        <f>MIN(0,-(GN47+HD47)*Analysis!$C$28)-GE47*Analysis!$C$28</f>
        <v>-8388.5097555363191</v>
      </c>
      <c r="HF47" s="1">
        <f>-Analysis!$C$176*GP47/12</f>
        <v>-4969.2760221118751</v>
      </c>
      <c r="HG47" s="38"/>
      <c r="HH47" s="1">
        <f>IF($B47&lt;Analysis!$C$159,0,-$HI47*$FW47)</f>
        <v>-195015.44589473258</v>
      </c>
      <c r="HI47" s="64">
        <f>IF($B47&lt;Analysis!$C$159,0,IF($B47=Analysis!$C$159,Analysis!$C$31,HI46))</f>
        <v>0.1275</v>
      </c>
      <c r="HJ47" s="1">
        <f>IF($B47&lt;Analysis!$C$159,0,$FW47+HH47)</f>
        <v>1334517.463083562</v>
      </c>
      <c r="HK47" s="1">
        <f>IF($B47-Analysis!$C$159&gt;10,0,IF($FW47&gt;LOOKUP(Analysis!$C$159,$B:$B, FW:FW),$V47*(LOOKUP(Analysis!$C$159,$B:$B, FW:FW)-FW47),0))</f>
        <v>0</v>
      </c>
      <c r="HL47" s="1">
        <f t="shared" si="40"/>
        <v>1334517.463083562</v>
      </c>
      <c r="HM47" s="38"/>
      <c r="HN47" s="1">
        <f t="shared" si="41"/>
        <v>-147549.32888119528</v>
      </c>
      <c r="HO47" s="1">
        <f t="shared" si="73"/>
        <v>113340.74479453498</v>
      </c>
      <c r="HP47" s="1">
        <f t="shared" si="42"/>
        <v>-34208.584086660296</v>
      </c>
      <c r="HQ47" s="1">
        <f>IF(HP47 &lt; 0,
    IF(HQ46 + HP47 &gt; 0,
        HQ46 + HP47, IF(HV46-ABS(HQ46 + HP47)*(1+$V47) &gt;= HQ46 + HP47,
        0, HQ46 + HP47)),
    MIN(HQ46 + HP47, Analysis!$C$7))+IF(HQ46&lt;0, HQ46*Analysis!$C$9,0)</f>
        <v>0</v>
      </c>
      <c r="HR47" s="38"/>
      <c r="HS47" s="1">
        <f t="shared" si="57"/>
        <v>25556.596873588664</v>
      </c>
      <c r="HT47" s="1">
        <f>IF($B47=Analysis!$C$159,0,IF(HP47 &gt;= 0,
    MAX(0, HQ46 + HP47 - Analysis!$C$7),
    0))</f>
        <v>0</v>
      </c>
      <c r="HU47" s="1">
        <f>IF($B47=Analysis!$C$159,0,MAX(0, HU46 + HT47 - IF(HP47 &lt; 0, MIN(ABS(HP47), HU46 + HT47), 0)))</f>
        <v>689425.51709674508</v>
      </c>
      <c r="HV47" s="1">
        <f>IF($B47=Analysis!$C$159,0,IF(HP47 &lt; 0,
    IF(HP47 + HQ46 &lt; 0,
        MAX(0, HV46 - (ABS(HP47 + HQ46) * (1+$V46))),
        HV46 + HS47),
    HV46 + HT47 + HS47))</f>
        <v>1260155.3424135095</v>
      </c>
      <c r="HW47" s="1">
        <f t="shared" si="61"/>
        <v>1109625.350986213</v>
      </c>
      <c r="HX47" s="36"/>
    </row>
    <row r="48" spans="1:232" x14ac:dyDescent="0.35">
      <c r="A48">
        <f t="shared" si="0"/>
        <v>81</v>
      </c>
      <c r="B48">
        <v>2071</v>
      </c>
      <c r="C48" s="1">
        <f>IF($B48&lt;Analysis!C$66,0,$AN48)+$AT48+$AW48+$BC48+$CF48+$CA48</f>
        <v>1713932.8088783845</v>
      </c>
      <c r="D48" s="1">
        <f>IF($B48&lt;Analysis!C$66, 0, BV48)+AT48+AW48+BC48+CG48+CA48</f>
        <v>1380153.7147353799</v>
      </c>
      <c r="E48" s="1">
        <f t="shared" si="13"/>
        <v>1573408.6010566838</v>
      </c>
      <c r="F48" s="1">
        <f t="shared" si="14"/>
        <v>1309426.7073312551</v>
      </c>
      <c r="G48" s="1">
        <f>IF(AND($B48&gt;=Analysis!$C$100, $B48&lt;Analysis!$C$101),$CK48,0)+IF($B48&gt;=Analysis!$C$130,EB48,0)+CQ48+CU48+CZ48+EH48+EK48+EQ48+$FO48+$FT48</f>
        <v>2184417.5682480256</v>
      </c>
      <c r="H48" s="1">
        <f t="shared" si="64"/>
        <v>1850638.474105021</v>
      </c>
      <c r="I48" s="1">
        <f>IF($B48&lt;Analysis!$C$159,0,$FW48)+$GC48+$GF48+$GL48+$HQ48+$HV48</f>
        <v>2788559.7296950389</v>
      </c>
      <c r="J48" s="1">
        <f t="shared" si="65"/>
        <v>2439816.9666723586</v>
      </c>
      <c r="K48" s="36"/>
      <c r="L48" s="1">
        <f t="shared" si="74"/>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4"/>
        <v>0</v>
      </c>
      <c r="R48" s="1">
        <f>IF(AND(AND(B48=Analysis!C$35,Analysis!C$34&lt;&gt;0),AND(B48=Analysis!C$37,Analysis!C$36&lt;&gt;0)),Analysis!C$34+Analysis!C$36,IF(AND(B48=Analysis!C$35,Analysis!C$34&lt;&gt;0),Analysis!C$34,IF(AND(B48=Analysis!C$37,Analysis!C$36&lt;&gt;0),Analysis!C$36,0)))</f>
        <v>0</v>
      </c>
      <c r="S48" s="64">
        <f t="shared" si="83"/>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84"/>
        <v>0.26374999999999998</v>
      </c>
      <c r="W48" s="36"/>
      <c r="X48" s="1">
        <f t="shared" si="75"/>
        <v>-60097.310045185426</v>
      </c>
      <c r="Y48" s="64">
        <f t="shared" si="76"/>
        <v>2.941176470588247E-2</v>
      </c>
      <c r="Z48" s="1">
        <f t="shared" si="19"/>
        <v>-3960</v>
      </c>
      <c r="AA48" s="64">
        <f t="shared" si="77"/>
        <v>0</v>
      </c>
      <c r="AB48" s="40"/>
      <c r="AC48" s="1">
        <f t="shared" si="66"/>
        <v>-112057.31004518543</v>
      </c>
      <c r="AD48" s="1">
        <f t="shared" si="67"/>
        <v>52635.243878608642</v>
      </c>
      <c r="AE48" s="1">
        <f t="shared" si="21"/>
        <v>-59422.066166576784</v>
      </c>
      <c r="AF48" s="1">
        <f>IF(AE48 &lt; 0,
    IF(AF47 + AE48 &gt; 0,
        AF47 + AE48, IF(AK47-ABS(AF47 + AE48)*(1+$V48) &gt;= AF47 + AE48,
        0, AF47 + AE48)),
    MIN(AF47 + AE48, Analysis!$C$7))+IF(AF47&lt;0, AF47*Analysis!$C$9,0)</f>
        <v>0</v>
      </c>
      <c r="AG48" s="40"/>
      <c r="AH48" s="1">
        <f t="shared" si="78"/>
        <v>32323.59288577822</v>
      </c>
      <c r="AI48" s="1">
        <f>IF(AE48 &gt;= 0,
    MAX(0, AF47 + AE48 - Analysis!$C$7),
    0)</f>
        <v>0</v>
      </c>
      <c r="AJ48" s="1">
        <f t="shared" si="46"/>
        <v>572529.38314036583</v>
      </c>
      <c r="AK48" s="1">
        <f t="shared" si="79"/>
        <v>1573408.6010566838</v>
      </c>
      <c r="AL48" s="1">
        <f t="shared" si="68"/>
        <v>1309426.7073312551</v>
      </c>
      <c r="AM48" s="36"/>
      <c r="AN48" s="1">
        <f t="shared" si="47"/>
        <v>2617875.2481804285</v>
      </c>
      <c r="AO48" s="64">
        <f t="shared" si="80"/>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-7853.6257445412857</v>
      </c>
      <c r="BF48" s="64">
        <f>IF($B48&lt;Analysis!$C$66,0,Analysis!$C$78)</f>
        <v>3.0000000000000001E-3</v>
      </c>
      <c r="BG48" s="1">
        <f>IF($B48&lt;Analysis!$C$66,0,-BH48*AN48)</f>
        <v>-19634.064361353212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5"/>
        <v>-333779.09414300462</v>
      </c>
      <c r="BS48" s="64">
        <f>IF($B48&lt;Analysis!C$66,0,Analysis!C$31)</f>
        <v>0.1275</v>
      </c>
      <c r="BT48" s="1">
        <f>IF($B48&lt;Analysis!$C$66,0,AN48+BR48)</f>
        <v>2284096.1540374239</v>
      </c>
      <c r="BU48" s="1">
        <f>IF($B48-Analysis!$C$66&gt;3,0,IF($AN48&gt;LOOKUP(Analysis!$C$66,$B:$B, AN:AN),$V48*(LOOKUP(Analysis!$C$66,$B:$B, AN:AN)-AN48),0))</f>
        <v>0</v>
      </c>
      <c r="BV48" s="1">
        <f t="shared" si="26"/>
        <v>2284096.1540374239</v>
      </c>
      <c r="BW48" s="42"/>
      <c r="BX48" s="1">
        <f>IF($B48&lt;Analysis!$C$66,$P48+$N48+$X48+$Z48,$P48+$N48+AS48+AV48+BB48+BE48+BG48+MAX(BI48,SUM(BJ48:BN48))+BP48)</f>
        <v>-79447.690105894493</v>
      </c>
      <c r="BY48" s="1">
        <f t="shared" si="69"/>
        <v>52635.243878608642</v>
      </c>
      <c r="BZ48" s="1">
        <f t="shared" si="48"/>
        <v>-26812.446227285851</v>
      </c>
      <c r="CA48" s="1">
        <f>IF(BZ48 &lt; 0,
    IF(CA47 + BZ48 &gt; 0,
        CA47 + BZ48, IF(CF47-ABS(CA47 + BZ48)*(1+$V48) &gt;= CA47 + BZ48,
        0, CA47 + BZ48)),
    MIN(CA47 + BZ48, Analysis!$C$7))+IF(CA47&lt;0, CA47*Analysis!$C$9,0)</f>
        <v>-903942.43930204399</v>
      </c>
      <c r="CB48" s="42"/>
      <c r="CC48" s="1">
        <f t="shared" si="49"/>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8"/>
        <v>0</v>
      </c>
      <c r="CH48" s="36"/>
      <c r="CI48" s="1">
        <f>IF(OR($B48&lt;Analysis!$C$100, $B48&gt;=Analysis!$C$130),0,X48)</f>
        <v>0</v>
      </c>
      <c r="CJ48" s="1">
        <f>IF(OR($B48&lt;Analysis!$C$100, $B48&gt;=Analysis!$C$130),0,Z48)</f>
        <v>0</v>
      </c>
      <c r="CK48" s="1">
        <f t="shared" si="81"/>
        <v>1574519.1710070681</v>
      </c>
      <c r="CL48" s="64">
        <f t="shared" si="51"/>
        <v>2.941176470588247E-2</v>
      </c>
      <c r="CM48" s="1">
        <f>IF($B48=Analysis!$C$100,(CK48*(1+Analysis!$C$23+Analysis!$C$24+Analysis!$C$25))-IF($B48=$B$2,(Analysis!$C$6-Analysis!$C$7+Analysis!$C$105), (FU47-Analysis!$C$7+CV48)),0)</f>
        <v>0</v>
      </c>
      <c r="CN48" s="64">
        <f>IF($B48=Analysis!$C$100,Analysis!$C$103,0)</f>
        <v>0</v>
      </c>
      <c r="CO48" s="64">
        <f>IF(OR($B48&lt;Analysis!$C$100, $B48&gt;=Analysis!$C$101),0,IF($B48=Analysis!$C$100,Analysis!$C$102,IF(($B48-Analysis!$C$100)&lt;LOOKUP(Analysis!$C$100,$B:$B,CT:CT),CO47,0)))</f>
        <v>0</v>
      </c>
      <c r="CP48" s="1">
        <f>IF(OR($B48&lt;Analysis!$C$100, $B48&gt;=Analysis!$C$101),0,IF($B48=Analysis!$C$100,-CM48*CN48,IF(CS48&gt;=0,0,CS48-CR48)))</f>
        <v>0</v>
      </c>
      <c r="CQ48" s="1">
        <f>IF(OR($B48&lt;Analysis!$C$100, $B48&gt;=Analysis!$C$101),0,IF($B48=Analysis!$C$100,-CM48-CP48,MIN(0,CQ47-CP48)))</f>
        <v>0</v>
      </c>
      <c r="CR48" s="1">
        <f>IF(OR($B48&lt;Analysis!$C$100, $B48&gt;=Analysis!$C$101),0,IF($B48=Analysis!$C$100,-CO48*CM48,CO47*CQ47))</f>
        <v>0</v>
      </c>
      <c r="CS48" s="1">
        <f>IF(OR($B48&lt;Analysis!$C$100, $B48&gt;=Analysis!$C$101),0,IF($B48=Analysis!$C$100,CP48+CR48,IF(CQ47&lt;0,IF(CQ47&gt;LOOKUP(Analysis!$C$100,$B:$B,CS:CS), CQ47*(1+CO47),CS47),0)))</f>
        <v>0</v>
      </c>
      <c r="CT48" s="65">
        <f>IF($B48=Analysis!$C$100,NPER(CO48,-CS48,-CM48),0)</f>
        <v>0</v>
      </c>
      <c r="CU48" s="1">
        <f>IF(OR($B48&lt;Analysis!$C$100, $B48&gt;=Analysis!$C$101),0,IF($B48=Analysis!$C$100,PMT(CO48,CT48,CM48)*CT48-CS48-CQ48,IF(($B48-Analysis!$C$100+1)&lt;LOOKUP(Analysis!$C$100,$B:$B,CT:CT),IF(CU47-CR48&lt;0, CU47-CR48,0),0)))</f>
        <v>0</v>
      </c>
      <c r="CV48" s="1">
        <f>IF($B48=Analysis!$C$100,Analysis!$C$105,0)</f>
        <v>0</v>
      </c>
      <c r="CW48" s="1">
        <f>IF($B48=Analysis!$C$100,PMT(CO48,CX48,CV48)*CX48,0)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29"/>
        <v>0</v>
      </c>
      <c r="DE48" s="1">
        <f t="shared" si="70"/>
        <v>0</v>
      </c>
      <c r="DF48" s="64">
        <f>IF(OR($B48&lt;Analysis!$C$100, $B48&gt;=Analysis!$C$101),0,Analysis!$C$118)</f>
        <v>0</v>
      </c>
      <c r="DG48" s="1">
        <f t="shared" si="71"/>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30"/>
        <v>0</v>
      </c>
      <c r="DS48" s="1">
        <f>MIN(0,-(DB48+DR48)*Analysis!$C$28)-CR48*Analysis!$C$28</f>
        <v>0</v>
      </c>
      <c r="DT48" s="1">
        <f>-Analysis!$C$116*DD48/12</f>
        <v>0</v>
      </c>
      <c r="DU48" s="53"/>
      <c r="DV48" s="1">
        <f t="shared" si="72"/>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52"/>
        <v>0</v>
      </c>
      <c r="EA48" s="53"/>
      <c r="EB48" s="1">
        <f t="shared" si="82"/>
        <v>2617875.2481804285</v>
      </c>
      <c r="EC48" s="64">
        <f t="shared" si="53"/>
        <v>2.941176470588247E-2</v>
      </c>
      <c r="ED48" s="1">
        <f>IF($B48=Analysis!$C$130,(EB48*(1+Analysis!$C$23+Analysis!$C$24+Analysis!$C$25))-(IF($B48=$B$2,(Analysis!$C$6-Analysis!$C$7+Analysis!$C$132), (FU47-Analysis!$C$7+EM48)) + IF($B48=Analysis!$C$101,DZ47+CQ47+CU47+CZ47,0)),0)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$P48+$N48+IF($B48&lt;Analysis!$C$130,$CI48+$CJ48,0)+CP48+CR48+CY48+DE48+DG48+MIN(DI48,SUM(DJ48:DN48))+DQ48+DS48+DT48+EG48+EJ48+EP48+ES48+EU48+MIN(EW48,SUM(EX48:FB48))+FD48</f>
        <v>-85992.37822634558</v>
      </c>
      <c r="FM48" s="1">
        <f>$M48+$R48+DD48+IF(AND($B48&lt;&gt;Analysis!$C$130,$B48=Analysis!$C$101),DZ47+CQ47+CU47+CZ47,0)</f>
        <v>52635.243878608642</v>
      </c>
      <c r="FN48" s="1">
        <f t="shared" si="34"/>
        <v>-33357.134347736937</v>
      </c>
      <c r="FO48" s="1">
        <f>IF(FN48 &lt; 0,
    IF(FO47 + FN48 &gt; 0,
        FO47 + FN48, IF(FT47-ABS(FO47 + FN48)*(1+$V48) &gt;= FO47 + FN48,
        0, FO47 + FN48)),
    MIN(FO47 + FN48, Analysis!$C$7))+IF(FO47&lt;0, FO47*Analysis!$C$9,0)</f>
        <v>-433457.67993240303</v>
      </c>
      <c r="FP48" s="53"/>
      <c r="FQ48" s="1">
        <f t="shared" si="54"/>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60"/>
        <v>0</v>
      </c>
      <c r="FV48" s="36"/>
      <c r="FW48" s="1">
        <f t="shared" si="55"/>
        <v>1574519.1710070681</v>
      </c>
      <c r="FX48" s="64">
        <f t="shared" si="56"/>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36"/>
        <v>61268.703802558462</v>
      </c>
      <c r="GQ48" s="1">
        <f t="shared" si="37"/>
        <v>-4723.5575130212046</v>
      </c>
      <c r="GR48" s="64">
        <f>IF($B48&lt;Analysis!$C$159,0,Analysis!$C$178)</f>
        <v>3.0000000000000001E-3</v>
      </c>
      <c r="GS48" s="1">
        <f t="shared" si="38"/>
        <v>-11808.89378255301</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-3943.8859717152945</v>
      </c>
      <c r="HD48" s="1">
        <f t="shared" si="39"/>
        <v>-32736.337267289509</v>
      </c>
      <c r="HE48" s="1">
        <f>MIN(0,-(GN48+HD48)*Analysis!$C$28)-GE48*Analysis!$C$28</f>
        <v>-8795.0072777579771</v>
      </c>
      <c r="HF48" s="1">
        <f>-Analysis!$C$176*GP48/12</f>
        <v>-5105.7253168798716</v>
      </c>
      <c r="HG48" s="38"/>
      <c r="HH48" s="1">
        <f>IF($B48&lt;Analysis!$C$159,0,-$HI48*$FW48)</f>
        <v>-200751.19430340119</v>
      </c>
      <c r="HI48" s="64">
        <f>IF($B48&lt;Analysis!$C$159,0,IF($B48=Analysis!$C$159,Analysis!$C$31,HI47))</f>
        <v>0.1275</v>
      </c>
      <c r="HJ48" s="1">
        <f>IF($B48&lt;Analysis!$C$159,0,$FW48+HH48)</f>
        <v>1373767.9767036668</v>
      </c>
      <c r="HK48" s="1">
        <f>IF($B48-Analysis!$C$159&gt;10,0,IF($FW48&gt;LOOKUP(Analysis!$C$159,$B:$B, FW:FW),$V48*(LOOKUP(Analysis!$C$159,$B:$B, FW:FW)-FW48),0))</f>
        <v>0</v>
      </c>
      <c r="HL48" s="1">
        <f t="shared" si="40"/>
        <v>1373767.9767036668</v>
      </c>
      <c r="HM48" s="38"/>
      <c r="HN48" s="1">
        <f t="shared" si="41"/>
        <v>-150394.37990711277</v>
      </c>
      <c r="HO48" s="1">
        <f t="shared" si="73"/>
        <v>113903.9476811671</v>
      </c>
      <c r="HP48" s="1">
        <f t="shared" si="42"/>
        <v>-36490.432225945668</v>
      </c>
      <c r="HQ48" s="1">
        <f>IF(HP48 &lt; 0,
    IF(HQ47 + HP48 &gt; 0,
        HQ47 + HP48, IF(HV47-ABS(HQ47 + HP48)*(1+$V48) &gt;= HQ47 + HP48,
        0, HQ47 + HP48)),
    MIN(HQ47 + HP48, Analysis!$C$7))+IF(HQ47&lt;0, HQ47*Analysis!$C$9,0)</f>
        <v>0</v>
      </c>
      <c r="HR48" s="38"/>
      <c r="HS48" s="1">
        <f t="shared" si="57"/>
        <v>24708.928282617744</v>
      </c>
      <c r="HT48" s="1">
        <f>IF($B48=Analysis!$C$159,0,IF(HP48 &gt;= 0,
    MAX(0, HQ47 + HP48 - Analysis!$C$7),
    0))</f>
        <v>0</v>
      </c>
      <c r="HU48" s="1">
        <f>IF($B48=Analysis!$C$159,0,MAX(0, HU47 + HT48 - IF(HP48 &lt; 0, MIN(ABS(HP48), HU47 + HT48), 0)))</f>
        <v>652935.08487079944</v>
      </c>
      <c r="HV48" s="1">
        <f>IF($B48=Analysis!$C$159,0,IF(HP48 &lt; 0,
    IF(HP48 + HQ47 &lt; 0,
        MAX(0, HV47 - (ABS(HP48 + HQ47) * (1+$V47))),
        HV47 + HS48),
    HV47 + HT48 + HS48))</f>
        <v>1214040.5586879707</v>
      </c>
      <c r="HW48" s="1">
        <f t="shared" si="61"/>
        <v>1066048.9899686917</v>
      </c>
      <c r="HX48" s="36"/>
    </row>
    <row r="49" spans="1:232" x14ac:dyDescent="0.35">
      <c r="A49">
        <f t="shared" si="0"/>
        <v>82</v>
      </c>
      <c r="B49">
        <v>2072</v>
      </c>
      <c r="C49" s="1">
        <f>IF($B49&lt;Analysis!C$66,0,$AN49)+$AT49+$AW49+$BC49+$CF49+$CA49</f>
        <v>1689940.131984497</v>
      </c>
      <c r="D49" s="1">
        <f>IF($B49&lt;Analysis!C$66, 0, BV49)+AT49+AW49+BC49+CG49+CA49</f>
        <v>1346344.0056608156</v>
      </c>
      <c r="E49" s="1">
        <f t="shared" si="13"/>
        <v>1494749.8451622992</v>
      </c>
      <c r="F49" s="1">
        <f t="shared" si="14"/>
        <v>1235097.7813962842</v>
      </c>
      <c r="G49" s="1">
        <f>IF(AND($B49&gt;=Analysis!$C$100, $B49&lt;Analysis!$C$101),$CK49,0)+IF($B49&gt;=Analysis!$C$130,EB49,0)+CQ49+CU49+CZ49+EH49+EK49+EQ49+$FO49+$FT49</f>
        <v>2191326.4931561858</v>
      </c>
      <c r="H49" s="1">
        <f t="shared" si="64"/>
        <v>1847730.3668325045</v>
      </c>
      <c r="I49" s="1">
        <f>IF($B49&lt;Analysis!$C$159,0,$FW49)+$GC49+$GF49+$GL49+$HQ49+$HV49</f>
        <v>2785852.9102465697</v>
      </c>
      <c r="J49" s="1">
        <f t="shared" si="65"/>
        <v>2433903.8340422129</v>
      </c>
      <c r="K49" s="36"/>
      <c r="L49" s="1">
        <f t="shared" si="74"/>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4"/>
        <v>0</v>
      </c>
      <c r="R49" s="1">
        <f>IF(AND(AND(B49=Analysis!C$35,Analysis!C$34&lt;&gt;0),AND(B49=Analysis!C$37,Analysis!C$36&lt;&gt;0)),Analysis!C$34+Analysis!C$36,IF(AND(B49=Analysis!C$35,Analysis!C$34&lt;&gt;0),Analysis!C$34,IF(AND(B49=Analysis!C$37,Analysis!C$36&lt;&gt;0),Analysis!C$36,0)))</f>
        <v>0</v>
      </c>
      <c r="S49" s="64">
        <f t="shared" si="83"/>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84"/>
        <v>0.26374999999999998</v>
      </c>
      <c r="W49" s="36"/>
      <c r="X49" s="1">
        <f t="shared" si="75"/>
        <v>-61864.877987690888</v>
      </c>
      <c r="Y49" s="64">
        <f t="shared" si="76"/>
        <v>2.941176470588247E-2</v>
      </c>
      <c r="Z49" s="1">
        <f t="shared" si="19"/>
        <v>-3960</v>
      </c>
      <c r="AA49" s="64">
        <f t="shared" si="77"/>
        <v>0</v>
      </c>
      <c r="AB49" s="40"/>
      <c r="AC49" s="1">
        <f t="shared" si="66"/>
        <v>-113824.87798769088</v>
      </c>
      <c r="AD49" s="1">
        <f t="shared" si="67"/>
        <v>51582.539001036472</v>
      </c>
      <c r="AE49" s="1">
        <f t="shared" si="21"/>
        <v>-62242.338986654409</v>
      </c>
      <c r="AF49" s="1">
        <f>IF(AE49 &lt; 0,
    IF(AF48 + AE49 &gt; 0,
        AF48 + AE49, IF(AK48-ABS(AF48 + AE49)*(1+$V49) &gt;= AF48 + AE49,
        0, AF48 + AE49)),
    MIN(AF48 + AE49, Analysis!$C$7))+IF(AF48&lt;0, AF48*Analysis!$C$9,0)</f>
        <v>0</v>
      </c>
      <c r="AG49" s="40"/>
      <c r="AH49" s="1">
        <f t="shared" si="78"/>
        <v>30851.149040327025</v>
      </c>
      <c r="AI49" s="1">
        <f>IF(AE49 &gt;= 0,
    MAX(0, AF48 + AE49 - Analysis!$C$7),
    0)</f>
        <v>0</v>
      </c>
      <c r="AJ49" s="1">
        <f t="shared" si="46"/>
        <v>510287.04415371141</v>
      </c>
      <c r="AK49" s="1">
        <f t="shared" si="79"/>
        <v>1494749.8451622992</v>
      </c>
      <c r="AL49" s="1">
        <f t="shared" si="68"/>
        <v>1235097.7813962842</v>
      </c>
      <c r="AM49" s="36"/>
      <c r="AN49" s="1">
        <f t="shared" si="47"/>
        <v>2694871.5790092652</v>
      </c>
      <c r="AO49" s="64">
        <f t="shared" si="80"/>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-8084.6147370277959</v>
      </c>
      <c r="BF49" s="64">
        <f>IF($B49&lt;Analysis!$C$66,0,Analysis!$C$78)</f>
        <v>3.0000000000000001E-3</v>
      </c>
      <c r="BG49" s="1">
        <f>IF($B49&lt;Analysis!$C$66,0,-BH49*AN49)</f>
        <v>-20211.536842569487</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5"/>
        <v>-343596.12632368132</v>
      </c>
      <c r="BS49" s="64">
        <f>IF($B49&lt;Analysis!C$66,0,Analysis!C$31)</f>
        <v>0.1275</v>
      </c>
      <c r="BT49" s="1">
        <f>IF($B49&lt;Analysis!$C$66,0,AN49+BR49)</f>
        <v>2351275.4526855838</v>
      </c>
      <c r="BU49" s="1">
        <f>IF($B49-Analysis!$C$66&gt;3,0,IF($AN49&gt;LOOKUP(Analysis!$C$66,$B:$B, AN:AN),$V49*(LOOKUP(Analysis!$C$66,$B:$B, AN:AN)-AN49),0))</f>
        <v>0</v>
      </c>
      <c r="BV49" s="1">
        <f t="shared" si="26"/>
        <v>2351275.4526855838</v>
      </c>
      <c r="BW49" s="42"/>
      <c r="BX49" s="1">
        <f>IF($B49&lt;Analysis!$C$66,$P49+$N49+$X49+$Z49,$P49+$N49+AS49+AV49+BB49+BE49+BG49+MAX(BI49,SUM(BJ49:BN49))+BP49)</f>
        <v>-80256.151579597281</v>
      </c>
      <c r="BY49" s="1">
        <f t="shared" si="69"/>
        <v>51582.539001036472</v>
      </c>
      <c r="BZ49" s="1">
        <f t="shared" si="48"/>
        <v>-28673.612578560809</v>
      </c>
      <c r="CA49" s="1">
        <f>IF(BZ49 &lt; 0,
    IF(CA48 + BZ49 &gt; 0,
        CA48 + BZ49, IF(CF48-ABS(CA48 + BZ49)*(1+$V49) &gt;= CA48 + BZ49,
        0, CA48 + BZ49)),
    MIN(CA48 + BZ49, Analysis!$C$7))+IF(CA48&lt;0, CA48*Analysis!$C$9,0)</f>
        <v>-1004931.4470247683</v>
      </c>
      <c r="CB49" s="42"/>
      <c r="CC49" s="1">
        <f t="shared" si="49"/>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8"/>
        <v>0</v>
      </c>
      <c r="CH49" s="36"/>
      <c r="CI49" s="1">
        <f>IF(OR($B49&lt;Analysis!$C$100, $B49&gt;=Analysis!$C$130),0,X49)</f>
        <v>0</v>
      </c>
      <c r="CJ49" s="1">
        <f>IF(OR($B49&lt;Analysis!$C$100, $B49&gt;=Analysis!$C$130),0,Z49)</f>
        <v>0</v>
      </c>
      <c r="CK49" s="1">
        <f t="shared" si="81"/>
        <v>1620828.5583896292</v>
      </c>
      <c r="CL49" s="64">
        <f t="shared" si="51"/>
        <v>2.941176470588247E-2</v>
      </c>
      <c r="CM49" s="1">
        <f>IF($B49=Analysis!$C$100,(CK49*(1+Analysis!$C$23+Analysis!$C$24+Analysis!$C$25))-IF($B49=$B$2,(Analysis!$C$6-Analysis!$C$7+Analysis!$C$105), (FU48-Analysis!$C$7+CV49)),0)</f>
        <v>0</v>
      </c>
      <c r="CN49" s="64">
        <f>IF($B49=Analysis!$C$100,Analysis!$C$103,0)</f>
        <v>0</v>
      </c>
      <c r="CO49" s="64">
        <f>IF(OR($B49&lt;Analysis!$C$100, $B49&gt;=Analysis!$C$101),0,IF($B49=Analysis!$C$100,Analysis!$C$102,IF(($B49-Analysis!$C$100)&lt;LOOKUP(Analysis!$C$100,$B:$B,CT:CT),CO48,0)))</f>
        <v>0</v>
      </c>
      <c r="CP49" s="1">
        <f>IF(OR($B49&lt;Analysis!$C$100, $B49&gt;=Analysis!$C$101),0,IF($B49=Analysis!$C$100,-CM49*CN49,IF(CS49&gt;=0,0,CS49-CR49)))</f>
        <v>0</v>
      </c>
      <c r="CQ49" s="1">
        <f>IF(OR($B49&lt;Analysis!$C$100, $B49&gt;=Analysis!$C$101),0,IF($B49=Analysis!$C$100,-CM49-CP49,MIN(0,CQ48-CP49)))</f>
        <v>0</v>
      </c>
      <c r="CR49" s="1">
        <f>IF(OR($B49&lt;Analysis!$C$100, $B49&gt;=Analysis!$C$101),0,IF($B49=Analysis!$C$100,-CO49*CM49,CO48*CQ48))</f>
        <v>0</v>
      </c>
      <c r="CS49" s="1">
        <f>IF(OR($B49&lt;Analysis!$C$100, $B49&gt;=Analysis!$C$101),0,IF($B49=Analysis!$C$100,CP49+CR49,IF(CQ48&lt;0,IF(CQ48&gt;LOOKUP(Analysis!$C$100,$B:$B,CS:CS), CQ48*(1+CO48),CS48),0)))</f>
        <v>0</v>
      </c>
      <c r="CT49" s="65">
        <f>IF($B49=Analysis!$C$100,NPER(CO49,-CS49,-CM49),0)</f>
        <v>0</v>
      </c>
      <c r="CU49" s="1">
        <f>IF(OR($B49&lt;Analysis!$C$100, $B49&gt;=Analysis!$C$101),0,IF($B49=Analysis!$C$100,PMT(CO49,CT49,CM49)*CT49-CS49-CQ49,IF(($B49-Analysis!$C$100+1)&lt;LOOKUP(Analysis!$C$100,$B:$B,CT:CT),IF(CU48-CR49&lt;0, CU48-CR49,0),0)))</f>
        <v>0</v>
      </c>
      <c r="CV49" s="1">
        <f>IF($B49=Analysis!$C$100,Analysis!$C$105,0)</f>
        <v>0</v>
      </c>
      <c r="CW49" s="1">
        <f>IF($B49=Analysis!$C$100,PMT(CO49,CX49,CV49)*CX49,0)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29"/>
        <v>0</v>
      </c>
      <c r="DE49" s="1">
        <f t="shared" si="70"/>
        <v>0</v>
      </c>
      <c r="DF49" s="64">
        <f>IF(OR($B49&lt;Analysis!$C$100, $B49&gt;=Analysis!$C$101),0,Analysis!$C$118)</f>
        <v>0</v>
      </c>
      <c r="DG49" s="1">
        <f t="shared" si="71"/>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30"/>
        <v>0</v>
      </c>
      <c r="DS49" s="1">
        <f>MIN(0,-(DB49+DR49)*Analysis!$C$28)-CR49*Analysis!$C$28</f>
        <v>0</v>
      </c>
      <c r="DT49" s="1">
        <f>-Analysis!$C$116*DD49/12</f>
        <v>0</v>
      </c>
      <c r="DU49" s="53"/>
      <c r="DV49" s="1">
        <f t="shared" si="72"/>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52"/>
        <v>0</v>
      </c>
      <c r="EA49" s="53"/>
      <c r="EB49" s="1">
        <f t="shared" si="82"/>
        <v>2694871.5790092652</v>
      </c>
      <c r="EC49" s="64">
        <f t="shared" si="53"/>
        <v>2.941176470588247E-2</v>
      </c>
      <c r="ED49" s="1">
        <f>IF($B49=Analysis!$C$130,(EB49*(1+Analysis!$C$23+Analysis!$C$24+Analysis!$C$25))-(IF($B49=$B$2,(Analysis!$C$6-Analysis!$C$7+Analysis!$C$132), (FU48-Analysis!$C$7+EM49)) + IF($B49=Analysis!$C$101,DZ48+CQ48+CU48+CZ48,0)),0)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$P49+$N49+IF($B49&lt;Analysis!$C$130,$CI49+$CJ49,0)+CP49+CR49+CY49+DE49+DG49+MIN(DI49,SUM(DJ49:DN49))+DQ49+DS49+DT49+EG49+EJ49+EP49+ES49+EU49+MIN(EW49,SUM(EX49:FB49))+FD49</f>
        <v>-86993.330527120444</v>
      </c>
      <c r="FM49" s="1">
        <f>$M49+$R49+DD49+IF(AND($B49&lt;&gt;Analysis!$C$130,$B49=Analysis!$C$101),DZ48+CQ48+CU48+CZ48,0)</f>
        <v>51582.539001036472</v>
      </c>
      <c r="FN49" s="1">
        <f t="shared" si="34"/>
        <v>-35410.791526083973</v>
      </c>
      <c r="FO49" s="1">
        <f>IF(FN49 &lt; 0,
    IF(FO48 + FN49 &gt; 0,
        FO48 + FN49, IF(FT48-ABS(FO48 + FN49)*(1+$V49) &gt;= FO48 + FN49,
        0, FO48 + FN49)),
    MIN(FO48 + FN49, Analysis!$C$7))+IF(FO48&lt;0, FO48*Analysis!$C$9,0)</f>
        <v>-503545.08585307922</v>
      </c>
      <c r="FP49" s="53"/>
      <c r="FQ49" s="1">
        <f t="shared" si="54"/>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60"/>
        <v>0</v>
      </c>
      <c r="FV49" s="36"/>
      <c r="FW49" s="1">
        <f t="shared" si="55"/>
        <v>1620828.5583896292</v>
      </c>
      <c r="FX49" s="64">
        <f t="shared" si="56"/>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36"/>
        <v>62954.253914398425</v>
      </c>
      <c r="GQ49" s="1">
        <f t="shared" si="37"/>
        <v>-4862.4856751688876</v>
      </c>
      <c r="GR49" s="64">
        <f>IF($B49&lt;Analysis!$C$159,0,Analysis!$C$178)</f>
        <v>3.0000000000000001E-3</v>
      </c>
      <c r="GS49" s="1">
        <f t="shared" si="38"/>
        <v>-12156.214187922218</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-4059.8826179422153</v>
      </c>
      <c r="HD49" s="1">
        <f t="shared" si="39"/>
        <v>-33338.582481033322</v>
      </c>
      <c r="HE49" s="1">
        <f>MIN(0,-(GN49+HD49)*Analysis!$C$28)-GE49*Analysis!$C$28</f>
        <v>-9213.4606094567425</v>
      </c>
      <c r="HF49" s="1">
        <f>-Analysis!$C$176*GP49/12</f>
        <v>-5246.1878261998691</v>
      </c>
      <c r="HG49" s="38"/>
      <c r="HH49" s="1">
        <f>IF($B49&lt;Analysis!$C$159,0,-$HI49*$FW49)</f>
        <v>-206655.64119467774</v>
      </c>
      <c r="HI49" s="64">
        <f>IF($B49&lt;Analysis!$C$159,0,IF($B49=Analysis!$C$159,Analysis!$C$31,HI48))</f>
        <v>0.1275</v>
      </c>
      <c r="HJ49" s="1">
        <f>IF($B49&lt;Analysis!$C$159,0,$FW49+HH49)</f>
        <v>1414172.9171949516</v>
      </c>
      <c r="HK49" s="1">
        <f>IF($B49-Analysis!$C$159&gt;10,0,IF($FW49&gt;LOOKUP(Analysis!$C$159,$B:$B, FW:FW),$V49*(LOOKUP(Analysis!$C$159,$B:$B, FW:FW)-FW49),0))</f>
        <v>0</v>
      </c>
      <c r="HL49" s="1">
        <f t="shared" si="40"/>
        <v>1414172.9171949516</v>
      </c>
      <c r="HM49" s="38"/>
      <c r="HN49" s="1">
        <f t="shared" si="41"/>
        <v>-153323.10890438082</v>
      </c>
      <c r="HO49" s="1">
        <f t="shared" si="73"/>
        <v>114536.7929154349</v>
      </c>
      <c r="HP49" s="1">
        <f t="shared" si="42"/>
        <v>-38786.31598894592</v>
      </c>
      <c r="HQ49" s="1">
        <f>IF(HP49 &lt; 0,
    IF(HQ48 + HP49 &gt; 0,
        HQ48 + HP49, IF(HV48-ABS(HQ48 + HP49)*(1+$V49) &gt;= HQ48 + HP49,
        0, HQ48 + HP49)),
    MIN(HQ48 + HP49, Analysis!$C$7))+IF(HQ48&lt;0, HQ48*Analysis!$C$9,0)</f>
        <v>0</v>
      </c>
      <c r="HR49" s="38"/>
      <c r="HS49" s="1">
        <f t="shared" si="57"/>
        <v>23804.71683701895</v>
      </c>
      <c r="HT49" s="1">
        <f>IF($B49=Analysis!$C$159,0,IF(HP49 &gt;= 0,
    MAX(0, HQ48 + HP49 - Analysis!$C$7),
    0))</f>
        <v>0</v>
      </c>
      <c r="HU49" s="1">
        <f>IF($B49=Analysis!$C$159,0,MAX(0, HU48 + HT49 - IF(HP49 &lt; 0, MIN(ABS(HP49), HU48 + HT49), 0)))</f>
        <v>614148.76888185355</v>
      </c>
      <c r="HV49" s="1">
        <f>IF($B49=Analysis!$C$159,0,IF(HP49 &lt; 0,
    IF(HP49 + HQ48 &lt; 0,
        MAX(0, HV48 - (ABS(HP49 + HQ48) * (1+$V48))),
        HV48 + HS49),
    HV48 + HT49 + HS49))</f>
        <v>1165024.3518569404</v>
      </c>
      <c r="HW49" s="1">
        <f t="shared" si="61"/>
        <v>1019730.9168472613</v>
      </c>
      <c r="HX49" s="36"/>
    </row>
    <row r="50" spans="1:232" x14ac:dyDescent="0.35">
      <c r="A50">
        <f t="shared" si="0"/>
        <v>83</v>
      </c>
      <c r="B50">
        <v>2073</v>
      </c>
      <c r="C50" s="1">
        <f>IF($B50&lt;Analysis!C$66,0,$AN50)+$AT50+$AW50+$BC50+$CF50+$CA50</f>
        <v>1658269.0419059834</v>
      </c>
      <c r="D50" s="1">
        <f>IF($B50&lt;Analysis!C$66, 0, BV50)+AT50+AW50+BC50+CG50+CA50</f>
        <v>1304567.1471610172</v>
      </c>
      <c r="E50" s="1">
        <f t="shared" si="13"/>
        <v>1412487.8776665181</v>
      </c>
      <c r="F50" s="1">
        <f t="shared" si="14"/>
        <v>1157363.9853333414</v>
      </c>
      <c r="G50" s="1">
        <f>IF(AND($B50&gt;=Analysis!$C$100, $B50&lt;Analysis!$C$101),$CK50,0)+IF($B50&gt;=Analysis!$C$130,EB50,0)+CQ50+CU50+CZ50+EH50+EK50+EQ50+$FO50+$FT50</f>
        <v>2192830.9807018982</v>
      </c>
      <c r="H50" s="1">
        <f t="shared" si="64"/>
        <v>1839129.085956932</v>
      </c>
      <c r="I50" s="1">
        <f>IF($B50&lt;Analysis!$C$159,0,$FW50)+$GC50+$GF50+$GL50+$HQ50+$HV50</f>
        <v>2781587.1077515101</v>
      </c>
      <c r="J50" s="1">
        <f t="shared" si="65"/>
        <v>2426418.8481021007</v>
      </c>
      <c r="K50" s="36"/>
      <c r="L50" s="1">
        <f t="shared" si="74"/>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4"/>
        <v>0</v>
      </c>
      <c r="R50" s="1">
        <f>IF(AND(AND(B50=Analysis!C$35,Analysis!C$34&lt;&gt;0),AND(B50=Analysis!C$37,Analysis!C$36&lt;&gt;0)),Analysis!C$34+Analysis!C$36,IF(AND(B50=Analysis!C$35,Analysis!C$34&lt;&gt;0),Analysis!C$34,IF(AND(B50=Analysis!C$37,Analysis!C$36&lt;&gt;0),Analysis!C$36,0)))</f>
        <v>0</v>
      </c>
      <c r="S50" s="64">
        <f t="shared" si="83"/>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84"/>
        <v>0.26374999999999998</v>
      </c>
      <c r="W50" s="36"/>
      <c r="X50" s="1">
        <f t="shared" si="75"/>
        <v>-63684.433222622982</v>
      </c>
      <c r="Y50" s="64">
        <f t="shared" si="76"/>
        <v>2.941176470588247E-2</v>
      </c>
      <c r="Z50" s="1">
        <f t="shared" si="19"/>
        <v>-3960</v>
      </c>
      <c r="AA50" s="64">
        <f t="shared" si="77"/>
        <v>0</v>
      </c>
      <c r="AB50" s="40"/>
      <c r="AC50" s="1">
        <f t="shared" si="66"/>
        <v>-115644.43322262299</v>
      </c>
      <c r="AD50" s="1">
        <f t="shared" si="67"/>
        <v>50550.888221015739</v>
      </c>
      <c r="AE50" s="1">
        <f t="shared" si="21"/>
        <v>-65093.54500160725</v>
      </c>
      <c r="AF50" s="1">
        <f>IF(AE50 &lt; 0,
    IF(AF49 + AE50 &gt; 0,
        AF49 + AE50, IF(AK49-ABS(AF49 + AE50)*(1+$V50) &gt;= AF49 + AE50,
        0, AF49 + AE50)),
    MIN(AF49 + AE50, Analysis!$C$7))+IF(AF49&lt;0, AF49*Analysis!$C$9,0)</f>
        <v>0</v>
      </c>
      <c r="AG50" s="40"/>
      <c r="AH50" s="1">
        <f t="shared" si="78"/>
        <v>29308.820493378313</v>
      </c>
      <c r="AI50" s="1">
        <f>IF(AE50 &gt;= 0,
    MAX(0, AF49 + AE50 - Analysis!$C$7),
    0)</f>
        <v>0</v>
      </c>
      <c r="AJ50" s="1">
        <f t="shared" si="46"/>
        <v>445193.49915210414</v>
      </c>
      <c r="AK50" s="1">
        <f t="shared" si="79"/>
        <v>1412487.8776665181</v>
      </c>
      <c r="AL50" s="1">
        <f t="shared" si="68"/>
        <v>1157363.9853333414</v>
      </c>
      <c r="AM50" s="36"/>
      <c r="AN50" s="1">
        <f t="shared" si="47"/>
        <v>2774132.5078036557</v>
      </c>
      <c r="AO50" s="64">
        <f t="shared" si="80"/>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-8322.3975234109676</v>
      </c>
      <c r="BF50" s="64">
        <f>IF($B50&lt;Analysis!$C$66,0,Analysis!$C$78)</f>
        <v>3.0000000000000001E-3</v>
      </c>
      <c r="BG50" s="1">
        <f>IF($B50&lt;Analysis!$C$66,0,-BH50*AN50)</f>
        <v>-20805.993808527415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5"/>
        <v>-353701.89474496612</v>
      </c>
      <c r="BS50" s="64">
        <f>IF($B50&lt;Analysis!C$66,0,Analysis!C$31)</f>
        <v>0.1275</v>
      </c>
      <c r="BT50" s="1">
        <f>IF($B50&lt;Analysis!$C$66,0,AN50+BR50)</f>
        <v>2420430.6130586895</v>
      </c>
      <c r="BU50" s="1">
        <f>IF($B50-Analysis!$C$66&gt;3,0,IF($AN50&gt;LOOKUP(Analysis!$C$66,$B:$B, AN:AN),$V50*(LOOKUP(Analysis!$C$66,$B:$B, AN:AN)-AN50),0))</f>
        <v>0</v>
      </c>
      <c r="BV50" s="1">
        <f t="shared" si="26"/>
        <v>2420430.6130586895</v>
      </c>
      <c r="BW50" s="42"/>
      <c r="BX50" s="1">
        <f>IF($B50&lt;Analysis!$C$66,$P50+$N50+$X50+$Z50,$P50+$N50+AS50+AV50+BB50+BE50+BG50+MAX(BI50,SUM(BJ50:BN50))+BP50)</f>
        <v>-81088.391331938386</v>
      </c>
      <c r="BY50" s="1">
        <f t="shared" si="69"/>
        <v>50550.888221015739</v>
      </c>
      <c r="BZ50" s="1">
        <f t="shared" si="48"/>
        <v>-30537.503110922647</v>
      </c>
      <c r="CA50" s="1">
        <f>IF(BZ50 &lt; 0,
    IF(CA49 + BZ50 &gt; 0,
        CA49 + BZ50, IF(CF49-ABS(CA49 + BZ50)*(1+$V50) &gt;= CA49 + BZ50,
        0, CA49 + BZ50)),
    MIN(CA49 + BZ50, Analysis!$C$7))+IF(CA49&lt;0, CA49*Analysis!$C$9,0)</f>
        <v>-1115863.4658976723</v>
      </c>
      <c r="CB50" s="42"/>
      <c r="CC50" s="1">
        <f t="shared" si="49"/>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8"/>
        <v>0</v>
      </c>
      <c r="CH50" s="36"/>
      <c r="CI50" s="1">
        <f>IF(OR($B50&lt;Analysis!$C$100, $B50&gt;=Analysis!$C$130),0,X50)</f>
        <v>0</v>
      </c>
      <c r="CJ50" s="1">
        <f>IF(OR($B50&lt;Analysis!$C$100, $B50&gt;=Analysis!$C$130),0,Z50)</f>
        <v>0</v>
      </c>
      <c r="CK50" s="1">
        <f t="shared" si="81"/>
        <v>1668499.9865775597</v>
      </c>
      <c r="CL50" s="64">
        <f t="shared" si="51"/>
        <v>2.941176470588247E-2</v>
      </c>
      <c r="CM50" s="1">
        <f>IF($B50=Analysis!$C$100,(CK50*(1+Analysis!$C$23+Analysis!$C$24+Analysis!$C$25))-IF($B50=$B$2,(Analysis!$C$6-Analysis!$C$7+Analysis!$C$105), (FU49-Analysis!$C$7+CV50)),0)</f>
        <v>0</v>
      </c>
      <c r="CN50" s="64">
        <f>IF($B50=Analysis!$C$100,Analysis!$C$103,0)</f>
        <v>0</v>
      </c>
      <c r="CO50" s="64">
        <f>IF(OR($B50&lt;Analysis!$C$100, $B50&gt;=Analysis!$C$101),0,IF($B50=Analysis!$C$100,Analysis!$C$102,IF(($B50-Analysis!$C$100)&lt;LOOKUP(Analysis!$C$100,$B:$B,CT:CT),CO49,0)))</f>
        <v>0</v>
      </c>
      <c r="CP50" s="1">
        <f>IF(OR($B50&lt;Analysis!$C$100, $B50&gt;=Analysis!$C$101),0,IF($B50=Analysis!$C$100,-CM50*CN50,IF(CS50&gt;=0,0,CS50-CR50)))</f>
        <v>0</v>
      </c>
      <c r="CQ50" s="1">
        <f>IF(OR($B50&lt;Analysis!$C$100, $B50&gt;=Analysis!$C$101),0,IF($B50=Analysis!$C$100,-CM50-CP50,MIN(0,CQ49-CP50)))</f>
        <v>0</v>
      </c>
      <c r="CR50" s="1">
        <f>IF(OR($B50&lt;Analysis!$C$100, $B50&gt;=Analysis!$C$101),0,IF($B50=Analysis!$C$100,-CO50*CM50,CO49*CQ49))</f>
        <v>0</v>
      </c>
      <c r="CS50" s="1">
        <f>IF(OR($B50&lt;Analysis!$C$100, $B50&gt;=Analysis!$C$101),0,IF($B50=Analysis!$C$100,CP50+CR50,IF(CQ49&lt;0,IF(CQ49&gt;LOOKUP(Analysis!$C$100,$B:$B,CS:CS), CQ49*(1+CO49),CS49),0)))</f>
        <v>0</v>
      </c>
      <c r="CT50" s="65">
        <f>IF($B50=Analysis!$C$100,NPER(CO50,-CS50,-CM50),0)</f>
        <v>0</v>
      </c>
      <c r="CU50" s="1">
        <f>IF(OR($B50&lt;Analysis!$C$100, $B50&gt;=Analysis!$C$101),0,IF($B50=Analysis!$C$100,PMT(CO50,CT50,CM50)*CT50-CS50-CQ50,IF(($B50-Analysis!$C$100+1)&lt;LOOKUP(Analysis!$C$100,$B:$B,CT:CT),IF(CU49-CR50&lt;0, CU49-CR50,0),0)))</f>
        <v>0</v>
      </c>
      <c r="CV50" s="1">
        <f>IF($B50=Analysis!$C$100,Analysis!$C$105,0)</f>
        <v>0</v>
      </c>
      <c r="CW50" s="1">
        <f>IF($B50=Analysis!$C$100,PMT(CO50,CX50,CV50)*CX50,0)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29"/>
        <v>0</v>
      </c>
      <c r="DE50" s="1">
        <f t="shared" si="70"/>
        <v>0</v>
      </c>
      <c r="DF50" s="64">
        <f>IF(OR($B50&lt;Analysis!$C$100, $B50&gt;=Analysis!$C$101),0,Analysis!$C$118)</f>
        <v>0</v>
      </c>
      <c r="DG50" s="1">
        <f t="shared" si="71"/>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30"/>
        <v>0</v>
      </c>
      <c r="DS50" s="1">
        <f>MIN(0,-(DB50+DR50)*Analysis!$C$28)-CR50*Analysis!$C$28</f>
        <v>0</v>
      </c>
      <c r="DT50" s="1">
        <f>-Analysis!$C$116*DD50/12</f>
        <v>0</v>
      </c>
      <c r="DU50" s="53"/>
      <c r="DV50" s="1">
        <f t="shared" si="72"/>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52"/>
        <v>0</v>
      </c>
      <c r="EA50" s="53"/>
      <c r="EB50" s="1">
        <f t="shared" si="82"/>
        <v>2774132.5078036557</v>
      </c>
      <c r="EC50" s="64">
        <f t="shared" si="53"/>
        <v>2.941176470588247E-2</v>
      </c>
      <c r="ED50" s="1">
        <f>IF($B50=Analysis!$C$130,(EB50*(1+Analysis!$C$23+Analysis!$C$24+Analysis!$C$25))-(IF($B50=$B$2,(Analysis!$C$6-Analysis!$C$7+Analysis!$C$132), (FU49-Analysis!$C$7+EM50)) + IF($B50=Analysis!$C$101,DZ49+CQ49+CU49+CZ49,0)),0)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$P50+$N50+IF($B50&lt;Analysis!$C$130,$CI50+$CJ50,0)+CP50+CR50+CY50+DE50+DG50+MIN(DI50,SUM(DJ50:DN50))+DQ50+DS50+DT50+EG50+EJ50+EP50+ES50+EU50+MIN(EW50,SUM(EX50:FB50))+FD50</f>
        <v>-88023.722601447516</v>
      </c>
      <c r="FM50" s="1">
        <f>$M50+$R50+DD50+IF(AND($B50&lt;&gt;Analysis!$C$130,$B50=Analysis!$C$101),DZ49+CQ49+CU49+CZ49,0)</f>
        <v>50550.888221015739</v>
      </c>
      <c r="FN50" s="1">
        <f t="shared" si="34"/>
        <v>-37472.834380431777</v>
      </c>
      <c r="FO50" s="1">
        <f>IF(FN50 &lt; 0,
    IF(FO49 + FN50 &gt; 0,
        FO49 + FN50, IF(FT49-ABS(FO49 + FN50)*(1+$V50) &gt;= FO49 + FN50,
        0, FO49 + FN50)),
    MIN(FO49 + FN50, Analysis!$C$7))+IF(FO49&lt;0, FO49*Analysis!$C$9,0)</f>
        <v>-581301.52710175735</v>
      </c>
      <c r="FP50" s="53"/>
      <c r="FQ50" s="1">
        <f t="shared" si="54"/>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60"/>
        <v>0</v>
      </c>
      <c r="FV50" s="36"/>
      <c r="FW50" s="1">
        <f t="shared" si="55"/>
        <v>1668499.9865775597</v>
      </c>
      <c r="FX50" s="64">
        <f t="shared" si="56"/>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36"/>
        <v>64689.379029527801</v>
      </c>
      <c r="GQ50" s="1">
        <f t="shared" si="37"/>
        <v>-5005.4999597326796</v>
      </c>
      <c r="GR50" s="64">
        <f>IF($B50&lt;Analysis!$C$159,0,Analysis!$C$178)</f>
        <v>3.0000000000000001E-3</v>
      </c>
      <c r="GS50" s="1">
        <f t="shared" si="38"/>
        <v>-12513.749899331697</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-4179.2909302346334</v>
      </c>
      <c r="HD50" s="1">
        <f t="shared" si="39"/>
        <v>-33958.540789299012</v>
      </c>
      <c r="HE50" s="1">
        <f>MIN(0,-(GN50+HD50)*Analysis!$C$28)-GE50*Analysis!$C$28</f>
        <v>-9644.2213920878239</v>
      </c>
      <c r="HF50" s="1">
        <f>-Analysis!$C$176*GP50/12</f>
        <v>-5390.7815857939831</v>
      </c>
      <c r="HG50" s="38"/>
      <c r="HH50" s="1">
        <f>IF($B50&lt;Analysis!$C$159,0,-$HI50*$FW50)</f>
        <v>-212733.74828863886</v>
      </c>
      <c r="HI50" s="64">
        <f>IF($B50&lt;Analysis!$C$159,0,IF($B50=Analysis!$C$159,Analysis!$C$31,HI49))</f>
        <v>0.1275</v>
      </c>
      <c r="HJ50" s="1">
        <f>IF($B50&lt;Analysis!$C$159,0,$FW50+HH50)</f>
        <v>1455766.2382889208</v>
      </c>
      <c r="HK50" s="1">
        <f>IF($B50-Analysis!$C$159&gt;10,0,IF($FW50&gt;LOOKUP(Analysis!$C$159,$B:$B, FW:FW),$V50*(LOOKUP(Analysis!$C$159,$B:$B, FW:FW)-FW50),0))</f>
        <v>0</v>
      </c>
      <c r="HL50" s="1">
        <f t="shared" si="40"/>
        <v>1455766.2382889208</v>
      </c>
      <c r="HM50" s="38"/>
      <c r="HN50" s="1">
        <f t="shared" si="41"/>
        <v>-156337.97698980378</v>
      </c>
      <c r="HO50" s="1">
        <f t="shared" si="73"/>
        <v>115240.26725054355</v>
      </c>
      <c r="HP50" s="1">
        <f t="shared" si="42"/>
        <v>-41097.70973926023</v>
      </c>
      <c r="HQ50" s="1">
        <f>IF(HP50 &lt; 0,
    IF(HQ49 + HP50 &gt; 0,
        HQ49 + HP50, IF(HV49-ABS(HQ49 + HP50)*(1+$V50) &gt;= HQ49 + HP50,
        0, HQ49 + HP50)),
    MIN(HQ49 + HP50, Analysis!$C$7))+IF(HQ49&lt;0, HQ49*Analysis!$C$9,0)</f>
        <v>0</v>
      </c>
      <c r="HR50" s="38"/>
      <c r="HS50" s="1">
        <f t="shared" si="57"/>
        <v>22843.61474229287</v>
      </c>
      <c r="HT50" s="1">
        <f>IF($B50=Analysis!$C$159,0,IF(HP50 &gt;= 0,
    MAX(0, HQ49 + HP50 - Analysis!$C$7),
    0))</f>
        <v>0</v>
      </c>
      <c r="HU50" s="1">
        <f>IF($B50=Analysis!$C$159,0,MAX(0, HU49 + HT50 - IF(HP50 &lt; 0, MIN(ABS(HP50), HU49 + HT50), 0)))</f>
        <v>573051.05914259329</v>
      </c>
      <c r="HV50" s="1">
        <f>IF($B50=Analysis!$C$159,0,IF(HP50 &lt; 0,
    IF(HP50 + HQ49 &lt; 0,
        MAX(0, HV49 - (ABS(HP50 + HQ49) * (1+$V49))),
        HV49 + HS50),
    HV49 + HT50 + HS50))</f>
        <v>1113087.1211739504</v>
      </c>
      <c r="HW50" s="1">
        <f t="shared" si="61"/>
        <v>970652.60981317994</v>
      </c>
      <c r="HX50" s="36"/>
    </row>
    <row r="51" spans="1:232" x14ac:dyDescent="0.35">
      <c r="A51">
        <f t="shared" si="0"/>
        <v>84</v>
      </c>
      <c r="B51">
        <v>2074</v>
      </c>
      <c r="C51" s="1">
        <f>IF($B51&lt;Analysis!C$66,0,$AN51)+$AT51+$AW51+$BC51+$CF51+$CA51</f>
        <v>1618186.8589491718</v>
      </c>
      <c r="D51" s="1">
        <f>IF($B51&lt;Analysis!C$66, 0, BV51)+AT51+AW51+BC51+CG51+CA51</f>
        <v>1254081.9672999419</v>
      </c>
      <c r="E51" s="1">
        <f t="shared" si="13"/>
        <v>1326581.1422802128</v>
      </c>
      <c r="F51" s="1">
        <f t="shared" si="14"/>
        <v>1076186.0503502677</v>
      </c>
      <c r="G51" s="1">
        <f>IF(AND($B51&gt;=Analysis!$C$100, $B51&lt;Analysis!$C$101),$CK51,0)+IF($B51&gt;=Analysis!$C$130,EB51,0)+CQ51+CU51+CZ51+EH51+EK51+EQ51+$FO51+$FT51</f>
        <v>2188374.4412477948</v>
      </c>
      <c r="H51" s="1">
        <f t="shared" si="64"/>
        <v>1824269.5495985649</v>
      </c>
      <c r="I51" s="1">
        <f>IF($B51&lt;Analysis!$C$159,0,$FW51)+$GC51+$GF51+$GL51+$HQ51+$HV51</f>
        <v>2775780.8902899916</v>
      </c>
      <c r="J51" s="1">
        <f t="shared" si="65"/>
        <v>2417376.6523192171</v>
      </c>
      <c r="K51" s="36"/>
      <c r="L51" s="1">
        <f t="shared" si="74"/>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4"/>
        <v>0</v>
      </c>
      <c r="R51" s="1">
        <f>IF(AND(AND(B51=Analysis!C$35,Analysis!C$34&lt;&gt;0),AND(B51=Analysis!C$37,Analysis!C$36&lt;&gt;0)),Analysis!C$34+Analysis!C$36,IF(AND(B51=Analysis!C$35,Analysis!C$34&lt;&gt;0),Analysis!C$34,IF(AND(B51=Analysis!C$37,Analysis!C$36&lt;&gt;0),Analysis!C$36,0)))</f>
        <v>0</v>
      </c>
      <c r="S51" s="64">
        <f t="shared" si="83"/>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84"/>
        <v>0.26374999999999998</v>
      </c>
      <c r="W51" s="36"/>
      <c r="X51" s="1">
        <f t="shared" si="75"/>
        <v>-65557.504787994258</v>
      </c>
      <c r="Y51" s="64">
        <f t="shared" si="76"/>
        <v>2.941176470588247E-2</v>
      </c>
      <c r="Z51" s="1">
        <f t="shared" si="19"/>
        <v>-3960</v>
      </c>
      <c r="AA51" s="64">
        <f t="shared" si="77"/>
        <v>0</v>
      </c>
      <c r="AB51" s="40"/>
      <c r="AC51" s="1">
        <f t="shared" si="66"/>
        <v>-117517.50478799426</v>
      </c>
      <c r="AD51" s="1">
        <f t="shared" si="67"/>
        <v>49539.870456595425</v>
      </c>
      <c r="AE51" s="1">
        <f t="shared" si="21"/>
        <v>-67977.634331398833</v>
      </c>
      <c r="AF51" s="1">
        <f>IF(AE51 &lt; 0,
    IF(AF50 + AE51 &gt; 0,
        AF50 + AE51, IF(AK50-ABS(AF50 + AE51)*(1+$V51) &gt;= AF50 + AE51,
        0, AF50 + AE51)),
    MIN(AF50 + AE51, Analysis!$C$7))+IF(AF50&lt;0, AF50*Analysis!$C$9,0)</f>
        <v>0</v>
      </c>
      <c r="AG51" s="40"/>
      <c r="AH51" s="1">
        <f t="shared" si="78"/>
        <v>27695.84073855908</v>
      </c>
      <c r="AI51" s="1">
        <f>IF(AE51 &gt;= 0,
    MAX(0, AF50 + AE51 - Analysis!$C$7),
    0)</f>
        <v>0</v>
      </c>
      <c r="AJ51" s="1">
        <f t="shared" si="46"/>
        <v>377215.86482070532</v>
      </c>
      <c r="AK51" s="1">
        <f t="shared" si="79"/>
        <v>1326581.1422802128</v>
      </c>
      <c r="AL51" s="1">
        <f t="shared" si="68"/>
        <v>1076186.0503502677</v>
      </c>
      <c r="AM51" s="36"/>
      <c r="AN51" s="1">
        <f t="shared" si="47"/>
        <v>2855724.6403861167</v>
      </c>
      <c r="AO51" s="64">
        <f t="shared" si="80"/>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-8567.1739211583499</v>
      </c>
      <c r="BF51" s="64">
        <f>IF($B51&lt;Analysis!$C$66,0,Analysis!$C$78)</f>
        <v>3.0000000000000001E-3</v>
      </c>
      <c r="BG51" s="1">
        <f>IF($B51&lt;Analysis!$C$66,0,-BH51*AN51)</f>
        <v>-21417.934802895874</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5"/>
        <v>-364104.89164922986</v>
      </c>
      <c r="BS51" s="64">
        <f>IF($B51&lt;Analysis!C$66,0,Analysis!C$31)</f>
        <v>0.1275</v>
      </c>
      <c r="BT51" s="1">
        <f>IF($B51&lt;Analysis!$C$66,0,AN51+BR51)</f>
        <v>2491619.7487368868</v>
      </c>
      <c r="BU51" s="1">
        <f>IF($B51-Analysis!$C$66&gt;3,0,IF($AN51&gt;LOOKUP(Analysis!$C$66,$B:$B, AN:AN),$V51*(LOOKUP(Analysis!$C$66,$B:$B, AN:AN)-AN51),0))</f>
        <v>0</v>
      </c>
      <c r="BV51" s="1">
        <f t="shared" si="26"/>
        <v>2491619.7487368868</v>
      </c>
      <c r="BW51" s="42"/>
      <c r="BX51" s="1">
        <f>IF($B51&lt;Analysis!$C$66,$P51+$N51+$X51+$Z51,$P51+$N51+AS51+AV51+BB51+BE51+BG51+MAX(BI51,SUM(BJ51:BN51))+BP51)</f>
        <v>-81945.108724054226</v>
      </c>
      <c r="BY51" s="1">
        <f t="shared" si="69"/>
        <v>49539.870456595425</v>
      </c>
      <c r="BZ51" s="1">
        <f t="shared" si="48"/>
        <v>-32405.238267458801</v>
      </c>
      <c r="CA51" s="1">
        <f>IF(BZ51 &lt; 0,
    IF(CA50 + BZ51 &gt; 0,
        CA50 + BZ51, IF(CF50-ABS(CA50 + BZ51)*(1+$V51) &gt;= CA50 + BZ51,
        0, CA50 + BZ51)),
    MIN(CA50 + BZ51, Analysis!$C$7))+IF(CA50&lt;0, CA50*Analysis!$C$9,0)</f>
        <v>-1237537.7814369448</v>
      </c>
      <c r="CB51" s="42"/>
      <c r="CC51" s="1">
        <f t="shared" si="49"/>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8"/>
        <v>0</v>
      </c>
      <c r="CH51" s="36"/>
      <c r="CI51" s="1">
        <f>IF(OR($B51&lt;Analysis!$C$100, $B51&gt;=Analysis!$C$130),0,X51)</f>
        <v>0</v>
      </c>
      <c r="CJ51" s="1">
        <f>IF(OR($B51&lt;Analysis!$C$100, $B51&gt;=Analysis!$C$130),0,Z51)</f>
        <v>0</v>
      </c>
      <c r="CK51" s="1">
        <f t="shared" si="81"/>
        <v>1717573.5155945469</v>
      </c>
      <c r="CL51" s="64">
        <f t="shared" si="51"/>
        <v>2.941176470588247E-2</v>
      </c>
      <c r="CM51" s="1">
        <f>IF($B51=Analysis!$C$100,(CK51*(1+Analysis!$C$23+Analysis!$C$24+Analysis!$C$25))-IF($B51=$B$2,(Analysis!$C$6-Analysis!$C$7+Analysis!$C$105), (FU50-Analysis!$C$7+CV51)),0)</f>
        <v>0</v>
      </c>
      <c r="CN51" s="64">
        <f>IF($B51=Analysis!$C$100,Analysis!$C$103,0)</f>
        <v>0</v>
      </c>
      <c r="CO51" s="64">
        <f>IF(OR($B51&lt;Analysis!$C$100, $B51&gt;=Analysis!$C$101),0,IF($B51=Analysis!$C$100,Analysis!$C$102,IF(($B51-Analysis!$C$100)&lt;LOOKUP(Analysis!$C$100,$B:$B,CT:CT),CO50,0)))</f>
        <v>0</v>
      </c>
      <c r="CP51" s="1">
        <f>IF(OR($B51&lt;Analysis!$C$100, $B51&gt;=Analysis!$C$101),0,IF($B51=Analysis!$C$100,-CM51*CN51,IF(CS51&gt;=0,0,CS51-CR51)))</f>
        <v>0</v>
      </c>
      <c r="CQ51" s="1">
        <f>IF(OR($B51&lt;Analysis!$C$100, $B51&gt;=Analysis!$C$101),0,IF($B51=Analysis!$C$100,-CM51-CP51,MIN(0,CQ50-CP51)))</f>
        <v>0</v>
      </c>
      <c r="CR51" s="1">
        <f>IF(OR($B51&lt;Analysis!$C$100, $B51&gt;=Analysis!$C$101),0,IF($B51=Analysis!$C$100,-CO51*CM51,CO50*CQ50))</f>
        <v>0</v>
      </c>
      <c r="CS51" s="1">
        <f>IF(OR($B51&lt;Analysis!$C$100, $B51&gt;=Analysis!$C$101),0,IF($B51=Analysis!$C$100,CP51+CR51,IF(CQ50&lt;0,IF(CQ50&gt;LOOKUP(Analysis!$C$100,$B:$B,CS:CS), CQ50*(1+CO50),CS50),0)))</f>
        <v>0</v>
      </c>
      <c r="CT51" s="65">
        <f>IF($B51=Analysis!$C$100,NPER(CO51,-CS51,-CM51),0)</f>
        <v>0</v>
      </c>
      <c r="CU51" s="1">
        <f>IF(OR($B51&lt;Analysis!$C$100, $B51&gt;=Analysis!$C$101),0,IF($B51=Analysis!$C$100,PMT(CO51,CT51,CM51)*CT51-CS51-CQ51,IF(($B51-Analysis!$C$100+1)&lt;LOOKUP(Analysis!$C$100,$B:$B,CT:CT),IF(CU50-CR51&lt;0, CU50-CR51,0),0)))</f>
        <v>0</v>
      </c>
      <c r="CV51" s="1">
        <f>IF($B51=Analysis!$C$100,Analysis!$C$105,0)</f>
        <v>0</v>
      </c>
      <c r="CW51" s="1">
        <f>IF($B51=Analysis!$C$100,PMT(CO51,CX51,CV51)*CX51,0)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29"/>
        <v>0</v>
      </c>
      <c r="DE51" s="1">
        <f t="shared" si="70"/>
        <v>0</v>
      </c>
      <c r="DF51" s="64">
        <f>IF(OR($B51&lt;Analysis!$C$100, $B51&gt;=Analysis!$C$101),0,Analysis!$C$118)</f>
        <v>0</v>
      </c>
      <c r="DG51" s="1">
        <f t="shared" si="71"/>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30"/>
        <v>0</v>
      </c>
      <c r="DS51" s="1">
        <f>MIN(0,-(DB51+DR51)*Analysis!$C$28)-CR51*Analysis!$C$28</f>
        <v>0</v>
      </c>
      <c r="DT51" s="1">
        <f>-Analysis!$C$116*DD51/12</f>
        <v>0</v>
      </c>
      <c r="DU51" s="53"/>
      <c r="DV51" s="1">
        <f t="shared" si="72"/>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52"/>
        <v>0</v>
      </c>
      <c r="EA51" s="53"/>
      <c r="EB51" s="1">
        <f t="shared" si="82"/>
        <v>2855724.6403861167</v>
      </c>
      <c r="EC51" s="64">
        <f t="shared" si="53"/>
        <v>2.941176470588247E-2</v>
      </c>
      <c r="ED51" s="1">
        <f>IF($B51=Analysis!$C$130,(EB51*(1+Analysis!$C$23+Analysis!$C$24+Analysis!$C$25))-(IF($B51=$B$2,(Analysis!$C$6-Analysis!$C$7+Analysis!$C$132), (FU50-Analysis!$C$7+EM51)) + IF($B51=Analysis!$C$101,DZ50+CQ50+CU50+CZ50,0)),0)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$P51+$N51+IF($B51&lt;Analysis!$C$130,$CI51+$CJ51,0)+CP51+CR51+CY51+DE51+DG51+MIN(DI51,SUM(DJ51:DN51))+DQ51+DS51+DT51+EG51+EJ51+EP51+ES51+EU51+MIN(EW51,SUM(EX51:FB51))+FD51</f>
        <v>-89084.420325019513</v>
      </c>
      <c r="FM51" s="1">
        <f>$M51+$R51+DD51+IF(AND($B51&lt;&gt;Analysis!$C$130,$B51=Analysis!$C$101),DZ50+CQ50+CU50+CZ50,0)</f>
        <v>49539.870456595425</v>
      </c>
      <c r="FN51" s="1">
        <f t="shared" si="34"/>
        <v>-39544.549868424088</v>
      </c>
      <c r="FO51" s="1">
        <f>IF(FN51 &lt; 0,
    IF(FO50 + FN51 &gt; 0,
        FO50 + FN51, IF(FT50-ABS(FO50 + FN51)*(1+$V51) &gt;= FO50 + FN51,
        0, FO50 + FN51)),
    MIN(FO50 + FN51, Analysis!$C$7))+IF(FO50&lt;0, FO50*Analysis!$C$9,0)</f>
        <v>-667350.19913832203</v>
      </c>
      <c r="FP51" s="53"/>
      <c r="FQ51" s="1">
        <f t="shared" si="54"/>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60"/>
        <v>0</v>
      </c>
      <c r="FV51" s="36"/>
      <c r="FW51" s="1">
        <f t="shared" si="55"/>
        <v>1717573.5155945469</v>
      </c>
      <c r="FX51" s="64">
        <f t="shared" si="56"/>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36"/>
        <v>66475.537236278629</v>
      </c>
      <c r="GQ51" s="1">
        <f t="shared" si="37"/>
        <v>-5152.7205467836411</v>
      </c>
      <c r="GR51" s="64">
        <f>IF($B51&lt;Analysis!$C$159,0,Analysis!$C$178)</f>
        <v>3.0000000000000001E-3</v>
      </c>
      <c r="GS51" s="1">
        <f t="shared" si="38"/>
        <v>-12881.801366959102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-4302.2112517121232</v>
      </c>
      <c r="HD51" s="1">
        <f t="shared" si="39"/>
        <v>-34596.733165454862</v>
      </c>
      <c r="HE51" s="1">
        <f>MIN(0,-(GN51+HD51)*Analysis!$C$28)-GE51*Analysis!$C$28</f>
        <v>-10087.651609502176</v>
      </c>
      <c r="HF51" s="1">
        <f>-Analysis!$C$176*GP51/12</f>
        <v>-5539.6281030232194</v>
      </c>
      <c r="HG51" s="38"/>
      <c r="HH51" s="1">
        <f>IF($B51&lt;Analysis!$C$159,0,-$HI51*$FW51)</f>
        <v>-218990.62323830475</v>
      </c>
      <c r="HI51" s="64">
        <f>IF($B51&lt;Analysis!$C$159,0,IF($B51=Analysis!$C$159,Analysis!$C$31,HI50))</f>
        <v>0.1275</v>
      </c>
      <c r="HJ51" s="1">
        <f>IF($B51&lt;Analysis!$C$159,0,$FW51+HH51)</f>
        <v>1498582.8923562421</v>
      </c>
      <c r="HK51" s="1">
        <f>IF($B51-Analysis!$C$159&gt;10,0,IF($FW51&gt;LOOKUP(Analysis!$C$159,$B:$B, FW:FW),$V51*(LOOKUP(Analysis!$C$159,$B:$B, FW:FW)-FW51),0))</f>
        <v>0</v>
      </c>
      <c r="HL51" s="1">
        <f t="shared" si="40"/>
        <v>1498582.8923562421</v>
      </c>
      <c r="HM51" s="38"/>
      <c r="HN51" s="1">
        <f t="shared" si="41"/>
        <v>-159441.51766597453</v>
      </c>
      <c r="HO51" s="1">
        <f t="shared" si="73"/>
        <v>116015.40769287405</v>
      </c>
      <c r="HP51" s="1">
        <f t="shared" si="42"/>
        <v>-43426.10997310048</v>
      </c>
      <c r="HQ51" s="1">
        <f>IF(HP51 &lt; 0,
    IF(HQ50 + HP51 &gt; 0,
        HQ50 + HP51, IF(HV50-ABS(HQ50 + HP51)*(1+$V51) &gt;= HQ50 + HP51,
        0, HQ50 + HP51)),
    MIN(HQ50 + HP51, Analysis!$C$7))+IF(HQ50&lt;0, HQ50*Analysis!$C$9,0)</f>
        <v>0</v>
      </c>
      <c r="HR51" s="38"/>
      <c r="HS51" s="1">
        <f t="shared" si="57"/>
        <v>21825.237670077382</v>
      </c>
      <c r="HT51" s="1">
        <f>IF($B51=Analysis!$C$159,0,IF(HP51 &gt;= 0,
    MAX(0, HQ50 + HP51 - Analysis!$C$7),
    0))</f>
        <v>0</v>
      </c>
      <c r="HU51" s="1">
        <f>IF($B51=Analysis!$C$159,0,MAX(0, HU50 + HT51 - IF(HP51 &lt; 0, MIN(ABS(HP51), HU50 + HT51), 0)))</f>
        <v>529624.94916949281</v>
      </c>
      <c r="HV51" s="1">
        <f>IF($B51=Analysis!$C$159,0,IF(HP51 &lt; 0,
    IF(HP51 + HQ50 &lt; 0,
        MAX(0, HV50 - (ABS(HP51 + HQ50) * (1+$V50))),
        HV50 + HS51),
    HV50 + HT51 + HS51))</f>
        <v>1058207.3746954447</v>
      </c>
      <c r="HW51" s="1">
        <f t="shared" si="61"/>
        <v>918793.75996297493</v>
      </c>
      <c r="HX51" s="36"/>
    </row>
    <row r="52" spans="1:232" x14ac:dyDescent="0.35">
      <c r="A52">
        <f t="shared" si="0"/>
        <v>85</v>
      </c>
      <c r="B52">
        <v>2075</v>
      </c>
      <c r="C52" s="1">
        <f>IF($B52&lt;Analysis!C$66,0,$AN52)+$AT52+$AW52+$BC52+$CF52+$CA52</f>
        <v>1568897.7869829808</v>
      </c>
      <c r="D52" s="1">
        <f>IF($B52&lt;Analysis!C$66, 0, BV52)+AT52+AW52+BC52+CG52+CA52</f>
        <v>1194083.9279323032</v>
      </c>
      <c r="E52" s="1">
        <f t="shared" si="13"/>
        <v>1236985.5720600046</v>
      </c>
      <c r="F52" s="1">
        <f t="shared" si="14"/>
        <v>991522.33520149114</v>
      </c>
      <c r="G52" s="1">
        <f>IF(AND($B52&gt;=Analysis!$C$100, $B52&lt;Analysis!$C$101),$CK52,0)+IF($B52&gt;=Analysis!$C$130,EB52,0)+CQ52+CU52+CZ52+EH52+EK52+EQ52+$FO52+$FT52</f>
        <v>2177351.0845115585</v>
      </c>
      <c r="H52" s="1">
        <f t="shared" si="64"/>
        <v>1802537.2254608809</v>
      </c>
      <c r="I52" s="1">
        <f>IF($B52&lt;Analysis!$C$159,0,$FW52)+$GC52+$GF52+$GL52+$HQ52+$HV52</f>
        <v>2768452.0836516963</v>
      </c>
      <c r="J52" s="1">
        <f t="shared" si="65"/>
        <v>2406791.1033620294</v>
      </c>
      <c r="K52" s="36"/>
      <c r="L52" s="1">
        <f t="shared" si="74"/>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4"/>
        <v>0</v>
      </c>
      <c r="R52" s="1">
        <f>IF(AND(AND(B52=Analysis!C$35,Analysis!C$34&lt;&gt;0),AND(B52=Analysis!C$37,Analysis!C$36&lt;&gt;0)),Analysis!C$34+Analysis!C$36,IF(AND(B52=Analysis!C$35,Analysis!C$34&lt;&gt;0),Analysis!C$34,IF(AND(B52=Analysis!C$37,Analysis!C$36&lt;&gt;0),Analysis!C$36,0)))</f>
        <v>0</v>
      </c>
      <c r="S52" s="64">
        <f t="shared" si="83"/>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84"/>
        <v>0.26374999999999998</v>
      </c>
      <c r="W52" s="36"/>
      <c r="X52" s="1">
        <f t="shared" si="75"/>
        <v>-67485.666693523512</v>
      </c>
      <c r="Y52" s="64">
        <f t="shared" si="76"/>
        <v>2.941176470588247E-2</v>
      </c>
      <c r="Z52" s="1">
        <f t="shared" si="19"/>
        <v>-3960</v>
      </c>
      <c r="AA52" s="64">
        <f t="shared" si="77"/>
        <v>0</v>
      </c>
      <c r="AB52" s="40"/>
      <c r="AC52" s="1">
        <f t="shared" si="66"/>
        <v>-119445.66669352351</v>
      </c>
      <c r="AD52" s="1">
        <f t="shared" si="67"/>
        <v>48549.073047463513</v>
      </c>
      <c r="AE52" s="1">
        <f t="shared" si="21"/>
        <v>-70896.593646060006</v>
      </c>
      <c r="AF52" s="1">
        <f>IF(AE52 &lt; 0,
    IF(AF51 + AE52 &gt; 0,
        AF51 + AE52, IF(AK51-ABS(AF51 + AE52)*(1+$V52) &gt;= AF51 + AE52,
        0, AF51 + AE52)),
    MIN(AF51 + AE52, Analysis!$C$7))+IF(AF51&lt;0, AF51*Analysis!$C$9,0)</f>
        <v>0</v>
      </c>
      <c r="AG52" s="40"/>
      <c r="AH52" s="1">
        <f t="shared" si="78"/>
        <v>26011.394946670749</v>
      </c>
      <c r="AI52" s="1">
        <f>IF(AE52 &gt;= 0,
    MAX(0, AF51 + AE52 - Analysis!$C$7),
    0)</f>
        <v>0</v>
      </c>
      <c r="AJ52" s="1">
        <f t="shared" si="46"/>
        <v>306319.27117464528</v>
      </c>
      <c r="AK52" s="1">
        <f t="shared" si="79"/>
        <v>1236985.5720600046</v>
      </c>
      <c r="AL52" s="1">
        <f t="shared" si="68"/>
        <v>991522.33520149114</v>
      </c>
      <c r="AM52" s="36"/>
      <c r="AN52" s="1">
        <f t="shared" si="47"/>
        <v>2939716.541573944</v>
      </c>
      <c r="AO52" s="64">
        <f t="shared" si="80"/>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-8819.1496247218329</v>
      </c>
      <c r="BF52" s="64">
        <f>IF($B52&lt;Analysis!$C$66,0,Analysis!$C$78)</f>
        <v>3.0000000000000001E-3</v>
      </c>
      <c r="BG52" s="1">
        <f>IF($B52&lt;Analysis!$C$66,0,-BH52*AN52)</f>
        <v>-22047.874061804578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5"/>
        <v>-374813.85905067786</v>
      </c>
      <c r="BS52" s="64">
        <f>IF($B52&lt;Analysis!C$66,0,Analysis!C$31)</f>
        <v>0.1275</v>
      </c>
      <c r="BT52" s="1">
        <f>IF($B52&lt;Analysis!$C$66,0,AN52+BR52)</f>
        <v>2564902.6825232664</v>
      </c>
      <c r="BU52" s="1">
        <f>IF($B52-Analysis!$C$66&gt;3,0,IF($AN52&gt;LOOKUP(Analysis!$C$66,$B:$B, AN:AN),$V52*(LOOKUP(Analysis!$C$66,$B:$B, AN:AN)-AN52),0))</f>
        <v>0</v>
      </c>
      <c r="BV52" s="1">
        <f t="shared" si="26"/>
        <v>2564902.6825232664</v>
      </c>
      <c r="BW52" s="42"/>
      <c r="BX52" s="1">
        <f>IF($B52&lt;Analysis!$C$66,$P52+$N52+$X52+$Z52,$P52+$N52+AS52+AV52+BB52+BE52+BG52+MAX(BI52,SUM(BJ52:BN52))+BP52)</f>
        <v>-82827.023686526401</v>
      </c>
      <c r="BY52" s="1">
        <f t="shared" si="69"/>
        <v>48549.073047463513</v>
      </c>
      <c r="BZ52" s="1">
        <f t="shared" si="48"/>
        <v>-34277.950639062889</v>
      </c>
      <c r="CA52" s="1">
        <f>IF(BZ52 &lt; 0,
    IF(CA51 + BZ52 &gt; 0,
        CA51 + BZ52, IF(CF51-ABS(CA51 + BZ52)*(1+$V52) &gt;= CA51 + BZ52,
        0, CA51 + BZ52)),
    MIN(CA51 + BZ52, Analysis!$C$7))+IF(CA51&lt;0, CA51*Analysis!$C$9,0)</f>
        <v>-1370818.7545909632</v>
      </c>
      <c r="CB52" s="42"/>
      <c r="CC52" s="1">
        <f t="shared" si="49"/>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8"/>
        <v>0</v>
      </c>
      <c r="CH52" s="36"/>
      <c r="CI52" s="1">
        <f>IF(OR($B52&lt;Analysis!$C$100, $B52&gt;=Analysis!$C$130),0,X52)</f>
        <v>0</v>
      </c>
      <c r="CJ52" s="1">
        <f>IF(OR($B52&lt;Analysis!$C$100, $B52&gt;=Analysis!$C$130),0,Z52)</f>
        <v>0</v>
      </c>
      <c r="CK52" s="1">
        <f t="shared" si="81"/>
        <v>1768090.383700269</v>
      </c>
      <c r="CL52" s="64">
        <f t="shared" si="51"/>
        <v>2.941176470588247E-2</v>
      </c>
      <c r="CM52" s="1">
        <f>IF($B52=Analysis!$C$100,(CK52*(1+Analysis!$C$23+Analysis!$C$24+Analysis!$C$25))-IF($B52=$B$2,(Analysis!$C$6-Analysis!$C$7+Analysis!$C$105), (FU51-Analysis!$C$7+CV52)),0)</f>
        <v>0</v>
      </c>
      <c r="CN52" s="64">
        <f>IF($B52=Analysis!$C$100,Analysis!$C$103,0)</f>
        <v>0</v>
      </c>
      <c r="CO52" s="64">
        <f>IF(OR($B52&lt;Analysis!$C$100, $B52&gt;=Analysis!$C$101),0,IF($B52=Analysis!$C$100,Analysis!$C$102,IF(($B52-Analysis!$C$100)&lt;LOOKUP(Analysis!$C$100,$B:$B,CT:CT),CO51,0)))</f>
        <v>0</v>
      </c>
      <c r="CP52" s="1">
        <f>IF(OR($B52&lt;Analysis!$C$100, $B52&gt;=Analysis!$C$101),0,IF($B52=Analysis!$C$100,-CM52*CN52,IF(CS52&gt;=0,0,CS52-CR52)))</f>
        <v>0</v>
      </c>
      <c r="CQ52" s="1">
        <f>IF(OR($B52&lt;Analysis!$C$100, $B52&gt;=Analysis!$C$101),0,IF($B52=Analysis!$C$100,-CM52-CP52,MIN(0,CQ51-CP52)))</f>
        <v>0</v>
      </c>
      <c r="CR52" s="1">
        <f>IF(OR($B52&lt;Analysis!$C$100, $B52&gt;=Analysis!$C$101),0,IF($B52=Analysis!$C$100,-CO52*CM52,CO51*CQ51))</f>
        <v>0</v>
      </c>
      <c r="CS52" s="1">
        <f>IF(OR($B52&lt;Analysis!$C$100, $B52&gt;=Analysis!$C$101),0,IF($B52=Analysis!$C$100,CP52+CR52,IF(CQ51&lt;0,IF(CQ51&gt;LOOKUP(Analysis!$C$100,$B:$B,CS:CS), CQ51*(1+CO51),CS51),0)))</f>
        <v>0</v>
      </c>
      <c r="CT52" s="65">
        <f>IF($B52=Analysis!$C$100,NPER(CO52,-CS52,-CM52),0)</f>
        <v>0</v>
      </c>
      <c r="CU52" s="1">
        <f>IF(OR($B52&lt;Analysis!$C$100, $B52&gt;=Analysis!$C$101),0,IF($B52=Analysis!$C$100,PMT(CO52,CT52,CM52)*CT52-CS52-CQ52,IF(($B52-Analysis!$C$100+1)&lt;LOOKUP(Analysis!$C$100,$B:$B,CT:CT),IF(CU51-CR52&lt;0, CU51-CR52,0),0)))</f>
        <v>0</v>
      </c>
      <c r="CV52" s="1">
        <f>IF($B52=Analysis!$C$100,Analysis!$C$105,0)</f>
        <v>0</v>
      </c>
      <c r="CW52" s="1">
        <f>IF($B52=Analysis!$C$100,PMT(CO52,CX52,CV52)*CX52,0)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29"/>
        <v>0</v>
      </c>
      <c r="DE52" s="1">
        <f t="shared" si="70"/>
        <v>0</v>
      </c>
      <c r="DF52" s="64">
        <f>IF(OR($B52&lt;Analysis!$C$100, $B52&gt;=Analysis!$C$101),0,Analysis!$C$118)</f>
        <v>0</v>
      </c>
      <c r="DG52" s="1">
        <f t="shared" si="71"/>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30"/>
        <v>0</v>
      </c>
      <c r="DS52" s="1">
        <f>MIN(0,-(DB52+DR52)*Analysis!$C$28)-CR52*Analysis!$C$28</f>
        <v>0</v>
      </c>
      <c r="DT52" s="1">
        <f>-Analysis!$C$116*DD52/12</f>
        <v>0</v>
      </c>
      <c r="DU52" s="53"/>
      <c r="DV52" s="1">
        <f t="shared" si="72"/>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52"/>
        <v>0</v>
      </c>
      <c r="EA52" s="53"/>
      <c r="EB52" s="1">
        <f t="shared" si="82"/>
        <v>2939716.541573944</v>
      </c>
      <c r="EC52" s="64">
        <f t="shared" si="53"/>
        <v>2.941176470588247E-2</v>
      </c>
      <c r="ED52" s="1">
        <f>IF($B52=Analysis!$C$130,(EB52*(1+Analysis!$C$23+Analysis!$C$24+Analysis!$C$25))-(IF($B52=$B$2,(Analysis!$C$6-Analysis!$C$7+Analysis!$C$132), (FU51-Analysis!$C$7+EM52)) + IF($B52=Analysis!$C$101,DZ51+CQ51+CU51+CZ51,0)),0)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$P52+$N52+IF($B52&lt;Analysis!$C$130,$CI52+$CJ52,0)+CP52+CR52+CY52+DE52+DG52+MIN(DI52,SUM(DJ52:DN52))+DQ52+DS52+DT52+EG52+EJ52+EP52+ES52+EU52+MIN(EW52,SUM(EX52:FB52))+FD52</f>
        <v>-90176.315040461268</v>
      </c>
      <c r="FM52" s="1">
        <f>$M52+$R52+DD52+IF(AND($B52&lt;&gt;Analysis!$C$130,$B52=Analysis!$C$101),DZ51+CQ51+CU51+CZ51,0)</f>
        <v>48549.073047463513</v>
      </c>
      <c r="FN52" s="1">
        <f t="shared" si="34"/>
        <v>-41627.241992997755</v>
      </c>
      <c r="FO52" s="1">
        <f>IF(FN52 &lt; 0,
    IF(FO51 + FN52 &gt; 0,
        FO51 + FN52, IF(FT51-ABS(FO51 + FN52)*(1+$V52) &gt;= FO51 + FN52,
        0, FO51 + FN52)),
    MIN(FO51 + FN52, Analysis!$C$7))+IF(FO51&lt;0, FO51*Analysis!$C$9,0)</f>
        <v>-762365.45706238551</v>
      </c>
      <c r="FP52" s="53"/>
      <c r="FQ52" s="1">
        <f t="shared" si="54"/>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60"/>
        <v>0</v>
      </c>
      <c r="FV52" s="36"/>
      <c r="FW52" s="1">
        <f t="shared" si="55"/>
        <v>1768090.383700269</v>
      </c>
      <c r="FX52" s="64">
        <f t="shared" si="56"/>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36"/>
        <v>68314.22950793388</v>
      </c>
      <c r="GQ52" s="1">
        <f t="shared" si="37"/>
        <v>-5304.2711511008074</v>
      </c>
      <c r="GR52" s="64">
        <f>IF($B52&lt;Analysis!$C$159,0,Analysis!$C$178)</f>
        <v>3.0000000000000001E-3</v>
      </c>
      <c r="GS52" s="1">
        <f t="shared" si="38"/>
        <v>-13260.677877752018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-4428.7468767624805</v>
      </c>
      <c r="HD52" s="1">
        <f t="shared" si="39"/>
        <v>-35253.695905615306</v>
      </c>
      <c r="HE52" s="1">
        <f>MIN(0,-(GN52+HD52)*Analysis!$C$28)-GE52*Analysis!$C$28</f>
        <v>-10544.123892134594</v>
      </c>
      <c r="HF52" s="1">
        <f>-Analysis!$C$176*GP52/12</f>
        <v>-5692.85245899449</v>
      </c>
      <c r="HG52" s="38"/>
      <c r="HH52" s="1">
        <f>IF($B52&lt;Analysis!$C$159,0,-$HI52*$FW52)</f>
        <v>-225431.5239217843</v>
      </c>
      <c r="HI52" s="64">
        <f>IF($B52&lt;Analysis!$C$159,0,IF($B52=Analysis!$C$159,Analysis!$C$31,HI51))</f>
        <v>0.1275</v>
      </c>
      <c r="HJ52" s="1">
        <f>IF($B52&lt;Analysis!$C$159,0,$FW52+HH52)</f>
        <v>1542658.8597784848</v>
      </c>
      <c r="HK52" s="1">
        <f>IF($B52-Analysis!$C$159&gt;10,0,IF($FW52&gt;LOOKUP(Analysis!$C$159,$B:$B, FW:FW),$V52*(LOOKUP(Analysis!$C$159,$B:$B, FW:FW)-FW52),0))</f>
        <v>0</v>
      </c>
      <c r="HL52" s="1">
        <f t="shared" si="40"/>
        <v>1542658.8597784848</v>
      </c>
      <c r="HM52" s="38"/>
      <c r="HN52" s="1">
        <f t="shared" si="41"/>
        <v>-162636.33895026788</v>
      </c>
      <c r="HO52" s="1">
        <f t="shared" si="73"/>
        <v>116863.30255539739</v>
      </c>
      <c r="HP52" s="1">
        <f t="shared" si="42"/>
        <v>-45773.036394870491</v>
      </c>
      <c r="HQ52" s="1">
        <f>IF(HP52 &lt; 0,
    IF(HQ51 + HP52 &gt; 0,
        HQ51 + HP52, IF(HV51-ABS(HQ51 + HP52)*(1+$V52) &gt;= HQ51 + HP52,
        0, HQ51 + HP52)),
    MIN(HQ51 + HP52, Analysis!$C$7))+IF(HQ51&lt;0, HQ51*Analysis!$C$9,0)</f>
        <v>0</v>
      </c>
      <c r="HR52" s="38"/>
      <c r="HS52" s="1">
        <f t="shared" si="57"/>
        <v>20749.164209714527</v>
      </c>
      <c r="HT52" s="1">
        <f>IF($B52=Analysis!$C$159,0,IF(HP52 &gt;= 0,
    MAX(0, HQ51 + HP52 - Analysis!$C$7),
    0))</f>
        <v>0</v>
      </c>
      <c r="HU52" s="1">
        <f>IF($B52=Analysis!$C$159,0,MAX(0, HU51 + HT52 - IF(HP52 &lt; 0, MIN(ABS(HP52), HU51 + HT52), 0)))</f>
        <v>483851.91277462232</v>
      </c>
      <c r="HV52" s="1">
        <f>IF($B52=Analysis!$C$159,0,IF(HP52 &lt; 0,
    IF(HP52 + HQ51 &lt; 0,
        MAX(0, HV51 - (ABS(HP52 + HQ51) * (1+$V51))),
        HV51 + HS52),
    HV51 + HT52 + HS52))</f>
        <v>1000361.6999514272</v>
      </c>
      <c r="HW52" s="1">
        <f t="shared" si="61"/>
        <v>864132.24358354486</v>
      </c>
      <c r="HX52" s="36"/>
    </row>
  </sheetData>
  <pageMargins left="0.7" right="0.7" top="0.75" bottom="0.75" header="0.3" footer="0.3"/>
  <pageSetup paperSize="9" orientation="portrait" r:id="rId1"/>
  <headerFooter>
    <oddFooter>&amp;R_x000D_&amp;1#&amp;"Calibri"&amp;22&amp;KFF8939 RESTRICTED</oddFooter>
  </headerFooter>
  <ignoredErrors>
    <ignoredError sqref="R4:R5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8915F-2B8C-4E8C-99A5-F8CAD6892E61}">
  <dimension ref="A1:HX52"/>
  <sheetViews>
    <sheetView zoomScale="70" zoomScaleNormal="70" workbookViewId="0">
      <pane xSplit="2" ySplit="1" topLeftCell="EB2" activePane="bottomRight" state="frozen"/>
      <selection pane="topRight" activeCell="C1" sqref="C1"/>
      <selection pane="bottomLeft" activeCell="A2" sqref="A2"/>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-477273.913326359</v>
      </c>
      <c r="D2" s="1">
        <f>IF($B2&lt;Analysis!C$66, 0, BV2)+AT2+AW2+BC2+CG2+CA2</f>
        <v>-565248.913326359</v>
      </c>
      <c r="E2" s="1">
        <f t="shared" ref="E2:E52" si="1">AK2+AF2</f>
        <v>52429.411764705881</v>
      </c>
      <c r="F2" s="1">
        <f>AL2+AF2</f>
        <v>52026.029411764706</v>
      </c>
      <c r="G2" s="1">
        <f>IF(AND($B2&gt;=Analysis!$C$100, $B2&lt;Analysis!$C$101),$CK2,0)+IF($B2&gt;=Analysis!$C$130,EB2,0)+CQ2+CT2+CZ2+EH2+EK2+EQ2+$FO2+$FT2</f>
        <v>-242271.22383835033</v>
      </c>
      <c r="H2" s="1">
        <f>$DZ2+FJ2+CQ2+CT2+CZ2+EH2+EK2+EQ2+$FO2+$FU2</f>
        <v>-295183.72383835039</v>
      </c>
      <c r="I2" s="1">
        <f>IF($B2&lt;Analysis!$C$159,0,$FW2)+$GC2+$GF2+$GL2+$HQ2+$HV2</f>
        <v>-242271.22383835033</v>
      </c>
      <c r="J2" s="1">
        <f t="shared" ref="J2:J33" si="2">$HL2+$GC2+$GF2+$GL2+$HQ2+$HW2</f>
        <v>-295183.72383835039</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IF($B2=$B$2,((1+Analysis!$B$16)/(1+$S2))-1,IF(B2&lt;Analysis!$C$13,U1-((Analysis!$B$16-Analysis!$C$17)/(Analysis!$C$13-$B$2)),((1+Analysis!$C$17)/(1+$S1))-1))</f>
        <v>5.8823529411764719E-2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1529.4117647058827</v>
      </c>
      <c r="AI2" s="1">
        <f>IF(AE2 &gt;= 0,
    MAX(0, AE2 - Analysis!$C$7),
    0)</f>
        <v>0</v>
      </c>
      <c r="AJ2" s="1">
        <f>Analysis!$C$6-Analysis!$C$7+AE2</f>
        <v>26900</v>
      </c>
      <c r="AK2" s="1">
        <f>AJ2+AI2+AH2</f>
        <v>28429.411764705881</v>
      </c>
      <c r="AL2" s="1">
        <f t="shared" ref="AL2:AL52" si="5">IF(AK2-AJ2&gt;0, AK2-$V2*(AK2-AJ2),AK2)</f>
        <v>28026.029411764706</v>
      </c>
      <c r="AM2" s="36"/>
      <c r="AN2" s="1">
        <f>Analysis!$C65</f>
        <v>690000</v>
      </c>
      <c r="AO2" s="64">
        <f>((1+Analysis!$C$75)/(1+$S2))-1</f>
        <v>2.941176470588247E-2</v>
      </c>
      <c r="AP2" s="1">
        <f>IF($B2=Analysis!$C$66,(AN2*(1+Analysis!$C$23+Analysis!$C$24+Analysis!$C$25))-IF($B2=$B$2,(Analysis!$C$6-Analysis!$C$7+Analysis!$C$68), ($CG1-Analysis!$C$7+AY2)),0)</f>
        <v>693833.00000000012</v>
      </c>
      <c r="AQ2" s="65">
        <f>IF($B2=Analysis!$C$66,NPER(AU2,-AX2,-AP2),0)</f>
        <v>28.826407404605138</v>
      </c>
      <c r="AR2" s="64">
        <f>IF($B2=Analysis!$C$66,Analysis!$C$73,0)</f>
        <v>0.02</v>
      </c>
      <c r="AS2" s="1">
        <f>IF($B2&lt;Analysis!$C$66,0,IF($B2=Analysis!$C$66,-AP2*AR2,IF(AX2&gt;=0,0,AX2-AV2)))</f>
        <v>-13876.660000000003</v>
      </c>
      <c r="AT2" s="1">
        <f>IF($B2&lt;Analysis!$C$66,0,IF($B2=Analysis!$C$66,-AP2-AS2,MIN(0,AT1-AS2)))</f>
        <v>-679956.34000000008</v>
      </c>
      <c r="AU2" s="64">
        <f>IF($B2&lt;Analysis!$C$66,0,IF($B2=Analysis!$C$66,Analysis!$C$72,IF(($B2-Analysis!$C$66)&lt;LOOKUP(Analysis!$C$66,$B:$B,AQ:AQ),AU1,0)))</f>
        <v>3.6999999999999998E-2</v>
      </c>
      <c r="AV2" s="1">
        <f>IF($B2&lt;Analysis!$C$66,0,IF($B2=Analysis!$C$66,-AU2*AP2,AU1*AT1))</f>
        <v>-25671.821000000004</v>
      </c>
      <c r="AW2" s="1">
        <f>IF($B2&lt;Analysis!$C$66,0,IF($B2=Analysis!$C$66,PMT(AU2,AQ2,AP2)*AQ2-AX2-AT2,IF(($B2-Analysis!$C$66+1)&lt;LOOKUP(Analysis!$C$66,$B:$B,AQ:AQ),IF(AW1-AV2&lt;0, AW1-AV2,0),0)))</f>
        <v>-420535.80453928467</v>
      </c>
      <c r="AX2" s="1">
        <f>IF($B2&lt;Analysis!$C$66,0,IF($B2=Analysis!$C$66,AS2+AV2,IF(AT1&lt;0,IF(AT1&gt;LOOKUP(Analysis!$C$66,$B:$B,AX:AX), AT1*(1+AU1),AX1),0)))</f>
        <v>-39548.481000000007</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-82926.309778707422</v>
      </c>
      <c r="BY2" s="1">
        <f>$M2+$R2</f>
        <v>46800</v>
      </c>
      <c r="BZ2" s="1">
        <f>BY2+BX2</f>
        <v>-36126.309778707422</v>
      </c>
      <c r="CA2" s="1">
        <f>IF(BZ2&lt;0,Analysis!$C$7+BZ2,Analysis!$C$7)</f>
        <v>-12126.309778707422</v>
      </c>
      <c r="CB2" s="42"/>
      <c r="CC2" s="1">
        <f>IF(Analysis!$C$6-Analysis!$C$7&gt;0,(Analysis!$C$6-Analysis!$C$7)*$U2,0)</f>
        <v>1529.4117647058827</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((1+Analysis!$C$112)/(1+$S2))-1</f>
        <v>2.941176470588247E-2</v>
      </c>
      <c r="CM2" s="1">
        <f>IF($B2=Analysis!$C$100,(CK2*(1+Analysis!$C$23+Analysis!$C$24+Analysis!$C$25))-IF($B2=$B$2,(Analysis!$C$6-Analysis!$C$7+Analysis!$C$105), (FU1-Analysis!$C$7+CV2)),0)</f>
        <v>387015.50000000006</v>
      </c>
      <c r="CN2" s="65">
        <f>IF($B2=Analysis!$C$100,NPER(CR2,-CU2,-CM2),0)</f>
        <v>28.826407404605146</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$B2&gt;=Analysis!$C$101),0,IF($B2=Analysis!$C$100,Analysis!$C$102,IF(($B2-Analysis!$C$100)&lt;LOOKUP(Analysis!$C$100,$B:$B,CN:CN),CR1,0)))</f>
        <v>3.6999999999999998E-2</v>
      </c>
      <c r="CS2" s="1">
        <f>IF(OR($B2&lt;Analysis!$C$100, $B2&gt;=Analysis!$C$101),0,IF($B2=Analysis!$C$100,-CR2*CM2,CR1*CQ1))</f>
        <v>-14319.573500000002</v>
      </c>
      <c r="CT2" s="1">
        <f>IF(OR($B2&lt;Analysis!$C$100, $B2&gt;=Analysis!$C$101),0,IF($B2=Analysis!$C$100,PMT(CR2,CN2,CM2)*CN2-CU2-CQ2,IF(($B2-Analysis!$C$100+1)&lt;LOOKUP(Analysis!$C$100,$B:$B,CN:CN),IF(CT1-CS2&lt;0, CT1-CS2,0),0)))</f>
        <v>-234572.11556912609</v>
      </c>
      <c r="CU2" s="1">
        <f>IF(OR($B2&lt;Analysis!$C$100, $B2&gt;=Analysis!$C$101),0,IF($B2=Analysis!$C$100,CP2+CS2,IF(CQ1&lt;0,IF(CQ1&gt;LOOKUP(Analysis!$C$100,$B:$B,CU:CU), CQ1*(1+CR1),CU1),0)))</f>
        <v>-22059.883500000004</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6345.0030178500001</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-78633.459260857417</v>
      </c>
      <c r="FM2" s="1">
        <f>$M2+$R2+DD2+IF(AND($B2&lt;&gt;Analysis!$C$130,$B2=Analysis!$C$101),DZ1+CQ1+CT1+CZ1,0)</f>
        <v>65865</v>
      </c>
      <c r="FN2" s="1">
        <f>FM2+FL2</f>
        <v>-12768.459260857417</v>
      </c>
      <c r="FO2" s="1">
        <f>IF(FN2&lt;0,Analysis!$C$7+FN2,Analysis!$C$7)</f>
        <v>11231.540739142583</v>
      </c>
      <c r="FP2" s="53"/>
      <c r="FQ2" s="1">
        <f>IF(Analysis!$C$6-Analysis!$C$7&gt;0,(Analysis!$C$6-Analysis!$C$7)*$U2,0)</f>
        <v>1529.4117647058827</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((1+Analysis!$C$172)/(1+$S2))-1</f>
        <v>2.941176470588247E-2</v>
      </c>
      <c r="FY2" s="1">
        <f>IF($B2=Analysis!$C$159,(FW2*(1+Analysis!$C$23+Analysis!$C$24+Analysis!$C$25))-IF($B2=$B$2,(Analysis!$C$6-Analysis!$C$7+Analysis!$C$165), (HW1-Analysis!$C$7+GH2)),0)</f>
        <v>387015.50000000006</v>
      </c>
      <c r="FZ2" s="65">
        <f>IF($B2=Analysis!$C$159,NPER(GD2,-GG2,-FY2),0)</f>
        <v>28.826407404605146</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IF($B2&lt;Analysis!$C$159,0,IF($B2=Analysis!$C$159,Analysis!$C$160,IF(($B2-Analysis!$C$159)&lt;LOOKUP(Analysis!$C$159,$B:$B,FZ:FZ),GD1,0)))</f>
        <v>3.6999999999999998E-2</v>
      </c>
      <c r="GE2" s="1">
        <f>IF($B2&lt;Analysis!$C$159,0,IF($B2=Analysis!$C$159,-GD2*FY2,GD1*GC1))</f>
        <v>-14319.573500000002</v>
      </c>
      <c r="GF2" s="1">
        <f>IF($B2&lt;Analysis!$C$159,0,IF($B2=Analysis!$C$159,PMT(GD2,FZ2,FY2)*FZ2-GG2-GC2,IF(($B2-Analysis!$C$159+1)&lt;LOOKUP(Analysis!$C$159,$B:$B,FZ:FZ),IF(GF1-GE2&lt;0, GF1-GE2,0),0)))</f>
        <v>-234572.11556912609</v>
      </c>
      <c r="GG2" s="1">
        <f>IF($B2&lt;Analysis!$C$159,0,IF($B2=Analysis!$C$159,GB2+GE2,IF(GC1&lt;0,IF(GC1&gt;LOOKUP(Analysis!$C$159,$B:$B,GG:GG), GC1*(1+GD1),GG1),0)))</f>
        <v>-22059.883500000004</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IF($B2&lt;Analysis!$C$159,0,((1+Analysis!$C$174)/(1+$S2))-1)</f>
        <v>2.941176470588247E-2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6345.0030178500001</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-78633.459260857417</v>
      </c>
      <c r="HO2" s="1">
        <f t="shared" ref="HO2:HO52" si="8">$M2+$R2+$GP2</f>
        <v>65865</v>
      </c>
      <c r="HP2" s="1">
        <f>HO2+HN2</f>
        <v>-12768.459260857417</v>
      </c>
      <c r="HQ2" s="1">
        <f>IF(HP2&lt;0,Analysis!$C$7+HP2,Analysis!$C$7)</f>
        <v>11231.540739142583</v>
      </c>
      <c r="HR2" s="38"/>
      <c r="HS2" s="1">
        <f>IF(Analysis!$C$6-Analysis!$C$7&gt;0,(Analysis!$C$6-Analysis!$C$7)*$U2,0)</f>
        <v>1529.4117647058827</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-423573.87104983191</v>
      </c>
      <c r="D3" s="1">
        <f>IF($B3&lt;Analysis!C$66, 0, BV3)+AT3+AW3+BC3+CG3+CA3</f>
        <v>-519488.94457924372</v>
      </c>
      <c r="E3" s="1">
        <f t="shared" si="1"/>
        <v>79597.474641621346</v>
      </c>
      <c r="F3" s="1">
        <f t="shared" ref="F3:F52" si="9">AL3+AF3</f>
        <v>78761.587763717253</v>
      </c>
      <c r="G3" s="1">
        <f>IF(AND($B3&gt;=Analysis!$C$100, $B3&lt;Analysis!$C$101),$CK3,0)+IF($B3&gt;=Analysis!$C$130,EB3,0)+CQ3+CT3+CZ3+EH3+EK3+EQ3+$FO3+$FT3</f>
        <v>-189951.24588085728</v>
      </c>
      <c r="H3" s="1">
        <f t="shared" ref="H3:H52" si="10">$DZ3+FJ3+CQ3+CT3+CZ3+EH3+EK3+EQ3+$FO3+$FU3</f>
        <v>-247639.29735144554</v>
      </c>
      <c r="I3" s="1">
        <f>IF($B3&lt;Analysis!$C$159,0,$FW3)+$GC3+$GF3+$GL3+$HQ3+$HV3</f>
        <v>-189951.24588085728</v>
      </c>
      <c r="J3" s="1">
        <f t="shared" si="2"/>
        <v>-247639.29735144554</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IF($B3=$B$2,((1+Analysis!$B$16)/(1+$S3))-1,IF(B3&lt;Analysis!$C$13,U2-((Analysis!$B$16-Analysis!$C$17)/(Analysis!$C$13-$B$2)),((1+Analysis!$C$17)/(1+$S2))-1))</f>
        <v>5.7680672268907579E-2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1639.8275827978255</v>
      </c>
      <c r="AI3" s="1">
        <f>IF(AE3 &gt;= 0,
    MAX(0, AF2 + AE3 - Analysis!$C$7),
    0)</f>
        <v>25528.235294117636</v>
      </c>
      <c r="AJ3" s="1">
        <f>MAX(0, AJ2 + AI3 - IF(AE3 &lt; 0, MIN(ABS(AE3), AJ2 + AI3), 0))</f>
        <v>52428.235294117636</v>
      </c>
      <c r="AK3" s="1">
        <f t="shared" ref="AK3:AK52" si="20">IF(AE3 &lt; 0,
    IF(AE3 + AF2 &lt; 0,
        MAX(0, AK2 - (ABS(AE3 + AF2) * (1+$V2))),
        AK2 + AH3),
    AK2 + AI3 + AH3)</f>
        <v>55597.474641621346</v>
      </c>
      <c r="AL3" s="1">
        <f t="shared" si="5"/>
        <v>54761.587763717245</v>
      </c>
      <c r="AM3" s="36"/>
      <c r="AN3" s="1">
        <f>AN2*(1+AO2)</f>
        <v>710294.11764705891</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-14390.096420000005</v>
      </c>
      <c r="AT3" s="1">
        <f>IF($B3&lt;Analysis!$C$66,0,IF($B3=Analysis!$C$66,-AP3-AS3,MIN(0,AT2-AS3)))</f>
        <v>-665566.24358000013</v>
      </c>
      <c r="AU3" s="64">
        <f>IF($B3&lt;Analysis!$C$66,0,IF($B3=Analysis!$C$66,Analysis!$C$72,IF(($B3-Analysis!$C$66)&lt;LOOKUP(Analysis!$C$66,$B:$B,AQ:AQ),AU2,0)))</f>
        <v>3.6999999999999998E-2</v>
      </c>
      <c r="AV3" s="1">
        <f>IF($B3&lt;Analysis!$C$66,0,IF($B3=Analysis!$C$66,-AU3*AP3,AU2*AT2))</f>
        <v>-25158.384580000002</v>
      </c>
      <c r="AW3" s="1">
        <f>IF($B3&lt;Analysis!$C$66,0,IF($B3=Analysis!$C$66,PMT(AU3,AQ3,AP3)*AQ3-AX3-AT3,IF(($B3-Analysis!$C$66+1)&lt;LOOKUP(Analysis!$C$66,$B:$B,AQ:AQ),IF(AW2-AV3&lt;0, AW2-AV3,0),0)))</f>
        <v>-395377.41995928466</v>
      </c>
      <c r="AX3" s="1">
        <f>IF($B3&lt;Analysis!$C$66,0,IF($B3=Analysis!$C$66,AS3+AV3,IF(AT2&lt;0,IF(AT2&gt;LOOKUP(Analysis!$C$66,$B:$B,AX:AX), AT2*(1+AU2),AX2),0)))</f>
        <v>-39548.481000000007</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-2130.8823529411766</v>
      </c>
      <c r="BF3" s="64">
        <f>IF($B3&lt;Analysis!$C$66,0,Analysis!$C$78)</f>
        <v>3.0000000000000001E-3</v>
      </c>
      <c r="BG3" s="1">
        <f>IF($B3&lt;Analysis!$C$66,0,-BH3*AN3)</f>
        <v>-5327.2058823529414</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-90562.500000000015</v>
      </c>
      <c r="BS3" s="64">
        <f>IF($B3&lt;Analysis!C$66,0,Analysis!C$31)</f>
        <v>0.1275</v>
      </c>
      <c r="BT3" s="1">
        <f>IF($B3&lt;Analysis!$C$66,0,AN3+BR3)</f>
        <v>619731.61764705891</v>
      </c>
      <c r="BU3" s="1">
        <f>IF($B3-Analysis!$C$66&gt;3,0,IF($AN3&gt;LOOKUP(Analysis!$C$66,$B:$B, AN:AN),$V3*(LOOKUP(Analysis!$C$66,$B:$B, AN:AN)-AN3),0))</f>
        <v>-5352.5735294117876</v>
      </c>
      <c r="BV3" s="1">
        <f t="shared" ref="BV3:BV52" si="23">BT3+BU3</f>
        <v>614379.04411764711</v>
      </c>
      <c r="BW3" s="42"/>
      <c r="BX3" s="1">
        <f>IF($B3&lt;Analysis!$C$66,$P3+$N3+$X3+$Z3,$P3+$N3+AS3+AV3+BB3+BE3+BG3+MAX(BI3,SUM(BJ3:BN3))+BP3)</f>
        <v>-107139.39801400153</v>
      </c>
      <c r="BY3" s="1">
        <f t="shared" ref="BY3:BY52" si="24">$M3+$R3</f>
        <v>95894.117647058811</v>
      </c>
      <c r="BZ3" s="1">
        <f>BY3+BX3</f>
        <v>-11245.280366942723</v>
      </c>
      <c r="CA3" s="1">
        <f>IF(BZ3 &lt; 0,
    IF(CA2 + BZ3 &gt; 0,
        CA2 + BZ3, IF(CF2-ABS(CA2 + BZ3)*(1+$V3) &gt;= CA2 + BZ3,
        0, CA2 + BZ3)),
    MIN(CA2 + BZ3, Analysis!$C$7))+IF(CA2&lt;0, CA2*Analysis!$C$9,0)</f>
        <v>-24341.694927946737</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427205.8823529412</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-8026.7014700000018</v>
      </c>
      <c r="CQ3" s="1">
        <f>IF(OR($B3&lt;Analysis!$C$100, $B3&gt;=Analysis!$C$101),0,IF($B3=Analysis!$C$100,-CM3-CP3,MIN(0,CQ2-CP3)))</f>
        <v>-371248.48853000003</v>
      </c>
      <c r="CR3" s="64">
        <f>IF(OR($B3&lt;Analysis!$C$100, $B3&gt;=Analysis!$C$101),0,IF($B3=Analysis!$C$100,Analysis!$C$102,IF(($B3-Analysis!$C$100)&lt;LOOKUP(Analysis!$C$100,$B:$B,CN:CN),CR2,0)))</f>
        <v>3.6999999999999998E-2</v>
      </c>
      <c r="CS3" s="1">
        <f>IF(OR($B3&lt;Analysis!$C$100, $B3&gt;=Analysis!$C$101),0,IF($B3=Analysis!$C$100,-CR3*CM3,CR2*CQ2))</f>
        <v>-14033.182030000002</v>
      </c>
      <c r="CT3" s="1">
        <f>IF(OR($B3&lt;Analysis!$C$100, $B3&gt;=Analysis!$C$101),0,IF($B3=Analysis!$C$100,PMT(CR3,CN3,CM3)*CN3-CU3-CQ3,IF(($B3-Analysis!$C$100+1)&lt;LOOKUP(Analysis!$C$100,$B:$B,CN:CN),IF(CT2-CS3&lt;0, CT2-CS3,0),0)))</f>
        <v>-220538.9335391261</v>
      </c>
      <c r="CU3" s="1">
        <f>IF(OR($B3&lt;Analysis!$C$100, $B3&gt;=Analysis!$C$101),0,IF($B3=Analysis!$C$100,CP3+CS3,IF(CQ2&lt;0,IF(CQ2&gt;LOOKUP(Analysis!$C$100,$B:$B,CU:CU), CQ2*(1+CR2),CU2),0)))</f>
        <v>-22059.883500000004</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14267.647058823532</v>
      </c>
      <c r="DC3" s="64">
        <f>IF(OR($B3&lt;Analysis!$C$100, $B3&gt;=Analysis!$C$101),0,((1+Analysis!$C$114)/(1+$S3))-1)</f>
        <v>2.941176470588247E-2</v>
      </c>
      <c r="DD3" s="1">
        <f t="shared" si="6"/>
        <v>19509.264705882357</v>
      </c>
      <c r="DE3" s="1">
        <f t="shared" ref="DE3:DE52" si="27">-DF3*CK3</f>
        <v>-1281.6176470588236</v>
      </c>
      <c r="DF3" s="64">
        <f>IF(OR($B3&lt;Analysis!$C$100, $B3&gt;=Analysis!$C$101),0,Analysis!$C$118)</f>
        <v>3.0000000000000001E-3</v>
      </c>
      <c r="DG3" s="1">
        <f t="shared" ref="DG3:DG52" si="28">-DH3*CK3</f>
        <v>-3204.044117647059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-1070.0735294117649</v>
      </c>
      <c r="DR3" s="1">
        <f t="shared" ref="DR3:DR52" si="29">DE3+DG3+MIN(DI3,SUM(DJ3:DN3))+DP3+DQ3</f>
        <v>-17815.735294117647</v>
      </c>
      <c r="DS3" s="1">
        <f>MIN(0,-(DB3+DR3)*Analysis!$C$28)-CS3*Analysis!$C$28</f>
        <v>6218.1029574929998</v>
      </c>
      <c r="DT3" s="1">
        <f>-Analysis!$C$116*DD3/12</f>
        <v>-1625.7720588235297</v>
      </c>
      <c r="DU3" s="53"/>
      <c r="DV3" s="1">
        <f t="shared" ref="DV3:DV52" si="30">-DW3*CK3</f>
        <v>-54468.750000000007</v>
      </c>
      <c r="DW3" s="64">
        <f>IF(OR($B3&lt;Analysis!$C$100, $B3&gt;=Analysis!$C$101),0,IF($B3=Analysis!$C$100,Analysis!$C$31,DW2))</f>
        <v>0.1275</v>
      </c>
      <c r="DX3" s="1">
        <f>IF(OR($B3&lt;Analysis!$C$100, $B3&gt;=Analysis!$C$101),0,CK3+DV3)</f>
        <v>372737.1323529412</v>
      </c>
      <c r="DY3" s="1">
        <f>IF(OR($B3&lt;Analysis!$C$100, $B3&gt;=Analysis!$C$101),0,IF($B3-Analysis!$C$100&gt;3,0,IF(CK3&gt;LOOKUP(Analysis!$C$100,$B:$B, CK:CK),$V3*(LOOKUP(Analysis!$C$100,$B:$B, CK:CK)-CK3),0)))</f>
        <v>-3219.3014705882424</v>
      </c>
      <c r="DZ3" s="1">
        <f>DX3+DY3</f>
        <v>369517.83088235295</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-103421.99902709677</v>
      </c>
      <c r="FM3" s="1">
        <f>$M3+$R3+DD3+IF(AND($B3&lt;&gt;Analysis!$C$130,$B3=Analysis!$C$101),DZ2+CQ2+CT2+CZ2,0)</f>
        <v>115403.38235294117</v>
      </c>
      <c r="FN3" s="1">
        <f t="shared" ref="FN3:FN52" si="34">FM3+FL3</f>
        <v>11981.383325844406</v>
      </c>
      <c r="FO3" s="1">
        <f>IF(FN3 &lt; 0,
    IF(FO2 + FN3 &gt; 0,
        FO2 + FN3, IF(FT2-ABS(FO2 + FN3)*(1+$V3) &gt;= FO2 + FN3,
        0, FO2 + FN3)),
    MIN(FO2 + FN3, Analysis!$C$7))+IF(FO2&lt;0, FO2*Analysis!$C$9,0)</f>
        <v>23212.92406498699</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427205.8823529412</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-8026.7014700000018</v>
      </c>
      <c r="GC3" s="1">
        <f>IF($B3&lt;Analysis!$C$159,0,IF($B3=Analysis!$C$159,-FY3-GB3,MIN(0,GC2-GB3)))</f>
        <v>-371248.48853000003</v>
      </c>
      <c r="GD3" s="64">
        <f>IF($B3&lt;Analysis!$C$159,0,IF($B3=Analysis!$C$159,Analysis!$C$160,IF(($B3-Analysis!$C$159)&lt;LOOKUP(Analysis!$C$159,$B:$B,FZ:FZ),GD2,0)))</f>
        <v>3.6999999999999998E-2</v>
      </c>
      <c r="GE3" s="1">
        <f>IF($B3&lt;Analysis!$C$159,0,IF($B3=Analysis!$C$159,-GD3*FY3,GD2*GC2))</f>
        <v>-14033.182030000002</v>
      </c>
      <c r="GF3" s="1">
        <f>IF($B3&lt;Analysis!$C$159,0,IF($B3=Analysis!$C$159,PMT(GD3,FZ3,FY3)*FZ3-GG3-GC3,IF(($B3-Analysis!$C$159+1)&lt;LOOKUP(Analysis!$C$159,$B:$B,FZ:FZ),IF(GF2-GE3&lt;0, GF2-GE3,0),0)))</f>
        <v>-220538.9335391261</v>
      </c>
      <c r="GG3" s="1">
        <f>IF($B3&lt;Analysis!$C$159,0,IF($B3=Analysis!$C$159,GB3+GE3,IF(GC2&lt;0,IF(GC2&gt;LOOKUP(Analysis!$C$159,$B:$B,GG:GG), GC2*(1+GD2),GG2),0)))</f>
        <v>-22059.883500000004</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14267.647058823532</v>
      </c>
      <c r="GO3" s="64">
        <f>IF($B3&lt;Analysis!$C$159,0,((1+Analysis!$C$174)/(1+$S3))-1)</f>
        <v>2.941176470588247E-2</v>
      </c>
      <c r="GP3" s="1">
        <f t="shared" si="7"/>
        <v>19509.264705882357</v>
      </c>
      <c r="GQ3" s="1">
        <f t="shared" ref="GQ3:GQ52" si="36">-GR3*FW3</f>
        <v>-1281.6176470588236</v>
      </c>
      <c r="GR3" s="64">
        <f>IF($B3&lt;Analysis!$C$159,0,Analysis!$C$178)</f>
        <v>3.0000000000000001E-3</v>
      </c>
      <c r="GS3" s="1">
        <f t="shared" ref="GS3:GS52" si="37">-GT3*FW3</f>
        <v>-3204.044117647059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-1070.0735294117649</v>
      </c>
      <c r="HD3" s="1">
        <f t="shared" ref="HD3:HD52" si="38">GQ3+GS3+MIN(GU3,SUM(GV3:GZ3))+HB3+HC3</f>
        <v>-17815.735294117647</v>
      </c>
      <c r="HE3" s="1">
        <f>MIN(0,-(GN3+HD3)*Analysis!$C$28)-GE3*Analysis!$C$28</f>
        <v>6218.1029574929998</v>
      </c>
      <c r="HF3" s="1">
        <f>-Analysis!$C$176*GP3/12</f>
        <v>-1625.7720588235297</v>
      </c>
      <c r="HG3" s="38"/>
      <c r="HH3" s="1">
        <f>IF($B3&lt;Analysis!$C$159,0,-$HI3*$FW3)</f>
        <v>-54468.750000000007</v>
      </c>
      <c r="HI3" s="64">
        <f>IF($B3&lt;Analysis!$C$159,0,IF($B3=Analysis!$C$159,Analysis!$C$31,HI2))</f>
        <v>0.1275</v>
      </c>
      <c r="HJ3" s="1">
        <f>IF($B3&lt;Analysis!$C$159,0,$FW3+HH3)</f>
        <v>372737.1323529412</v>
      </c>
      <c r="HK3" s="1">
        <f>IF($B3-Analysis!$C$159&gt;10,0,IF($FW3&gt;LOOKUP(Analysis!$C$159,$B:$B, FW:FW),$V3*(LOOKUP(Analysis!$C$159,$B:$B, FW:FW)-FW3),0))</f>
        <v>-3219.3014705882424</v>
      </c>
      <c r="HL3" s="1">
        <f t="shared" ref="HL3:HL52" si="39">HJ3+HK3</f>
        <v>369517.83088235295</v>
      </c>
      <c r="HM3" s="38"/>
      <c r="HN3" s="1">
        <f t="shared" ref="HN3:HN52" si="40">$P3+$N3+$X3+$Z3+GB3+GE3+GK3+GQ3+GS3+MIN(GU3,SUM(GV3:GZ3))+HC3+HE3+HF3</f>
        <v>-103421.99902709677</v>
      </c>
      <c r="HO3" s="1">
        <f t="shared" si="8"/>
        <v>115403.38235294117</v>
      </c>
      <c r="HP3" s="1">
        <f t="shared" ref="HP3:HP52" si="41">HO3+HN3</f>
        <v>11981.383325844406</v>
      </c>
      <c r="HQ3" s="1">
        <f>IF(HP3 &lt; 0,
    IF(HQ2 + HP3 &gt; 0,
        HQ2 + HP3, IF(HV2-ABS(HQ2 + HP3)*(1+$V3) &gt;= HQ2 + HP3,
        0, HQ2 + HP3)),
    MIN(HQ2 + HP3, Analysis!$C$7))+IF(HQ2&lt;0, HQ2*Analysis!$C$9,0)</f>
        <v>23212.92406498699</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-396520.58813195693</v>
      </c>
      <c r="D4" s="1">
        <f>IF($B4&lt;Analysis!C$66, 0, BV4)+AT4+AW4+BC4+CG4+CA4</f>
        <v>-500609.26676517498</v>
      </c>
      <c r="E4" s="1">
        <f t="shared" si="1"/>
        <v>81742.426079886325</v>
      </c>
      <c r="F4" s="1">
        <f t="shared" si="9"/>
        <v>79814.147879516997</v>
      </c>
      <c r="G4" s="1">
        <f>IF(AND($B4&gt;=Analysis!$C$100, $B4&lt;Analysis!$C$101),$CK4,0)+IF($B4&gt;=Analysis!$C$130,EB4,0)+CQ4+CT4+CZ4+EH4+EK4+EQ4+$FO4+$FT4</f>
        <v>-163674.69395204441</v>
      </c>
      <c r="H4" s="1">
        <f t="shared" si="10"/>
        <v>-226278.75428941468</v>
      </c>
      <c r="I4" s="1">
        <f>IF($B4&lt;Analysis!$C$159,0,$FW4)+$GC4+$GF4+$GL4+$HQ4+$HV4</f>
        <v>-163674.69395204441</v>
      </c>
      <c r="J4" s="1">
        <f t="shared" si="2"/>
        <v>-226278.75428941468</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IF($B4=$B$2,((1+Analysis!$B$16)/(1+$S4))-1,IF(B4&lt;Analysis!$C$13,U3-((Analysis!$B$16-Analysis!$C$17)/(Analysis!$C$13-$B$2)),((1+Analysis!$C$17)/(1+$S3))-1))</f>
        <v>5.6537815126050439E-2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3143.3597427632649</v>
      </c>
      <c r="AI4" s="1">
        <f>IF(AE4 &gt;= 0,
    MAX(0, AF3 + AE4 - Analysis!$C$7),
    0)</f>
        <v>0</v>
      </c>
      <c r="AJ4" s="1">
        <f t="shared" ref="AJ4:AJ52" si="44">MAX(0, AJ3 + AI4 - IF(AE4 &lt; 0, MIN(ABS(AE4), AJ3 + AI4), 0))</f>
        <v>51429.82698961936</v>
      </c>
      <c r="AK4" s="1">
        <f t="shared" si="20"/>
        <v>58740.834384384609</v>
      </c>
      <c r="AL4" s="1">
        <f t="shared" si="5"/>
        <v>56812.556184015273</v>
      </c>
      <c r="AM4" s="36"/>
      <c r="AN4" s="1">
        <f t="shared" ref="AN4:AN52" si="45">AN3*(1+AO3)</f>
        <v>731185.12110726663</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-14922.529987540005</v>
      </c>
      <c r="AT4" s="1">
        <f>IF($B4&lt;Analysis!$C$66,0,IF($B4=Analysis!$C$66,-AP4-AS4,MIN(0,AT3-AS4)))</f>
        <v>-650643.71359246015</v>
      </c>
      <c r="AU4" s="64">
        <f>IF($B4&lt;Analysis!$C$66,0,IF($B4=Analysis!$C$66,Analysis!$C$72,IF(($B4-Analysis!$C$66)&lt;LOOKUP(Analysis!$C$66,$B:$B,AQ:AQ),AU3,0)))</f>
        <v>3.6999999999999998E-2</v>
      </c>
      <c r="AV4" s="1">
        <f>IF($B4&lt;Analysis!$C$66,0,IF($B4=Analysis!$C$66,-AU4*AP4,AU3*AT3))</f>
        <v>-24625.951012460002</v>
      </c>
      <c r="AW4" s="1">
        <f>IF($B4&lt;Analysis!$C$66,0,IF($B4=Analysis!$C$66,PMT(AU4,AQ4,AP4)*AQ4-AX4-AT4,IF(($B4-Analysis!$C$66+1)&lt;LOOKUP(Analysis!$C$66,$B:$B,AQ:AQ),IF(AW3-AV4&lt;0, AW3-AV4,0),0)))</f>
        <v>-370751.46894682467</v>
      </c>
      <c r="AX4" s="1">
        <f>IF($B4&lt;Analysis!$C$66,0,IF($B4=Analysis!$C$66,AS4+AV4,IF(AT3&lt;0,IF(AT3&gt;LOOKUP(Analysis!$C$66,$B:$B,AX:AX), AT3*(1+AU3),AX3),0)))</f>
        <v>-39548.481000000007</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-2193.5553633218001</v>
      </c>
      <c r="BF4" s="64">
        <f>IF($B4&lt;Analysis!$C$66,0,Analysis!$C$78)</f>
        <v>3.0000000000000001E-3</v>
      </c>
      <c r="BG4" s="1">
        <f>IF($B4&lt;Analysis!$C$66,0,-BH4*AN4)</f>
        <v>-5483.8884083044995</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-93226.10294117649</v>
      </c>
      <c r="BS4" s="64">
        <f>IF($B4&lt;Analysis!C$66,0,Analysis!C$31)</f>
        <v>0.1275</v>
      </c>
      <c r="BT4" s="1">
        <f>IF($B4&lt;Analysis!$C$66,0,AN4+BR4)</f>
        <v>637959.01816609013</v>
      </c>
      <c r="BU4" s="1">
        <f>IF($B4-Analysis!$C$66&gt;3,0,IF($AN4&gt;LOOKUP(Analysis!$C$66,$B:$B, AN:AN),$V4*(LOOKUP(Analysis!$C$66,$B:$B, AN:AN)-AN4),0))</f>
        <v>-10862.575692041573</v>
      </c>
      <c r="BV4" s="1">
        <f>BT4+BU4</f>
        <v>627096.44247404858</v>
      </c>
      <c r="BW4" s="42"/>
      <c r="BX4" s="1">
        <f>IF($B4&lt;Analysis!$C$66,$P4+$N4+$X4+$Z4,$P4+$N4+AS4+AV4+BB4+BE4+BG4+MAX(BI4,SUM(BJ4:BN4))+BP4)</f>
        <v>-85458.753550333728</v>
      </c>
      <c r="BY4" s="1">
        <f t="shared" si="24"/>
        <v>47947.058823529405</v>
      </c>
      <c r="BZ4" s="1">
        <f t="shared" ref="BZ4:BZ52" si="46">BY4+BX4</f>
        <v>-37511.694726804322</v>
      </c>
      <c r="CA4" s="1">
        <f>IF(BZ4 &lt; 0,
    IF(CA3 + BZ4 &gt; 0,
        CA3 + BZ4, IF(CF3-ABS(CA3 + BZ4)*(1+$V4) &gt;= CA3 + BZ4,
        0, CA3 + BZ4)),
    MIN(CA3 + BZ4, Analysis!$C$7))+IF(CA3&lt;0, CA3*Analysis!$C$9,0)</f>
        <v>-63800.725248986797</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439770.7612456748</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-8323.6894243900024</v>
      </c>
      <c r="CQ4" s="1">
        <f>IF(OR($B4&lt;Analysis!$C$100, $B4&gt;=Analysis!$C$101),0,IF($B4=Analysis!$C$100,-CM4-CP4,MIN(0,CQ3-CP4)))</f>
        <v>-362924.79910561</v>
      </c>
      <c r="CR4" s="64">
        <f>IF(OR($B4&lt;Analysis!$C$100, $B4&gt;=Analysis!$C$101),0,IF($B4=Analysis!$C$100,Analysis!$C$102,IF(($B4-Analysis!$C$100)&lt;LOOKUP(Analysis!$C$100,$B:$B,CN:CN),CR3,0)))</f>
        <v>3.6999999999999998E-2</v>
      </c>
      <c r="CS4" s="1">
        <f>IF(OR($B4&lt;Analysis!$C$100, $B4&gt;=Analysis!$C$101),0,IF($B4=Analysis!$C$100,-CR4*CM4,CR3*CQ3))</f>
        <v>-13736.194075610001</v>
      </c>
      <c r="CT4" s="1">
        <f>IF(OR($B4&lt;Analysis!$C$100, $B4&gt;=Analysis!$C$101),0,IF($B4=Analysis!$C$100,PMT(CR4,CN4,CM4)*CN4-CU4-CQ4,IF(($B4-Analysis!$C$100+1)&lt;LOOKUP(Analysis!$C$100,$B:$B,CN:CN),IF(CT3-CS4&lt;0, CT3-CS4,0),0)))</f>
        <v>-206802.7394635161</v>
      </c>
      <c r="CU4" s="1">
        <f>IF(OR($B4&lt;Analysis!$C$100, $B4&gt;=Analysis!$C$101),0,IF($B4=Analysis!$C$100,CP4+CS4,IF(CQ3&lt;0,IF(CQ3&gt;LOOKUP(Analysis!$C$100,$B:$B,CU:CU), CQ3*(1+CR3),CU3),0)))</f>
        <v>-22059.883500000004</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14687.283737024225</v>
      </c>
      <c r="DC4" s="64">
        <f>IF(OR($B4&lt;Analysis!$C$100, $B4&gt;=Analysis!$C$101),0,((1+Analysis!$C$114)/(1+$S4))-1)</f>
        <v>2.941176470588247E-2</v>
      </c>
      <c r="DD4" s="1">
        <f t="shared" si="6"/>
        <v>19966.596020761252</v>
      </c>
      <c r="DE4" s="1">
        <f t="shared" si="27"/>
        <v>-1319.3122837370245</v>
      </c>
      <c r="DF4" s="64">
        <f>IF(OR($B4&lt;Analysis!$C$100, $B4&gt;=Analysis!$C$101),0,Analysis!$C$118)</f>
        <v>3.0000000000000001E-3</v>
      </c>
      <c r="DG4" s="1">
        <f t="shared" si="28"/>
        <v>-3298.2807093425608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-1101.5462802768168</v>
      </c>
      <c r="DR4" s="1">
        <f t="shared" si="29"/>
        <v>-17979.139273356403</v>
      </c>
      <c r="DS4" s="1">
        <f>MIN(0,-(DB4+DR4)*Analysis!$C$28)-CS4*Analysis!$C$28</f>
        <v>6086.5075949027905</v>
      </c>
      <c r="DT4" s="1">
        <f>-Analysis!$C$116*DD4/12</f>
        <v>-1663.8830017301043</v>
      </c>
      <c r="DU4" s="53"/>
      <c r="DV4" s="1">
        <f t="shared" si="30"/>
        <v>-56070.772058823539</v>
      </c>
      <c r="DW4" s="64">
        <f>IF(OR($B4&lt;Analysis!$C$100, $B4&gt;=Analysis!$C$101),0,IF($B4=Analysis!$C$100,Analysis!$C$31,DW3))</f>
        <v>0.1275</v>
      </c>
      <c r="DX4" s="1">
        <f>IF(OR($B4&lt;Analysis!$C$100, $B4&gt;=Analysis!$C$101),0,CK4+DV4)</f>
        <v>383699.98918685125</v>
      </c>
      <c r="DY4" s="1">
        <f>IF(OR($B4&lt;Analysis!$C$100, $B4&gt;=Analysis!$C$101),0,IF($B4-Analysis!$C$100&gt;3,0,IF(CK4&gt;LOOKUP(Analysis!$C$100,$B:$B, CK:CK),$V4*(LOOKUP(Analysis!$C$100,$B:$B, CK:CK)-CK4),0)))</f>
        <v>-6533.2882785467291</v>
      </c>
      <c r="DZ4" s="1">
        <f t="shared" ref="DZ4:DZ52" si="49">DX4+DY4</f>
        <v>377166.70090830454</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-82334.694086918826</v>
      </c>
      <c r="FM4" s="1">
        <f>$M4+$R4+DD4+IF(AND($B4&lt;&gt;Analysis!$C$130,$B4=Analysis!$C$101),DZ3+CQ3+CT3+CZ3,0)</f>
        <v>67913.654844290664</v>
      </c>
      <c r="FN4" s="1">
        <f t="shared" si="34"/>
        <v>-14421.039242628161</v>
      </c>
      <c r="FO4" s="1">
        <f>IF(FN4 &lt; 0,
    IF(FO3 + FN4 &gt; 0,
        FO3 + FN4, IF(FT3-ABS(FO3 + FN4)*(1+$V4) &gt;= FO3 + FN4,
        0, FO3 + FN4)),
    MIN(FO3 + FN4, Analysis!$C$7))+IF(FO3&lt;0, FO3*Analysis!$C$9,0)</f>
        <v>8791.8848223588284</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439770.7612456748</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-8323.6894243900024</v>
      </c>
      <c r="GC4" s="1">
        <f>IF($B4&lt;Analysis!$C$159,0,IF($B4=Analysis!$C$159,-FY4-GB4,MIN(0,GC3-GB4)))</f>
        <v>-362924.79910561</v>
      </c>
      <c r="GD4" s="64">
        <f>IF($B4&lt;Analysis!$C$159,0,IF($B4=Analysis!$C$159,Analysis!$C$160,IF(($B4-Analysis!$C$159)&lt;LOOKUP(Analysis!$C$159,$B:$B,FZ:FZ),GD3,0)))</f>
        <v>3.6999999999999998E-2</v>
      </c>
      <c r="GE4" s="1">
        <f>IF($B4&lt;Analysis!$C$159,0,IF($B4=Analysis!$C$159,-GD4*FY4,GD3*GC3))</f>
        <v>-13736.194075610001</v>
      </c>
      <c r="GF4" s="1">
        <f>IF($B4&lt;Analysis!$C$159,0,IF($B4=Analysis!$C$159,PMT(GD4,FZ4,FY4)*FZ4-GG4-GC4,IF(($B4-Analysis!$C$159+1)&lt;LOOKUP(Analysis!$C$159,$B:$B,FZ:FZ),IF(GF3-GE4&lt;0, GF3-GE4,0),0)))</f>
        <v>-206802.7394635161</v>
      </c>
      <c r="GG4" s="1">
        <f>IF($B4&lt;Analysis!$C$159,0,IF($B4=Analysis!$C$159,GB4+GE4,IF(GC3&lt;0,IF(GC3&gt;LOOKUP(Analysis!$C$159,$B:$B,GG:GG), GC3*(1+GD3),GG3),0)))</f>
        <v>-22059.883500000004</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14687.283737024225</v>
      </c>
      <c r="GO4" s="64">
        <f>IF($B4&lt;Analysis!$C$159,0,((1+Analysis!$C$174)/(1+$S4))-1)</f>
        <v>2.941176470588247E-2</v>
      </c>
      <c r="GP4" s="1">
        <f t="shared" si="7"/>
        <v>19966.596020761252</v>
      </c>
      <c r="GQ4" s="1">
        <f t="shared" si="36"/>
        <v>-1319.3122837370245</v>
      </c>
      <c r="GR4" s="64">
        <f>IF($B4&lt;Analysis!$C$159,0,Analysis!$C$178)</f>
        <v>3.0000000000000001E-3</v>
      </c>
      <c r="GS4" s="1">
        <f t="shared" si="37"/>
        <v>-3298.2807093425608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-1101.5462802768168</v>
      </c>
      <c r="HD4" s="1">
        <f t="shared" si="38"/>
        <v>-17979.139273356403</v>
      </c>
      <c r="HE4" s="1">
        <f>MIN(0,-(GN4+HD4)*Analysis!$C$28)-GE4*Analysis!$C$28</f>
        <v>6086.5075949027905</v>
      </c>
      <c r="HF4" s="1">
        <f>-Analysis!$C$176*GP4/12</f>
        <v>-1663.8830017301043</v>
      </c>
      <c r="HG4" s="38"/>
      <c r="HH4" s="1">
        <f>IF($B4&lt;Analysis!$C$159,0,-$HI4*$FW4)</f>
        <v>-56070.772058823539</v>
      </c>
      <c r="HI4" s="64">
        <f>IF($B4&lt;Analysis!$C$159,0,IF($B4=Analysis!$C$159,Analysis!$C$31,HI3))</f>
        <v>0.1275</v>
      </c>
      <c r="HJ4" s="1">
        <f>IF($B4&lt;Analysis!$C$159,0,$FW4+HH4)</f>
        <v>383699.98918685125</v>
      </c>
      <c r="HK4" s="1">
        <f>IF($B4-Analysis!$C$159&gt;10,0,IF($FW4&gt;LOOKUP(Analysis!$C$159,$B:$B, FW:FW),$V4*(LOOKUP(Analysis!$C$159,$B:$B, FW:FW)-FW4),0))</f>
        <v>-6533.2882785467291</v>
      </c>
      <c r="HL4" s="1">
        <f t="shared" si="39"/>
        <v>377166.70090830454</v>
      </c>
      <c r="HM4" s="38"/>
      <c r="HN4" s="1">
        <f t="shared" si="40"/>
        <v>-82334.694086918826</v>
      </c>
      <c r="HO4" s="1">
        <f t="shared" si="8"/>
        <v>67913.654844290664</v>
      </c>
      <c r="HP4" s="1">
        <f t="shared" si="41"/>
        <v>-14421.039242628161</v>
      </c>
      <c r="HQ4" s="1">
        <f>IF(HP4 &lt; 0,
    IF(HQ3 + HP4 &gt; 0,
        HQ3 + HP4, IF(HV3-ABS(HQ3 + HP4)*(1+$V4) &gt;= HQ3 + HP4,
        0, HQ3 + HP4)),
    MIN(HQ3 + HP4, Analysis!$C$7))+IF(HQ3&lt;0, HQ3*Analysis!$C$9,0)</f>
        <v>8791.8848223588284</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-343530.03614610882</v>
      </c>
      <c r="D5" s="1">
        <f>IF($B5&lt;Analysis!C$66, 0, BV5)+AT5+AW5+BC5+CG5+CA5</f>
        <v>-456032.7200332451</v>
      </c>
      <c r="E5" s="1">
        <f t="shared" si="1"/>
        <v>112209.63100352946</v>
      </c>
      <c r="F5" s="1">
        <f t="shared" si="9"/>
        <v>109423.12453178142</v>
      </c>
      <c r="G5" s="1">
        <f>IF(AND($B5&gt;=Analysis!$C$100, $B5&lt;Analysis!$C$101),$CK5,0)+IF($B5&gt;=Analysis!$C$130,EB5,0)+CQ5+CT5+CZ5+EH5+EK5+EQ5+$FO5+$FT5</f>
        <v>-108690.04357288136</v>
      </c>
      <c r="H5" s="1">
        <f t="shared" si="10"/>
        <v>-176354.70127311553</v>
      </c>
      <c r="I5" s="1">
        <f>IF($B5&lt;Analysis!$C$159,0,$FW5)+$GC5+$GF5+$GL5+$HQ5+$HV5</f>
        <v>-108690.04357288136</v>
      </c>
      <c r="J5" s="1">
        <f t="shared" si="2"/>
        <v>-176354.70127311553</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IF($B5=$B$2,((1+Analysis!$B$16)/(1+$S5))-1,IF(B5&lt;Analysis!$C$13,U4-((Analysis!$B$16-Analysis!$C$17)/(Analysis!$C$13-$B$2)),((1+Analysis!$C$17)/(1+$S4))-1))</f>
        <v>5.5394957983193299E-2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3253.9460526207017</v>
      </c>
      <c r="AI5" s="1">
        <f>IF(AE5 &gt;= 0,
    MAX(0, AF4 + AE5 - Analysis!$C$7),
    0)</f>
        <v>26214.850566524146</v>
      </c>
      <c r="AJ5" s="1">
        <f t="shared" si="44"/>
        <v>77644.677556143506</v>
      </c>
      <c r="AK5" s="1">
        <f t="shared" si="20"/>
        <v>88209.631003529459</v>
      </c>
      <c r="AL5" s="1">
        <f t="shared" si="5"/>
        <v>85423.124531781417</v>
      </c>
      <c r="AM5" s="36"/>
      <c r="AN5" s="1">
        <f t="shared" si="45"/>
        <v>752690.5658457157</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-15474.663597078983</v>
      </c>
      <c r="AT5" s="1">
        <f>IF($B5&lt;Analysis!$C$66,0,IF($B5=Analysis!$C$66,-AP5-AS5,MIN(0,AT4-AS5)))</f>
        <v>-635169.04999538115</v>
      </c>
      <c r="AU5" s="64">
        <f>IF($B5&lt;Analysis!$C$66,0,IF($B5=Analysis!$C$66,Analysis!$C$72,IF(($B5-Analysis!$C$66)&lt;LOOKUP(Analysis!$C$66,$B:$B,AQ:AQ),AU4,0)))</f>
        <v>3.6999999999999998E-2</v>
      </c>
      <c r="AV5" s="1">
        <f>IF($B5&lt;Analysis!$C$66,0,IF($B5=Analysis!$C$66,-AU5*AP5,AU4*AT4))</f>
        <v>-24073.817402921024</v>
      </c>
      <c r="AW5" s="1">
        <f>IF($B5&lt;Analysis!$C$66,0,IF($B5=Analysis!$C$66,PMT(AU5,AQ5,AP5)*AQ5-AX5-AT5,IF(($B5-Analysis!$C$66+1)&lt;LOOKUP(Analysis!$C$66,$B:$B,AQ:AQ),IF(AW4-AV5&lt;0, AW4-AV5,0),0)))</f>
        <v>-346677.65154390363</v>
      </c>
      <c r="AX5" s="1">
        <f>IF($B5&lt;Analysis!$C$66,0,IF($B5=Analysis!$C$66,AS5+AV5,IF(AT4&lt;0,IF(AT4&gt;LOOKUP(Analysis!$C$66,$B:$B,AX:AX), AT4*(1+AU4),AX4),0)))</f>
        <v>-39548.481000000007</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-2258.071697537147</v>
      </c>
      <c r="BF5" s="64">
        <f>IF($B5&lt;Analysis!$C$66,0,Analysis!$C$78)</f>
        <v>3.0000000000000001E-3</v>
      </c>
      <c r="BG5" s="1">
        <f>IF($B5&lt;Analysis!$C$66,0,-BH5*AN5)</f>
        <v>-5645.1792438428674</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-95968.047145328746</v>
      </c>
      <c r="BS5" s="64">
        <f>IF($B5&lt;Analysis!C$66,0,Analysis!C$31)</f>
        <v>0.1275</v>
      </c>
      <c r="BT5" s="1">
        <f>IF($B5&lt;Analysis!$C$66,0,AN5+BR5)</f>
        <v>656722.51870038698</v>
      </c>
      <c r="BU5" s="1">
        <f>IF($B5-Analysis!$C$66&gt;3,0,IF($AN5&gt;LOOKUP(Analysis!$C$66,$B:$B, AN:AN),$V5*(LOOKUP(Analysis!$C$66,$B:$B, AN:AN)-AN5),0))</f>
        <v>-16534.636741807513</v>
      </c>
      <c r="BV5" s="1">
        <f t="shared" si="23"/>
        <v>640187.88195857941</v>
      </c>
      <c r="BW5" s="42"/>
      <c r="BX5" s="1">
        <f>IF($B5&lt;Analysis!$C$66,$P5+$N5+$X5+$Z5,$P5+$N5+AS5+AV5+BB5+BE5+BG5+MAX(BI5,SUM(BJ5:BN5))+BP5)</f>
        <v>-109684.56072008744</v>
      </c>
      <c r="BY5" s="1">
        <f t="shared" si="24"/>
        <v>100652.41620869798</v>
      </c>
      <c r="BZ5" s="1">
        <f t="shared" si="46"/>
        <v>-9032.1445113894588</v>
      </c>
      <c r="CA5" s="1">
        <f>IF(BZ5 &lt; 0,
    IF(CA4 + BZ5 &gt; 0,
        CA4 + BZ5, IF(CF4-ABS(CA4 + BZ5)*(1+$V5) &gt;= CA4 + BZ5,
        0, CA4 + BZ5)),
    MIN(CA4 + BZ5, Analysis!$C$7))+IF(CA4&lt;0, CA4*Analysis!$C$9,0)</f>
        <v>-77936.927780295198</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452705.1953999594</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-8631.665933092434</v>
      </c>
      <c r="CQ5" s="1">
        <f>IF(OR($B5&lt;Analysis!$C$100, $B5&gt;=Analysis!$C$101),0,IF($B5=Analysis!$C$100,-CM5-CP5,MIN(0,CQ4-CP5)))</f>
        <v>-354293.13317251758</v>
      </c>
      <c r="CR5" s="64">
        <f>IF(OR($B5&lt;Analysis!$C$100, $B5&gt;=Analysis!$C$101),0,IF($B5=Analysis!$C$100,Analysis!$C$102,IF(($B5-Analysis!$C$100)&lt;LOOKUP(Analysis!$C$100,$B:$B,CN:CN),CR4,0)))</f>
        <v>3.6999999999999998E-2</v>
      </c>
      <c r="CS5" s="1">
        <f>IF(OR($B5&lt;Analysis!$C$100, $B5&gt;=Analysis!$C$101),0,IF($B5=Analysis!$C$100,-CR5*CM5,CR4*CQ4))</f>
        <v>-13428.21756690757</v>
      </c>
      <c r="CT5" s="1">
        <f>IF(OR($B5&lt;Analysis!$C$100, $B5&gt;=Analysis!$C$101),0,IF($B5=Analysis!$C$100,PMT(CR5,CN5,CM5)*CN5-CU5-CQ5,IF(($B5-Analysis!$C$100+1)&lt;LOOKUP(Analysis!$C$100,$B:$B,CN:CN),IF(CT4-CS5&lt;0, CT4-CS5,0),0)))</f>
        <v>-193374.52189660852</v>
      </c>
      <c r="CU5" s="1">
        <f>IF(OR($B5&lt;Analysis!$C$100, $B5&gt;=Analysis!$C$101),0,IF($B5=Analysis!$C$100,CP5+CS5,IF(CQ4&lt;0,IF(CQ4&gt;LOOKUP(Analysis!$C$100,$B:$B,CU:CU), CQ4*(1+CR4),CU4),0)))</f>
        <v>-22059.883500000004</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15119.262670466116</v>
      </c>
      <c r="DC5" s="64">
        <f>IF(OR($B5&lt;Analysis!$C$100, $B5&gt;=Analysis!$C$101),0,((1+Analysis!$C$114)/(1+$S5))-1)</f>
        <v>2.941176470588247E-2</v>
      </c>
      <c r="DD5" s="1">
        <f t="shared" si="6"/>
        <v>20437.378256665994</v>
      </c>
      <c r="DE5" s="1">
        <f t="shared" si="27"/>
        <v>-1358.1155861998782</v>
      </c>
      <c r="DF5" s="64">
        <f>IF(OR($B5&lt;Analysis!$C$100, $B5&gt;=Analysis!$C$101),0,Analysis!$C$118)</f>
        <v>3.0000000000000001E-3</v>
      </c>
      <c r="DG5" s="1">
        <f t="shared" si="28"/>
        <v>-3395.2889654996952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-1133.9447002849586</v>
      </c>
      <c r="DR5" s="1">
        <f t="shared" si="29"/>
        <v>-18147.349251984535</v>
      </c>
      <c r="DS5" s="1">
        <f>MIN(0,-(DB5+DR5)*Analysis!$C$28)-CS5*Analysis!$C$28</f>
        <v>5950.0432038967429</v>
      </c>
      <c r="DT5" s="1">
        <f>-Analysis!$C$116*DD5/12</f>
        <v>-1703.1148547221662</v>
      </c>
      <c r="DU5" s="53"/>
      <c r="DV5" s="1">
        <f t="shared" si="30"/>
        <v>-57719.912413494822</v>
      </c>
      <c r="DW5" s="64">
        <f>IF(OR($B5&lt;Analysis!$C$100, $B5&gt;=Analysis!$C$101),0,IF($B5=Analysis!$C$100,Analysis!$C$31,DW4))</f>
        <v>0.1275</v>
      </c>
      <c r="DX5" s="1">
        <f>IF(OR($B5&lt;Analysis!$C$100, $B5&gt;=Analysis!$C$101),0,CK5+DV5)</f>
        <v>394985.28298646456</v>
      </c>
      <c r="DY5" s="1">
        <f>IF(OR($B5&lt;Analysis!$C$100, $B5&gt;=Analysis!$C$101),0,IF($B5-Analysis!$C$100&gt;3,0,IF(CK5&gt;LOOKUP(Analysis!$C$100,$B:$B, CK:CK),$V5*(LOOKUP(Analysis!$C$100,$B:$B, CK:CK)-CK5),0)))</f>
        <v>-9944.7452867392913</v>
      </c>
      <c r="DZ5" s="1">
        <f t="shared" si="49"/>
        <v>385040.53769972525</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-107172.29051919295</v>
      </c>
      <c r="FM5" s="1">
        <f>$M5+$R5+DD5+IF(AND($B5&lt;&gt;Analysis!$C$130,$B5=Analysis!$C$101),DZ4+CQ4+CT4+CZ4,0)</f>
        <v>121089.79446536397</v>
      </c>
      <c r="FN5" s="1">
        <f t="shared" si="34"/>
        <v>13917.503946171026</v>
      </c>
      <c r="FO5" s="1">
        <f>IF(FN5 &lt; 0,
    IF(FO4 + FN5 &gt; 0,
        FO4 + FN5, IF(FT4-ABS(FO4 + FN5)*(1+$V5) &gt;= FO4 + FN5,
        0, FO4 + FN5)),
    MIN(FO4 + FN5, Analysis!$C$7))+IF(FO4&lt;0, FO4*Analysis!$C$9,0)</f>
        <v>22709.388768529854</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452705.1953999594</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-8631.665933092434</v>
      </c>
      <c r="GC5" s="1">
        <f>IF($B5&lt;Analysis!$C$159,0,IF($B5=Analysis!$C$159,-FY5-GB5,MIN(0,GC4-GB5)))</f>
        <v>-354293.13317251758</v>
      </c>
      <c r="GD5" s="64">
        <f>IF($B5&lt;Analysis!$C$159,0,IF($B5=Analysis!$C$159,Analysis!$C$160,IF(($B5-Analysis!$C$159)&lt;LOOKUP(Analysis!$C$159,$B:$B,FZ:FZ),GD4,0)))</f>
        <v>3.6999999999999998E-2</v>
      </c>
      <c r="GE5" s="1">
        <f>IF($B5&lt;Analysis!$C$159,0,IF($B5=Analysis!$C$159,-GD5*FY5,GD4*GC4))</f>
        <v>-13428.21756690757</v>
      </c>
      <c r="GF5" s="1">
        <f>IF($B5&lt;Analysis!$C$159,0,IF($B5=Analysis!$C$159,PMT(GD5,FZ5,FY5)*FZ5-GG5-GC5,IF(($B5-Analysis!$C$159+1)&lt;LOOKUP(Analysis!$C$159,$B:$B,FZ:FZ),IF(GF4-GE5&lt;0, GF4-GE5,0),0)))</f>
        <v>-193374.52189660852</v>
      </c>
      <c r="GG5" s="1">
        <f>IF($B5&lt;Analysis!$C$159,0,IF($B5=Analysis!$C$159,GB5+GE5,IF(GC4&lt;0,IF(GC4&gt;LOOKUP(Analysis!$C$159,$B:$B,GG:GG), GC4*(1+GD4),GG4),0)))</f>
        <v>-22059.883500000004</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15119.262670466116</v>
      </c>
      <c r="GO5" s="64">
        <f>IF($B5&lt;Analysis!$C$159,0,((1+Analysis!$C$174)/(1+$S5))-1)</f>
        <v>2.941176470588247E-2</v>
      </c>
      <c r="GP5" s="1">
        <f t="shared" si="7"/>
        <v>20437.378256665994</v>
      </c>
      <c r="GQ5" s="1">
        <f t="shared" si="36"/>
        <v>-1358.1155861998782</v>
      </c>
      <c r="GR5" s="64">
        <f>IF($B5&lt;Analysis!$C$159,0,Analysis!$C$178)</f>
        <v>3.0000000000000001E-3</v>
      </c>
      <c r="GS5" s="1">
        <f t="shared" si="37"/>
        <v>-3395.2889654996952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-1133.9447002849586</v>
      </c>
      <c r="HD5" s="1">
        <f t="shared" si="38"/>
        <v>-18147.349251984535</v>
      </c>
      <c r="HE5" s="1">
        <f>MIN(0,-(GN5+HD5)*Analysis!$C$28)-GE5*Analysis!$C$28</f>
        <v>5950.0432038967429</v>
      </c>
      <c r="HF5" s="1">
        <f>-Analysis!$C$176*GP5/12</f>
        <v>-1703.1148547221662</v>
      </c>
      <c r="HG5" s="38"/>
      <c r="HH5" s="1">
        <f>IF($B5&lt;Analysis!$C$159,0,-$HI5*$FW5)</f>
        <v>-57719.912413494822</v>
      </c>
      <c r="HI5" s="64">
        <f>IF($B5&lt;Analysis!$C$159,0,IF($B5=Analysis!$C$159,Analysis!$C$31,HI4))</f>
        <v>0.1275</v>
      </c>
      <c r="HJ5" s="1">
        <f>IF($B5&lt;Analysis!$C$159,0,$FW5+HH5)</f>
        <v>394985.28298646456</v>
      </c>
      <c r="HK5" s="1">
        <f>IF($B5-Analysis!$C$159&gt;10,0,IF($FW5&gt;LOOKUP(Analysis!$C$159,$B:$B, FW:FW),$V5*(LOOKUP(Analysis!$C$159,$B:$B, FW:FW)-FW5),0))</f>
        <v>-9944.7452867392913</v>
      </c>
      <c r="HL5" s="1">
        <f t="shared" si="39"/>
        <v>385040.53769972525</v>
      </c>
      <c r="HM5" s="38"/>
      <c r="HN5" s="1">
        <f t="shared" si="40"/>
        <v>-107172.29051919295</v>
      </c>
      <c r="HO5" s="1">
        <f t="shared" si="8"/>
        <v>121089.79446536397</v>
      </c>
      <c r="HP5" s="1">
        <f t="shared" si="41"/>
        <v>13917.503946171026</v>
      </c>
      <c r="HQ5" s="1">
        <f>IF(HP5 &lt; 0,
    IF(HQ4 + HP5 &gt; 0,
        HQ4 + HP5, IF(HV4-ABS(HQ4 + HP5)*(1+$V5) &gt;= HQ4 + HP5,
        0, HQ4 + HP5)),
    MIN(HQ4 + HP5, Analysis!$C$7))+IF(HQ4&lt;0, HQ4*Analysis!$C$9,0)</f>
        <v>22709.388768529854</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-291903.34485381481</v>
      </c>
      <c r="D6" s="1">
        <f>IF($B6&lt;Analysis!C$66, 0, BV6)+AT6+AW6+BC6+CG6+CA6</f>
        <v>-390693.98162106494</v>
      </c>
      <c r="E6" s="1">
        <f t="shared" si="1"/>
        <v>143067.20814641987</v>
      </c>
      <c r="F6" s="1">
        <f t="shared" si="9"/>
        <v>139018.51080589974</v>
      </c>
      <c r="G6" s="1">
        <f>IF(AND($B6&gt;=Analysis!$C$100, $B6&lt;Analysis!$C$101),$CK6,0)+IF($B6&gt;=Analysis!$C$130,EB6,0)+CQ6+CT6+CZ6+EH6+EK6+EQ6+$FO6+$FT6</f>
        <v>-54336.636047373438</v>
      </c>
      <c r="H6" s="1">
        <f t="shared" si="10"/>
        <v>-113754.19294361814</v>
      </c>
      <c r="I6" s="1">
        <f>IF($B6&lt;Analysis!$C$159,0,$FW6)+$GC6+$GF6+$GL6+$HQ6+$HV6</f>
        <v>-54336.636047373438</v>
      </c>
      <c r="J6" s="1">
        <f t="shared" si="2"/>
        <v>-127210.73220937917</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IF($B6=$B$2,((1+Analysis!$B$16)/(1+$S6))-1,IF(B6&lt;Analysis!$C$13,U5-((Analysis!$B$16-Analysis!$C$17)/(Analysis!$C$13-$B$2)),((1+Analysis!$C$17)/(1+$S5))-1))</f>
        <v>5.4252100840336159E-2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4785.5577962923235</v>
      </c>
      <c r="AI6" s="1">
        <f>IF(AE6 &gt;= 0,
    MAX(0, AF5 + AE6 - Analysis!$C$7),
    0)</f>
        <v>26072.019346598085</v>
      </c>
      <c r="AJ6" s="1">
        <f t="shared" si="44"/>
        <v>103716.69690274159</v>
      </c>
      <c r="AK6" s="1">
        <f t="shared" si="20"/>
        <v>119067.20814641987</v>
      </c>
      <c r="AL6" s="1">
        <f t="shared" si="5"/>
        <v>115018.51080589973</v>
      </c>
      <c r="AM6" s="36"/>
      <c r="AN6" s="1">
        <f t="shared" si="45"/>
        <v>774828.52366470743</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-16047.226150170907</v>
      </c>
      <c r="AT6" s="1">
        <f>IF($B6&lt;Analysis!$C$66,0,IF($B6=Analysis!$C$66,-AP6-AS6,MIN(0,AT5-AS6)))</f>
        <v>-619121.82384521025</v>
      </c>
      <c r="AU6" s="64">
        <f>IF($B6&lt;Analysis!$C$66,0,IF($B6=Analysis!$C$66,Analysis!$C$72,IF(($B6-Analysis!$C$66)&lt;LOOKUP(Analysis!$C$66,$B:$B,AQ:AQ),AU5,0)))</f>
        <v>3.6999999999999998E-2</v>
      </c>
      <c r="AV6" s="1">
        <f>IF($B6&lt;Analysis!$C$66,0,IF($B6=Analysis!$C$66,-AU6*AP6,AU5*AT5))</f>
        <v>-23501.2548498291</v>
      </c>
      <c r="AW6" s="1">
        <f>IF($B6&lt;Analysis!$C$66,0,IF($B6=Analysis!$C$66,PMT(AU6,AQ6,AP6)*AQ6-AX6-AT6,IF(($B6-Analysis!$C$66+1)&lt;LOOKUP(Analysis!$C$66,$B:$B,AQ:AQ),IF(AW5-AV6&lt;0, AW5-AV6,0),0)))</f>
        <v>-323176.3966940745</v>
      </c>
      <c r="AX6" s="1">
        <f>IF($B6&lt;Analysis!$C$66,0,IF($B6=Analysis!$C$66,AS6+AV6,IF(AT5&lt;0,IF(AT5&gt;LOOKUP(Analysis!$C$66,$B:$B,AX:AX), AT5*(1+AU5),AX5),0)))</f>
        <v>-39548.481000000007</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-2324.4855709941226</v>
      </c>
      <c r="BF6" s="64">
        <f>IF($B6&lt;Analysis!$C$66,0,Analysis!$C$78)</f>
        <v>3.0000000000000001E-3</v>
      </c>
      <c r="BG6" s="1">
        <f>IF($B6&lt;Analysis!$C$66,0,-BH6*AN6)</f>
        <v>-5811.2139274853052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-98790.636767250195</v>
      </c>
      <c r="BS6" s="64">
        <f>IF($B6&lt;Analysis!C$66,0,Analysis!C$31)</f>
        <v>0.1275</v>
      </c>
      <c r="BT6" s="1">
        <f>IF($B6&lt;Analysis!$C$66,0,AN6+BR6)</f>
        <v>676037.8868974573</v>
      </c>
      <c r="BU6" s="1">
        <f>IF($B6-Analysis!$C$66&gt;3,0,IF($AN6&gt;LOOKUP(Analysis!$C$66,$B:$B, AN:AN),$V6*(LOOKUP(Analysis!$C$66,$B:$B, AN:AN)-AN6),0))</f>
        <v>0</v>
      </c>
      <c r="BV6" s="1">
        <f t="shared" si="23"/>
        <v>676037.8868974573</v>
      </c>
      <c r="BW6" s="42"/>
      <c r="BX6" s="1">
        <f>IF($B6&lt;Analysis!$C$66,$P6+$N6+$X6+$Z6,$P6+$N6+AS6+AV6+BB6+BE6+BG6+MAX(BI6,SUM(BJ6:BN6))+BP6)</f>
        <v>-113017.00927718685</v>
      </c>
      <c r="BY6" s="1">
        <f t="shared" si="24"/>
        <v>103119.38719420528</v>
      </c>
      <c r="BZ6" s="1">
        <f t="shared" si="46"/>
        <v>-9897.622082981572</v>
      </c>
      <c r="CA6" s="1">
        <f>IF(BZ6 &lt; 0,
    IF(CA5 + BZ6 &gt; 0,
        CA5 + BZ6, IF(CF5-ABS(CA5 + BZ6)*(1+$V6) &gt;= CA5 + BZ6,
        0, CA5 + BZ6)),
    MIN(CA5 + BZ6, Analysis!$C$7))+IF(CA5&lt;0, CA5*Analysis!$C$9,0)</f>
        <v>-94069.504085700391</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466020.05408819357</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-8951.0375726168531</v>
      </c>
      <c r="CQ6" s="1">
        <f>IF(OR($B6&lt;Analysis!$C$100, $B6&gt;=Analysis!$C$101),0,IF($B6=Analysis!$C$100,-CM6-CP6,MIN(0,CQ5-CP6)))</f>
        <v>-345342.09559990076</v>
      </c>
      <c r="CR6" s="64">
        <f>IF(OR($B6&lt;Analysis!$C$100, $B6&gt;=Analysis!$C$101),0,IF($B6=Analysis!$C$100,Analysis!$C$102,IF(($B6-Analysis!$C$100)&lt;LOOKUP(Analysis!$C$100,$B:$B,CN:CN),CR5,0)))</f>
        <v>3.6999999999999998E-2</v>
      </c>
      <c r="CS6" s="1">
        <f>IF(OR($B6&lt;Analysis!$C$100, $B6&gt;=Analysis!$C$101),0,IF($B6=Analysis!$C$100,-CR6*CM6,CR5*CQ5))</f>
        <v>-13108.84592738315</v>
      </c>
      <c r="CT6" s="1">
        <f>IF(OR($B6&lt;Analysis!$C$100, $B6&gt;=Analysis!$C$101),0,IF($B6=Analysis!$C$100,PMT(CR6,CN6,CM6)*CN6-CU6-CQ6,IF(($B6-Analysis!$C$100+1)&lt;LOOKUP(Analysis!$C$100,$B:$B,CN:CN),IF(CT5-CS6&lt;0, CT5-CS6,0),0)))</f>
        <v>-180265.67596922538</v>
      </c>
      <c r="CU6" s="1">
        <f>IF(OR($B6&lt;Analysis!$C$100, $B6&gt;=Analysis!$C$101),0,IF($B6=Analysis!$C$100,CP6+CS6,IF(CQ5&lt;0,IF(CQ5&gt;LOOKUP(Analysis!$C$100,$B:$B,CU:CU), CQ5*(1+CR5),CU5),0)))</f>
        <v>-22059.883500000004</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15563.946866656297</v>
      </c>
      <c r="DC6" s="64">
        <f>IF(OR($B6&lt;Analysis!$C$100, $B6&gt;=Analysis!$C$101),0,((1+Analysis!$C$114)/(1+$S6))-1)</f>
        <v>2.941176470588247E-2</v>
      </c>
      <c r="DD6" s="1">
        <f t="shared" si="6"/>
        <v>20922.007028920878</v>
      </c>
      <c r="DE6" s="1">
        <f t="shared" si="27"/>
        <v>-1398.0601622645806</v>
      </c>
      <c r="DF6" s="64">
        <f>IF(OR($B6&lt;Analysis!$C$100, $B6&gt;=Analysis!$C$101),0,Analysis!$C$118)</f>
        <v>3.0000000000000001E-3</v>
      </c>
      <c r="DG6" s="1">
        <f t="shared" si="28"/>
        <v>-3495.1504056614517</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-1167.2960149992223</v>
      </c>
      <c r="DR6" s="1">
        <f t="shared" si="29"/>
        <v>-18320.506582925253</v>
      </c>
      <c r="DS6" s="1">
        <f>MIN(0,-(DB6+DR6)*Analysis!$C$28)-CS6*Analysis!$C$28</f>
        <v>5808.5296304234735</v>
      </c>
      <c r="DT6" s="1">
        <f>-Analysis!$C$116*DD6/12</f>
        <v>-1743.5005857434064</v>
      </c>
      <c r="DU6" s="53"/>
      <c r="DV6" s="1">
        <f t="shared" si="30"/>
        <v>-59417.556896244685</v>
      </c>
      <c r="DW6" s="64">
        <f>IF(OR($B6&lt;Analysis!$C$100, $B6&gt;=Analysis!$C$101),0,IF($B6=Analysis!$C$100,Analysis!$C$31,DW5))</f>
        <v>0.1275</v>
      </c>
      <c r="DX6" s="1">
        <f>IF(OR($B6&lt;Analysis!$C$100, $B6&gt;=Analysis!$C$101),0,CK6+DV6)</f>
        <v>406602.49719194887</v>
      </c>
      <c r="DY6" s="1">
        <f>IF(OR($B6&lt;Analysis!$C$100, $B6&gt;=Analysis!$C$101),0,IF($B6-Analysis!$C$100&gt;3,0,IF(CK6&gt;LOOKUP(Analysis!$C$100,$B:$B, CK:CK),$V6*(LOOKUP(Analysis!$C$100,$B:$B, CK:CK)-CK6),0)))</f>
        <v>0</v>
      </c>
      <c r="DZ6" s="1">
        <f t="shared" si="49"/>
        <v>406602.49719194887</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-111135.5576645598</v>
      </c>
      <c r="FM6" s="1">
        <f>$M6+$R6+DD6+IF(AND($B6&lt;&gt;Analysis!$C$130,$B6=Analysis!$C$101),DZ5+CQ5+CT5+CZ5,0)</f>
        <v>124041.39422312616</v>
      </c>
      <c r="FN6" s="1">
        <f t="shared" si="34"/>
        <v>12905.836558566356</v>
      </c>
      <c r="FO6" s="1">
        <f>IF(FN6 &lt; 0,
    IF(FO5 + FN6 &gt; 0,
        FO5 + FN6, IF(FT5-ABS(FO5 + FN6)*(1+$V6) &gt;= FO5 + FN6,
        0, FO5 + FN6)),
    MIN(FO5 + FN6, Analysis!$C$7))+IF(FO5&lt;0, FO5*Analysis!$C$9,0)</f>
        <v>24000</v>
      </c>
      <c r="FP6" s="53"/>
      <c r="FQ6" s="1">
        <f t="shared" si="51"/>
        <v>0</v>
      </c>
      <c r="FR6" s="1">
        <f>IF(OR($B6=Analysis!$C$100, $B6=Analysis!$C$130),0,IF(FN6 &gt;= 0,
    MAX(0, FO5 + FN6 - Analysis!$C$7),
    0))</f>
        <v>11615.22532709621</v>
      </c>
      <c r="FS6" s="1">
        <f>IF(OR($B6=Analysis!$C$100, $B6=Analysis!$C$130),0,MAX(0, FS5 + FR6 - IF(FN6 &lt; 0, MIN(ABS(FN6), FS5 + FR6), 0)))</f>
        <v>11615.22532709621</v>
      </c>
      <c r="FT6" s="1">
        <f>IF(OR($B6=Analysis!$C$100, $B6=Analysis!$C$130),0,IF(FN6 &lt; 0,
    IF(FN6 + FO5 &lt; 0,
        MAX(0, FT5 - (ABS(FN6 + FO5) * (1+$V5))),
        FT5 + FQ6),
    FT5 + FR6 + FQ6))</f>
        <v>11615.22532709621</v>
      </c>
      <c r="FU6" s="1">
        <f t="shared" si="35"/>
        <v>11615.22532709621</v>
      </c>
      <c r="FV6" s="36"/>
      <c r="FW6" s="1">
        <f t="shared" si="52"/>
        <v>466020.05408819357</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-8951.0375726168531</v>
      </c>
      <c r="GC6" s="1">
        <f>IF($B6&lt;Analysis!$C$159,0,IF($B6=Analysis!$C$159,-FY6-GB6,MIN(0,GC5-GB6)))</f>
        <v>-345342.09559990076</v>
      </c>
      <c r="GD6" s="64">
        <f>IF($B6&lt;Analysis!$C$159,0,IF($B6=Analysis!$C$159,Analysis!$C$160,IF(($B6-Analysis!$C$159)&lt;LOOKUP(Analysis!$C$159,$B:$B,FZ:FZ),GD5,0)))</f>
        <v>3.6999999999999998E-2</v>
      </c>
      <c r="GE6" s="1">
        <f>IF($B6&lt;Analysis!$C$159,0,IF($B6=Analysis!$C$159,-GD6*FY6,GD5*GC5))</f>
        <v>-13108.84592738315</v>
      </c>
      <c r="GF6" s="1">
        <f>IF($B6&lt;Analysis!$C$159,0,IF($B6=Analysis!$C$159,PMT(GD6,FZ6,FY6)*FZ6-GG6-GC6,IF(($B6-Analysis!$C$159+1)&lt;LOOKUP(Analysis!$C$159,$B:$B,FZ:FZ),IF(GF5-GE6&lt;0, GF5-GE6,0),0)))</f>
        <v>-180265.67596922538</v>
      </c>
      <c r="GG6" s="1">
        <f>IF($B6&lt;Analysis!$C$159,0,IF($B6=Analysis!$C$159,GB6+GE6,IF(GC5&lt;0,IF(GC5&gt;LOOKUP(Analysis!$C$159,$B:$B,GG:GG), GC5*(1+GD5),GG5),0)))</f>
        <v>-22059.883500000004</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15563.946866656297</v>
      </c>
      <c r="GO6" s="64">
        <f>IF($B6&lt;Analysis!$C$159,0,((1+Analysis!$C$174)/(1+$S6))-1)</f>
        <v>2.941176470588247E-2</v>
      </c>
      <c r="GP6" s="1">
        <f t="shared" si="7"/>
        <v>20922.007028920878</v>
      </c>
      <c r="GQ6" s="1">
        <f t="shared" si="36"/>
        <v>-1398.0601622645806</v>
      </c>
      <c r="GR6" s="64">
        <f>IF($B6&lt;Analysis!$C$159,0,Analysis!$C$178)</f>
        <v>3.0000000000000001E-3</v>
      </c>
      <c r="GS6" s="1">
        <f t="shared" si="37"/>
        <v>-3495.1504056614517</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-1167.2960149992223</v>
      </c>
      <c r="HD6" s="1">
        <f t="shared" si="38"/>
        <v>-18320.506582925253</v>
      </c>
      <c r="HE6" s="1">
        <f>MIN(0,-(GN6+HD6)*Analysis!$C$28)-GE6*Analysis!$C$28</f>
        <v>5808.5296304234735</v>
      </c>
      <c r="HF6" s="1">
        <f>-Analysis!$C$176*GP6/12</f>
        <v>-1743.5005857434064</v>
      </c>
      <c r="HG6" s="38"/>
      <c r="HH6" s="1">
        <f>IF($B6&lt;Analysis!$C$159,0,-$HI6*$FW6)</f>
        <v>-59417.556896244685</v>
      </c>
      <c r="HI6" s="64">
        <f>IF($B6&lt;Analysis!$C$159,0,IF($B6=Analysis!$C$159,Analysis!$C$31,HI5))</f>
        <v>0.1275</v>
      </c>
      <c r="HJ6" s="1">
        <f>IF($B6&lt;Analysis!$C$159,0,$FW6+HH6)</f>
        <v>406602.49719194887</v>
      </c>
      <c r="HK6" s="1">
        <f>IF($B6-Analysis!$C$159&gt;10,0,IF($FW6&gt;LOOKUP(Analysis!$C$159,$B:$B, FW:FW),$V6*(LOOKUP(Analysis!$C$159,$B:$B, FW:FW)-FW6),0))</f>
        <v>-13456.539265761054</v>
      </c>
      <c r="HL6" s="1">
        <f t="shared" si="39"/>
        <v>393145.95792618784</v>
      </c>
      <c r="HM6" s="38"/>
      <c r="HN6" s="1">
        <f t="shared" si="40"/>
        <v>-111135.5576645598</v>
      </c>
      <c r="HO6" s="1">
        <f t="shared" si="8"/>
        <v>124041.39422312616</v>
      </c>
      <c r="HP6" s="1">
        <f t="shared" si="41"/>
        <v>12905.836558566356</v>
      </c>
      <c r="HQ6" s="1">
        <f>IF(HP6 &lt; 0,
    IF(HQ5 + HP6 &gt; 0,
        HQ5 + HP6, IF(HV5-ABS(HQ5 + HP6)*(1+$V6) &gt;= HQ5 + HP6,
        0, HQ5 + HP6)),
    MIN(HQ5 + HP6, Analysis!$C$7))+IF(HQ5&lt;0, HQ5*Analysis!$C$9,0)</f>
        <v>24000</v>
      </c>
      <c r="HR6" s="38"/>
      <c r="HS6" s="1">
        <f t="shared" si="54"/>
        <v>0</v>
      </c>
      <c r="HT6" s="1">
        <f>IF($B6=Analysis!$C$159,0,IF(HP6 &gt;= 0,
    MAX(0, HQ5 + HP6 - Analysis!$C$7),
    0))</f>
        <v>11615.22532709621</v>
      </c>
      <c r="HU6" s="1">
        <f>IF($B6=Analysis!$C$159,0,MAX(0, HU5 + HT6 - IF(HP6 &lt; 0, MIN(ABS(HP6), HU5 + HT6), 0)))</f>
        <v>11615.22532709621</v>
      </c>
      <c r="HV6" s="1">
        <f>IF($B6=Analysis!$C$159,0,IF(HP6 &lt; 0,
    IF(HP6 + HQ5 &lt; 0,
        MAX(0, HV5 - (ABS(HP6 + HQ5) * (1+$V5))),
        HV5 + HS6),
    HV5 + HT6 + HS6))</f>
        <v>11615.22532709621</v>
      </c>
      <c r="HW6" s="1">
        <f t="shared" si="42"/>
        <v>11615.22532709621</v>
      </c>
      <c r="HX6" s="36"/>
    </row>
    <row r="7" spans="1:232" x14ac:dyDescent="0.35">
      <c r="A7">
        <f t="shared" si="0"/>
        <v>40</v>
      </c>
      <c r="B7">
        <v>2030</v>
      </c>
      <c r="C7" s="1">
        <f>IF($B7&lt;Analysis!C$66,0,$AN7)+$AT7+$AW7+$BC7+$CF7+$CA7</f>
        <v>-238627.99257823703</v>
      </c>
      <c r="D7" s="1">
        <f>IF($B7&lt;Analysis!C$66, 0, BV7)+AT7+AW7+BC7+CG7+CA7</f>
        <v>-340324.23630922992</v>
      </c>
      <c r="E7" s="1">
        <f t="shared" si="1"/>
        <v>177467.0749496161</v>
      </c>
      <c r="F7" s="1">
        <f t="shared" si="9"/>
        <v>171750.53618674917</v>
      </c>
      <c r="G7" s="1">
        <f>IF(AND($B7&gt;=Analysis!$C$100, $B7&lt;Analysis!$C$101),$CK7,0)+IF($B7&gt;=Analysis!$C$130,EB7,0)+CQ7+CT7+CZ7+EH7+EK7+EQ7+$FO7+$FT7</f>
        <v>3161.8481279617044</v>
      </c>
      <c r="H7" s="1">
        <f t="shared" si="10"/>
        <v>-58165.984971935024</v>
      </c>
      <c r="I7" s="1">
        <f>IF($B7&lt;Analysis!$C$159,0,$FW7)+$GC7+$GF7+$GL7+$HQ7+$HV7</f>
        <v>3161.8481279617044</v>
      </c>
      <c r="J7" s="1">
        <f t="shared" si="2"/>
        <v>-75237.606274924328</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IF($B7=$B$2,((1+Analysis!$B$16)/(1+$S7))-1,IF(B7&lt;Analysis!$C$13,U6-((Analysis!$B$16-Analysis!$C$17)/(Analysis!$C$13-$B$2)),((1+Analysis!$C$17)/(1+$S6))-1))</f>
        <v>5.3109243697479019E-2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6323.5693738266718</v>
      </c>
      <c r="AI7" s="1">
        <f>IF(AE7 &gt;= 0,
    MAX(0, AF6 + AE7 - Analysis!$C$7),
    0)</f>
        <v>28076.297429369559</v>
      </c>
      <c r="AJ7" s="1">
        <f t="shared" si="44"/>
        <v>131792.99433211115</v>
      </c>
      <c r="AK7" s="1">
        <f t="shared" si="20"/>
        <v>153467.0749496161</v>
      </c>
      <c r="AL7" s="1">
        <f t="shared" si="5"/>
        <v>147750.53618674917</v>
      </c>
      <c r="AM7" s="36"/>
      <c r="AN7" s="1">
        <f t="shared" si="45"/>
        <v>797617.59789014014</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-16640.973517727231</v>
      </c>
      <c r="AT7" s="1">
        <f>IF($B7&lt;Analysis!$C$66,0,IF($B7=Analysis!$C$66,-AP7-AS7,MIN(0,AT6-AS7)))</f>
        <v>-602480.85032748303</v>
      </c>
      <c r="AU7" s="64">
        <f>IF($B7&lt;Analysis!$C$66,0,IF($B7=Analysis!$C$66,Analysis!$C$72,IF(($B7-Analysis!$C$66)&lt;LOOKUP(Analysis!$C$66,$B:$B,AQ:AQ),AU6,0)))</f>
        <v>3.6999999999999998E-2</v>
      </c>
      <c r="AV7" s="1">
        <f>IF($B7&lt;Analysis!$C$66,0,IF($B7=Analysis!$C$66,-AU7*AP7,AU6*AT6))</f>
        <v>-22907.507482272777</v>
      </c>
      <c r="AW7" s="1">
        <f>IF($B7&lt;Analysis!$C$66,0,IF($B7=Analysis!$C$66,PMT(AU7,AQ7,AP7)*AQ7-AX7-AT7,IF(($B7-Analysis!$C$66+1)&lt;LOOKUP(Analysis!$C$66,$B:$B,AQ:AQ),IF(AW6-AV7&lt;0, AW6-AV7,0),0)))</f>
        <v>-300268.8892118017</v>
      </c>
      <c r="AX7" s="1">
        <f>IF($B7&lt;Analysis!$C$66,0,IF($B7=Analysis!$C$66,AS7+AV7,IF(AT6&lt;0,IF(AT6&gt;LOOKUP(Analysis!$C$66,$B:$B,AX:AX), AT6*(1+AU6),AX6),0)))</f>
        <v>-39548.481000000007</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-2392.8527936704204</v>
      </c>
      <c r="BF7" s="64">
        <f>IF($B7&lt;Analysis!$C$66,0,Analysis!$C$78)</f>
        <v>3.0000000000000001E-3</v>
      </c>
      <c r="BG7" s="1">
        <f>IF($B7&lt;Analysis!$C$66,0,-BH7*AN7)</f>
        <v>-5982.1319841760505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-101696.24373099286</v>
      </c>
      <c r="BS7" s="64">
        <f>IF($B7&lt;Analysis!C$66,0,Analysis!C$31)</f>
        <v>0.1275</v>
      </c>
      <c r="BT7" s="1">
        <f>IF($B7&lt;Analysis!$C$66,0,AN7+BR7)</f>
        <v>695921.35415914725</v>
      </c>
      <c r="BU7" s="1">
        <f>IF($B7-Analysis!$C$66&gt;3,0,IF($AN7&gt;LOOKUP(Analysis!$C$66,$B:$B, AN:AN),$V7*(LOOKUP(Analysis!$C$66,$B:$B, AN:AN)-AN7),0))</f>
        <v>0</v>
      </c>
      <c r="BV7" s="1">
        <f t="shared" si="23"/>
        <v>695921.35415914725</v>
      </c>
      <c r="BW7" s="42"/>
      <c r="BX7" s="1">
        <f>IF($B7&lt;Analysis!$C$66,$P7+$N7+$X7+$Z7,$P7+$N7+AS7+AV7+BB7+BE7+BG7+MAX(BI7,SUM(BJ7:BN7))+BP7)</f>
        <v>-113256.2945565539</v>
      </c>
      <c r="BY7" s="1">
        <f t="shared" si="24"/>
        <v>105646.82315484756</v>
      </c>
      <c r="BZ7" s="1">
        <f t="shared" si="46"/>
        <v>-7609.4714017063379</v>
      </c>
      <c r="CA7" s="1">
        <f>IF(BZ7 &lt; 0,
    IF(CA6 + BZ7 &gt; 0,
        CA6 + BZ7, IF(CF6-ABS(CA6 + BZ7)*(1+$V7) &gt;= CA6 + BZ7,
        0, CA6 + BZ7)),
    MIN(CA6 + BZ7, Analysis!$C$7))+IF(CA6&lt;0, CA6*Analysis!$C$9,0)</f>
        <v>-109204.53581426277</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479726.52626725816</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-9282.2259628036754</v>
      </c>
      <c r="CQ7" s="1">
        <f>IF(OR($B7&lt;Analysis!$C$100, $B7&gt;=Analysis!$C$101),0,IF($B7=Analysis!$C$100,-CM7-CP7,MIN(0,CQ6-CP7)))</f>
        <v>-336059.86963709706</v>
      </c>
      <c r="CR7" s="64">
        <f>IF(OR($B7&lt;Analysis!$C$100, $B7&gt;=Analysis!$C$101),0,IF($B7=Analysis!$C$100,Analysis!$C$102,IF(($B7-Analysis!$C$100)&lt;LOOKUP(Analysis!$C$100,$B:$B,CN:CN),CR6,0)))</f>
        <v>3.6999999999999998E-2</v>
      </c>
      <c r="CS7" s="1">
        <f>IF(OR($B7&lt;Analysis!$C$100, $B7&gt;=Analysis!$C$101),0,IF($B7=Analysis!$C$100,-CR7*CM7,CR6*CQ6))</f>
        <v>-12777.657537196328</v>
      </c>
      <c r="CT7" s="1">
        <f>IF(OR($B7&lt;Analysis!$C$100, $B7&gt;=Analysis!$C$101),0,IF($B7=Analysis!$C$100,PMT(CR7,CN7,CM7)*CN7-CU7-CQ7,IF(($B7-Analysis!$C$100+1)&lt;LOOKUP(Analysis!$C$100,$B:$B,CN:CN),IF(CT6-CS7&lt;0, CT6-CS7,0),0)))</f>
        <v>-167488.01843202906</v>
      </c>
      <c r="CU7" s="1">
        <f>IF(OR($B7&lt;Analysis!$C$100, $B7&gt;=Analysis!$C$101),0,IF($B7=Analysis!$C$100,CP7+CS7,IF(CQ6&lt;0,IF(CQ6&gt;LOOKUP(Analysis!$C$100,$B:$B,CU:CU), CQ6*(1+CR6),CU6),0)))</f>
        <v>-22059.883500000004</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16021.710009793249</v>
      </c>
      <c r="DC7" s="64">
        <f>IF(OR($B7&lt;Analysis!$C$100, $B7&gt;=Analysis!$C$101),0,((1+Analysis!$C$114)/(1+$S7))-1)</f>
        <v>2.941176470588247E-2</v>
      </c>
      <c r="DD7" s="1">
        <f t="shared" si="6"/>
        <v>21420.889588595022</v>
      </c>
      <c r="DE7" s="1">
        <f t="shared" si="27"/>
        <v>-1439.1795788017746</v>
      </c>
      <c r="DF7" s="64">
        <f>IF(OR($B7&lt;Analysis!$C$100, $B7&gt;=Analysis!$C$101),0,Analysis!$C$118)</f>
        <v>3.0000000000000001E-3</v>
      </c>
      <c r="DG7" s="1">
        <f t="shared" si="28"/>
        <v>-3597.9489470044359</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-1201.6282507344936</v>
      </c>
      <c r="DR7" s="1">
        <f t="shared" si="29"/>
        <v>-18498.756776540708</v>
      </c>
      <c r="DS7" s="1">
        <f>MIN(0,-(DB7+DR7)*Analysis!$C$28)-CS7*Analysis!$C$28</f>
        <v>5661.780054731692</v>
      </c>
      <c r="DT7" s="1">
        <f>-Analysis!$C$116*DD7/12</f>
        <v>-1785.0741323829186</v>
      </c>
      <c r="DU7" s="53"/>
      <c r="DV7" s="1">
        <f t="shared" si="30"/>
        <v>-61165.132099075417</v>
      </c>
      <c r="DW7" s="64">
        <f>IF(OR($B7&lt;Analysis!$C$100, $B7&gt;=Analysis!$C$101),0,IF($B7=Analysis!$C$100,Analysis!$C$31,DW6))</f>
        <v>0.1275</v>
      </c>
      <c r="DX7" s="1">
        <f>IF(OR($B7&lt;Analysis!$C$100, $B7&gt;=Analysis!$C$101),0,CK7+DV7)</f>
        <v>418561.39416818274</v>
      </c>
      <c r="DY7" s="1">
        <f>IF(OR($B7&lt;Analysis!$C$100, $B7&gt;=Analysis!$C$101),0,IF($B7-Analysis!$C$100&gt;3,0,IF(CK7&gt;LOOKUP(Analysis!$C$100,$B:$B, CK:CK),$V7*(LOOKUP(Analysis!$C$100,$B:$B, CK:CK)-CK7),0)))</f>
        <v>0</v>
      </c>
      <c r="DZ7" s="1">
        <f t="shared" si="49"/>
        <v>418561.39416818274</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-112025.28885837735</v>
      </c>
      <c r="FM7" s="1">
        <f>$M7+$R7+DD7+IF(AND($B7&lt;&gt;Analysis!$C$130,$B7=Analysis!$C$101),DZ6+CQ6+CT6+CZ6,0)</f>
        <v>127067.71274344258</v>
      </c>
      <c r="FN7" s="1">
        <f t="shared" si="34"/>
        <v>15042.423885065233</v>
      </c>
      <c r="FO7" s="1">
        <f>IF(FN7 &lt; 0,
    IF(FO6 + FN7 &gt; 0,
        FO6 + FN7, IF(FT6-ABS(FO6 + FN7)*(1+$V7) &gt;= FO6 + FN7,
        0, FO6 + FN7)),
    MIN(FO6 + FN7, Analysis!$C$7))+IF(FO6&lt;0, FO6*Analysis!$C$9,0)</f>
        <v>24000</v>
      </c>
      <c r="FP7" s="53"/>
      <c r="FQ7" s="1">
        <f t="shared" si="51"/>
        <v>616.87583249788304</v>
      </c>
      <c r="FR7" s="1">
        <f>IF(OR($B7=Analysis!$C$100, $B7=Analysis!$C$130),0,IF(FN7 &gt;= 0,
    MAX(0, FO6 + FN7 - Analysis!$C$7),
    0))</f>
        <v>15042.423885065233</v>
      </c>
      <c r="FS7" s="1">
        <f>IF(OR($B7=Analysis!$C$100, $B7=Analysis!$C$130),0,MAX(0, FS6 + FR7 - IF(FN7 &lt; 0, MIN(ABS(FN7), FS6 + FR7), 0)))</f>
        <v>26657.649212161443</v>
      </c>
      <c r="FT7" s="1">
        <f>IF(OR($B7=Analysis!$C$100, $B7=Analysis!$C$130),0,IF(FN7 &lt; 0,
    IF(FN7 + FO6 &lt; 0,
        MAX(0, FT6 - (ABS(FN7 + FO6) * (1+$V6))),
        FT6 + FQ7),
    FT6 + FR7 + FQ7))</f>
        <v>27274.525044659327</v>
      </c>
      <c r="FU7" s="1">
        <f t="shared" si="35"/>
        <v>27111.824043838009</v>
      </c>
      <c r="FV7" s="36"/>
      <c r="FW7" s="1">
        <f t="shared" si="52"/>
        <v>479726.52626725816</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-9282.2259628036754</v>
      </c>
      <c r="GC7" s="1">
        <f>IF($B7&lt;Analysis!$C$159,0,IF($B7=Analysis!$C$159,-FY7-GB7,MIN(0,GC6-GB7)))</f>
        <v>-336059.86963709706</v>
      </c>
      <c r="GD7" s="64">
        <f>IF($B7&lt;Analysis!$C$159,0,IF($B7=Analysis!$C$159,Analysis!$C$160,IF(($B7-Analysis!$C$159)&lt;LOOKUP(Analysis!$C$159,$B:$B,FZ:FZ),GD6,0)))</f>
        <v>3.6999999999999998E-2</v>
      </c>
      <c r="GE7" s="1">
        <f>IF($B7&lt;Analysis!$C$159,0,IF($B7=Analysis!$C$159,-GD7*FY7,GD6*GC6))</f>
        <v>-12777.657537196328</v>
      </c>
      <c r="GF7" s="1">
        <f>IF($B7&lt;Analysis!$C$159,0,IF($B7=Analysis!$C$159,PMT(GD7,FZ7,FY7)*FZ7-GG7-GC7,IF(($B7-Analysis!$C$159+1)&lt;LOOKUP(Analysis!$C$159,$B:$B,FZ:FZ),IF(GF6-GE7&lt;0, GF6-GE7,0),0)))</f>
        <v>-167488.01843202906</v>
      </c>
      <c r="GG7" s="1">
        <f>IF($B7&lt;Analysis!$C$159,0,IF($B7=Analysis!$C$159,GB7+GE7,IF(GC6&lt;0,IF(GC6&gt;LOOKUP(Analysis!$C$159,$B:$B,GG:GG), GC6*(1+GD6),GG6),0)))</f>
        <v>-22059.883500000004</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16021.710009793249</v>
      </c>
      <c r="GO7" s="64">
        <f>IF($B7&lt;Analysis!$C$159,0,((1+Analysis!$C$174)/(1+$S7))-1)</f>
        <v>2.941176470588247E-2</v>
      </c>
      <c r="GP7" s="1">
        <f t="shared" si="7"/>
        <v>21420.889588595022</v>
      </c>
      <c r="GQ7" s="1">
        <f t="shared" si="36"/>
        <v>-1439.1795788017746</v>
      </c>
      <c r="GR7" s="64">
        <f>IF($B7&lt;Analysis!$C$159,0,Analysis!$C$178)</f>
        <v>3.0000000000000001E-3</v>
      </c>
      <c r="GS7" s="1">
        <f t="shared" si="37"/>
        <v>-3597.9489470044359</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-1201.6282507344936</v>
      </c>
      <c r="HD7" s="1">
        <f t="shared" si="38"/>
        <v>-18498.756776540708</v>
      </c>
      <c r="HE7" s="1">
        <f>MIN(0,-(GN7+HD7)*Analysis!$C$28)-GE7*Analysis!$C$28</f>
        <v>5661.780054731692</v>
      </c>
      <c r="HF7" s="1">
        <f>-Analysis!$C$176*GP7/12</f>
        <v>-1785.0741323829186</v>
      </c>
      <c r="HG7" s="38"/>
      <c r="HH7" s="1">
        <f>IF($B7&lt;Analysis!$C$159,0,-$HI7*$FW7)</f>
        <v>-61165.132099075417</v>
      </c>
      <c r="HI7" s="64">
        <f>IF($B7&lt;Analysis!$C$159,0,IF($B7=Analysis!$C$159,Analysis!$C$31,HI6))</f>
        <v>0.1275</v>
      </c>
      <c r="HJ7" s="1">
        <f>IF($B7&lt;Analysis!$C$159,0,$FW7+HH7)</f>
        <v>418561.39416818274</v>
      </c>
      <c r="HK7" s="1">
        <f>IF($B7-Analysis!$C$159&gt;10,0,IF($FW7&gt;LOOKUP(Analysis!$C$159,$B:$B, FW:FW),$V7*(LOOKUP(Analysis!$C$159,$B:$B, FW:FW)-FW7),0))</f>
        <v>-17071.621302989337</v>
      </c>
      <c r="HL7" s="1">
        <f t="shared" si="39"/>
        <v>401489.77286519343</v>
      </c>
      <c r="HM7" s="38"/>
      <c r="HN7" s="1">
        <f t="shared" si="40"/>
        <v>-112025.28885837735</v>
      </c>
      <c r="HO7" s="1">
        <f t="shared" si="8"/>
        <v>127067.71274344258</v>
      </c>
      <c r="HP7" s="1">
        <f t="shared" si="41"/>
        <v>15042.423885065233</v>
      </c>
      <c r="HQ7" s="1">
        <f>IF(HP7 &lt; 0,
    IF(HQ6 + HP7 &gt; 0,
        HQ6 + HP7, IF(HV6-ABS(HQ6 + HP7)*(1+$V7) &gt;= HQ6 + HP7,
        0, HQ6 + HP7)),
    MIN(HQ6 + HP7, Analysis!$C$7))+IF(HQ6&lt;0, HQ6*Analysis!$C$9,0)</f>
        <v>24000</v>
      </c>
      <c r="HR7" s="38"/>
      <c r="HS7" s="1">
        <f t="shared" si="54"/>
        <v>616.87583249788304</v>
      </c>
      <c r="HT7" s="1">
        <f>IF($B7=Analysis!$C$159,0,IF(HP7 &gt;= 0,
    MAX(0, HQ6 + HP7 - Analysis!$C$7),
    0))</f>
        <v>15042.423885065233</v>
      </c>
      <c r="HU7" s="1">
        <f>IF($B7=Analysis!$C$159,0,MAX(0, HU6 + HT7 - IF(HP7 &lt; 0, MIN(ABS(HP7), HU6 + HT7), 0)))</f>
        <v>26657.649212161443</v>
      </c>
      <c r="HV7" s="1">
        <f>IF($B7=Analysis!$C$159,0,IF(HP7 &lt; 0,
    IF(HP7 + HQ6 &lt; 0,
        MAX(0, HV6 - (ABS(HP7 + HQ6) * (1+$V6))),
        HV6 + HS7),
    HV6 + HT7 + HS7))</f>
        <v>27274.525044659327</v>
      </c>
      <c r="HW7" s="1">
        <f t="shared" si="42"/>
        <v>27111.824043838009</v>
      </c>
      <c r="HX7" s="36"/>
    </row>
    <row r="8" spans="1:232" x14ac:dyDescent="0.35">
      <c r="A8">
        <f t="shared" si="0"/>
        <v>41</v>
      </c>
      <c r="B8">
        <v>2031</v>
      </c>
      <c r="C8" s="1">
        <f>IF($B8&lt;Analysis!C$66,0,$AN8)+$AT8+$AW8+$BC8+$CF8+$CA8</f>
        <v>-186650.11611320038</v>
      </c>
      <c r="D8" s="1">
        <f>IF($B8&lt;Analysis!C$66, 0, BV8)+AT8+AW8+BC8+CG8+CA8</f>
        <v>-291337.42583628127</v>
      </c>
      <c r="E8" s="1">
        <f t="shared" si="1"/>
        <v>212469.33976540773</v>
      </c>
      <c r="F8" s="1">
        <f t="shared" si="9"/>
        <v>204649.36063905279</v>
      </c>
      <c r="G8" s="1">
        <f>IF(AND($B8&gt;=Analysis!$C$100, $B8&lt;Analysis!$C$101),$CK8,0)+IF($B8&gt;=Analysis!$C$130,EB8,0)+CQ8+CT8+CZ8+EH8+EK8+EQ8+$FO8+$FT8</f>
        <v>60949.871684987636</v>
      </c>
      <c r="H8" s="1">
        <f t="shared" si="10"/>
        <v>-2550.7641958364839</v>
      </c>
      <c r="I8" s="1">
        <f>IF($B8&lt;Analysis!$C$159,0,$FW8)+$GC8+$GF8+$GL8+$HQ8+$HV8</f>
        <v>60949.871684987636</v>
      </c>
      <c r="J8" s="1">
        <f t="shared" si="2"/>
        <v>-23343.793478325519</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IF($B8=$B$2,((1+Analysis!$B$16)/(1+$S8))-1,IF(B8&lt;Analysis!$C$13,U7-((Analysis!$B$16-Analysis!$C$17)/(Analysis!$C$13-$B$2)),((1+Analysis!$C$17)/(1+$S7))-1))</f>
        <v>5.196638655462188E-2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7975.1293402388783</v>
      </c>
      <c r="AI8" s="1">
        <f>IF(AE8 &gt;= 0,
    MAX(0, AF7 + AE8 - Analysis!$C$7),
    0)</f>
        <v>27027.135475552743</v>
      </c>
      <c r="AJ8" s="1">
        <f t="shared" si="44"/>
        <v>158820.12980766391</v>
      </c>
      <c r="AK8" s="1">
        <f t="shared" si="20"/>
        <v>188469.33976540773</v>
      </c>
      <c r="AL8" s="1">
        <f t="shared" si="5"/>
        <v>180649.36063905279</v>
      </c>
      <c r="AM8" s="36"/>
      <c r="AN8" s="1">
        <f t="shared" si="45"/>
        <v>821076.93900455616</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-17256.689537883136</v>
      </c>
      <c r="AT8" s="1">
        <f>IF($B8&lt;Analysis!$C$66,0,IF($B8=Analysis!$C$66,-AP8-AS8,MIN(0,AT7-AS8)))</f>
        <v>-585224.16078959987</v>
      </c>
      <c r="AU8" s="64">
        <f>IF($B8&lt;Analysis!$C$66,0,IF($B8=Analysis!$C$66,Analysis!$C$72,IF(($B8-Analysis!$C$66)&lt;LOOKUP(Analysis!$C$66,$B:$B,AQ:AQ),AU7,0)))</f>
        <v>3.6999999999999998E-2</v>
      </c>
      <c r="AV8" s="1">
        <f>IF($B8&lt;Analysis!$C$66,0,IF($B8=Analysis!$C$66,-AU8*AP8,AU7*AT7))</f>
        <v>-22291.791462116871</v>
      </c>
      <c r="AW8" s="1">
        <f>IF($B8&lt;Analysis!$C$66,0,IF($B8=Analysis!$C$66,PMT(AU8,AQ8,AP8)*AQ8-AX8-AT8,IF(($B8-Analysis!$C$66+1)&lt;LOOKUP(Analysis!$C$66,$B:$B,AQ:AQ),IF(AW7-AV8&lt;0, AW7-AV8,0),0)))</f>
        <v>-277977.09774968482</v>
      </c>
      <c r="AX8" s="1">
        <f>IF($B8&lt;Analysis!$C$66,0,IF($B8=Analysis!$C$66,AS8+AV8,IF(AT7&lt;0,IF(AT7&gt;LOOKUP(Analysis!$C$66,$B:$B,AX:AX), AT7*(1+AU7),AX7),0)))</f>
        <v>-39548.481000000007</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-2463.2308170136685</v>
      </c>
      <c r="BF8" s="64">
        <f>IF($B8&lt;Analysis!$C$66,0,Analysis!$C$78)</f>
        <v>3.0000000000000001E-3</v>
      </c>
      <c r="BG8" s="1">
        <f>IF($B8&lt;Analysis!$C$66,0,-BH8*AN8)</f>
        <v>-6158.0770425341707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-104687.30972308091</v>
      </c>
      <c r="BS8" s="64">
        <f>IF($B8&lt;Analysis!C$66,0,Analysis!C$31)</f>
        <v>0.1275</v>
      </c>
      <c r="BT8" s="1">
        <f>IF($B8&lt;Analysis!$C$66,0,AN8+BR8)</f>
        <v>716389.62928147521</v>
      </c>
      <c r="BU8" s="1">
        <f>IF($B8-Analysis!$C$66&gt;3,0,IF($AN8&gt;LOOKUP(Analysis!$C$66,$B:$B, AN:AN),$V8*(LOOKUP(Analysis!$C$66,$B:$B, AN:AN)-AN8),0))</f>
        <v>0</v>
      </c>
      <c r="BV8" s="1">
        <f t="shared" si="23"/>
        <v>716389.62928147521</v>
      </c>
      <c r="BW8" s="42"/>
      <c r="BX8" s="1">
        <f>IF($B8&lt;Analysis!$C$66,$P8+$N8+$X8+$Z8,$P8+$N8+AS8+AV8+BB8+BE8+BG8+MAX(BI8,SUM(BJ8:BN8))+BP8)</f>
        <v>-116602.61763825528</v>
      </c>
      <c r="BY8" s="1">
        <f t="shared" si="24"/>
        <v>108236.2060753095</v>
      </c>
      <c r="BZ8" s="1">
        <f t="shared" si="46"/>
        <v>-8366.411562945781</v>
      </c>
      <c r="CA8" s="1">
        <f>IF(BZ8 &lt; 0,
    IF(CA7 + BZ8 &gt; 0,
        CA7 + BZ8, IF(CF7-ABS(CA7 + BZ8)*(1+$V8) &gt;= CA7 + BZ8,
        0, CA7 + BZ8)),
    MIN(CA7 + BZ8, Analysis!$C$7))+IF(CA7&lt;0, CA7*Analysis!$C$9,0)</f>
        <v>-126307.31024234957</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493836.12998100108</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-9625.6683234274133</v>
      </c>
      <c r="CQ8" s="1">
        <f>IF(OR($B8&lt;Analysis!$C$100, $B8&gt;=Analysis!$C$101),0,IF($B8=Analysis!$C$100,-CM8-CP8,MIN(0,CQ7-CP8)))</f>
        <v>-326434.20131366962</v>
      </c>
      <c r="CR8" s="64">
        <f>IF(OR($B8&lt;Analysis!$C$100, $B8&gt;=Analysis!$C$101),0,IF($B8=Analysis!$C$100,Analysis!$C$102,IF(($B8-Analysis!$C$100)&lt;LOOKUP(Analysis!$C$100,$B:$B,CN:CN),CR7,0)))</f>
        <v>3.6999999999999998E-2</v>
      </c>
      <c r="CS8" s="1">
        <f>IF(OR($B8&lt;Analysis!$C$100, $B8&gt;=Analysis!$C$101),0,IF($B8=Analysis!$C$100,-CR8*CM8,CR7*CQ7))</f>
        <v>-12434.21517657259</v>
      </c>
      <c r="CT8" s="1">
        <f>IF(OR($B8&lt;Analysis!$C$100, $B8&gt;=Analysis!$C$101),0,IF($B8=Analysis!$C$100,PMT(CR8,CN8,CM8)*CN8-CU8-CQ8,IF(($B8-Analysis!$C$100+1)&lt;LOOKUP(Analysis!$C$100,$B:$B,CN:CN),IF(CT7-CS8&lt;0, CT7-CS8,0),0)))</f>
        <v>-155053.80325545647</v>
      </c>
      <c r="CU8" s="1">
        <f>IF(OR($B8&lt;Analysis!$C$100, $B8&gt;=Analysis!$C$101),0,IF($B8=Analysis!$C$100,CP8+CS8,IF(CQ7&lt;0,IF(CQ7&gt;LOOKUP(Analysis!$C$100,$B:$B,CU:CU), CQ7*(1+CR7),CU7),0)))</f>
        <v>-22059.883500000004</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16492.936774787169</v>
      </c>
      <c r="DC8" s="64">
        <f>IF(OR($B8&lt;Analysis!$C$100, $B8&gt;=Analysis!$C$101),0,((1+Analysis!$C$114)/(1+$S8))-1)</f>
        <v>2.941176470588247E-2</v>
      </c>
      <c r="DD8" s="1">
        <f t="shared" si="6"/>
        <v>21934.445164730172</v>
      </c>
      <c r="DE8" s="1">
        <f t="shared" si="27"/>
        <v>-1481.5083899430033</v>
      </c>
      <c r="DF8" s="64">
        <f>IF(OR($B8&lt;Analysis!$C$100, $B8&gt;=Analysis!$C$101),0,Analysis!$C$118)</f>
        <v>3.0000000000000001E-3</v>
      </c>
      <c r="DG8" s="1">
        <f t="shared" si="28"/>
        <v>-3703.770974857508</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-1236.9702581090376</v>
      </c>
      <c r="DR8" s="1">
        <f t="shared" si="29"/>
        <v>-18682.249622909549</v>
      </c>
      <c r="DS8" s="1">
        <f>MIN(0,-(DB8+DR8)*Analysis!$C$28)-CS8*Analysis!$C$28</f>
        <v>5509.600744739314</v>
      </c>
      <c r="DT8" s="1">
        <f>-Analysis!$C$116*DD8/12</f>
        <v>-1827.8704303941811</v>
      </c>
      <c r="DU8" s="53"/>
      <c r="DV8" s="1">
        <f t="shared" si="30"/>
        <v>-62964.106572577643</v>
      </c>
      <c r="DW8" s="64">
        <f>IF(OR($B8&lt;Analysis!$C$100, $B8&gt;=Analysis!$C$101),0,IF($B8=Analysis!$C$100,Analysis!$C$31,DW7))</f>
        <v>0.1275</v>
      </c>
      <c r="DX8" s="1">
        <f>IF(OR($B8&lt;Analysis!$C$100, $B8&gt;=Analysis!$C$101),0,CK8+DV8)</f>
        <v>430872.02340842341</v>
      </c>
      <c r="DY8" s="1">
        <f>IF(OR($B8&lt;Analysis!$C$100, $B8&gt;=Analysis!$C$101),0,IF($B8-Analysis!$C$100&gt;3,0,IF(CK8&gt;LOOKUP(Analysis!$C$100,$B:$B, CK:CK),$V8*(LOOKUP(Analysis!$C$100,$B:$B, CK:CK)-CK8),0)))</f>
        <v>0</v>
      </c>
      <c r="DZ8" s="1">
        <f t="shared" si="49"/>
        <v>430872.02340842341</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-116042.30218702859</v>
      </c>
      <c r="FM8" s="1">
        <f>$M8+$R8+DD8+IF(AND($B8&lt;&gt;Analysis!$C$130,$B8=Analysis!$C$101),DZ7+CQ7+CT7+CZ7,0)</f>
        <v>130170.65124003968</v>
      </c>
      <c r="FN8" s="1">
        <f t="shared" si="34"/>
        <v>14128.349053011087</v>
      </c>
      <c r="FO8" s="1">
        <f>IF(FN8 &lt; 0,
    IF(FO7 + FN8 &gt; 0,
        FO7 + FN8, IF(FT7-ABS(FO7 + FN8)*(1+$V8) &gt;= FO7 + FN8,
        0, FO7 + FN8)),
    MIN(FO7 + FN8, Analysis!$C$7))+IF(FO7&lt;0, FO7*Analysis!$C$9,0)</f>
        <v>24000</v>
      </c>
      <c r="FP8" s="53"/>
      <c r="FQ8" s="1">
        <f t="shared" si="51"/>
        <v>1417.3585115644821</v>
      </c>
      <c r="FR8" s="1">
        <f>IF(OR($B8=Analysis!$C$100, $B8=Analysis!$C$130),0,IF(FN8 &gt;= 0,
    MAX(0, FO7 + FN8 - Analysis!$C$7),
    0))</f>
        <v>14128.349053011087</v>
      </c>
      <c r="FS8" s="1">
        <f>IF(OR($B8=Analysis!$C$100, $B8=Analysis!$C$130),0,MAX(0, FS7 + FR8 - IF(FN8 &lt; 0, MIN(ABS(FN8), FS7 + FR8), 0)))</f>
        <v>40785.998265172529</v>
      </c>
      <c r="FT8" s="1">
        <f>IF(OR($B8=Analysis!$C$100, $B8=Analysis!$C$130),0,IF(FN8 &lt; 0,
    IF(FN8 + FO7 &lt; 0,
        MAX(0, FT7 - (ABS(FN8 + FO7) * (1+$V7))),
        FT7 + FQ8),
    FT7 + FR8 + FQ8))</f>
        <v>42820.232609234896</v>
      </c>
      <c r="FU8" s="1">
        <f t="shared" si="35"/>
        <v>42283.703300988447</v>
      </c>
      <c r="FV8" s="36"/>
      <c r="FW8" s="1">
        <f t="shared" si="52"/>
        <v>493836.12998100108</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-9625.6683234274133</v>
      </c>
      <c r="GC8" s="1">
        <f>IF($B8&lt;Analysis!$C$159,0,IF($B8=Analysis!$C$159,-FY8-GB8,MIN(0,GC7-GB8)))</f>
        <v>-326434.20131366962</v>
      </c>
      <c r="GD8" s="64">
        <f>IF($B8&lt;Analysis!$C$159,0,IF($B8=Analysis!$C$159,Analysis!$C$160,IF(($B8-Analysis!$C$159)&lt;LOOKUP(Analysis!$C$159,$B:$B,FZ:FZ),GD7,0)))</f>
        <v>3.6999999999999998E-2</v>
      </c>
      <c r="GE8" s="1">
        <f>IF($B8&lt;Analysis!$C$159,0,IF($B8=Analysis!$C$159,-GD8*FY8,GD7*GC7))</f>
        <v>-12434.21517657259</v>
      </c>
      <c r="GF8" s="1">
        <f>IF($B8&lt;Analysis!$C$159,0,IF($B8=Analysis!$C$159,PMT(GD8,FZ8,FY8)*FZ8-GG8-GC8,IF(($B8-Analysis!$C$159+1)&lt;LOOKUP(Analysis!$C$159,$B:$B,FZ:FZ),IF(GF7-GE8&lt;0, GF7-GE8,0),0)))</f>
        <v>-155053.80325545647</v>
      </c>
      <c r="GG8" s="1">
        <f>IF($B8&lt;Analysis!$C$159,0,IF($B8=Analysis!$C$159,GB8+GE8,IF(GC7&lt;0,IF(GC7&gt;LOOKUP(Analysis!$C$159,$B:$B,GG:GG), GC7*(1+GD7),GG7),0)))</f>
        <v>-22059.883500000004</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16492.936774787169</v>
      </c>
      <c r="GO8" s="64">
        <f>IF($B8&lt;Analysis!$C$159,0,((1+Analysis!$C$174)/(1+$S8))-1)</f>
        <v>2.941176470588247E-2</v>
      </c>
      <c r="GP8" s="1">
        <f t="shared" si="7"/>
        <v>21934.445164730172</v>
      </c>
      <c r="GQ8" s="1">
        <f t="shared" si="36"/>
        <v>-1481.5083899430033</v>
      </c>
      <c r="GR8" s="64">
        <f>IF($B8&lt;Analysis!$C$159,0,Analysis!$C$178)</f>
        <v>3.0000000000000001E-3</v>
      </c>
      <c r="GS8" s="1">
        <f t="shared" si="37"/>
        <v>-3703.770974857508</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-1236.9702581090376</v>
      </c>
      <c r="HD8" s="1">
        <f t="shared" si="38"/>
        <v>-18682.249622909549</v>
      </c>
      <c r="HE8" s="1">
        <f>MIN(0,-(GN8+HD8)*Analysis!$C$28)-GE8*Analysis!$C$28</f>
        <v>5509.600744739314</v>
      </c>
      <c r="HF8" s="1">
        <f>-Analysis!$C$176*GP8/12</f>
        <v>-1827.8704303941811</v>
      </c>
      <c r="HG8" s="38"/>
      <c r="HH8" s="1">
        <f>IF($B8&lt;Analysis!$C$159,0,-$HI8*$FW8)</f>
        <v>-62964.106572577643</v>
      </c>
      <c r="HI8" s="64">
        <f>IF($B8&lt;Analysis!$C$159,0,IF($B8=Analysis!$C$159,Analysis!$C$31,HI7))</f>
        <v>0.1275</v>
      </c>
      <c r="HJ8" s="1">
        <f>IF($B8&lt;Analysis!$C$159,0,$FW8+HH8)</f>
        <v>430872.02340842341</v>
      </c>
      <c r="HK8" s="1">
        <f>IF($B8-Analysis!$C$159&gt;10,0,IF($FW8&gt;LOOKUP(Analysis!$C$159,$B:$B, FW:FW),$V8*(LOOKUP(Analysis!$C$159,$B:$B, FW:FW)-FW8),0))</f>
        <v>-20793.029282489035</v>
      </c>
      <c r="HL8" s="1">
        <f t="shared" si="39"/>
        <v>410078.99412593438</v>
      </c>
      <c r="HM8" s="38"/>
      <c r="HN8" s="1">
        <f t="shared" si="40"/>
        <v>-116042.30218702859</v>
      </c>
      <c r="HO8" s="1">
        <f t="shared" si="8"/>
        <v>130170.65124003968</v>
      </c>
      <c r="HP8" s="1">
        <f t="shared" si="41"/>
        <v>14128.349053011087</v>
      </c>
      <c r="HQ8" s="1">
        <f>IF(HP8 &lt; 0,
    IF(HQ7 + HP8 &gt; 0,
        HQ7 + HP8, IF(HV7-ABS(HQ7 + HP8)*(1+$V8) &gt;= HQ7 + HP8,
        0, HQ7 + HP8)),
    MIN(HQ7 + HP8, Analysis!$C$7))+IF(HQ7&lt;0, HQ7*Analysis!$C$9,0)</f>
        <v>24000</v>
      </c>
      <c r="HR8" s="38"/>
      <c r="HS8" s="1">
        <f t="shared" si="54"/>
        <v>1417.3585115644821</v>
      </c>
      <c r="HT8" s="1">
        <f>IF($B8=Analysis!$C$159,0,IF(HP8 &gt;= 0,
    MAX(0, HQ7 + HP8 - Analysis!$C$7),
    0))</f>
        <v>14128.349053011087</v>
      </c>
      <c r="HU8" s="1">
        <f>IF($B8=Analysis!$C$159,0,MAX(0, HU7 + HT8 - IF(HP8 &lt; 0, MIN(ABS(HP8), HU7 + HT8), 0)))</f>
        <v>40785.998265172529</v>
      </c>
      <c r="HV8" s="1">
        <f>IF($B8=Analysis!$C$159,0,IF(HP8 &lt; 0,
    IF(HP8 + HQ7 &lt; 0,
        MAX(0, HV7 - (ABS(HP8 + HQ7) * (1+$V7))),
        HV7 + HS8),
    HV7 + HT8 + HS8))</f>
        <v>42820.232609234896</v>
      </c>
      <c r="HW8" s="1">
        <f t="shared" si="42"/>
        <v>42283.703300988447</v>
      </c>
      <c r="HX8" s="36"/>
    </row>
    <row r="9" spans="1:232" x14ac:dyDescent="0.35">
      <c r="A9">
        <f t="shared" si="0"/>
        <v>42</v>
      </c>
      <c r="B9">
        <v>2032</v>
      </c>
      <c r="C9" s="1">
        <f>IF($B9&lt;Analysis!C$66,0,$AN9)+$AT9+$AW9+$BC9+$CF9+$CA9</f>
        <v>-132951.20067150012</v>
      </c>
      <c r="D9" s="1">
        <f>IF($B9&lt;Analysis!C$66, 0, BV9)+AT9+AW9+BC9+CG9+CA9</f>
        <v>-240717.54891584808</v>
      </c>
      <c r="E9" s="1">
        <f t="shared" si="1"/>
        <v>251173.61603245922</v>
      </c>
      <c r="F9" s="1">
        <f t="shared" si="9"/>
        <v>240827.26083870776</v>
      </c>
      <c r="G9" s="1">
        <f>IF(AND($B9&gt;=Analysis!$C$100, $B9&lt;Analysis!$C$101),$CK9,0)+IF($B9&gt;=Analysis!$C$130,EB9,0)+CQ9+CT9+CZ9+EH9+EK9+EQ9+$FO9+$FT9</f>
        <v>122148.16968511231</v>
      </c>
      <c r="H9" s="1">
        <f t="shared" si="10"/>
        <v>56221.655692918706</v>
      </c>
      <c r="I9" s="1">
        <f>IF($B9&lt;Analysis!$C$159,0,$FW9)+$GC9+$GF9+$GL9+$HQ9+$HV9</f>
        <v>122148.16968511231</v>
      </c>
      <c r="J9" s="1">
        <f t="shared" si="2"/>
        <v>31597.765255062332</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IF($B9=$B$2,((1+Analysis!$B$16)/(1+$S9))-1,IF(B9&lt;Analysis!$C$13,U8-((Analysis!$B$16-Analysis!$C$17)/(Analysis!$C$13-$B$2)),((1+Analysis!$C$17)/(1+$S8))-1))</f>
        <v>5.082352941176474E-2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9578.6770327830818</v>
      </c>
      <c r="AI9" s="1">
        <f>IF(AE9 &gt;= 0,
    MAX(0, AF8 + AE9 - Analysis!$C$7),
    0)</f>
        <v>29125.599234268433</v>
      </c>
      <c r="AJ9" s="1">
        <f t="shared" si="44"/>
        <v>187945.72904193233</v>
      </c>
      <c r="AK9" s="1">
        <f t="shared" si="20"/>
        <v>227173.61603245922</v>
      </c>
      <c r="AL9" s="1">
        <f t="shared" si="5"/>
        <v>216827.26083870776</v>
      </c>
      <c r="AM9" s="36"/>
      <c r="AN9" s="1">
        <f t="shared" si="45"/>
        <v>845226.26073998434</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-17895.187050784814</v>
      </c>
      <c r="AT9" s="1">
        <f>IF($B9&lt;Analysis!$C$66,0,IF($B9=Analysis!$C$66,-AP9-AS9,MIN(0,AT8-AS9)))</f>
        <v>-567328.97373881505</v>
      </c>
      <c r="AU9" s="64">
        <f>IF($B9&lt;Analysis!$C$66,0,IF($B9=Analysis!$C$66,Analysis!$C$72,IF(($B9-Analysis!$C$66)&lt;LOOKUP(Analysis!$C$66,$B:$B,AQ:AQ),AU8,0)))</f>
        <v>3.6999999999999998E-2</v>
      </c>
      <c r="AV9" s="1">
        <f>IF($B9&lt;Analysis!$C$66,0,IF($B9=Analysis!$C$66,-AU9*AP9,AU8*AT8))</f>
        <v>-21653.293949215193</v>
      </c>
      <c r="AW9" s="1">
        <f>IF($B9&lt;Analysis!$C$66,0,IF($B9=Analysis!$C$66,PMT(AU9,AQ9,AP9)*AQ9-AX9-AT9,IF(($B9-Analysis!$C$66+1)&lt;LOOKUP(Analysis!$C$66,$B:$B,AQ:AQ),IF(AW8-AV9&lt;0, AW8-AV9,0),0)))</f>
        <v>-256323.80380046961</v>
      </c>
      <c r="AX9" s="1">
        <f>IF($B9&lt;Analysis!$C$66,0,IF($B9=Analysis!$C$66,AS9+AV9,IF(AT8&lt;0,IF(AT8&gt;LOOKUP(Analysis!$C$66,$B:$B,AX:AX), AT8*(1+AU8),AX8),0)))</f>
        <v>-39548.481000000007</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-2535.6787822199531</v>
      </c>
      <c r="BF9" s="64">
        <f>IF($B9&lt;Analysis!$C$66,0,Analysis!$C$78)</f>
        <v>3.0000000000000001E-3</v>
      </c>
      <c r="BG9" s="1">
        <f>IF($B9&lt;Analysis!$C$66,0,-BH9*AN9)</f>
        <v>-6339.1969555498827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-107766.348244348</v>
      </c>
      <c r="BS9" s="64">
        <f>IF($B9&lt;Analysis!C$66,0,Analysis!C$31)</f>
        <v>0.1275</v>
      </c>
      <c r="BT9" s="1">
        <f>IF($B9&lt;Analysis!$C$66,0,AN9+BR9)</f>
        <v>737459.91249563638</v>
      </c>
      <c r="BU9" s="1">
        <f>IF($B9-Analysis!$C$66&gt;3,0,IF($AN9&gt;LOOKUP(Analysis!$C$66,$B:$B, AN:AN),$V9*(LOOKUP(Analysis!$C$66,$B:$B, AN:AN)-AN9),0))</f>
        <v>0</v>
      </c>
      <c r="BV9" s="1">
        <f>BT9+BU9</f>
        <v>737459.91249563638</v>
      </c>
      <c r="BW9" s="42"/>
      <c r="BX9" s="1">
        <f>IF($B9&lt;Analysis!$C$66,$P9+$N9+$X9+$Z9,$P9+$N9+AS9+AV9+BB9+BE9+BG9+MAX(BI9,SUM(BJ9:BN9))+BP9)</f>
        <v>-116856.18551647727</v>
      </c>
      <c r="BY9" s="1">
        <f t="shared" si="24"/>
        <v>110889.05426342982</v>
      </c>
      <c r="BZ9" s="1">
        <f t="shared" si="46"/>
        <v>-5967.1312530474534</v>
      </c>
      <c r="CA9" s="1">
        <f>IF(BZ9 &lt; 0,
    IF(CA8 + BZ9 &gt; 0,
        CA8 + BZ9, IF(CF8-ABS(CA8 + BZ9)*(1+$V9) &gt;= CA8 + BZ9,
        0, CA8 + BZ9)),
    MIN(CA8 + BZ9, Analysis!$C$7))+IF(CA8&lt;0, CA8*Analysis!$C$9,0)</f>
        <v>-142379.02631478498</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508360.72203926585</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-9981.818051394228</v>
      </c>
      <c r="CQ9" s="1">
        <f>IF(OR($B9&lt;Analysis!$C$100, $B9&gt;=Analysis!$C$101),0,IF($B9=Analysis!$C$100,-CM9-CP9,MIN(0,CQ8-CP9)))</f>
        <v>-316452.38326227537</v>
      </c>
      <c r="CR9" s="64">
        <f>IF(OR($B9&lt;Analysis!$C$100, $B9&gt;=Analysis!$C$101),0,IF($B9=Analysis!$C$100,Analysis!$C$102,IF(($B9-Analysis!$C$100)&lt;LOOKUP(Analysis!$C$100,$B:$B,CN:CN),CR8,0)))</f>
        <v>3.6999999999999998E-2</v>
      </c>
      <c r="CS9" s="1">
        <f>IF(OR($B9&lt;Analysis!$C$100, $B9&gt;=Analysis!$C$101),0,IF($B9=Analysis!$C$100,-CR9*CM9,CR8*CQ8))</f>
        <v>-12078.065448605776</v>
      </c>
      <c r="CT9" s="1">
        <f>IF(OR($B9&lt;Analysis!$C$100, $B9&gt;=Analysis!$C$101),0,IF($B9=Analysis!$C$100,PMT(CR9,CN9,CM9)*CN9-CU9-CQ9,IF(($B9-Analysis!$C$100+1)&lt;LOOKUP(Analysis!$C$100,$B:$B,CN:CN),IF(CT8-CS9&lt;0, CT8-CS9,0),0)))</f>
        <v>-142975.7378068507</v>
      </c>
      <c r="CU9" s="1">
        <f>IF(OR($B9&lt;Analysis!$C$100, $B9&gt;=Analysis!$C$101),0,IF($B9=Analysis!$C$100,CP9+CS9,IF(CQ8&lt;0,IF(CQ8&gt;LOOKUP(Analysis!$C$100,$B:$B,CU:CU), CQ8*(1+CR8),CU8),0)))</f>
        <v>-22059.883500000004</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16978.023150516205</v>
      </c>
      <c r="DC9" s="64">
        <f>IF(OR($B9&lt;Analysis!$C$100, $B9&gt;=Analysis!$C$101),0,((1+Analysis!$C$114)/(1+$S9))-1)</f>
        <v>2.941176470588247E-2</v>
      </c>
      <c r="DD9" s="1">
        <f t="shared" si="6"/>
        <v>22463.105316634003</v>
      </c>
      <c r="DE9" s="1">
        <f t="shared" si="27"/>
        <v>-1525.0821661177977</v>
      </c>
      <c r="DF9" s="64">
        <f>IF(OR($B9&lt;Analysis!$C$100, $B9&gt;=Analysis!$C$101),0,Analysis!$C$118)</f>
        <v>3.0000000000000001E-3</v>
      </c>
      <c r="DG9" s="1">
        <f t="shared" si="28"/>
        <v>-3812.7054152944938</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-1273.3517362887153</v>
      </c>
      <c r="DR9" s="1">
        <f t="shared" si="29"/>
        <v>-18871.139317701007</v>
      </c>
      <c r="DS9" s="1">
        <f>MIN(0,-(DB9+DR9)*Analysis!$C$28)-CS9*Analysis!$C$28</f>
        <v>5351.7908002772183</v>
      </c>
      <c r="DT9" s="1">
        <f>-Analysis!$C$116*DD9/12</f>
        <v>-1871.9254430528335</v>
      </c>
      <c r="DU9" s="53"/>
      <c r="DV9" s="1">
        <f t="shared" si="30"/>
        <v>-64815.9920600064</v>
      </c>
      <c r="DW9" s="64">
        <f>IF(OR($B9&lt;Analysis!$C$100, $B9&gt;=Analysis!$C$101),0,IF($B9=Analysis!$C$100,Analysis!$C$31,DW8))</f>
        <v>0.1275</v>
      </c>
      <c r="DX9" s="1">
        <f>IF(OR($B9&lt;Analysis!$C$100, $B9&gt;=Analysis!$C$101),0,CK9+DV9)</f>
        <v>443544.72997925943</v>
      </c>
      <c r="DY9" s="1">
        <f>IF(OR($B9&lt;Analysis!$C$100, $B9&gt;=Analysis!$C$101),0,IF($B9-Analysis!$C$100&gt;3,0,IF(CK9&gt;LOOKUP(Analysis!$C$100,$B:$B, CK:CK),$V9*(LOOKUP(Analysis!$C$100,$B:$B, CK:CK)-CK9),0)))</f>
        <v>0</v>
      </c>
      <c r="DZ9" s="1">
        <f t="shared" si="49"/>
        <v>443544.72997925943</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-116987.44126834543</v>
      </c>
      <c r="FM9" s="1">
        <f>$M9+$R9+DD9+IF(AND($B9&lt;&gt;Analysis!$C$130,$B9=Analysis!$C$101),DZ8+CQ8+CT8+CZ8,0)</f>
        <v>133352.15958006383</v>
      </c>
      <c r="FN9" s="1">
        <f t="shared" si="34"/>
        <v>16364.718311718403</v>
      </c>
      <c r="FO9" s="1">
        <f>IF(FN9 &lt; 0,
    IF(FO8 + FN9 &gt; 0,
        FO8 + FN9, IF(FT8-ABS(FO8 + FN9)*(1+$V9) &gt;= FO8 + FN9,
        0, FO8 + FN9)),
    MIN(FO8 + FN9, Analysis!$C$7))+IF(FO8&lt;0, FO8*Analysis!$C$9,0)</f>
        <v>24000</v>
      </c>
      <c r="FP9" s="53"/>
      <c r="FQ9" s="1">
        <f t="shared" si="51"/>
        <v>2176.2753514340575</v>
      </c>
      <c r="FR9" s="1">
        <f>IF(OR($B9=Analysis!$C$100, $B9=Analysis!$C$130),0,IF(FN9 &gt;= 0,
    MAX(0, FO8 + FN9 - Analysis!$C$7),
    0))</f>
        <v>16364.718311718403</v>
      </c>
      <c r="FS9" s="1">
        <f>IF(OR($B9=Analysis!$C$100, $B9=Analysis!$C$130),0,MAX(0, FS8 + FR9 - IF(FN9 &lt; 0, MIN(ABS(FN9), FS8 + FR9), 0)))</f>
        <v>57150.716576890933</v>
      </c>
      <c r="FT9" s="1">
        <f>IF(OR($B9=Analysis!$C$100, $B9=Analysis!$C$130),0,IF(FN9 &lt; 0,
    IF(FN9 + FO8 &lt; 0,
        MAX(0, FT8 - (ABS(FN9 + FO8) * (1+$V8))),
        FT8 + FQ9),
    FT8 + FR9 + FQ9))</f>
        <v>61361.226272387357</v>
      </c>
      <c r="FU9" s="1">
        <f t="shared" si="35"/>
        <v>60250.704340200173</v>
      </c>
      <c r="FV9" s="36"/>
      <c r="FW9" s="1">
        <f t="shared" si="52"/>
        <v>508360.72203926585</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-9981.818051394228</v>
      </c>
      <c r="GC9" s="1">
        <f>IF($B9&lt;Analysis!$C$159,0,IF($B9=Analysis!$C$159,-FY9-GB9,MIN(0,GC8-GB9)))</f>
        <v>-316452.38326227537</v>
      </c>
      <c r="GD9" s="64">
        <f>IF($B9&lt;Analysis!$C$159,0,IF($B9=Analysis!$C$159,Analysis!$C$160,IF(($B9-Analysis!$C$159)&lt;LOOKUP(Analysis!$C$159,$B:$B,FZ:FZ),GD8,0)))</f>
        <v>3.6999999999999998E-2</v>
      </c>
      <c r="GE9" s="1">
        <f>IF($B9&lt;Analysis!$C$159,0,IF($B9=Analysis!$C$159,-GD9*FY9,GD8*GC8))</f>
        <v>-12078.065448605776</v>
      </c>
      <c r="GF9" s="1">
        <f>IF($B9&lt;Analysis!$C$159,0,IF($B9=Analysis!$C$159,PMT(GD9,FZ9,FY9)*FZ9-GG9-GC9,IF(($B9-Analysis!$C$159+1)&lt;LOOKUP(Analysis!$C$159,$B:$B,FZ:FZ),IF(GF8-GE9&lt;0, GF8-GE9,0),0)))</f>
        <v>-142975.7378068507</v>
      </c>
      <c r="GG9" s="1">
        <f>IF($B9&lt;Analysis!$C$159,0,IF($B9=Analysis!$C$159,GB9+GE9,IF(GC8&lt;0,IF(GC8&gt;LOOKUP(Analysis!$C$159,$B:$B,GG:GG), GC8*(1+GD8),GG8),0)))</f>
        <v>-22059.883500000004</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16978.023150516205</v>
      </c>
      <c r="GO9" s="64">
        <f>IF($B9&lt;Analysis!$C$159,0,((1+Analysis!$C$174)/(1+$S9))-1)</f>
        <v>2.941176470588247E-2</v>
      </c>
      <c r="GP9" s="1">
        <f t="shared" si="7"/>
        <v>22463.105316634003</v>
      </c>
      <c r="GQ9" s="1">
        <f t="shared" si="36"/>
        <v>-1525.0821661177977</v>
      </c>
      <c r="GR9" s="64">
        <f>IF($B9&lt;Analysis!$C$159,0,Analysis!$C$178)</f>
        <v>3.0000000000000001E-3</v>
      </c>
      <c r="GS9" s="1">
        <f t="shared" si="37"/>
        <v>-3812.7054152944938</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-1273.3517362887153</v>
      </c>
      <c r="HD9" s="1">
        <f t="shared" si="38"/>
        <v>-18871.139317701007</v>
      </c>
      <c r="HE9" s="1">
        <f>MIN(0,-(GN9+HD9)*Analysis!$C$28)-GE9*Analysis!$C$28</f>
        <v>5351.7908002772183</v>
      </c>
      <c r="HF9" s="1">
        <f>-Analysis!$C$176*GP9/12</f>
        <v>-1871.9254430528335</v>
      </c>
      <c r="HG9" s="38"/>
      <c r="HH9" s="1">
        <f>IF($B9&lt;Analysis!$C$159,0,-$HI9*$FW9)</f>
        <v>-64815.9920600064</v>
      </c>
      <c r="HI9" s="64">
        <f>IF($B9&lt;Analysis!$C$159,0,IF($B9=Analysis!$C$159,Analysis!$C$31,HI8))</f>
        <v>0.1275</v>
      </c>
      <c r="HJ9" s="1">
        <f>IF($B9&lt;Analysis!$C$159,0,$FW9+HH9)</f>
        <v>443544.72997925943</v>
      </c>
      <c r="HK9" s="1">
        <f>IF($B9-Analysis!$C$159&gt;10,0,IF($FW9&gt;LOOKUP(Analysis!$C$159,$B:$B, FW:FW),$V9*(LOOKUP(Analysis!$C$159,$B:$B, FW:FW)-FW9),0))</f>
        <v>-24623.890437856367</v>
      </c>
      <c r="HL9" s="1">
        <f t="shared" si="39"/>
        <v>418920.83954140305</v>
      </c>
      <c r="HM9" s="38"/>
      <c r="HN9" s="1">
        <f t="shared" si="40"/>
        <v>-116987.44126834543</v>
      </c>
      <c r="HO9" s="1">
        <f t="shared" si="8"/>
        <v>133352.15958006383</v>
      </c>
      <c r="HP9" s="1">
        <f t="shared" si="41"/>
        <v>16364.718311718403</v>
      </c>
      <c r="HQ9" s="1">
        <f>IF(HP9 &lt; 0,
    IF(HQ8 + HP9 &gt; 0,
        HQ8 + HP9, IF(HV8-ABS(HQ8 + HP9)*(1+$V9) &gt;= HQ8 + HP9,
        0, HQ8 + HP9)),
    MIN(HQ8 + HP9, Analysis!$C$7))+IF(HQ8&lt;0, HQ8*Analysis!$C$9,0)</f>
        <v>24000</v>
      </c>
      <c r="HR9" s="38"/>
      <c r="HS9" s="1">
        <f t="shared" si="54"/>
        <v>2176.2753514340575</v>
      </c>
      <c r="HT9" s="1">
        <f>IF($B9=Analysis!$C$159,0,IF(HP9 &gt;= 0,
    MAX(0, HQ8 + HP9 - Analysis!$C$7),
    0))</f>
        <v>16364.718311718403</v>
      </c>
      <c r="HU9" s="1">
        <f>IF($B9=Analysis!$C$159,0,MAX(0, HU8 + HT9 - IF(HP9 &lt; 0, MIN(ABS(HP9), HU8 + HT9), 0)))</f>
        <v>57150.716576890933</v>
      </c>
      <c r="HV9" s="1">
        <f>IF($B9=Analysis!$C$159,0,IF(HP9 &lt; 0,
    IF(HP9 + HQ8 &lt; 0,
        MAX(0, HV8 - (ABS(HP9 + HQ8) * (1+$V8))),
        HV8 + HS9),
    HV8 + HT9 + HS9))</f>
        <v>61361.226272387357</v>
      </c>
      <c r="HW9" s="1">
        <f t="shared" si="42"/>
        <v>60250.704340200173</v>
      </c>
      <c r="HX9" s="36"/>
    </row>
    <row r="10" spans="1:232" x14ac:dyDescent="0.35">
      <c r="A10">
        <f t="shared" si="0"/>
        <v>43</v>
      </c>
      <c r="B10">
        <v>2033</v>
      </c>
      <c r="C10" s="1">
        <f>IF($B10&lt;Analysis!C$66,0,$AN10)+$AT10+$AW10+$BC10+$CF10+$CA10</f>
        <v>-77370.905126854035</v>
      </c>
      <c r="D10" s="1">
        <f>IF($B10&lt;Analysis!C$66, 0, BV10)+AT10+AW10+BC10+CG10+CA10</f>
        <v>-188306.85184897701</v>
      </c>
      <c r="E10" s="1">
        <f t="shared" si="1"/>
        <v>293732.5323562249</v>
      </c>
      <c r="F10" s="1">
        <f t="shared" si="9"/>
        <v>280409.45827387465</v>
      </c>
      <c r="G10" s="1">
        <f>IF(AND($B10&gt;=Analysis!$C$100, $B10&lt;Analysis!$C$101),$CK10,0)+IF($B10&gt;=Analysis!$C$130,EB10,0)+CQ10+CT10+CZ10+EH10+EK10+EQ10+$FO10+$FT10</f>
        <v>186933.796358691</v>
      </c>
      <c r="H10" s="1">
        <f t="shared" si="10"/>
        <v>118296.89649486466</v>
      </c>
      <c r="I10" s="1">
        <f>IF($B10&lt;Analysis!$C$159,0,$FW10)+$GC10+$GF10+$GL10+$HQ10+$HV10</f>
        <v>186933.796358691</v>
      </c>
      <c r="J10" s="1">
        <f t="shared" si="2"/>
        <v>89729.472514718364</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IF($B10=$B$2,((1+Analysis!$B$16)/(1+$S10))-1,IF(B10&lt;Analysis!$C$13,U9-((Analysis!$B$16-Analysis!$C$17)/(Analysis!$C$13-$B$2)),((1+Analysis!$C$17)/(1+$S9))-1))</f>
        <v>4.96806722689076E-2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11286.137966251259</v>
      </c>
      <c r="AI10" s="1">
        <f>IF(AE10 &gt;= 0,
    MAX(0, AF9 + AE10 - Analysis!$C$7),
    0)</f>
        <v>31272.778357514413</v>
      </c>
      <c r="AJ10" s="1">
        <f t="shared" si="44"/>
        <v>219218.50739944674</v>
      </c>
      <c r="AK10" s="1">
        <f t="shared" si="20"/>
        <v>269732.5323562249</v>
      </c>
      <c r="AL10" s="1">
        <f t="shared" si="5"/>
        <v>256409.45827387465</v>
      </c>
      <c r="AM10" s="36"/>
      <c r="AN10" s="1">
        <f t="shared" si="45"/>
        <v>870085.85664410167</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-18557.30897166385</v>
      </c>
      <c r="AT10" s="1">
        <f>IF($B10&lt;Analysis!$C$66,0,IF($B10=Analysis!$C$66,-AP10-AS10,MIN(0,AT9-AS10)))</f>
        <v>-548771.66476715123</v>
      </c>
      <c r="AU10" s="64">
        <f>IF($B10&lt;Analysis!$C$66,0,IF($B10=Analysis!$C$66,Analysis!$C$72,IF(($B10-Analysis!$C$66)&lt;LOOKUP(Analysis!$C$66,$B:$B,AQ:AQ),AU9,0)))</f>
        <v>3.6999999999999998E-2</v>
      </c>
      <c r="AV10" s="1">
        <f>IF($B10&lt;Analysis!$C$66,0,IF($B10=Analysis!$C$66,-AU10*AP10,AU9*AT9))</f>
        <v>-20991.172028336157</v>
      </c>
      <c r="AW10" s="1">
        <f>IF($B10&lt;Analysis!$C$66,0,IF($B10=Analysis!$C$66,PMT(AU10,AQ10,AP10)*AQ10-AX10-AT10,IF(($B10-Analysis!$C$66+1)&lt;LOOKUP(Analysis!$C$66,$B:$B,AQ:AQ),IF(AW9-AV10&lt;0, AW9-AV10,0),0)))</f>
        <v>-235332.63177213346</v>
      </c>
      <c r="AX10" s="1">
        <f>IF($B10&lt;Analysis!$C$66,0,IF($B10=Analysis!$C$66,AS10+AV10,IF(AT9&lt;0,IF(AT9&gt;LOOKUP(Analysis!$C$66,$B:$B,AX:AX), AT9*(1+AU9),AX9),0)))</f>
        <v>-39548.481000000007</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-2610.2575699323052</v>
      </c>
      <c r="BF10" s="64">
        <f>IF($B10&lt;Analysis!$C$66,0,Analysis!$C$78)</f>
        <v>3.0000000000000001E-3</v>
      </c>
      <c r="BG10" s="1">
        <f>IF($B10&lt;Analysis!$C$66,0,-BH10*AN10)</f>
        <v>-6525.6439248307624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-110935.94672212297</v>
      </c>
      <c r="BS10" s="64">
        <f>IF($B10&lt;Analysis!C$66,0,Analysis!C$31)</f>
        <v>0.1275</v>
      </c>
      <c r="BT10" s="1">
        <f>IF($B10&lt;Analysis!$C$66,0,AN10+BR10)</f>
        <v>759149.90992197872</v>
      </c>
      <c r="BU10" s="1">
        <f>IF($B10-Analysis!$C$66&gt;3,0,IF($AN10&gt;LOOKUP(Analysis!$C$66,$B:$B, AN:AN),$V10*(LOOKUP(Analysis!$C$66,$B:$B, AN:AN)-AN10),0))</f>
        <v>0</v>
      </c>
      <c r="BV10" s="1">
        <f t="shared" si="23"/>
        <v>759149.90992197872</v>
      </c>
      <c r="BW10" s="42"/>
      <c r="BX10" s="1">
        <f>IF($B10&lt;Analysis!$C$66,$P10+$N10+$X10+$Z10,$P10+$N10+AS10+AV10+BB10+BE10+BG10+MAX(BI10,SUM(BJ10:BN10))+BP10)</f>
        <v>-117117.21127347049</v>
      </c>
      <c r="BY10" s="1">
        <f t="shared" si="24"/>
        <v>113606.92324047466</v>
      </c>
      <c r="BZ10" s="1">
        <f t="shared" si="46"/>
        <v>-3510.288032995828</v>
      </c>
      <c r="CA10" s="1">
        <f>IF(BZ10 &lt; 0,
    IF(CA9 + BZ10 &gt; 0,
        CA9 + BZ10, IF(CF9-ABS(CA9 + BZ10)*(1+$V10) &gt;= CA9 + BZ10,
        0, CA9 + BZ10)),
    MIN(CA9 + BZ10, Analysis!$C$7))+IF(CA9&lt;0, CA9*Analysis!$C$9,0)</f>
        <v>-157279.6364529636</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-19974.144882960245</v>
      </c>
      <c r="CJ10" s="1">
        <f>IF(OR($B10&lt;Analysis!$C$100, $B10&gt;=Analysis!$C$130),0,Z10)</f>
        <v>-3960</v>
      </c>
      <c r="CK10" s="1">
        <f t="shared" si="26"/>
        <v>523312.50798159727</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-10351.145319295816</v>
      </c>
      <c r="CQ10" s="1">
        <f>IF(OR($B10&lt;Analysis!$C$100, $B10&gt;=Analysis!$C$101),0,IF($B10=Analysis!$C$100,-CM10-CP10,MIN(0,CQ9-CP10)))</f>
        <v>-306101.23794297955</v>
      </c>
      <c r="CR10" s="64">
        <f>IF(OR($B10&lt;Analysis!$C$100, $B10&gt;=Analysis!$C$101),0,IF($B10=Analysis!$C$100,Analysis!$C$102,IF(($B10-Analysis!$C$100)&lt;LOOKUP(Analysis!$C$100,$B:$B,CN:CN),CR9,0)))</f>
        <v>3.6999999999999998E-2</v>
      </c>
      <c r="CS10" s="1">
        <f>IF(OR($B10&lt;Analysis!$C$100, $B10&gt;=Analysis!$C$101),0,IF($B10=Analysis!$C$100,-CR10*CM10,CR9*CQ9))</f>
        <v>-11708.738180704187</v>
      </c>
      <c r="CT10" s="1">
        <f>IF(OR($B10&lt;Analysis!$C$100, $B10&gt;=Analysis!$C$101),0,IF($B10=Analysis!$C$100,PMT(CR10,CN10,CM10)*CN10-CU10-CQ10,IF(($B10-Analysis!$C$100+1)&lt;LOOKUP(Analysis!$C$100,$B:$B,CN:CN),IF(CT9-CS10&lt;0, CT9-CS10,0),0)))</f>
        <v>-131266.99962614651</v>
      </c>
      <c r="CU10" s="1">
        <f>IF(OR($B10&lt;Analysis!$C$100, $B10&gt;=Analysis!$C$101),0,IF($B10=Analysis!$C$100,CP10+CS10,IF(CQ9&lt;0,IF(CQ9&gt;LOOKUP(Analysis!$C$100,$B:$B,CU:CU), CQ9*(1+CR9),CU9),0)))</f>
        <v>-22059.883500000004</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23007.314296535005</v>
      </c>
      <c r="DE10" s="1">
        <f t="shared" si="27"/>
        <v>-1569.9375239447918</v>
      </c>
      <c r="DF10" s="64">
        <f>IF(OR($B10&lt;Analysis!$C$100, $B10&gt;=Analysis!$C$101),0,Analysis!$C$118)</f>
        <v>3.0000000000000001E-3</v>
      </c>
      <c r="DG10" s="1">
        <f t="shared" si="28"/>
        <v>-3924.8438098619795</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-1310.8032579442661</v>
      </c>
      <c r="DR10" s="1">
        <f t="shared" si="29"/>
        <v>-19065.584591751038</v>
      </c>
      <c r="DS10" s="1">
        <f>MIN(0,-(DB10+DR10)*Analysis!$C$28)-CS10*Analysis!$C$28</f>
        <v>5188.1418878700251</v>
      </c>
      <c r="DT10" s="1">
        <f>-Analysis!$C$116*DD10/12</f>
        <v>-1917.276191377917</v>
      </c>
      <c r="DU10" s="53"/>
      <c r="DV10" s="1">
        <f t="shared" si="30"/>
        <v>-66722.34476765366</v>
      </c>
      <c r="DW10" s="64">
        <f>IF(OR($B10&lt;Analysis!$C$100, $B10&gt;=Analysis!$C$101),0,IF($B10=Analysis!$C$100,Analysis!$C$31,DW9))</f>
        <v>0.1275</v>
      </c>
      <c r="DX10" s="1">
        <f>IF(OR($B10&lt;Analysis!$C$100, $B10&gt;=Analysis!$C$101),0,CK10+DV10)</f>
        <v>456590.1632139436</v>
      </c>
      <c r="DY10" s="1">
        <f>IF(OR($B10&lt;Analysis!$C$100, $B10&gt;=Analysis!$C$101),0,IF($B10-Analysis!$C$100&gt;3,0,IF(CK10&gt;LOOKUP(Analysis!$C$100,$B:$B, CK:CK),$V10*(LOOKUP(Analysis!$C$100,$B:$B, CK:CK)-CK10),0)))</f>
        <v>0</v>
      </c>
      <c r="DZ10" s="1">
        <f t="shared" si="49"/>
        <v>456590.1632139436</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-117961.5760569266</v>
      </c>
      <c r="FM10" s="1">
        <f>$M10+$R10+DD10+IF(AND($B10&lt;&gt;Analysis!$C$130,$B10=Analysis!$C$101),DZ9+CQ9+CT9+CZ9,0)</f>
        <v>136614.23753700967</v>
      </c>
      <c r="FN10" s="1">
        <f t="shared" si="34"/>
        <v>18652.661480083072</v>
      </c>
      <c r="FO10" s="1">
        <f>IF(FN10 &lt; 0,
    IF(FO9 + FN10 &gt; 0,
        FO9 + FN10, IF(FT9-ABS(FO9 + FN10)*(1+$V10) &gt;= FO9 + FN10,
        0, FO9 + FN10)),
    MIN(FO9 + FN10, Analysis!$C$7))+IF(FO9&lt;0, FO9*Analysis!$C$9,0)</f>
        <v>24000</v>
      </c>
      <c r="FP10" s="53"/>
      <c r="FQ10" s="1">
        <f t="shared" si="51"/>
        <v>3048.4669724567589</v>
      </c>
      <c r="FR10" s="1">
        <f>IF(OR($B10=Analysis!$C$100, $B10=Analysis!$C$130),0,IF(FN10 &gt;= 0,
    MAX(0, FO9 + FN10 - Analysis!$C$7),
    0))</f>
        <v>18652.661480083072</v>
      </c>
      <c r="FS10" s="1">
        <f>IF(OR($B10=Analysis!$C$100, $B10=Analysis!$C$130),0,MAX(0, FS9 + FR10 - IF(FN10 &lt; 0, MIN(ABS(FN10), FS9 + FR10), 0)))</f>
        <v>75803.378056974005</v>
      </c>
      <c r="FT10" s="1">
        <f>IF(OR($B10=Analysis!$C$100, $B10=Analysis!$C$130),0,IF(FN10 &lt; 0,
    IF(FN10 + FO9 &lt; 0,
        MAX(0, FT9 - (ABS(FN10 + FO9) * (1+$V9))),
        FT9 + FQ10),
    FT9 + FR10 + FQ10))</f>
        <v>83062.354724927194</v>
      </c>
      <c r="FU10" s="1">
        <f t="shared" si="35"/>
        <v>81147.799628754539</v>
      </c>
      <c r="FV10" s="36"/>
      <c r="FW10" s="1">
        <f t="shared" si="52"/>
        <v>523312.50798159727</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-10351.145319295816</v>
      </c>
      <c r="GC10" s="1">
        <f>IF($B10&lt;Analysis!$C$159,0,IF($B10=Analysis!$C$159,-FY10-GB10,MIN(0,GC9-GB10)))</f>
        <v>-306101.23794297955</v>
      </c>
      <c r="GD10" s="64">
        <f>IF($B10&lt;Analysis!$C$159,0,IF($B10=Analysis!$C$159,Analysis!$C$160,IF(($B10-Analysis!$C$159)&lt;LOOKUP(Analysis!$C$159,$B:$B,FZ:FZ),GD9,0)))</f>
        <v>3.6999999999999998E-2</v>
      </c>
      <c r="GE10" s="1">
        <f>IF($B10&lt;Analysis!$C$159,0,IF($B10=Analysis!$C$159,-GD10*FY10,GD9*GC9))</f>
        <v>-11708.738180704187</v>
      </c>
      <c r="GF10" s="1">
        <f>IF($B10&lt;Analysis!$C$159,0,IF($B10=Analysis!$C$159,PMT(GD10,FZ10,FY10)*FZ10-GG10-GC10,IF(($B10-Analysis!$C$159+1)&lt;LOOKUP(Analysis!$C$159,$B:$B,FZ:FZ),IF(GF9-GE10&lt;0, GF9-GE10,0),0)))</f>
        <v>-131266.99962614651</v>
      </c>
      <c r="GG10" s="1">
        <f>IF($B10&lt;Analysis!$C$159,0,IF($B10=Analysis!$C$159,GB10+GE10,IF(GC9&lt;0,IF(GC9&gt;LOOKUP(Analysis!$C$159,$B:$B,GG:GG), GC9*(1+GD9),GG9),0)))</f>
        <v>-22059.883500000004</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17477.376772590214</v>
      </c>
      <c r="GO10" s="64">
        <f>IF($B10&lt;Analysis!$C$159,0,((1+Analysis!$C$174)/(1+$S10))-1)</f>
        <v>2.941176470588247E-2</v>
      </c>
      <c r="GP10" s="1">
        <f t="shared" si="7"/>
        <v>23007.314296535005</v>
      </c>
      <c r="GQ10" s="1">
        <f t="shared" si="36"/>
        <v>-1569.9375239447918</v>
      </c>
      <c r="GR10" s="64">
        <f>IF($B10&lt;Analysis!$C$159,0,Analysis!$C$178)</f>
        <v>3.0000000000000001E-3</v>
      </c>
      <c r="GS10" s="1">
        <f t="shared" si="37"/>
        <v>-3924.8438098619795</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-1310.8032579442661</v>
      </c>
      <c r="HD10" s="1">
        <f t="shared" si="38"/>
        <v>-19065.584591751038</v>
      </c>
      <c r="HE10" s="1">
        <f>MIN(0,-(GN10+HD10)*Analysis!$C$28)-GE10*Analysis!$C$28</f>
        <v>5188.1418878700251</v>
      </c>
      <c r="HF10" s="1">
        <f>-Analysis!$C$176*GP10/12</f>
        <v>-1917.276191377917</v>
      </c>
      <c r="HG10" s="38"/>
      <c r="HH10" s="1">
        <f>IF($B10&lt;Analysis!$C$159,0,-$HI10*$FW10)</f>
        <v>-66722.34476765366</v>
      </c>
      <c r="HI10" s="64">
        <f>IF($B10&lt;Analysis!$C$159,0,IF($B10=Analysis!$C$159,Analysis!$C$31,HI9))</f>
        <v>0.1275</v>
      </c>
      <c r="HJ10" s="1">
        <f>IF($B10&lt;Analysis!$C$159,0,$FW10+HH10)</f>
        <v>456590.1632139436</v>
      </c>
      <c r="HK10" s="1">
        <f>IF($B10-Analysis!$C$159&gt;10,0,IF($FW10&gt;LOOKUP(Analysis!$C$159,$B:$B, FW:FW),$V10*(LOOKUP(Analysis!$C$159,$B:$B, FW:FW)-FW10),0))</f>
        <v>-28567.423980146279</v>
      </c>
      <c r="HL10" s="1">
        <f t="shared" si="39"/>
        <v>428022.7392337973</v>
      </c>
      <c r="HM10" s="38"/>
      <c r="HN10" s="1">
        <f t="shared" si="40"/>
        <v>-117961.5760569266</v>
      </c>
      <c r="HO10" s="1">
        <f t="shared" si="8"/>
        <v>136614.23753700967</v>
      </c>
      <c r="HP10" s="1">
        <f t="shared" si="41"/>
        <v>18652.661480083072</v>
      </c>
      <c r="HQ10" s="1">
        <f>IF(HP10 &lt; 0,
    IF(HQ9 + HP10 &gt; 0,
        HQ9 + HP10, IF(HV9-ABS(HQ9 + HP10)*(1+$V10) &gt;= HQ9 + HP10,
        0, HQ9 + HP10)),
    MIN(HQ9 + HP10, Analysis!$C$7))+IF(HQ9&lt;0, HQ9*Analysis!$C$9,0)</f>
        <v>24000</v>
      </c>
      <c r="HR10" s="38"/>
      <c r="HS10" s="1">
        <f t="shared" si="54"/>
        <v>3048.4669724567589</v>
      </c>
      <c r="HT10" s="1">
        <f>IF($B10=Analysis!$C$159,0,IF(HP10 &gt;= 0,
    MAX(0, HQ9 + HP10 - Analysis!$C$7),
    0))</f>
        <v>18652.661480083072</v>
      </c>
      <c r="HU10" s="1">
        <f>IF($B10=Analysis!$C$159,0,MAX(0, HU9 + HT10 - IF(HP10 &lt; 0, MIN(ABS(HP10), HU9 + HT10), 0)))</f>
        <v>75803.378056974005</v>
      </c>
      <c r="HV10" s="1">
        <f>IF($B10=Analysis!$C$159,0,IF(HP10 &lt; 0,
    IF(HP10 + HQ9 &lt; 0,
        MAX(0, HV9 - (ABS(HP10 + HQ9) * (1+$V9))),
        HV9 + HS10),
    HV9 + HT10 + HS10))</f>
        <v>83062.354724927194</v>
      </c>
      <c r="HW10" s="1">
        <f t="shared" si="42"/>
        <v>81147.799628754539</v>
      </c>
      <c r="HX10" s="36"/>
    </row>
    <row r="11" spans="1:232" x14ac:dyDescent="0.35">
      <c r="A11">
        <f t="shared" si="0"/>
        <v>44</v>
      </c>
      <c r="B11">
        <v>2034</v>
      </c>
      <c r="C11" s="1">
        <f>IF($B11&lt;Analysis!C$66,0,$AN11)+$AT11+$AW11+$BC11+$CF11+$CA11</f>
        <v>-19735.713380230474</v>
      </c>
      <c r="D11" s="1">
        <f>IF($B11&lt;Analysis!C$66, 0, BV11)+AT11+AW11+BC11+CG11+CA11</f>
        <v>-133934.48206476879</v>
      </c>
      <c r="E11" s="1">
        <f t="shared" si="1"/>
        <v>340294.54706598504</v>
      </c>
      <c r="F11" s="1">
        <f t="shared" si="9"/>
        <v>323518.39790428925</v>
      </c>
      <c r="G11" s="1">
        <f>IF(AND($B11&gt;=Analysis!$C$100, $B11&lt;Analysis!$C$101),$CK11,0)+IF($B11&gt;=Analysis!$C$130,EB11,0)+CQ11+CT11+CZ11+EH11+EK11+EQ11+$FO11+$FT11</f>
        <v>255483.05060835206</v>
      </c>
      <c r="H11" s="1">
        <f t="shared" si="10"/>
        <v>183820.37713845991</v>
      </c>
      <c r="I11" s="1">
        <f>IF($B11&lt;Analysis!$C$159,0,$FW11)+$GC11+$GF11+$GL11+$HQ11+$HV11</f>
        <v>255483.05060835206</v>
      </c>
      <c r="J11" s="1">
        <f t="shared" si="2"/>
        <v>151193.43333536814</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IF($B11=$B$2,((1+Analysis!$B$16)/(1+$S11))-1,IF(B11&lt;Analysis!$C$13,U10-((Analysis!$B$16-Analysis!$C$17)/(Analysis!$C$13-$B$2)),((1+Analysis!$C$17)/(1+$S10))-1))</f>
        <v>4.853781512605046E-2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13092.227788987868</v>
      </c>
      <c r="AI11" s="1">
        <f>IF(AE11 &gt;= 0,
    MAX(0, AF10 + AE11 - Analysis!$C$7),
    0)</f>
        <v>33469.786920772298</v>
      </c>
      <c r="AJ11" s="1">
        <f t="shared" si="44"/>
        <v>252688.29432021902</v>
      </c>
      <c r="AK11" s="1">
        <f t="shared" si="20"/>
        <v>316294.54706598504</v>
      </c>
      <c r="AL11" s="1">
        <f t="shared" si="5"/>
        <v>299518.39790428925</v>
      </c>
      <c r="AM11" s="36"/>
      <c r="AN11" s="1">
        <f t="shared" si="45"/>
        <v>895676.61713363416</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-19243.929403615413</v>
      </c>
      <c r="AT11" s="1">
        <f>IF($B11&lt;Analysis!$C$66,0,IF($B11=Analysis!$C$66,-AP11-AS11,MIN(0,AT10-AS11)))</f>
        <v>-529527.73536353582</v>
      </c>
      <c r="AU11" s="64">
        <f>IF($B11&lt;Analysis!$C$66,0,IF($B11=Analysis!$C$66,Analysis!$C$72,IF(($B11-Analysis!$C$66)&lt;LOOKUP(Analysis!$C$66,$B:$B,AQ:AQ),AU10,0)))</f>
        <v>3.6999999999999998E-2</v>
      </c>
      <c r="AV11" s="1">
        <f>IF($B11&lt;Analysis!$C$66,0,IF($B11=Analysis!$C$66,-AU11*AP11,AU10*AT10))</f>
        <v>-20304.551596384594</v>
      </c>
      <c r="AW11" s="1">
        <f>IF($B11&lt;Analysis!$C$66,0,IF($B11=Analysis!$C$66,PMT(AU11,AQ11,AP11)*AQ11-AX11-AT11,IF(($B11-Analysis!$C$66+1)&lt;LOOKUP(Analysis!$C$66,$B:$B,AQ:AQ),IF(AW10-AV11&lt;0, AW10-AV11,0),0)))</f>
        <v>-215028.08017574888</v>
      </c>
      <c r="AX11" s="1">
        <f>IF($B11&lt;Analysis!$C$66,0,IF($B11=Analysis!$C$66,AS11+AV11,IF(AT10&lt;0,IF(AT10&gt;LOOKUP(Analysis!$C$66,$B:$B,AX:AX), AT10*(1+AU10),AX10),0)))</f>
        <v>-39548.481000000007</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-2687.0298514009028</v>
      </c>
      <c r="BF11" s="64">
        <f>IF($B11&lt;Analysis!$C$66,0,Analysis!$C$78)</f>
        <v>3.0000000000000001E-3</v>
      </c>
      <c r="BG11" s="1">
        <f>IF($B11&lt;Analysis!$C$66,0,-BH11*AN11)</f>
        <v>-6717.574628502256</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-114198.76868453836</v>
      </c>
      <c r="BS11" s="64">
        <f>IF($B11&lt;Analysis!C$66,0,Analysis!C$31)</f>
        <v>0.1275</v>
      </c>
      <c r="BT11" s="1">
        <f>IF($B11&lt;Analysis!$C$66,0,AN11+BR11)</f>
        <v>781477.84844909585</v>
      </c>
      <c r="BU11" s="1">
        <f>IF($B11-Analysis!$C$66&gt;3,0,IF($AN11&gt;LOOKUP(Analysis!$C$66,$B:$B, AN:AN),$V11*(LOOKUP(Analysis!$C$66,$B:$B, AN:AN)-AN11),0))</f>
        <v>0</v>
      </c>
      <c r="BV11" s="1">
        <f t="shared" si="23"/>
        <v>781477.84844909585</v>
      </c>
      <c r="BW11" s="42"/>
      <c r="BX11" s="1">
        <f>IF($B11&lt;Analysis!$C$66,$P11+$N11+$X11+$Z11,$P11+$N11+AS11+AV11+BB11+BE11+BG11+MAX(BI11,SUM(BJ11:BN11))+BP11)</f>
        <v>-117385.9142586106</v>
      </c>
      <c r="BY11" s="1">
        <f t="shared" si="24"/>
        <v>116391.40665323137</v>
      </c>
      <c r="BZ11" s="1">
        <f t="shared" si="46"/>
        <v>-994.50760537922906</v>
      </c>
      <c r="CA11" s="1">
        <f>IF(BZ11 &lt; 0,
    IF(CA10 + BZ11 &gt; 0,
        CA10 + BZ11, IF(CF10-ABS(CA10 + BZ11)*(1+$V11) &gt;= CA10 + BZ11,
        0, CA10 + BZ11)),
    MIN(CA10 + BZ11, Analysis!$C$7))+IF(CA10&lt;0, CA10*Analysis!$C$9,0)</f>
        <v>-170856.51497457994</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-20561.619732459079</v>
      </c>
      <c r="CJ11" s="1">
        <f>IF(OR($B11&lt;Analysis!$C$100, $B11&gt;=Analysis!$C$130),0,Z11)</f>
        <v>-3960</v>
      </c>
      <c r="CK11" s="1">
        <f t="shared" si="26"/>
        <v>538704.05233399721</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-10734.137696109761</v>
      </c>
      <c r="CQ11" s="1">
        <f>IF(OR($B11&lt;Analysis!$C$100, $B11&gt;=Analysis!$C$101),0,IF($B11=Analysis!$C$100,-CM11-CP11,MIN(0,CQ10-CP11)))</f>
        <v>-295367.10024686978</v>
      </c>
      <c r="CR11" s="64">
        <f>IF(OR($B11&lt;Analysis!$C$100, $B11&gt;=Analysis!$C$101),0,IF($B11=Analysis!$C$100,Analysis!$C$102,IF(($B11-Analysis!$C$100)&lt;LOOKUP(Analysis!$C$100,$B:$B,CN:CN),CR10,0)))</f>
        <v>3.6999999999999998E-2</v>
      </c>
      <c r="CS11" s="1">
        <f>IF(OR($B11&lt;Analysis!$C$100, $B11&gt;=Analysis!$C$101),0,IF($B11=Analysis!$C$100,-CR11*CM11,CR10*CQ10))</f>
        <v>-11325.745803890242</v>
      </c>
      <c r="CT11" s="1">
        <f>IF(OR($B11&lt;Analysis!$C$100, $B11&gt;=Analysis!$C$101),0,IF($B11=Analysis!$C$100,PMT(CR11,CN11,CM11)*CN11-CU11-CQ11,IF(($B11-Analysis!$C$100+1)&lt;LOOKUP(Analysis!$C$100,$B:$B,CN:CN),IF(CT10-CS11&lt;0, CT10-CS11,0),0)))</f>
        <v>-119941.25382225627</v>
      </c>
      <c r="CU11" s="1">
        <f>IF(OR($B11&lt;Analysis!$C$100, $B11&gt;=Analysis!$C$101),0,IF($B11=Analysis!$C$100,CP11+CS11,IF(CQ10&lt;0,IF(CQ10&gt;LOOKUP(Analysis!$C$100,$B:$B,CU:CU), CQ10*(1+CR10),CU10),0)))</f>
        <v>-22059.883500000004</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23567.529422903688</v>
      </c>
      <c r="DE11" s="1">
        <f t="shared" si="27"/>
        <v>-1616.1121570019916</v>
      </c>
      <c r="DF11" s="64">
        <f>IF(OR($B11&lt;Analysis!$C$100, $B11&gt;=Analysis!$C$101),0,Analysis!$C$118)</f>
        <v>3.0000000000000001E-3</v>
      </c>
      <c r="DG11" s="1">
        <f t="shared" si="28"/>
        <v>-4040.2803925049789</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-1349.3562949426271</v>
      </c>
      <c r="DR11" s="1">
        <f t="shared" si="29"/>
        <v>-19265.748844449598</v>
      </c>
      <c r="DS11" s="1">
        <f>MIN(0,-(DB11+DR11)*Analysis!$C$28)-CS11*Analysis!$C$28</f>
        <v>5018.4379657037653</v>
      </c>
      <c r="DT11" s="1">
        <f>-Analysis!$C$116*DD11/12</f>
        <v>-1963.960785241974</v>
      </c>
      <c r="DU11" s="53"/>
      <c r="DV11" s="1">
        <f t="shared" si="30"/>
        <v>-68684.76667258465</v>
      </c>
      <c r="DW11" s="64">
        <f>IF(OR($B11&lt;Analysis!$C$100, $B11&gt;=Analysis!$C$101),0,IF($B11=Analysis!$C$100,Analysis!$C$31,DW10))</f>
        <v>0.1275</v>
      </c>
      <c r="DX11" s="1">
        <f>IF(OR($B11&lt;Analysis!$C$100, $B11&gt;=Analysis!$C$101),0,CK11+DV11)</f>
        <v>470019.28566141258</v>
      </c>
      <c r="DY11" s="1">
        <f>IF(OR($B11&lt;Analysis!$C$100, $B11&gt;=Analysis!$C$101),0,IF($B11-Analysis!$C$100&gt;3,0,IF(CK11&gt;LOOKUP(Analysis!$C$100,$B:$B, CK:CK),$V11*(LOOKUP(Analysis!$C$100,$B:$B, CK:CK)-CK11),0)))</f>
        <v>0</v>
      </c>
      <c r="DZ11" s="1">
        <f t="shared" si="49"/>
        <v>470019.28566141258</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-118965.6036751543</v>
      </c>
      <c r="FM11" s="1">
        <f>$M11+$R11+DD11+IF(AND($B11&lt;&gt;Analysis!$C$130,$B11=Analysis!$C$101),DZ10+CQ10+CT10+CZ10,0)</f>
        <v>139958.93607613505</v>
      </c>
      <c r="FN11" s="1">
        <f t="shared" si="34"/>
        <v>20993.332400980755</v>
      </c>
      <c r="FO11" s="1">
        <f>IF(FN11 &lt; 0,
    IF(FO10 + FN11 &gt; 0,
        FO10 + FN11, IF(FT10-ABS(FO10 + FN11)*(1+$V11) &gt;= FO10 + FN11,
        0, FO10 + FN11)),
    MIN(FO10 + FN11, Analysis!$C$7))+IF(FO10&lt;0, FO10*Analysis!$C$9,0)</f>
        <v>24000</v>
      </c>
      <c r="FP11" s="53"/>
      <c r="FQ11" s="1">
        <f t="shared" si="51"/>
        <v>4031.66521757294</v>
      </c>
      <c r="FR11" s="1">
        <f>IF(OR($B11=Analysis!$C$100, $B11=Analysis!$C$130),0,IF(FN11 &gt;= 0,
    MAX(0, FO10 + FN11 - Analysis!$C$7),
    0))</f>
        <v>20993.332400980755</v>
      </c>
      <c r="FS11" s="1">
        <f>IF(OR($B11=Analysis!$C$100, $B11=Analysis!$C$130),0,MAX(0, FS10 + FR11 - IF(FN11 &lt; 0, MIN(ABS(FN11), FS10 + FR11), 0)))</f>
        <v>96796.710457954759</v>
      </c>
      <c r="FT11" s="1">
        <f>IF(OR($B11=Analysis!$C$100, $B11=Analysis!$C$130),0,IF(FN11 &lt; 0,
    IF(FN11 + FO10 &lt; 0,
        MAX(0, FT10 - (ABS(FN11 + FO10) * (1+$V10))),
        FT10 + FQ11),
    FT10 + FR11 + FQ11))</f>
        <v>108087.35234348089</v>
      </c>
      <c r="FU11" s="1">
        <f t="shared" si="35"/>
        <v>105109.44554617337</v>
      </c>
      <c r="FV11" s="36"/>
      <c r="FW11" s="1">
        <f t="shared" si="52"/>
        <v>538704.05233399721</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-10734.137696109761</v>
      </c>
      <c r="GC11" s="1">
        <f>IF($B11&lt;Analysis!$C$159,0,IF($B11=Analysis!$C$159,-FY11-GB11,MIN(0,GC10-GB11)))</f>
        <v>-295367.10024686978</v>
      </c>
      <c r="GD11" s="64">
        <f>IF($B11&lt;Analysis!$C$159,0,IF($B11=Analysis!$C$159,Analysis!$C$160,IF(($B11-Analysis!$C$159)&lt;LOOKUP(Analysis!$C$159,$B:$B,FZ:FZ),GD10,0)))</f>
        <v>3.6999999999999998E-2</v>
      </c>
      <c r="GE11" s="1">
        <f>IF($B11&lt;Analysis!$C$159,0,IF($B11=Analysis!$C$159,-GD11*FY11,GD10*GC10))</f>
        <v>-11325.745803890242</v>
      </c>
      <c r="GF11" s="1">
        <f>IF($B11&lt;Analysis!$C$159,0,IF($B11=Analysis!$C$159,PMT(GD11,FZ11,FY11)*FZ11-GG11-GC11,IF(($B11-Analysis!$C$159+1)&lt;LOOKUP(Analysis!$C$159,$B:$B,FZ:FZ),IF(GF10-GE11&lt;0, GF10-GE11,0),0)))</f>
        <v>-119941.25382225627</v>
      </c>
      <c r="GG11" s="1">
        <f>IF($B11&lt;Analysis!$C$159,0,IF($B11=Analysis!$C$159,GB11+GE11,IF(GC10&lt;0,IF(GC10&gt;LOOKUP(Analysis!$C$159,$B:$B,GG:GG), GC10*(1+GD10),GG10),0)))</f>
        <v>-22059.883500000004</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7"/>
        <v>23567.529422903688</v>
      </c>
      <c r="GQ11" s="1">
        <f t="shared" si="36"/>
        <v>-1616.1121570019916</v>
      </c>
      <c r="GR11" s="64">
        <f>IF($B11&lt;Analysis!$C$159,0,Analysis!$C$178)</f>
        <v>3.0000000000000001E-3</v>
      </c>
      <c r="GS11" s="1">
        <f t="shared" si="37"/>
        <v>-4040.2803925049789</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-1349.3562949426271</v>
      </c>
      <c r="HD11" s="1">
        <f t="shared" si="38"/>
        <v>-19265.748844449598</v>
      </c>
      <c r="HE11" s="1">
        <f>MIN(0,-(GN11+HD11)*Analysis!$C$28)-GE11*Analysis!$C$28</f>
        <v>5018.4379657037653</v>
      </c>
      <c r="HF11" s="1">
        <f>-Analysis!$C$176*GP11/12</f>
        <v>-1963.960785241974</v>
      </c>
      <c r="HG11" s="38"/>
      <c r="HH11" s="1">
        <f>IF($B11&lt;Analysis!$C$159,0,-$HI11*$FW11)</f>
        <v>-68684.76667258465</v>
      </c>
      <c r="HI11" s="64">
        <f>IF($B11&lt;Analysis!$C$159,0,IF($B11=Analysis!$C$159,Analysis!$C$31,HI10))</f>
        <v>0.1275</v>
      </c>
      <c r="HJ11" s="1">
        <f>IF($B11&lt;Analysis!$C$159,0,$FW11+HH11)</f>
        <v>470019.28566141258</v>
      </c>
      <c r="HK11" s="1">
        <f>IF($B11-Analysis!$C$159&gt;10,0,IF($FW11&gt;LOOKUP(Analysis!$C$159,$B:$B, FW:FW),$V11*(LOOKUP(Analysis!$C$159,$B:$B, FW:FW)-FW11),0))</f>
        <v>-32626.943803091763</v>
      </c>
      <c r="HL11" s="1">
        <f t="shared" si="39"/>
        <v>437392.34185832081</v>
      </c>
      <c r="HM11" s="38"/>
      <c r="HN11" s="1">
        <f t="shared" si="40"/>
        <v>-118965.6036751543</v>
      </c>
      <c r="HO11" s="1">
        <f t="shared" si="8"/>
        <v>139958.93607613505</v>
      </c>
      <c r="HP11" s="1">
        <f t="shared" si="41"/>
        <v>20993.332400980755</v>
      </c>
      <c r="HQ11" s="1">
        <f>IF(HP11 &lt; 0,
    IF(HQ10 + HP11 &gt; 0,
        HQ10 + HP11, IF(HV10-ABS(HQ10 + HP11)*(1+$V11) &gt;= HQ10 + HP11,
        0, HQ10 + HP11)),
    MIN(HQ10 + HP11, Analysis!$C$7))+IF(HQ10&lt;0, HQ10*Analysis!$C$9,0)</f>
        <v>24000</v>
      </c>
      <c r="HR11" s="38"/>
      <c r="HS11" s="1">
        <f t="shared" si="54"/>
        <v>4031.66521757294</v>
      </c>
      <c r="HT11" s="1">
        <f>IF($B11=Analysis!$C$159,0,IF(HP11 &gt;= 0,
    MAX(0, HQ10 + HP11 - Analysis!$C$7),
    0))</f>
        <v>20993.332400980755</v>
      </c>
      <c r="HU11" s="1">
        <f>IF($B11=Analysis!$C$159,0,MAX(0, HU10 + HT11 - IF(HP11 &lt; 0, MIN(ABS(HP11), HU10 + HT11), 0)))</f>
        <v>96796.710457954759</v>
      </c>
      <c r="HV11" s="1">
        <f>IF($B11=Analysis!$C$159,0,IF(HP11 &lt; 0,
    IF(HP11 + HQ10 &lt; 0,
        MAX(0, HV10 - (ABS(HP11 + HQ10) * (1+$V10))),
        HV10 + HS11),
    HV10 + HT11 + HS11))</f>
        <v>108087.35234348089</v>
      </c>
      <c r="HW11" s="1">
        <f t="shared" si="42"/>
        <v>105109.44554617337</v>
      </c>
      <c r="HX11" s="36"/>
    </row>
    <row r="12" spans="1:232" x14ac:dyDescent="0.35">
      <c r="A12">
        <f t="shared" si="0"/>
        <v>45</v>
      </c>
      <c r="B12">
        <v>2035</v>
      </c>
      <c r="C12" s="1">
        <f>IF($B12&lt;Analysis!C$66,0,$AN12)+$AT12+$AW12+$BC12+$CF12+$CA12</f>
        <v>38715.756774324895</v>
      </c>
      <c r="D12" s="1">
        <f>IF($B12&lt;Analysis!C$66, 0, BV12)+AT12+AW12+BC12+CG12+CA12</f>
        <v>-78841.799224464601</v>
      </c>
      <c r="E12" s="1">
        <f t="shared" si="1"/>
        <v>389576.71251133305</v>
      </c>
      <c r="F12" s="1">
        <f t="shared" si="9"/>
        <v>368846.74861444393</v>
      </c>
      <c r="G12" s="1">
        <f>IF(AND($B12&gt;=Analysis!$C$100, $B12&lt;Analysis!$C$101),$CK12,0)+IF($B12&gt;=Analysis!$C$130,EB12,0)+CQ12+CT12+CZ12+EH12+EK12+EQ12+$FO12+$FT12</f>
        <v>326544.33936810534</v>
      </c>
      <c r="H12" s="1">
        <f t="shared" si="10"/>
        <v>251510.38838281325</v>
      </c>
      <c r="I12" s="1">
        <f>IF($B12&lt;Analysis!$C$159,0,$FW12)+$GC12+$GF12+$GL12+$HQ12+$HV12</f>
        <v>326544.33936810534</v>
      </c>
      <c r="J12" s="1">
        <f t="shared" si="2"/>
        <v>214704.52711492463</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IF($B12=$B$2,((1+Analysis!$B$16)/(1+$S12))-1,IF(B12&lt;Analysis!$C$13,U11-((Analysis!$B$16-Analysis!$C$17)/(Analysis!$C$13-$B$2)),((1+Analysis!$C$17)/(1+$S11))-1))</f>
        <v>4.739495798319332E-2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14990.766768505522</v>
      </c>
      <c r="AI12" s="1">
        <f>IF(AE12 &gt;= 0,
    MAX(0, AF11 + AE12 - Analysis!$C$7),
    0)</f>
        <v>34291.398676842495</v>
      </c>
      <c r="AJ12" s="1">
        <f t="shared" si="44"/>
        <v>286979.69299706153</v>
      </c>
      <c r="AK12" s="1">
        <f t="shared" si="20"/>
        <v>365576.71251133305</v>
      </c>
      <c r="AL12" s="1">
        <f t="shared" si="5"/>
        <v>344846.74861444393</v>
      </c>
      <c r="AM12" s="36"/>
      <c r="AN12" s="1">
        <f t="shared" si="45"/>
        <v>922020.04704932938</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-19955.954791549182</v>
      </c>
      <c r="AT12" s="1">
        <f>IF($B12&lt;Analysis!$C$66,0,IF($B12=Analysis!$C$66,-AP12-AS12,MIN(0,AT11-AS12)))</f>
        <v>-509571.78057198663</v>
      </c>
      <c r="AU12" s="64">
        <f>IF($B12&lt;Analysis!$C$66,0,IF($B12=Analysis!$C$66,Analysis!$C$72,IF(($B12-Analysis!$C$66)&lt;LOOKUP(Analysis!$C$66,$B:$B,AQ:AQ),AU11,0)))</f>
        <v>3.6999999999999998E-2</v>
      </c>
      <c r="AV12" s="1">
        <f>IF($B12&lt;Analysis!$C$66,0,IF($B12=Analysis!$C$66,-AU12*AP12,AU11*AT11))</f>
        <v>-19592.526208450825</v>
      </c>
      <c r="AW12" s="1">
        <f>IF($B12&lt;Analysis!$C$66,0,IF($B12=Analysis!$C$66,PMT(AU12,AQ12,AP12)*AQ12-AX12-AT12,IF(($B12-Analysis!$C$66+1)&lt;LOOKUP(Analysis!$C$66,$B:$B,AQ:AQ),IF(AW11-AV12&lt;0, AW11-AV12,0),0)))</f>
        <v>-195435.55396729807</v>
      </c>
      <c r="AX12" s="1">
        <f>IF($B12&lt;Analysis!$C$66,0,IF($B12=Analysis!$C$66,AS12+AV12,IF(AT11&lt;0,IF(AT11&gt;LOOKUP(Analysis!$C$66,$B:$B,AX:AX), AT11*(1+AU11),AX11),0)))</f>
        <v>-39548.481000000007</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-2766.0601411479884</v>
      </c>
      <c r="BF12" s="64">
        <f>IF($B12&lt;Analysis!$C$66,0,Analysis!$C$78)</f>
        <v>3.0000000000000001E-3</v>
      </c>
      <c r="BG12" s="1">
        <f>IF($B12&lt;Analysis!$C$66,0,-BH12*AN12)</f>
        <v>-6915.1503528699704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-117557.5559987895</v>
      </c>
      <c r="BS12" s="64">
        <f>IF($B12&lt;Analysis!C$66,0,Analysis!C$31)</f>
        <v>0.1275</v>
      </c>
      <c r="BT12" s="1">
        <f>IF($B12&lt;Analysis!$C$66,0,AN12+BR12)</f>
        <v>804462.49105053989</v>
      </c>
      <c r="BU12" s="1">
        <f>IF($B12-Analysis!$C$66&gt;3,0,IF($AN12&gt;LOOKUP(Analysis!$C$66,$B:$B, AN:AN),$V12*(LOOKUP(Analysis!$C$66,$B:$B, AN:AN)-AN12),0))</f>
        <v>0</v>
      </c>
      <c r="BV12" s="1">
        <f t="shared" si="23"/>
        <v>804462.49105053989</v>
      </c>
      <c r="BW12" s="42"/>
      <c r="BX12" s="1">
        <f>IF($B12&lt;Analysis!$C$66,$P12+$N12+$X12+$Z12,$P12+$N12+AS12+AV12+BB12+BE12+BG12+MAX(BI12,SUM(BJ12:BN12))+BP12)</f>
        <v>-111589.69149401797</v>
      </c>
      <c r="BY12" s="1">
        <f t="shared" si="24"/>
        <v>117817.77193084449</v>
      </c>
      <c r="BZ12" s="1">
        <f t="shared" si="46"/>
        <v>6228.0804368265235</v>
      </c>
      <c r="CA12" s="1">
        <f>IF(BZ12 &lt; 0,
    IF(CA11 + BZ12 &gt; 0,
        CA11 + BZ12, IF(CF11-ABS(CA11 + BZ12)*(1+$V12) &gt;= CA11 + BZ12,
        0, CA11 + BZ12)),
    MIN(CA11 + BZ12, Analysis!$C$7))+IF(CA11&lt;0, CA11*Analysis!$C$9,0)</f>
        <v>-178296.95573571979</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26"/>
        <v>554548.28916735016</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-11131.300790865822</v>
      </c>
      <c r="CQ12" s="1">
        <f>IF(OR($B12&lt;Analysis!$C$100, $B12&gt;=Analysis!$C$101),0,IF($B12=Analysis!$C$100,-CM12-CP12,MIN(0,CQ11-CP12)))</f>
        <v>-284235.79945600394</v>
      </c>
      <c r="CR12" s="64">
        <f>IF(OR($B12&lt;Analysis!$C$100, $B12&gt;=Analysis!$C$101),0,IF($B12=Analysis!$C$100,Analysis!$C$102,IF(($B12-Analysis!$C$100)&lt;LOOKUP(Analysis!$C$100,$B:$B,CN:CN),CR11,0)))</f>
        <v>3.6999999999999998E-2</v>
      </c>
      <c r="CS12" s="1">
        <f>IF(OR($B12&lt;Analysis!$C$100, $B12&gt;=Analysis!$C$101),0,IF($B12=Analysis!$C$100,-CR12*CM12,CR11*CQ11))</f>
        <v>-10928.582709134182</v>
      </c>
      <c r="CT12" s="1">
        <f>IF(OR($B12&lt;Analysis!$C$100, $B12&gt;=Analysis!$C$101),0,IF($B12=Analysis!$C$100,PMT(CR12,CN12,CM12)*CN12-CU12-CQ12,IF(($B12-Analysis!$C$100+1)&lt;LOOKUP(Analysis!$C$100,$B:$B,CN:CN),IF(CT11-CS12&lt;0, CT11-CS12,0),0)))</f>
        <v>-109012.67111312209</v>
      </c>
      <c r="CU12" s="1">
        <f>IF(OR($B12&lt;Analysis!$C$100, $B12&gt;=Analysis!$C$101),0,IF($B12=Analysis!$C$100,CP12+CS12,IF(CQ11&lt;0,IF(CQ11&gt;LOOKUP(Analysis!$C$100,$B:$B,CU:CU), CQ11*(1+CR11),CU11),0)))</f>
        <v>-22059.883500000004</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24144.221464753799</v>
      </c>
      <c r="DE12" s="1">
        <f t="shared" si="27"/>
        <v>-1663.6448675020506</v>
      </c>
      <c r="DF12" s="64">
        <f>IF(OR($B12&lt;Analysis!$C$100, $B12&gt;=Analysis!$C$101),0,Analysis!$C$118)</f>
        <v>3.0000000000000001E-3</v>
      </c>
      <c r="DG12" s="1">
        <f t="shared" si="28"/>
        <v>-4159.1121687551258</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-1389.0432447938811</v>
      </c>
      <c r="DR12" s="1">
        <f t="shared" si="29"/>
        <v>-19471.800281051059</v>
      </c>
      <c r="DS12" s="1">
        <f>MIN(0,-(DB12+DR12)*Analysis!$C$28)-CS12*Analysis!$C$28</f>
        <v>4842.4549984173555</v>
      </c>
      <c r="DT12" s="1">
        <f>-Analysis!$C$116*DD12/12</f>
        <v>-2012.0184553961499</v>
      </c>
      <c r="DU12" s="53"/>
      <c r="DV12" s="1">
        <f t="shared" si="30"/>
        <v>-70704.906868837148</v>
      </c>
      <c r="DW12" s="64">
        <f>IF(OR($B12&lt;Analysis!$C$100, $B12&gt;=Analysis!$C$101),0,IF($B12=Analysis!$C$100,Analysis!$C$31,DW11))</f>
        <v>0.1275</v>
      </c>
      <c r="DX12" s="1">
        <f>IF(OR($B12&lt;Analysis!$C$100, $B12&gt;=Analysis!$C$101),0,CK12+DV12)</f>
        <v>483843.38229851302</v>
      </c>
      <c r="DY12" s="1">
        <f>IF(OR($B12&lt;Analysis!$C$100, $B12&gt;=Analysis!$C$101),0,IF($B12-Analysis!$C$100&gt;3,0,IF(CK12&gt;LOOKUP(Analysis!$C$100,$B:$B, CK:CK),$V12*(LOOKUP(Analysis!$C$100,$B:$B, CK:CK)-CK12),0)))</f>
        <v>0</v>
      </c>
      <c r="DZ12" s="1">
        <f t="shared" si="49"/>
        <v>483843.38229851302</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-113927.62049203184</v>
      </c>
      <c r="FM12" s="1">
        <f>$M12+$R12+DD12+IF(AND($B12&lt;&gt;Analysis!$C$130,$B12=Analysis!$C$101),DZ11+CQ11+CT11+CZ11,0)</f>
        <v>141961.99339559829</v>
      </c>
      <c r="FN12" s="1">
        <f t="shared" si="34"/>
        <v>28034.372903566444</v>
      </c>
      <c r="FO12" s="1">
        <f>IF(FN12 &lt; 0,
    IF(FO11 + FN12 &gt; 0,
        FO11 + FN12, IF(FT11-ABS(FO11 + FN12)*(1+$V12) &gt;= FO11 + FN12,
        0, FO11 + FN12)),
    MIN(FO11 + FN12, Analysis!$C$7))+IF(FO11&lt;0, FO11*Analysis!$C$9,0)</f>
        <v>24000</v>
      </c>
      <c r="FP12" s="53"/>
      <c r="FQ12" s="1">
        <f t="shared" si="51"/>
        <v>5122.7955228338888</v>
      </c>
      <c r="FR12" s="1">
        <f>IF(OR($B12=Analysis!$C$100, $B12=Analysis!$C$130),0,IF(FN12 &gt;= 0,
    MAX(0, FO11 + FN12 - Analysis!$C$7),
    0))</f>
        <v>28034.372903566444</v>
      </c>
      <c r="FS12" s="1">
        <f>IF(OR($B12=Analysis!$C$100, $B12=Analysis!$C$130),0,MAX(0, FS11 + FR12 - IF(FN12 &lt; 0, MIN(ABS(FN12), FS11 + FR12), 0)))</f>
        <v>124831.0833615212</v>
      </c>
      <c r="FT12" s="1">
        <f>IF(OR($B12=Analysis!$C$100, $B12=Analysis!$C$130),0,IF(FN12 &lt; 0,
    IF(FN12 + FO11 &lt; 0,
        MAX(0, FT11 - (ABS(FN12 + FO11) * (1+$V11))),
        FT11 + FQ12),
    FT11 + FR12 + FQ12))</f>
        <v>141244.5207698812</v>
      </c>
      <c r="FU12" s="1">
        <f>IF(FT12-FS12&gt;0, FT12-$V12*(FT12-FS12),FT12)</f>
        <v>136915.47665342625</v>
      </c>
      <c r="FV12" s="36"/>
      <c r="FW12" s="1">
        <f t="shared" si="52"/>
        <v>554548.28916735016</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-11131.300790865822</v>
      </c>
      <c r="GC12" s="1">
        <f>IF($B12&lt;Analysis!$C$159,0,IF($B12=Analysis!$C$159,-FY12-GB12,MIN(0,GC11-GB12)))</f>
        <v>-284235.79945600394</v>
      </c>
      <c r="GD12" s="64">
        <f>IF($B12&lt;Analysis!$C$159,0,IF($B12=Analysis!$C$159,Analysis!$C$160,IF(($B12-Analysis!$C$159)&lt;LOOKUP(Analysis!$C$159,$B:$B,FZ:FZ),GD11,0)))</f>
        <v>3.6999999999999998E-2</v>
      </c>
      <c r="GE12" s="1">
        <f>IF($B12&lt;Analysis!$C$159,0,IF($B12=Analysis!$C$159,-GD12*FY12,GD11*GC11))</f>
        <v>-10928.582709134182</v>
      </c>
      <c r="GF12" s="1">
        <f>IF($B12&lt;Analysis!$C$159,0,IF($B12=Analysis!$C$159,PMT(GD12,FZ12,FY12)*FZ12-GG12-GC12,IF(($B12-Analysis!$C$159+1)&lt;LOOKUP(Analysis!$C$159,$B:$B,FZ:FZ),IF(GF11-GE12&lt;0, GF11-GE12,0),0)))</f>
        <v>-109012.67111312209</v>
      </c>
      <c r="GG12" s="1">
        <f>IF($B12&lt;Analysis!$C$159,0,IF($B12=Analysis!$C$159,GB12+GE12,IF(GC11&lt;0,IF(GC11&gt;LOOKUP(Analysis!$C$159,$B:$B,GG:GG), GC11*(1+GD11),GG11),0)))</f>
        <v>-22059.883500000004</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24144.221464753799</v>
      </c>
      <c r="GQ12" s="1">
        <f t="shared" si="36"/>
        <v>-1663.6448675020506</v>
      </c>
      <c r="GR12" s="64">
        <f>IF($B12&lt;Analysis!$C$159,0,Analysis!$C$178)</f>
        <v>3.0000000000000001E-3</v>
      </c>
      <c r="GS12" s="1">
        <f t="shared" si="37"/>
        <v>-4159.1121687551258</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-1389.0432447938811</v>
      </c>
      <c r="HD12" s="1">
        <f t="shared" si="38"/>
        <v>-19471.800281051059</v>
      </c>
      <c r="HE12" s="1">
        <f>MIN(0,-(GN12+HD12)*Analysis!$C$28)-GE12*Analysis!$C$28</f>
        <v>4842.4549984173555</v>
      </c>
      <c r="HF12" s="1">
        <f>-Analysis!$C$176*GP12/12</f>
        <v>-2012.0184553961499</v>
      </c>
      <c r="HG12" s="38"/>
      <c r="HH12" s="1">
        <f>IF($B12&lt;Analysis!$C$159,0,-$HI12*$FW12)</f>
        <v>-70704.906868837148</v>
      </c>
      <c r="HI12" s="64">
        <f>IF($B12&lt;Analysis!$C$159,0,IF($B12=Analysis!$C$159,Analysis!$C$31,HI11))</f>
        <v>0.1275</v>
      </c>
      <c r="HJ12" s="1">
        <f>IF($B12&lt;Analysis!$C$159,0,$FW12+HH12)</f>
        <v>483843.38229851302</v>
      </c>
      <c r="HK12" s="1">
        <f>IF($B12-Analysis!$C$159&gt;10,0,IF($FW12&gt;LOOKUP(Analysis!$C$159,$B:$B, FW:FW),$V12*(LOOKUP(Analysis!$C$159,$B:$B, FW:FW)-FW12),0))</f>
        <v>-36805.861267888606</v>
      </c>
      <c r="HL12" s="1">
        <f t="shared" si="39"/>
        <v>447037.5210306244</v>
      </c>
      <c r="HM12" s="38"/>
      <c r="HN12" s="1">
        <f t="shared" si="40"/>
        <v>-113927.62049203184</v>
      </c>
      <c r="HO12" s="1">
        <f t="shared" si="8"/>
        <v>141961.99339559829</v>
      </c>
      <c r="HP12" s="1">
        <f t="shared" si="41"/>
        <v>28034.372903566444</v>
      </c>
      <c r="HQ12" s="1">
        <f>IF(HP12 &lt; 0,
    IF(HQ11 + HP12 &gt; 0,
        HQ11 + HP12, IF(HV11-ABS(HQ11 + HP12)*(1+$V12) &gt;= HQ11 + HP12,
        0, HQ11 + HP12)),
    MIN(HQ11 + HP12, Analysis!$C$7))+IF(HQ11&lt;0, HQ11*Analysis!$C$9,0)</f>
        <v>24000</v>
      </c>
      <c r="HR12" s="38"/>
      <c r="HS12" s="1">
        <f t="shared" si="54"/>
        <v>5122.7955228338888</v>
      </c>
      <c r="HT12" s="1">
        <f>IF($B12=Analysis!$C$159,0,IF(HP12 &gt;= 0,
    MAX(0, HQ11 + HP12 - Analysis!$C$7),
    0))</f>
        <v>28034.372903566444</v>
      </c>
      <c r="HU12" s="1">
        <f>IF($B12=Analysis!$C$159,0,MAX(0, HU11 + HT12 - IF(HP12 &lt; 0, MIN(ABS(HP12), HU11 + HT12), 0)))</f>
        <v>124831.0833615212</v>
      </c>
      <c r="HV12" s="1">
        <f>IF($B12=Analysis!$C$159,0,IF(HP12 &lt; 0,
    IF(HP12 + HQ11 &lt; 0,
        MAX(0, HV11 - (ABS(HP12 + HQ11) * (1+$V11))),
        HV11 + HS12),
    HV11 + HT12 + HS12))</f>
        <v>141244.5207698812</v>
      </c>
      <c r="HW12" s="1">
        <f>IF(HV12-HU12&gt;0, HV12-$V12*(HV12-HU12),HV12)</f>
        <v>136915.47665342625</v>
      </c>
      <c r="HX12" s="36"/>
    </row>
    <row r="13" spans="1:232" x14ac:dyDescent="0.35">
      <c r="A13">
        <f t="shared" si="0"/>
        <v>46</v>
      </c>
      <c r="B13">
        <v>2036</v>
      </c>
      <c r="C13" s="1">
        <f>IF($B13&lt;Analysis!C$66,0,$AN13)+$AT13+$AW13+$BC13+$CF13+$CA13</f>
        <v>94755.902189347777</v>
      </c>
      <c r="D13" s="1">
        <f>IF($B13&lt;Analysis!C$66, 0, BV13)+AT13+AW13+BC13+CG13+CA13</f>
        <v>-26259.228985876776</v>
      </c>
      <c r="E13" s="1">
        <f t="shared" si="1"/>
        <v>437848.10701455525</v>
      </c>
      <c r="F13" s="1">
        <f t="shared" si="9"/>
        <v>412658.47587381362</v>
      </c>
      <c r="G13" s="1">
        <f>IF(AND($B13&gt;=Analysis!$C$100, $B13&lt;Analysis!$C$101),$CK13,0)+IF($B13&gt;=Analysis!$C$130,EB13,0)+CQ13+CT13+CZ13+EH13+EK13+EQ13+$FO13+$FT13</f>
        <v>396702.57657433552</v>
      </c>
      <c r="H13" s="1">
        <f t="shared" si="10"/>
        <v>317866.02878272283</v>
      </c>
      <c r="I13" s="1">
        <f>IF($B13&lt;Analysis!$C$159,0,$FW13)+$GC13+$GF13+$GL13+$HQ13+$HV13</f>
        <v>396702.57657433552</v>
      </c>
      <c r="J13" s="1">
        <f t="shared" si="2"/>
        <v>317866.02878272283</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IF($B13=$B$2,((1+Analysis!$B$16)/(1+$S13))-1,IF(B13&lt;Analysis!$C$13,U12-((Analysis!$B$16-Analysis!$C$17)/(Analysis!$C$13-$B$2)),((1+Analysis!$C$17)/(1+$S12))-1))</f>
        <v>4.625210084033618E-2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16908.690971952765</v>
      </c>
      <c r="AI13" s="1">
        <f>IF(AE13 &gt;= 0,
    MAX(0, AF12 + AE13 - Analysis!$C$7),
    0)</f>
        <v>31362.70353126945</v>
      </c>
      <c r="AJ13" s="1">
        <f t="shared" si="44"/>
        <v>318342.39652833098</v>
      </c>
      <c r="AK13" s="1">
        <f t="shared" si="20"/>
        <v>413848.10701455525</v>
      </c>
      <c r="AL13" s="1">
        <f t="shared" si="5"/>
        <v>388658.47587381362</v>
      </c>
      <c r="AM13" s="36"/>
      <c r="AN13" s="1">
        <f t="shared" si="45"/>
        <v>949138.28372725099</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-20694.325118836503</v>
      </c>
      <c r="AT13" s="1">
        <f>IF($B13&lt;Analysis!$C$66,0,IF($B13=Analysis!$C$66,-AP13-AS13,MIN(0,AT12-AS13)))</f>
        <v>-488877.45545315015</v>
      </c>
      <c r="AU13" s="64">
        <f>IF($B13&lt;Analysis!$C$66,0,IF($B13=Analysis!$C$66,Analysis!$C$72,IF(($B13-Analysis!$C$66)&lt;LOOKUP(Analysis!$C$66,$B:$B,AQ:AQ),AU12,0)))</f>
        <v>3.6999999999999998E-2</v>
      </c>
      <c r="AV13" s="1">
        <f>IF($B13&lt;Analysis!$C$66,0,IF($B13=Analysis!$C$66,-AU13*AP13,AU12*AT12))</f>
        <v>-18854.155881163504</v>
      </c>
      <c r="AW13" s="1">
        <f>IF($B13&lt;Analysis!$C$66,0,IF($B13=Analysis!$C$66,PMT(AU13,AQ13,AP13)*AQ13-AX13-AT13,IF(($B13-Analysis!$C$66+1)&lt;LOOKUP(Analysis!$C$66,$B:$B,AQ:AQ),IF(AW12-AV13&lt;0, AW12-AV13,0),0)))</f>
        <v>-176581.39808613458</v>
      </c>
      <c r="AX13" s="1">
        <f>IF($B13&lt;Analysis!$C$66,0,IF($B13=Analysis!$C$66,AS13+AV13,IF(AT12&lt;0,IF(AT12&gt;LOOKUP(Analysis!$C$66,$B:$B,AX:AX), AT12*(1+AU12),AX12),0)))</f>
        <v>-39548.481000000007</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-2847.414851181753</v>
      </c>
      <c r="BF13" s="64">
        <f>IF($B13&lt;Analysis!$C$66,0,Analysis!$C$78)</f>
        <v>3.0000000000000001E-3</v>
      </c>
      <c r="BG13" s="1">
        <f>IF($B13&lt;Analysis!$C$66,0,-BH13*AN13)</f>
        <v>-7118.5371279543824</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-121015.13117522451</v>
      </c>
      <c r="BS13" s="64">
        <f>IF($B13&lt;Analysis!C$66,0,Analysis!C$31)</f>
        <v>0.1275</v>
      </c>
      <c r="BT13" s="1">
        <f>IF($B13&lt;Analysis!$C$66,0,AN13+BR13)</f>
        <v>828123.15255202644</v>
      </c>
      <c r="BU13" s="1">
        <f>IF($B13-Analysis!$C$66&gt;3,0,IF($AN13&gt;LOOKUP(Analysis!$C$66,$B:$B, AN:AN),$V13*(LOOKUP(Analysis!$C$66,$B:$B, AN:AN)-AN13),0))</f>
        <v>0</v>
      </c>
      <c r="BV13" s="1">
        <f t="shared" si="23"/>
        <v>828123.15255202644</v>
      </c>
      <c r="BW13" s="42"/>
      <c r="BX13" s="1">
        <f>IF($B13&lt;Analysis!$C$66,$P13+$N13+$X13+$Z13,$P13+$N13+AS13+AV13+BB13+BE13+BG13+MAX(BI13,SUM(BJ13:BN13))+BP13)</f>
        <v>-115624.43297913614</v>
      </c>
      <c r="BY13" s="1">
        <f t="shared" si="24"/>
        <v>119261.61717509503</v>
      </c>
      <c r="BZ13" s="1">
        <f t="shared" si="46"/>
        <v>3637.1841959588928</v>
      </c>
      <c r="CA13" s="1">
        <f>IF(BZ13 &lt; 0,
    IF(CA12 + BZ13 &gt; 0,
        CA12 + BZ13, IF(CF12-ABS(CA12 + BZ13)*(1+$V13) &gt;= CA12 + BZ13,
        0, CA12 + BZ13)),
    MIN(CA12 + BZ13, Analysis!$C$7))+IF(CA12&lt;0, CA12*Analysis!$C$9,0)</f>
        <v>-188923.52799861849</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-21788.913643825585</v>
      </c>
      <c r="CJ13" s="1">
        <f>IF(OR($B13&lt;Analysis!$C$100, $B13&gt;=Analysis!$C$130),0,Z13)</f>
        <v>-3960</v>
      </c>
      <c r="CK13" s="1">
        <f t="shared" si="26"/>
        <v>570858.5329663899</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-11543.158920127858</v>
      </c>
      <c r="CQ13" s="1">
        <f>IF(OR($B13&lt;Analysis!$C$100, $B13&gt;=Analysis!$C$101),0,IF($B13=Analysis!$C$100,-CM13-CP13,MIN(0,CQ12-CP13)))</f>
        <v>-272692.6405358761</v>
      </c>
      <c r="CR13" s="64">
        <f>IF(OR($B13&lt;Analysis!$C$100, $B13&gt;=Analysis!$C$101),0,IF($B13=Analysis!$C$100,Analysis!$C$102,IF(($B13-Analysis!$C$100)&lt;LOOKUP(Analysis!$C$100,$B:$B,CN:CN),CR12,0)))</f>
        <v>3.6999999999999998E-2</v>
      </c>
      <c r="CS13" s="1">
        <f>IF(OR($B13&lt;Analysis!$C$100, $B13&gt;=Analysis!$C$101),0,IF($B13=Analysis!$C$100,-CR13*CM13,CR12*CQ12))</f>
        <v>-10516.724579872145</v>
      </c>
      <c r="CT13" s="1">
        <f>IF(OR($B13&lt;Analysis!$C$100, $B13&gt;=Analysis!$C$101),0,IF($B13=Analysis!$C$100,PMT(CR13,CN13,CM13)*CN13-CU13-CQ13,IF(($B13-Analysis!$C$100+1)&lt;LOOKUP(Analysis!$C$100,$B:$B,CN:CN),IF(CT12-CS13&lt;0, CT12-CS13,0),0)))</f>
        <v>-98495.946533249953</v>
      </c>
      <c r="CU13" s="1">
        <f>IF(OR($B13&lt;Analysis!$C$100, $B13&gt;=Analysis!$C$101),0,IF($B13=Analysis!$C$100,CP13+CS13,IF(CQ12&lt;0,IF(CQ12&gt;LOOKUP(Analysis!$C$100,$B:$B,CU:CU), CQ12*(1+CR12),CU12),0)))</f>
        <v>-22059.883500000004</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24737.875037246558</v>
      </c>
      <c r="DE13" s="1">
        <f t="shared" si="27"/>
        <v>-1712.5755988991698</v>
      </c>
      <c r="DF13" s="64">
        <f>IF(OR($B13&lt;Analysis!$C$100, $B13&gt;=Analysis!$C$101),0,Analysis!$C$118)</f>
        <v>3.0000000000000001E-3</v>
      </c>
      <c r="DG13" s="1">
        <f t="shared" si="28"/>
        <v>-4281.4389972479239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-1429.8974578760542</v>
      </c>
      <c r="DR13" s="1">
        <f t="shared" si="29"/>
        <v>-19683.912054023145</v>
      </c>
      <c r="DS13" s="1">
        <f>MIN(0,-(DB13+DR13)*Analysis!$C$28)-CS13*Analysis!$C$28</f>
        <v>4659.9606613413471</v>
      </c>
      <c r="DT13" s="1">
        <f>-Analysis!$C$116*DD13/12</f>
        <v>-2061.4895864372133</v>
      </c>
      <c r="DU13" s="53"/>
      <c r="DV13" s="1">
        <f t="shared" si="30"/>
        <v>-72784.462953214708</v>
      </c>
      <c r="DW13" s="64">
        <f>IF(OR($B13&lt;Analysis!$C$100, $B13&gt;=Analysis!$C$101),0,IF($B13=Analysis!$C$100,Analysis!$C$31,DW12))</f>
        <v>0.1275</v>
      </c>
      <c r="DX13" s="1">
        <f>IF(OR($B13&lt;Analysis!$C$100, $B13&gt;=Analysis!$C$101),0,CK13+DV13)</f>
        <v>498074.07001317519</v>
      </c>
      <c r="DY13" s="1">
        <f>IF(OR($B13&lt;Analysis!$C$100, $B13&gt;=Analysis!$C$101),0,IF($B13-Analysis!$C$100&gt;3,0,IF(CK13&gt;LOOKUP(Analysis!$C$100,$B:$B, CK:CK),$V13*(LOOKUP(Analysis!$C$100,$B:$B, CK:CK)-CK13),0)))</f>
        <v>0</v>
      </c>
      <c r="DZ13" s="1">
        <f t="shared" si="49"/>
        <v>498074.07001317519</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-118744.23812294459</v>
      </c>
      <c r="FM13" s="1">
        <f>$M13+$R13+DD13+IF(AND($B13&lt;&gt;Analysis!$C$130,$B13=Analysis!$C$101),DZ12+CQ12+CT12+CZ12,0)</f>
        <v>143999.49221234157</v>
      </c>
      <c r="FN13" s="1">
        <f t="shared" si="34"/>
        <v>25255.254089396985</v>
      </c>
      <c r="FO13" s="1">
        <f>IF(FN13 &lt; 0,
    IF(FO12 + FN13 &gt; 0,
        FO12 + FN13, IF(FT12-ABS(FO12 + FN13)*(1+$V13) &gt;= FO12 + FN13,
        0, FO12 + FN13)),
    MIN(FO12 + FN13, Analysis!$C$7))+IF(FO12&lt;0, FO12*Analysis!$C$9,0)</f>
        <v>24000</v>
      </c>
      <c r="FP13" s="53"/>
      <c r="FQ13" s="1">
        <f t="shared" si="51"/>
        <v>6532.8558177935038</v>
      </c>
      <c r="FR13" s="1">
        <f>IF(OR($B13=Analysis!$C$100, $B13=Analysis!$C$130),0,IF(FN13 &gt;= 0,
    MAX(0, FO12 + FN13 - Analysis!$C$7),
    0))</f>
        <v>25255.254089396985</v>
      </c>
      <c r="FS13" s="1">
        <f>IF(OR($B13=Analysis!$C$100, $B13=Analysis!$C$130),0,MAX(0, FS12 + FR13 - IF(FN13 &lt; 0, MIN(ABS(FN13), FS12 + FR13), 0)))</f>
        <v>150086.33745091819</v>
      </c>
      <c r="FT13" s="1">
        <f>IF(OR($B13=Analysis!$C$100, $B13=Analysis!$C$130),0,IF(FN13 &lt; 0,
    IF(FN13 + FO12 &lt; 0,
        MAX(0, FT12 - (ABS(FN13 + FO12) * (1+$V12))),
        FT12 + FQ13),
    FT12 + FR13 + FQ13))</f>
        <v>173032.63067707166</v>
      </c>
      <c r="FU13" s="1">
        <f t="shared" ref="FU13:FU16" si="55">IF(FT13-FS13&gt;0, FT13-$V13*(FT13-FS13),FT13)</f>
        <v>166980.54583867369</v>
      </c>
      <c r="FV13" s="36"/>
      <c r="FW13" s="1">
        <f t="shared" si="52"/>
        <v>570858.5329663899</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-11543.158920127858</v>
      </c>
      <c r="GC13" s="1">
        <f>IF($B13&lt;Analysis!$C$159,0,IF($B13=Analysis!$C$159,-FY13-GB13,MIN(0,GC12-GB13)))</f>
        <v>-272692.6405358761</v>
      </c>
      <c r="GD13" s="64">
        <f>IF($B13&lt;Analysis!$C$159,0,IF($B13=Analysis!$C$159,Analysis!$C$160,IF(($B13-Analysis!$C$159)&lt;LOOKUP(Analysis!$C$159,$B:$B,FZ:FZ),GD12,0)))</f>
        <v>3.6999999999999998E-2</v>
      </c>
      <c r="GE13" s="1">
        <f>IF($B13&lt;Analysis!$C$159,0,IF($B13=Analysis!$C$159,-GD13*FY13,GD12*GC12))</f>
        <v>-10516.724579872145</v>
      </c>
      <c r="GF13" s="1">
        <f>IF($B13&lt;Analysis!$C$159,0,IF($B13=Analysis!$C$159,PMT(GD13,FZ13,FY13)*FZ13-GG13-GC13,IF(($B13-Analysis!$C$159+1)&lt;LOOKUP(Analysis!$C$159,$B:$B,FZ:FZ),IF(GF12-GE13&lt;0, GF12-GE13,0),0)))</f>
        <v>-98495.946533249953</v>
      </c>
      <c r="GG13" s="1">
        <f>IF($B13&lt;Analysis!$C$159,0,IF($B13=Analysis!$C$159,GB13+GE13,IF(GC12&lt;0,IF(GC12&gt;LOOKUP(Analysis!$C$159,$B:$B,GG:GG), GC12*(1+GD12),GG12),0)))</f>
        <v>-22059.883500000004</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24737.875037246558</v>
      </c>
      <c r="GQ13" s="1">
        <f t="shared" si="36"/>
        <v>-1712.5755988991698</v>
      </c>
      <c r="GR13" s="64">
        <f>IF($B13&lt;Analysis!$C$159,0,Analysis!$C$178)</f>
        <v>3.0000000000000001E-3</v>
      </c>
      <c r="GS13" s="1">
        <f t="shared" si="37"/>
        <v>-4281.4389972479239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-1429.8974578760542</v>
      </c>
      <c r="HD13" s="1">
        <f t="shared" si="38"/>
        <v>-19683.912054023145</v>
      </c>
      <c r="HE13" s="1">
        <f>MIN(0,-(GN13+HD13)*Analysis!$C$28)-GE13*Analysis!$C$28</f>
        <v>4659.9606613413471</v>
      </c>
      <c r="HF13" s="1">
        <f>-Analysis!$C$176*GP13/12</f>
        <v>-2061.4895864372133</v>
      </c>
      <c r="HG13" s="38"/>
      <c r="HH13" s="1">
        <f>IF($B13&lt;Analysis!$C$159,0,-$HI13*$FW13)</f>
        <v>-72784.462953214708</v>
      </c>
      <c r="HI13" s="64">
        <f>IF($B13&lt;Analysis!$C$159,0,IF($B13=Analysis!$C$159,Analysis!$C$31,HI12))</f>
        <v>0.1275</v>
      </c>
      <c r="HJ13" s="1">
        <f>IF($B13&lt;Analysis!$C$159,0,$FW13+HH13)</f>
        <v>498074.07001317519</v>
      </c>
      <c r="HK13" s="1">
        <f>IF($B13-Analysis!$C$159&gt;10,0,IF($FW13&gt;LOOKUP(Analysis!$C$159,$B:$B, FW:FW),$V13*(LOOKUP(Analysis!$C$159,$B:$B, FW:FW)-FW13),0))</f>
        <v>0</v>
      </c>
      <c r="HL13" s="1">
        <f t="shared" si="39"/>
        <v>498074.07001317519</v>
      </c>
      <c r="HM13" s="38"/>
      <c r="HN13" s="1">
        <f t="shared" si="40"/>
        <v>-118744.23812294459</v>
      </c>
      <c r="HO13" s="1">
        <f t="shared" si="8"/>
        <v>143999.49221234157</v>
      </c>
      <c r="HP13" s="1">
        <f t="shared" si="41"/>
        <v>25255.254089396985</v>
      </c>
      <c r="HQ13" s="1">
        <f>IF(HP13 &lt; 0,
    IF(HQ12 + HP13 &gt; 0,
        HQ12 + HP13, IF(HV12-ABS(HQ12 + HP13)*(1+$V13) &gt;= HQ12 + HP13,
        0, HQ12 + HP13)),
    MIN(HQ12 + HP13, Analysis!$C$7))+IF(HQ12&lt;0, HQ12*Analysis!$C$9,0)</f>
        <v>24000</v>
      </c>
      <c r="HR13" s="38"/>
      <c r="HS13" s="1">
        <f t="shared" si="54"/>
        <v>6532.8558177935038</v>
      </c>
      <c r="HT13" s="1">
        <f>IF($B13=Analysis!$C$159,0,IF(HP13 &gt;= 0,
    MAX(0, HQ12 + HP13 - Analysis!$C$7),
    0))</f>
        <v>25255.254089396985</v>
      </c>
      <c r="HU13" s="1">
        <f>IF($B13=Analysis!$C$159,0,MAX(0, HU12 + HT13 - IF(HP13 &lt; 0, MIN(ABS(HP13), HU12 + HT13), 0)))</f>
        <v>150086.33745091819</v>
      </c>
      <c r="HV13" s="1">
        <f>IF($B13=Analysis!$C$159,0,IF(HP13 &lt; 0,
    IF(HP13 + HQ12 &lt; 0,
        MAX(0, HV12 - (ABS(HP13 + HQ12) * (1+$V12))),
        HV12 + HS13),
    HV12 + HT13 + HS13))</f>
        <v>173032.63067707166</v>
      </c>
      <c r="HW13" s="1">
        <f t="shared" ref="HW13:HW16" si="56">IF(HV13-HU13&gt;0, HV13-$V13*(HV13-HU13),HV13)</f>
        <v>166980.54583867369</v>
      </c>
      <c r="HX13" s="36"/>
    </row>
    <row r="14" spans="1:232" x14ac:dyDescent="0.35">
      <c r="A14">
        <f t="shared" si="0"/>
        <v>47</v>
      </c>
      <c r="B14">
        <v>2037</v>
      </c>
      <c r="C14" s="1">
        <f>IF($B14&lt;Analysis!C$66,0,$AN14)+$AT14+$AW14+$BC14+$CF14+$CA14</f>
        <v>151911.94021123304</v>
      </c>
      <c r="D14" s="1">
        <f>IF($B14&lt;Analysis!C$66, 0, BV14)+AT14+AW14+BC14+CG14+CA14</f>
        <v>27337.540472031425</v>
      </c>
      <c r="E14" s="1">
        <f t="shared" si="1"/>
        <v>488699.87468376104</v>
      </c>
      <c r="F14" s="1">
        <f t="shared" si="9"/>
        <v>458586.45960694982</v>
      </c>
      <c r="G14" s="1">
        <f>IF(AND($B14&gt;=Analysis!$C$100, $B14&lt;Analysis!$C$101),$CK14,0)+IF($B14&gt;=Analysis!$C$130,EB14,0)+CQ14+CT14+CZ14+EH14+EK14+EQ14+$FO14+$FT14</f>
        <v>469586.32197068841</v>
      </c>
      <c r="H14" s="1">
        <f t="shared" si="10"/>
        <v>386550.3880515534</v>
      </c>
      <c r="I14" s="1">
        <f>IF($B14&lt;Analysis!$C$159,0,$FW14)+$GC14+$GF14+$GL14+$HQ14+$HV14</f>
        <v>469586.32197068841</v>
      </c>
      <c r="J14" s="1">
        <f t="shared" si="2"/>
        <v>386550.3880515534</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IF($B14=$B$2,((1+Analysis!$B$16)/(1+$S14))-1,IF(B14&lt;Analysis!$C$13,U13-((Analysis!$B$16-Analysis!$C$17)/(Analysis!$C$13-$B$2)),((1+Analysis!$C$17)/(1+$S13))-1))</f>
        <v>4.510924369747904E-2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18668.375113059959</v>
      </c>
      <c r="AI14" s="1">
        <f>IF(AE14 &gt;= 0,
    MAX(0, AF13 + AE14 - Analysis!$C$7),
    0)</f>
        <v>32183.392556145831</v>
      </c>
      <c r="AJ14" s="1">
        <f t="shared" si="44"/>
        <v>350525.78908447683</v>
      </c>
      <c r="AK14" s="1">
        <f t="shared" si="20"/>
        <v>464699.87468376104</v>
      </c>
      <c r="AL14" s="1">
        <f t="shared" si="5"/>
        <v>434586.45960694982</v>
      </c>
      <c r="AM14" s="36"/>
      <c r="AN14" s="1">
        <f t="shared" si="45"/>
        <v>977054.11560158199</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-21460.015148233451</v>
      </c>
      <c r="AT14" s="1">
        <f>IF($B14&lt;Analysis!$C$66,0,IF($B14=Analysis!$C$66,-AP14-AS14,MIN(0,AT13-AS14)))</f>
        <v>-467417.4403049167</v>
      </c>
      <c r="AU14" s="64">
        <f>IF($B14&lt;Analysis!$C$66,0,IF($B14=Analysis!$C$66,Analysis!$C$72,IF(($B14-Analysis!$C$66)&lt;LOOKUP(Analysis!$C$66,$B:$B,AQ:AQ),AU13,0)))</f>
        <v>3.6999999999999998E-2</v>
      </c>
      <c r="AV14" s="1">
        <f>IF($B14&lt;Analysis!$C$66,0,IF($B14=Analysis!$C$66,-AU14*AP14,AU13*AT13))</f>
        <v>-18088.465851766556</v>
      </c>
      <c r="AW14" s="1">
        <f>IF($B14&lt;Analysis!$C$66,0,IF($B14=Analysis!$C$66,PMT(AU14,AQ14,AP14)*AQ14-AX14-AT14,IF(($B14-Analysis!$C$66+1)&lt;LOOKUP(Analysis!$C$66,$B:$B,AQ:AQ),IF(AW13-AV14&lt;0, AW13-AV14,0),0)))</f>
        <v>-158492.93223436803</v>
      </c>
      <c r="AX14" s="1">
        <f>IF($B14&lt;Analysis!$C$66,0,IF($B14=Analysis!$C$66,AS14+AV14,IF(AT13&lt;0,IF(AT13&gt;LOOKUP(Analysis!$C$66,$B:$B,AX:AX), AT13*(1+AU13),AX13),0)))</f>
        <v>-39548.481000000007</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-2931.162346804746</v>
      </c>
      <c r="BF14" s="64">
        <f>IF($B14&lt;Analysis!$C$66,0,Analysis!$C$78)</f>
        <v>3.0000000000000001E-3</v>
      </c>
      <c r="BG14" s="1">
        <f>IF($B14&lt;Analysis!$C$66,0,-BH14*AN14)</f>
        <v>-7327.9058670118648</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-124574.3997392017</v>
      </c>
      <c r="BS14" s="64">
        <f>IF($B14&lt;Analysis!C$66,0,Analysis!C$31)</f>
        <v>0.1275</v>
      </c>
      <c r="BT14" s="1">
        <f>IF($B14&lt;Analysis!$C$66,0,AN14+BR14)</f>
        <v>852479.71586238034</v>
      </c>
      <c r="BU14" s="1">
        <f>IF($B14-Analysis!$C$66&gt;3,0,IF($AN14&gt;LOOKUP(Analysis!$C$66,$B:$B, AN:AN),$V14*(LOOKUP(Analysis!$C$66,$B:$B, AN:AN)-AN14),0))</f>
        <v>0</v>
      </c>
      <c r="BV14" s="1">
        <f t="shared" si="23"/>
        <v>852479.71586238034</v>
      </c>
      <c r="BW14" s="42"/>
      <c r="BX14" s="1">
        <f>IF($B14&lt;Analysis!$C$66,$P14+$N14+$X14+$Z14,$P14+$N14+AS14+AV14+BB14+BE14+BG14+MAX(BI14,SUM(BJ14:BN14))+BP14)</f>
        <v>-115917.54921381662</v>
      </c>
      <c r="BY14" s="1">
        <f t="shared" si="24"/>
        <v>120723.1566012604</v>
      </c>
      <c r="BZ14" s="1">
        <f t="shared" si="46"/>
        <v>4805.6073874437861</v>
      </c>
      <c r="CA14" s="1">
        <f>IF(BZ14 &lt; 0,
    IF(CA13 + BZ14 &gt; 0,
        CA13 + BZ14, IF(CF13-ABS(CA13 + BZ14)*(1+$V14) &gt;= CA13 + BZ14,
        0, CA13 + BZ14)),
    MIN(CA13 + BZ14, Analysis!$C$7))+IF(CA13&lt;0, CA13*Analysis!$C$9,0)</f>
        <v>-199231.80285106419</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-22429.764045114574</v>
      </c>
      <c r="CJ14" s="1">
        <f>IF(OR($B14&lt;Analysis!$C$100, $B14&gt;=Analysis!$C$130),0,Z14)</f>
        <v>-3960</v>
      </c>
      <c r="CK14" s="1">
        <f t="shared" si="26"/>
        <v>587648.48981834261</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-11970.255800172588</v>
      </c>
      <c r="CQ14" s="1">
        <f>IF(OR($B14&lt;Analysis!$C$100, $B14&gt;=Analysis!$C$101),0,IF($B14=Analysis!$C$100,-CM14-CP14,MIN(0,CQ13-CP14)))</f>
        <v>-260722.3847357035</v>
      </c>
      <c r="CR14" s="64">
        <f>IF(OR($B14&lt;Analysis!$C$100, $B14&gt;=Analysis!$C$101),0,IF($B14=Analysis!$C$100,Analysis!$C$102,IF(($B14-Analysis!$C$100)&lt;LOOKUP(Analysis!$C$100,$B:$B,CN:CN),CR13,0)))</f>
        <v>3.6999999999999998E-2</v>
      </c>
      <c r="CS14" s="1">
        <f>IF(OR($B14&lt;Analysis!$C$100, $B14&gt;=Analysis!$C$101),0,IF($B14=Analysis!$C$100,-CR14*CM14,CR13*CQ13))</f>
        <v>-10089.627699827415</v>
      </c>
      <c r="CT14" s="1">
        <f>IF(OR($B14&lt;Analysis!$C$100, $B14&gt;=Analysis!$C$101),0,IF($B14=Analysis!$C$100,PMT(CR14,CN14,CM14)*CN14-CU14-CQ14,IF(($B14-Analysis!$C$100+1)&lt;LOOKUP(Analysis!$C$100,$B:$B,CN:CN),IF(CT13-CS14&lt;0, CT13-CS14,0),0)))</f>
        <v>-88406.318833422542</v>
      </c>
      <c r="CU14" s="1">
        <f>IF(OR($B14&lt;Analysis!$C$100, $B14&gt;=Analysis!$C$101),0,IF($B14=Analysis!$C$100,CP14+CS14,IF(CQ13&lt;0,IF(CQ13&gt;LOOKUP(Analysis!$C$100,$B:$B,CU:CU), CQ13*(1+CR13),CU13),0)))</f>
        <v>-22059.883500000004</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25348.989008930286</v>
      </c>
      <c r="DE14" s="1">
        <f t="shared" si="27"/>
        <v>-1762.9454694550279</v>
      </c>
      <c r="DF14" s="64">
        <f>IF(OR($B14&lt;Analysis!$C$100, $B14&gt;=Analysis!$C$101),0,Analysis!$C$118)</f>
        <v>3.0000000000000001E-3</v>
      </c>
      <c r="DG14" s="1">
        <f t="shared" si="28"/>
        <v>-4407.3636736375693</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-1471.9532654606442</v>
      </c>
      <c r="DR14" s="1">
        <f t="shared" si="29"/>
        <v>-19902.262408553241</v>
      </c>
      <c r="DS14" s="1">
        <f>MIN(0,-(DB14+DR14)*Analysis!$C$28)-CS14*Analysis!$C$28</f>
        <v>4470.7140337935271</v>
      </c>
      <c r="DT14" s="1">
        <f>-Analysis!$C$116*DD14/12</f>
        <v>-2112.4157507441905</v>
      </c>
      <c r="DU14" s="53"/>
      <c r="DV14" s="1">
        <f t="shared" si="30"/>
        <v>-74925.182451838686</v>
      </c>
      <c r="DW14" s="64">
        <f>IF(OR($B14&lt;Analysis!$C$100, $B14&gt;=Analysis!$C$101),0,IF($B14=Analysis!$C$100,Analysis!$C$31,DW13))</f>
        <v>0.1275</v>
      </c>
      <c r="DX14" s="1">
        <f>IF(OR($B14&lt;Analysis!$C$100, $B14&gt;=Analysis!$C$101),0,CK14+DV14)</f>
        <v>512723.30736650393</v>
      </c>
      <c r="DY14" s="1">
        <f>IF(OR($B14&lt;Analysis!$C$100, $B14&gt;=Analysis!$C$101),0,IF($B14-Analysis!$C$100&gt;3,0,IF(CK14&gt;LOOKUP(Analysis!$C$100,$B:$B, CK:CK),$V14*(LOOKUP(Analysis!$C$100,$B:$B, CK:CK)-CK14),0)))</f>
        <v>0</v>
      </c>
      <c r="DZ14" s="1">
        <f t="shared" si="49"/>
        <v>512723.30736650393</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-119843.61167061845</v>
      </c>
      <c r="FM14" s="1">
        <f>$M14+$R14+DD14+IF(AND($B14&lt;&gt;Analysis!$C$130,$B14=Analysis!$C$101),DZ13+CQ13+CT13+CZ13,0)</f>
        <v>146072.1456101907</v>
      </c>
      <c r="FN14" s="1">
        <f t="shared" si="34"/>
        <v>26228.53393957224</v>
      </c>
      <c r="FO14" s="1">
        <f>IF(FN14 &lt; 0,
    IF(FO13 + FN14 &gt; 0,
        FO13 + FN14, IF(FT13-ABS(FO13 + FN14)*(1+$V14) &gt;= FO13 + FN14,
        0, FO13 + FN14)),
    MIN(FO13 + FN14, Analysis!$C$7))+IF(FO13&lt;0, FO13*Analysis!$C$9,0)</f>
        <v>24000</v>
      </c>
      <c r="FP14" s="53"/>
      <c r="FQ14" s="1">
        <f t="shared" si="51"/>
        <v>7805.3711048279129</v>
      </c>
      <c r="FR14" s="1">
        <f>IF(OR($B14=Analysis!$C$100, $B14=Analysis!$C$130),0,IF(FN14 &gt;= 0,
    MAX(0, FO13 + FN14 - Analysis!$C$7),
    0))</f>
        <v>26228.53393957224</v>
      </c>
      <c r="FS14" s="1">
        <f>IF(OR($B14=Analysis!$C$100, $B14=Analysis!$C$130),0,MAX(0, FS13 + FR14 - IF(FN14 &lt; 0, MIN(ABS(FN14), FS13 + FR14), 0)))</f>
        <v>176314.87139049044</v>
      </c>
      <c r="FT14" s="1">
        <f>IF(OR($B14=Analysis!$C$100, $B14=Analysis!$C$130),0,IF(FN14 &lt; 0,
    IF(FN14 + FO13 &lt; 0,
        MAX(0, FT13 - (ABS(FN14 + FO13) * (1+$V13))),
        FT13 + FQ14),
    FT13 + FR14 + FQ14))</f>
        <v>207066.53572147182</v>
      </c>
      <c r="FU14" s="1">
        <f t="shared" si="55"/>
        <v>198955.78425417549</v>
      </c>
      <c r="FV14" s="36"/>
      <c r="FW14" s="1">
        <f t="shared" si="52"/>
        <v>587648.48981834261</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-11970.255800172588</v>
      </c>
      <c r="GC14" s="1">
        <f>IF($B14&lt;Analysis!$C$159,0,IF($B14=Analysis!$C$159,-FY14-GB14,MIN(0,GC13-GB14)))</f>
        <v>-260722.3847357035</v>
      </c>
      <c r="GD14" s="64">
        <f>IF($B14&lt;Analysis!$C$159,0,IF($B14=Analysis!$C$159,Analysis!$C$160,IF(($B14-Analysis!$C$159)&lt;LOOKUP(Analysis!$C$159,$B:$B,FZ:FZ),GD13,0)))</f>
        <v>3.6999999999999998E-2</v>
      </c>
      <c r="GE14" s="1">
        <f>IF($B14&lt;Analysis!$C$159,0,IF($B14=Analysis!$C$159,-GD14*FY14,GD13*GC13))</f>
        <v>-10089.627699827415</v>
      </c>
      <c r="GF14" s="1">
        <f>IF($B14&lt;Analysis!$C$159,0,IF($B14=Analysis!$C$159,PMT(GD14,FZ14,FY14)*FZ14-GG14-GC14,IF(($B14-Analysis!$C$159+1)&lt;LOOKUP(Analysis!$C$159,$B:$B,FZ:FZ),IF(GF13-GE14&lt;0, GF13-GE14,0),0)))</f>
        <v>-88406.318833422542</v>
      </c>
      <c r="GG14" s="1">
        <f>IF($B14&lt;Analysis!$C$159,0,IF($B14=Analysis!$C$159,GB14+GE14,IF(GC13&lt;0,IF(GC13&gt;LOOKUP(Analysis!$C$159,$B:$B,GG:GG), GC13*(1+GD13),GG13),0)))</f>
        <v>-22059.883500000004</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25348.989008930286</v>
      </c>
      <c r="GQ14" s="1">
        <f t="shared" si="36"/>
        <v>-1762.9454694550279</v>
      </c>
      <c r="GR14" s="64">
        <f>IF($B14&lt;Analysis!$C$159,0,Analysis!$C$178)</f>
        <v>3.0000000000000001E-3</v>
      </c>
      <c r="GS14" s="1">
        <f t="shared" si="37"/>
        <v>-4407.3636736375693</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-1471.9532654606442</v>
      </c>
      <c r="HD14" s="1">
        <f t="shared" si="38"/>
        <v>-19902.262408553241</v>
      </c>
      <c r="HE14" s="1">
        <f>MIN(0,-(GN14+HD14)*Analysis!$C$28)-GE14*Analysis!$C$28</f>
        <v>4470.7140337935271</v>
      </c>
      <c r="HF14" s="1">
        <f>-Analysis!$C$176*GP14/12</f>
        <v>-2112.4157507441905</v>
      </c>
      <c r="HG14" s="38"/>
      <c r="HH14" s="1">
        <f>IF($B14&lt;Analysis!$C$159,0,-$HI14*$FW14)</f>
        <v>-74925.182451838686</v>
      </c>
      <c r="HI14" s="64">
        <f>IF($B14&lt;Analysis!$C$159,0,IF($B14=Analysis!$C$159,Analysis!$C$31,HI13))</f>
        <v>0.1275</v>
      </c>
      <c r="HJ14" s="1">
        <f>IF($B14&lt;Analysis!$C$159,0,$FW14+HH14)</f>
        <v>512723.30736650393</v>
      </c>
      <c r="HK14" s="1">
        <f>IF($B14-Analysis!$C$159&gt;10,0,IF($FW14&gt;LOOKUP(Analysis!$C$159,$B:$B, FW:FW),$V14*(LOOKUP(Analysis!$C$159,$B:$B, FW:FW)-FW14),0))</f>
        <v>0</v>
      </c>
      <c r="HL14" s="1">
        <f t="shared" si="39"/>
        <v>512723.30736650393</v>
      </c>
      <c r="HM14" s="38"/>
      <c r="HN14" s="1">
        <f t="shared" si="40"/>
        <v>-119843.61167061845</v>
      </c>
      <c r="HO14" s="1">
        <f t="shared" si="8"/>
        <v>146072.1456101907</v>
      </c>
      <c r="HP14" s="1">
        <f t="shared" si="41"/>
        <v>26228.53393957224</v>
      </c>
      <c r="HQ14" s="1">
        <f>IF(HP14 &lt; 0,
    IF(HQ13 + HP14 &gt; 0,
        HQ13 + HP14, IF(HV13-ABS(HQ13 + HP14)*(1+$V14) &gt;= HQ13 + HP14,
        0, HQ13 + HP14)),
    MIN(HQ13 + HP14, Analysis!$C$7))+IF(HQ13&lt;0, HQ13*Analysis!$C$9,0)</f>
        <v>24000</v>
      </c>
      <c r="HR14" s="38"/>
      <c r="HS14" s="1">
        <f t="shared" si="54"/>
        <v>7805.3711048279129</v>
      </c>
      <c r="HT14" s="1">
        <f>IF($B14=Analysis!$C$159,0,IF(HP14 &gt;= 0,
    MAX(0, HQ13 + HP14 - Analysis!$C$7),
    0))</f>
        <v>26228.53393957224</v>
      </c>
      <c r="HU14" s="1">
        <f>IF($B14=Analysis!$C$159,0,MAX(0, HU13 + HT14 - IF(HP14 &lt; 0, MIN(ABS(HP14), HU13 + HT14), 0)))</f>
        <v>176314.87139049044</v>
      </c>
      <c r="HV14" s="1">
        <f>IF($B14=Analysis!$C$159,0,IF(HP14 &lt; 0,
    IF(HP14 + HQ13 &lt; 0,
        MAX(0, HV13 - (ABS(HP14 + HQ13) * (1+$V13))),
        HV13 + HS14),
    HV13 + HT14 + HS14))</f>
        <v>207066.53572147182</v>
      </c>
      <c r="HW14" s="1">
        <f t="shared" si="56"/>
        <v>198955.78425417549</v>
      </c>
      <c r="HX14" s="36"/>
    </row>
    <row r="15" spans="1:232" x14ac:dyDescent="0.35">
      <c r="A15">
        <f t="shared" si="0"/>
        <v>48</v>
      </c>
      <c r="B15">
        <v>2038</v>
      </c>
      <c r="C15" s="1">
        <f>IF($B15&lt;Analysis!C$66,0,$AN15)+$AT15+$AW15+$BC15+$CF15+$CA15</f>
        <v>206492.083271718</v>
      </c>
      <c r="D15" s="1">
        <f>IF($B15&lt;Analysis!C$66, 0, BV15)+AT15+AW15+BC15+CG15+CA15</f>
        <v>78253.730599010363</v>
      </c>
      <c r="E15" s="1">
        <f t="shared" si="1"/>
        <v>538384.19306817884</v>
      </c>
      <c r="F15" s="1">
        <f t="shared" si="9"/>
        <v>502882.05576387938</v>
      </c>
      <c r="G15" s="1">
        <f>IF(AND($B15&gt;=Analysis!$C$100, $B15&lt;Analysis!$C$101),$CK15,0)+IF($B15&gt;=Analysis!$C$130,EB15,0)+CQ15+CT15+CZ15+EH15+EK15+EQ15+$FO15+$FT15</f>
        <v>541454.09583909379</v>
      </c>
      <c r="H15" s="1">
        <f t="shared" si="10"/>
        <v>453813.30869403505</v>
      </c>
      <c r="I15" s="1">
        <f>IF($B15&lt;Analysis!$C$159,0,$FW15)+$GC15+$GF15+$GL15+$HQ15+$HV15</f>
        <v>541454.09583909379</v>
      </c>
      <c r="J15" s="1">
        <f t="shared" si="2"/>
        <v>453813.30869403505</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IF($B15=$B$2,((1+Analysis!$B$16)/(1+$S15))-1,IF(B15&lt;Analysis!$C$13,U14-((Analysis!$B$16-Analysis!$C$17)/(Analysis!$C$13-$B$2)),((1+Analysis!$C$17)/(1+$S14))-1))</f>
        <v>4.39663865546219E-2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20431.174322230592</v>
      </c>
      <c r="AI15" s="1">
        <f>IF(AE15 &gt;= 0,
    MAX(0, AF14 + AE15 - Analysis!$C$7),
    0)</f>
        <v>29253.144062187319</v>
      </c>
      <c r="AJ15" s="1">
        <f t="shared" si="44"/>
        <v>379778.93314666417</v>
      </c>
      <c r="AK15" s="1">
        <f t="shared" si="20"/>
        <v>514384.19306817889</v>
      </c>
      <c r="AL15" s="1">
        <f t="shared" si="5"/>
        <v>478882.05576387938</v>
      </c>
      <c r="AM15" s="36"/>
      <c r="AN15" s="1">
        <f t="shared" si="45"/>
        <v>1005791.0013545698</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-22254.035708718089</v>
      </c>
      <c r="AT15" s="1">
        <f>IF($B15&lt;Analysis!$C$66,0,IF($B15=Analysis!$C$66,-AP15-AS15,MIN(0,AT14-AS15)))</f>
        <v>-445163.40459619858</v>
      </c>
      <c r="AU15" s="64">
        <f>IF($B15&lt;Analysis!$C$66,0,IF($B15=Analysis!$C$66,Analysis!$C$72,IF(($B15-Analysis!$C$66)&lt;LOOKUP(Analysis!$C$66,$B:$B,AQ:AQ),AU14,0)))</f>
        <v>3.6999999999999998E-2</v>
      </c>
      <c r="AV15" s="1">
        <f>IF($B15&lt;Analysis!$C$66,0,IF($B15=Analysis!$C$66,-AU15*AP15,AU14*AT14))</f>
        <v>-17294.445291281918</v>
      </c>
      <c r="AW15" s="1">
        <f>IF($B15&lt;Analysis!$C$66,0,IF($B15=Analysis!$C$66,PMT(AU15,AQ15,AP15)*AQ15-AX15-AT15,IF(($B15-Analysis!$C$66+1)&lt;LOOKUP(Analysis!$C$66,$B:$B,AQ:AQ),IF(AW14-AV15&lt;0, AW14-AV15,0),0)))</f>
        <v>-141198.48694308611</v>
      </c>
      <c r="AX15" s="1">
        <f>IF($B15&lt;Analysis!$C$66,0,IF($B15=Analysis!$C$66,AS15+AV15,IF(AT14&lt;0,IF(AT14&gt;LOOKUP(Analysis!$C$66,$B:$B,AX:AX), AT14*(1+AU14),AX14),0)))</f>
        <v>-39548.481000000007</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-3017.3730040637097</v>
      </c>
      <c r="BF15" s="64">
        <f>IF($B15&lt;Analysis!$C$66,0,Analysis!$C$78)</f>
        <v>3.0000000000000001E-3</v>
      </c>
      <c r="BG15" s="1">
        <f>IF($B15&lt;Analysis!$C$66,0,-BH15*AN15)</f>
        <v>-7543.4325101592731</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-128238.35267270765</v>
      </c>
      <c r="BS15" s="64">
        <f>IF($B15&lt;Analysis!C$66,0,Analysis!C$31)</f>
        <v>0.1275</v>
      </c>
      <c r="BT15" s="1">
        <f>IF($B15&lt;Analysis!$C$66,0,AN15+BR15)</f>
        <v>877552.64868186216</v>
      </c>
      <c r="BU15" s="1">
        <f>IF($B15-Analysis!$C$66&gt;3,0,IF($AN15&gt;LOOKUP(Analysis!$C$66,$B:$B, AN:AN),$V15*(LOOKUP(Analysis!$C$66,$B:$B, AN:AN)-AN15),0))</f>
        <v>0</v>
      </c>
      <c r="BV15" s="1">
        <f t="shared" si="23"/>
        <v>877552.64868186216</v>
      </c>
      <c r="BW15" s="42"/>
      <c r="BX15" s="1">
        <f>IF($B15&lt;Analysis!$C$66,$P15+$N15+$X15+$Z15,$P15+$N15+AS15+AV15+BB15+BE15+BG15+MAX(BI15,SUM(BJ15:BN15))+BP15)</f>
        <v>-119969.28651422299</v>
      </c>
      <c r="BY15" s="1">
        <f t="shared" si="24"/>
        <v>122202.60704980526</v>
      </c>
      <c r="BZ15" s="1">
        <f t="shared" si="46"/>
        <v>2233.320535582272</v>
      </c>
      <c r="CA15" s="1">
        <f>IF(BZ15 &lt; 0,
    IF(CA14 + BZ15 &gt; 0,
        CA14 + BZ15, IF(CF14-ABS(CA14 + BZ15)*(1+$V15) &gt;= CA14 + BZ15,
        0, CA14 + BZ15)),
    MIN(CA14 + BZ15, Analysis!$C$7))+IF(CA14&lt;0, CA14*Analysis!$C$9,0)</f>
        <v>-212937.02654356707</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-23089.462987617946</v>
      </c>
      <c r="CJ15" s="1">
        <f>IF(OR($B15&lt;Analysis!$C$100, $B15&gt;=Analysis!$C$130),0,Z15)</f>
        <v>-3960</v>
      </c>
      <c r="CK15" s="1">
        <f t="shared" si="26"/>
        <v>604932.26893064682</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-12413.155264778974</v>
      </c>
      <c r="CQ15" s="1">
        <f>IF(OR($B15&lt;Analysis!$C$100, $B15&gt;=Analysis!$C$101),0,IF($B15=Analysis!$C$100,-CM15-CP15,MIN(0,CQ14-CP15)))</f>
        <v>-248309.22947092453</v>
      </c>
      <c r="CR15" s="64">
        <f>IF(OR($B15&lt;Analysis!$C$100, $B15&gt;=Analysis!$C$101),0,IF($B15=Analysis!$C$100,Analysis!$C$102,IF(($B15-Analysis!$C$100)&lt;LOOKUP(Analysis!$C$100,$B:$B,CN:CN),CR14,0)))</f>
        <v>3.6999999999999998E-2</v>
      </c>
      <c r="CS15" s="1">
        <f>IF(OR($B15&lt;Analysis!$C$100, $B15&gt;=Analysis!$C$101),0,IF($B15=Analysis!$C$100,-CR15*CM15,CR14*CQ14))</f>
        <v>-9646.7282352210295</v>
      </c>
      <c r="CT15" s="1">
        <f>IF(OR($B15&lt;Analysis!$C$100, $B15&gt;=Analysis!$C$101),0,IF($B15=Analysis!$C$100,PMT(CR15,CN15,CM15)*CN15-CU15-CQ15,IF(($B15-Analysis!$C$100+1)&lt;LOOKUP(Analysis!$C$100,$B:$B,CN:CN),IF(CT14-CS15&lt;0, CT14-CS15,0),0)))</f>
        <v>-78759.59059820151</v>
      </c>
      <c r="CU15" s="1">
        <f>IF(OR($B15&lt;Analysis!$C$100, $B15&gt;=Analysis!$C$101),0,IF($B15=Analysis!$C$100,CP15+CS15,IF(CQ14&lt;0,IF(CQ14&gt;LOOKUP(Analysis!$C$100,$B:$B,CU:CU), CQ14*(1+CR14),CU14),0)))</f>
        <v>-22059.883500000004</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25978.076920957647</v>
      </c>
      <c r="DE15" s="1">
        <f t="shared" si="27"/>
        <v>-1814.7968067919405</v>
      </c>
      <c r="DF15" s="64">
        <f>IF(OR($B15&lt;Analysis!$C$100, $B15&gt;=Analysis!$C$101),0,Analysis!$C$118)</f>
        <v>3.0000000000000001E-3</v>
      </c>
      <c r="DG15" s="1">
        <f t="shared" si="28"/>
        <v>-4536.9920169798506</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-1515.246008562428</v>
      </c>
      <c r="DR15" s="1">
        <f t="shared" si="29"/>
        <v>-20127.034832334219</v>
      </c>
      <c r="DS15" s="1">
        <f>MIN(0,-(DB15+DR15)*Analysis!$C$28)-CS15*Analysis!$C$28</f>
        <v>4240.6809966469054</v>
      </c>
      <c r="DT15" s="1">
        <f>-Analysis!$C$116*DD15/12</f>
        <v>-2164.8397434131371</v>
      </c>
      <c r="DU15" s="53"/>
      <c r="DV15" s="1">
        <f t="shared" si="30"/>
        <v>-77128.864288657467</v>
      </c>
      <c r="DW15" s="64">
        <f>IF(OR($B15&lt;Analysis!$C$100, $B15&gt;=Analysis!$C$101),0,IF($B15=Analysis!$C$100,Analysis!$C$31,DW14))</f>
        <v>0.1275</v>
      </c>
      <c r="DX15" s="1">
        <f>IF(OR($B15&lt;Analysis!$C$100, $B15&gt;=Analysis!$C$101),0,CK15+DV15)</f>
        <v>527803.40464198939</v>
      </c>
      <c r="DY15" s="1">
        <f>IF(OR($B15&lt;Analysis!$C$100, $B15&gt;=Analysis!$C$101),0,IF($B15-Analysis!$C$100&gt;3,0,IF(CK15&gt;LOOKUP(Analysis!$C$100,$B:$B, CK:CK),$V15*(LOOKUP(Analysis!$C$100,$B:$B, CK:CK)-CK15),0)))</f>
        <v>0</v>
      </c>
      <c r="DZ15" s="1">
        <f t="shared" si="49"/>
        <v>527803.40464198939</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-124760.54006671841</v>
      </c>
      <c r="FM15" s="1">
        <f>$M15+$R15+DD15+IF(AND($B15&lt;&gt;Analysis!$C$130,$B15=Analysis!$C$101),DZ14+CQ14+CT14+CZ14,0)</f>
        <v>148180.68397076291</v>
      </c>
      <c r="FN15" s="1">
        <f t="shared" si="34"/>
        <v>23420.143904044497</v>
      </c>
      <c r="FO15" s="1">
        <f>IF(FN15 &lt; 0,
    IF(FO14 + FN15 &gt; 0,
        FO14 + FN15, IF(FT14-ABS(FO14 + FN15)*(1+$V15) &gt;= FO14 + FN15,
        0, FO14 + FN15)),
    MIN(FO14 + FN15, Analysis!$C$7))+IF(FO14&lt;0, FO14*Analysis!$C$9,0)</f>
        <v>24000</v>
      </c>
      <c r="FP15" s="53"/>
      <c r="FQ15" s="1">
        <f t="shared" si="51"/>
        <v>9103.9673520566539</v>
      </c>
      <c r="FR15" s="1">
        <f>IF(OR($B15=Analysis!$C$100, $B15=Analysis!$C$130),0,IF(FN15 &gt;= 0,
    MAX(0, FO14 + FN15 - Analysis!$C$7),
    0))</f>
        <v>23420.143904044497</v>
      </c>
      <c r="FS15" s="1">
        <f>IF(OR($B15=Analysis!$C$100, $B15=Analysis!$C$130),0,MAX(0, FS14 + FR15 - IF(FN15 &lt; 0, MIN(ABS(FN15), FS14 + FR15), 0)))</f>
        <v>199735.01529453494</v>
      </c>
      <c r="FT15" s="1">
        <f>IF(OR($B15=Analysis!$C$100, $B15=Analysis!$C$130),0,IF(FN15 &lt; 0,
    IF(FN15 + FO14 &lt; 0,
        MAX(0, FT14 - (ABS(FN15 + FO14) * (1+$V14))),
        FT14 + FQ15),
    FT14 + FR15 + FQ15))</f>
        <v>239590.64697757296</v>
      </c>
      <c r="FU15" s="1">
        <f t="shared" si="55"/>
        <v>229078.72412117169</v>
      </c>
      <c r="FV15" s="36"/>
      <c r="FW15" s="1">
        <f t="shared" si="52"/>
        <v>604932.26893064682</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-12413.155264778974</v>
      </c>
      <c r="GC15" s="1">
        <f>IF($B15&lt;Analysis!$C$159,0,IF($B15=Analysis!$C$159,-FY15-GB15,MIN(0,GC14-GB15)))</f>
        <v>-248309.22947092453</v>
      </c>
      <c r="GD15" s="64">
        <f>IF($B15&lt;Analysis!$C$159,0,IF($B15=Analysis!$C$159,Analysis!$C$160,IF(($B15-Analysis!$C$159)&lt;LOOKUP(Analysis!$C$159,$B:$B,FZ:FZ),GD14,0)))</f>
        <v>3.6999999999999998E-2</v>
      </c>
      <c r="GE15" s="1">
        <f>IF($B15&lt;Analysis!$C$159,0,IF($B15=Analysis!$C$159,-GD15*FY15,GD14*GC14))</f>
        <v>-9646.7282352210295</v>
      </c>
      <c r="GF15" s="1">
        <f>IF($B15&lt;Analysis!$C$159,0,IF($B15=Analysis!$C$159,PMT(GD15,FZ15,FY15)*FZ15-GG15-GC15,IF(($B15-Analysis!$C$159+1)&lt;LOOKUP(Analysis!$C$159,$B:$B,FZ:FZ),IF(GF14-GE15&lt;0, GF14-GE15,0),0)))</f>
        <v>-78759.59059820151</v>
      </c>
      <c r="GG15" s="1">
        <f>IF($B15&lt;Analysis!$C$159,0,IF($B15=Analysis!$C$159,GB15+GE15,IF(GC14&lt;0,IF(GC14&gt;LOOKUP(Analysis!$C$159,$B:$B,GG:GG), GC14*(1+GD14),GG14),0)))</f>
        <v>-22059.883500000004</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25978.076920957647</v>
      </c>
      <c r="GQ15" s="1">
        <f t="shared" si="36"/>
        <v>-1814.7968067919405</v>
      </c>
      <c r="GR15" s="64">
        <f>IF($B15&lt;Analysis!$C$159,0,Analysis!$C$178)</f>
        <v>3.0000000000000001E-3</v>
      </c>
      <c r="GS15" s="1">
        <f t="shared" si="37"/>
        <v>-4536.9920169798506</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-1515.246008562428</v>
      </c>
      <c r="HD15" s="1">
        <f t="shared" si="38"/>
        <v>-20127.034832334219</v>
      </c>
      <c r="HE15" s="1">
        <f>MIN(0,-(GN15+HD15)*Analysis!$C$28)-GE15*Analysis!$C$28</f>
        <v>4240.6809966469054</v>
      </c>
      <c r="HF15" s="1">
        <f>-Analysis!$C$176*GP15/12</f>
        <v>-2164.8397434131371</v>
      </c>
      <c r="HG15" s="38"/>
      <c r="HH15" s="1">
        <f>IF($B15&lt;Analysis!$C$159,0,-$HI15*$FW15)</f>
        <v>-77128.864288657467</v>
      </c>
      <c r="HI15" s="64">
        <f>IF($B15&lt;Analysis!$C$159,0,IF($B15=Analysis!$C$159,Analysis!$C$31,HI14))</f>
        <v>0.1275</v>
      </c>
      <c r="HJ15" s="1">
        <f>IF($B15&lt;Analysis!$C$159,0,$FW15+HH15)</f>
        <v>527803.40464198939</v>
      </c>
      <c r="HK15" s="1">
        <f>IF($B15-Analysis!$C$159&gt;10,0,IF($FW15&gt;LOOKUP(Analysis!$C$159,$B:$B, FW:FW),$V15*(LOOKUP(Analysis!$C$159,$B:$B, FW:FW)-FW15),0))</f>
        <v>0</v>
      </c>
      <c r="HL15" s="1">
        <f t="shared" si="39"/>
        <v>527803.40464198939</v>
      </c>
      <c r="HM15" s="38"/>
      <c r="HN15" s="1">
        <f t="shared" si="40"/>
        <v>-124760.54006671841</v>
      </c>
      <c r="HO15" s="1">
        <f t="shared" si="8"/>
        <v>148180.68397076291</v>
      </c>
      <c r="HP15" s="1">
        <f t="shared" si="41"/>
        <v>23420.143904044497</v>
      </c>
      <c r="HQ15" s="1">
        <f>IF(HP15 &lt; 0,
    IF(HQ14 + HP15 &gt; 0,
        HQ14 + HP15, IF(HV14-ABS(HQ14 + HP15)*(1+$V15) &gt;= HQ14 + HP15,
        0, HQ14 + HP15)),
    MIN(HQ14 + HP15, Analysis!$C$7))+IF(HQ14&lt;0, HQ14*Analysis!$C$9,0)</f>
        <v>24000</v>
      </c>
      <c r="HR15" s="38"/>
      <c r="HS15" s="1">
        <f t="shared" si="54"/>
        <v>9103.9673520566539</v>
      </c>
      <c r="HT15" s="1">
        <f>IF($B15=Analysis!$C$159,0,IF(HP15 &gt;= 0,
    MAX(0, HQ14 + HP15 - Analysis!$C$7),
    0))</f>
        <v>23420.143904044497</v>
      </c>
      <c r="HU15" s="1">
        <f>IF($B15=Analysis!$C$159,0,MAX(0, HU14 + HT15 - IF(HP15 &lt; 0, MIN(ABS(HP15), HU14 + HT15), 0)))</f>
        <v>199735.01529453494</v>
      </c>
      <c r="HV15" s="1">
        <f>IF($B15=Analysis!$C$159,0,IF(HP15 &lt; 0,
    IF(HP15 + HQ14 &lt; 0,
        MAX(0, HV14 - (ABS(HP15 + HQ14) * (1+$V14))),
        HV14 + HS15),
    HV14 + HT15 + HS15))</f>
        <v>239590.64697757296</v>
      </c>
      <c r="HW15" s="1">
        <f t="shared" si="56"/>
        <v>229078.72412117169</v>
      </c>
      <c r="HX15" s="36"/>
    </row>
    <row r="16" spans="1:232" x14ac:dyDescent="0.35">
      <c r="A16">
        <f t="shared" si="0"/>
        <v>49</v>
      </c>
      <c r="B16">
        <v>2039</v>
      </c>
      <c r="C16" s="1">
        <f>IF($B16&lt;Analysis!C$66,0,$AN16)+$AT16+$AW16+$BC16+$CF16+$CA16</f>
        <v>262007.98000080817</v>
      </c>
      <c r="D16" s="1">
        <f>IF($B16&lt;Analysis!C$66, 0, BV16)+AT16+AW16+BC16+CG16+CA16</f>
        <v>129997.91107302092</v>
      </c>
      <c r="E16" s="1">
        <f t="shared" si="1"/>
        <v>590483.56286733889</v>
      </c>
      <c r="F16" s="1">
        <f t="shared" si="9"/>
        <v>549171.60739180283</v>
      </c>
      <c r="G16" s="1">
        <f>IF(AND($B16&gt;=Analysis!$C$100, $B16&lt;Analysis!$C$101),$CK16,0)+IF($B16&gt;=Analysis!$C$130,EB16,0)+CQ16+CT16+CZ16+EH16+EK16+EQ16+$FO16+$FT16</f>
        <v>615802.80602006661</v>
      </c>
      <c r="H16" s="1">
        <f t="shared" si="10"/>
        <v>523187.41697674355</v>
      </c>
      <c r="I16" s="1">
        <f>IF($B16&lt;Analysis!$C$159,0,$FW16)+$GC16+$GF16+$GL16+$HQ16+$HV16</f>
        <v>615802.80602006661</v>
      </c>
      <c r="J16" s="1">
        <f t="shared" si="2"/>
        <v>523187.41697674355</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IF($B16=$B$2,((1+Analysis!$B$16)/(1+$S16))-1,IF(B16&lt;Analysis!$C$13,U15-((Analysis!$B$16-Analysis!$C$17)/(Analysis!$C$13-$B$2)),((1+Analysis!$C$17)/(1+$S15))-1))</f>
        <v>4.282352941176476E-2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22027.746620802041</v>
      </c>
      <c r="AI16" s="1">
        <f>IF(AE16 &gt;= 0,
    MAX(0, AF15 + AE16 - Analysis!$C$7),
    0)</f>
        <v>30071.623178357928</v>
      </c>
      <c r="AJ16" s="1">
        <f t="shared" si="44"/>
        <v>409850.55632502213</v>
      </c>
      <c r="AK16" s="1">
        <f t="shared" si="20"/>
        <v>566483.56286733889</v>
      </c>
      <c r="AL16" s="1">
        <f t="shared" si="5"/>
        <v>525171.60739180283</v>
      </c>
      <c r="AM16" s="36"/>
      <c r="AN16" s="1">
        <f t="shared" si="45"/>
        <v>1035373.0896297044</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-23077.435029940661</v>
      </c>
      <c r="AT16" s="1">
        <f>IF($B16&lt;Analysis!$C$66,0,IF($B16=Analysis!$C$66,-AP16-AS16,MIN(0,AT15-AS16)))</f>
        <v>-422085.9695662579</v>
      </c>
      <c r="AU16" s="64">
        <f>IF($B16&lt;Analysis!$C$66,0,IF($B16=Analysis!$C$66,Analysis!$C$72,IF(($B16-Analysis!$C$66)&lt;LOOKUP(Analysis!$C$66,$B:$B,AQ:AQ),AU15,0)))</f>
        <v>3.6999999999999998E-2</v>
      </c>
      <c r="AV16" s="1">
        <f>IF($B16&lt;Analysis!$C$66,0,IF($B16=Analysis!$C$66,-AU16*AP16,AU15*AT15))</f>
        <v>-16471.045970059346</v>
      </c>
      <c r="AW16" s="1">
        <f>IF($B16&lt;Analysis!$C$66,0,IF($B16=Analysis!$C$66,PMT(AU16,AQ16,AP16)*AQ16-AX16-AT16,IF(($B16-Analysis!$C$66+1)&lt;LOOKUP(Analysis!$C$66,$B:$B,AQ:AQ),IF(AW15-AV16&lt;0, AW15-AV16,0),0)))</f>
        <v>-124727.44097302677</v>
      </c>
      <c r="AX16" s="1">
        <f>IF($B16&lt;Analysis!$C$66,0,IF($B16=Analysis!$C$66,AS16+AV16,IF(AT15&lt;0,IF(AT15&gt;LOOKUP(Analysis!$C$66,$B:$B,AX:AX), AT15*(1+AU15),AX15),0)))</f>
        <v>-39548.481000000007</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-3106.1192688891133</v>
      </c>
      <c r="BF16" s="64">
        <f>IF($B16&lt;Analysis!$C$66,0,Analysis!$C$78)</f>
        <v>3.0000000000000001E-3</v>
      </c>
      <c r="BG16" s="1">
        <f>IF($B16&lt;Analysis!$C$66,0,-BH16*AN16)</f>
        <v>-7765.2981722227823</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-132010.0689277873</v>
      </c>
      <c r="BS16" s="64">
        <f>IF($B16&lt;Analysis!C$66,0,Analysis!C$31)</f>
        <v>0.1275</v>
      </c>
      <c r="BT16" s="1">
        <f>IF($B16&lt;Analysis!$C$66,0,AN16+BR16)</f>
        <v>903363.02070191712</v>
      </c>
      <c r="BU16" s="1">
        <f>IF($B16-Analysis!$C$66&gt;3,0,IF($AN16&gt;LOOKUP(Analysis!$C$66,$B:$B, AN:AN),$V16*(LOOKUP(Analysis!$C$66,$B:$B, AN:AN)-AN16),0))</f>
        <v>0</v>
      </c>
      <c r="BV16" s="1">
        <f t="shared" si="23"/>
        <v>903363.02070191712</v>
      </c>
      <c r="BW16" s="42"/>
      <c r="BX16" s="1">
        <f>IF($B16&lt;Analysis!$C$66,$P16+$N16+$X16+$Z16,$P16+$N16+AS16+AV16+BB16+BE16+BG16+MAX(BI16,SUM(BJ16:BN16))+BP16)</f>
        <v>-120279.89844111192</v>
      </c>
      <c r="BY16" s="1">
        <f t="shared" si="24"/>
        <v>123700.18801855287</v>
      </c>
      <c r="BZ16" s="1">
        <f t="shared" si="46"/>
        <v>3420.2895774409553</v>
      </c>
      <c r="CA16" s="1">
        <f>IF(BZ16 &lt; 0,
    IF(CA15 + BZ16 &gt; 0,
        CA15 + BZ16, IF(CF15-ABS(CA15 + BZ16)*(1+$V16) &gt;= CA15 + BZ16,
        0, CA15 + BZ16)),
    MIN(CA15 + BZ16, Analysis!$C$7))+IF(CA15&lt;0, CA15*Analysis!$C$9,0)</f>
        <v>-226551.6990896115</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-23768.564840194947</v>
      </c>
      <c r="CJ16" s="1">
        <f>IF(OR($B16&lt;Analysis!$C$100, $B16&gt;=Analysis!$C$130),0,Z16)</f>
        <v>-3960</v>
      </c>
      <c r="CK16" s="1">
        <f t="shared" si="26"/>
        <v>622724.39448743057</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-12872.442009575796</v>
      </c>
      <c r="CQ16" s="1">
        <f>IF(OR($B16&lt;Analysis!$C$100, $B16&gt;=Analysis!$C$101),0,IF($B16=Analysis!$C$100,-CM16-CP16,MIN(0,CQ15-CP16)))</f>
        <v>-235436.78746134875</v>
      </c>
      <c r="CR16" s="64">
        <f>IF(OR($B16&lt;Analysis!$C$100, $B16&gt;=Analysis!$C$101),0,IF($B16=Analysis!$C$100,Analysis!$C$102,IF(($B16-Analysis!$C$100)&lt;LOOKUP(Analysis!$C$100,$B:$B,CN:CN),CR15,0)))</f>
        <v>3.6999999999999998E-2</v>
      </c>
      <c r="CS16" s="1">
        <f>IF(OR($B16&lt;Analysis!$C$100, $B16&gt;=Analysis!$C$101),0,IF($B16=Analysis!$C$100,-CR16*CM16,CR15*CQ15))</f>
        <v>-9187.4414904242076</v>
      </c>
      <c r="CT16" s="1">
        <f>IF(OR($B16&lt;Analysis!$C$100, $B16&gt;=Analysis!$C$101),0,IF($B16=Analysis!$C$100,PMT(CR16,CN16,CM16)*CN16-CU16-CQ16,IF(($B16-Analysis!$C$100+1)&lt;LOOKUP(Analysis!$C$100,$B:$B,CN:CN),IF(CT15-CS16&lt;0, CT15-CS16,0),0)))</f>
        <v>-69572.14910777731</v>
      </c>
      <c r="CU16" s="1">
        <f>IF(OR($B16&lt;Analysis!$C$100, $B16&gt;=Analysis!$C$101),0,IF($B16=Analysis!$C$100,CP16+CS16,IF(CQ15&lt;0,IF(CQ15&gt;LOOKUP(Analysis!$C$100,$B:$B,CU:CU), CQ15*(1+CR15),CU15),0)))</f>
        <v>-22059.883500000004</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26625.667418632875</v>
      </c>
      <c r="DE16" s="1">
        <f t="shared" si="27"/>
        <v>-1868.1731834622917</v>
      </c>
      <c r="DF16" s="64">
        <f>IF(OR($B16&lt;Analysis!$C$100, $B16&gt;=Analysis!$C$101),0,Analysis!$C$118)</f>
        <v>3.0000000000000001E-3</v>
      </c>
      <c r="DG16" s="1">
        <f t="shared" si="28"/>
        <v>-4670.4329586557287</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-1559.8120676377937</v>
      </c>
      <c r="DR16" s="1">
        <f t="shared" si="29"/>
        <v>-20358.418209755815</v>
      </c>
      <c r="DS16" s="1">
        <f>MIN(0,-(DB16+DR16)*Analysis!$C$28)-CS16*Analysis!$C$28</f>
        <v>3876.4007375456822</v>
      </c>
      <c r="DT16" s="1">
        <f>-Analysis!$C$116*DD16/12</f>
        <v>-2218.8056182194064</v>
      </c>
      <c r="DU16" s="53"/>
      <c r="DV16" s="1">
        <f t="shared" si="30"/>
        <v>-79397.360297147403</v>
      </c>
      <c r="DW16" s="64">
        <f>IF(OR($B16&lt;Analysis!$C$100, $B16&gt;=Analysis!$C$101),0,IF($B16=Analysis!$C$100,Analysis!$C$31,DW15))</f>
        <v>0.1275</v>
      </c>
      <c r="DX16" s="1">
        <f>IF(OR($B16&lt;Analysis!$C$100, $B16&gt;=Analysis!$C$101),0,CK16+DV16)</f>
        <v>543327.03419028316</v>
      </c>
      <c r="DY16" s="1">
        <f>IF(OR($B16&lt;Analysis!$C$100, $B16&gt;=Analysis!$C$101),0,IF($B16-Analysis!$C$100&gt;3,0,IF(CK16&gt;LOOKUP(Analysis!$C$100,$B:$B, CK:CK),$V16*(LOOKUP(Analysis!$C$100,$B:$B, CK:CK)-CK16),0)))</f>
        <v>0</v>
      </c>
      <c r="DZ16" s="1">
        <f t="shared" si="49"/>
        <v>543327.03419028316</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-126089.27143062447</v>
      </c>
      <c r="FM16" s="1">
        <f>$M16+$R16+DD16+IF(AND($B16&lt;&gt;Analysis!$C$130,$B16=Analysis!$C$101),DZ15+CQ15+CT15+CZ15,0)</f>
        <v>150325.85543718573</v>
      </c>
      <c r="FN16" s="1">
        <f t="shared" si="34"/>
        <v>24236.584006561257</v>
      </c>
      <c r="FO16" s="1">
        <f>IF(FN16 &lt; 0,
    IF(FO15 + FN16 &gt; 0,
        FO15 + FN16, IF(FT15-ABS(FO15 + FN16)*(1+$V16) &gt;= FO15 + FN16,
        0, FO15 + FN16)),
    MIN(FO15 + FN16, Analysis!$C$7))+IF(FO15&lt;0, FO15*Analysis!$C$9,0)</f>
        <v>24000</v>
      </c>
      <c r="FP16" s="53"/>
      <c r="FQ16" s="1">
        <f t="shared" si="51"/>
        <v>10260.117117627844</v>
      </c>
      <c r="FR16" s="1">
        <f>IF(OR($B16=Analysis!$C$100, $B16=Analysis!$C$130),0,IF(FN16 &gt;= 0,
    MAX(0, FO15 + FN16 - Analysis!$C$7),
    0))</f>
        <v>24236.584006561257</v>
      </c>
      <c r="FS16" s="1">
        <f>IF(OR($B16=Analysis!$C$100, $B16=Analysis!$C$130),0,MAX(0, FS15 + FR16 - IF(FN16 &lt; 0, MIN(ABS(FN16), FS15 + FR16), 0)))</f>
        <v>223971.5993010962</v>
      </c>
      <c r="FT16" s="1">
        <f>IF(OR($B16=Analysis!$C$100, $B16=Analysis!$C$130),0,IF(FN16 &lt; 0,
    IF(FN16 + FO15 &lt; 0,
        MAX(0, FT15 - (ABS(FN16 + FO15) * (1+$V15))),
        FT15 + FQ16),
    FT15 + FR16 + FQ16))</f>
        <v>274087.34810176212</v>
      </c>
      <c r="FU16" s="1">
        <f t="shared" si="55"/>
        <v>260869.31935558649</v>
      </c>
      <c r="FV16" s="36"/>
      <c r="FW16" s="1">
        <f t="shared" si="52"/>
        <v>622724.39448743057</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-12872.442009575796</v>
      </c>
      <c r="GC16" s="1">
        <f>IF($B16&lt;Analysis!$C$159,0,IF($B16=Analysis!$C$159,-FY16-GB16,MIN(0,GC15-GB16)))</f>
        <v>-235436.78746134875</v>
      </c>
      <c r="GD16" s="64">
        <f>IF($B16&lt;Analysis!$C$159,0,IF($B16=Analysis!$C$159,Analysis!$C$160,IF(($B16-Analysis!$C$159)&lt;LOOKUP(Analysis!$C$159,$B:$B,FZ:FZ),GD15,0)))</f>
        <v>3.6999999999999998E-2</v>
      </c>
      <c r="GE16" s="1">
        <f>IF($B16&lt;Analysis!$C$159,0,IF($B16=Analysis!$C$159,-GD16*FY16,GD15*GC15))</f>
        <v>-9187.4414904242076</v>
      </c>
      <c r="GF16" s="1">
        <f>IF($B16&lt;Analysis!$C$159,0,IF($B16=Analysis!$C$159,PMT(GD16,FZ16,FY16)*FZ16-GG16-GC16,IF(($B16-Analysis!$C$159+1)&lt;LOOKUP(Analysis!$C$159,$B:$B,FZ:FZ),IF(GF15-GE16&lt;0, GF15-GE16,0),0)))</f>
        <v>-69572.14910777731</v>
      </c>
      <c r="GG16" s="1">
        <f>IF($B16&lt;Analysis!$C$159,0,IF($B16=Analysis!$C$159,GB16+GE16,IF(GC15&lt;0,IF(GC15&gt;LOOKUP(Analysis!$C$159,$B:$B,GG:GG), GC15*(1+GD15),GG15),0)))</f>
        <v>-22059.883500000004</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26625.667418632875</v>
      </c>
      <c r="GQ16" s="1">
        <f t="shared" si="36"/>
        <v>-1868.1731834622917</v>
      </c>
      <c r="GR16" s="64">
        <f>IF($B16&lt;Analysis!$C$159,0,Analysis!$C$178)</f>
        <v>3.0000000000000001E-3</v>
      </c>
      <c r="GS16" s="1">
        <f t="shared" si="37"/>
        <v>-4670.4329586557287</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-1559.8120676377937</v>
      </c>
      <c r="HD16" s="1">
        <f t="shared" si="38"/>
        <v>-20358.418209755815</v>
      </c>
      <c r="HE16" s="1">
        <f>MIN(0,-(GN16+HD16)*Analysis!$C$28)-GE16*Analysis!$C$28</f>
        <v>3876.4007375456822</v>
      </c>
      <c r="HF16" s="1">
        <f>-Analysis!$C$176*GP16/12</f>
        <v>-2218.8056182194064</v>
      </c>
      <c r="HG16" s="38"/>
      <c r="HH16" s="1">
        <f>IF($B16&lt;Analysis!$C$159,0,-$HI16*$FW16)</f>
        <v>-79397.360297147403</v>
      </c>
      <c r="HI16" s="64">
        <f>IF($B16&lt;Analysis!$C$159,0,IF($B16=Analysis!$C$159,Analysis!$C$31,HI15))</f>
        <v>0.1275</v>
      </c>
      <c r="HJ16" s="1">
        <f>IF($B16&lt;Analysis!$C$159,0,$FW16+HH16)</f>
        <v>543327.03419028316</v>
      </c>
      <c r="HK16" s="1">
        <f>IF($B16-Analysis!$C$159&gt;10,0,IF($FW16&gt;LOOKUP(Analysis!$C$159,$B:$B, FW:FW),$V16*(LOOKUP(Analysis!$C$159,$B:$B, FW:FW)-FW16),0))</f>
        <v>0</v>
      </c>
      <c r="HL16" s="1">
        <f t="shared" si="39"/>
        <v>543327.03419028316</v>
      </c>
      <c r="HM16" s="38"/>
      <c r="HN16" s="1">
        <f t="shared" si="40"/>
        <v>-126089.27143062447</v>
      </c>
      <c r="HO16" s="1">
        <f t="shared" si="8"/>
        <v>150325.85543718573</v>
      </c>
      <c r="HP16" s="1">
        <f t="shared" si="41"/>
        <v>24236.584006561257</v>
      </c>
      <c r="HQ16" s="1">
        <f>IF(HP16 &lt; 0,
    IF(HQ15 + HP16 &gt; 0,
        HQ15 + HP16, IF(HV15-ABS(HQ15 + HP16)*(1+$V16) &gt;= HQ15 + HP16,
        0, HQ15 + HP16)),
    MIN(HQ15 + HP16, Analysis!$C$7))+IF(HQ15&lt;0, HQ15*Analysis!$C$9,0)</f>
        <v>24000</v>
      </c>
      <c r="HR16" s="38"/>
      <c r="HS16" s="1">
        <f t="shared" si="54"/>
        <v>10260.117117627844</v>
      </c>
      <c r="HT16" s="1">
        <f>IF($B16=Analysis!$C$159,0,IF(HP16 &gt;= 0,
    MAX(0, HQ15 + HP16 - Analysis!$C$7),
    0))</f>
        <v>24236.584006561257</v>
      </c>
      <c r="HU16" s="1">
        <f>IF($B16=Analysis!$C$159,0,MAX(0, HU15 + HT16 - IF(HP16 &lt; 0, MIN(ABS(HP16), HU15 + HT16), 0)))</f>
        <v>223971.5993010962</v>
      </c>
      <c r="HV16" s="1">
        <f>IF($B16=Analysis!$C$159,0,IF(HP16 &lt; 0,
    IF(HP16 + HQ15 &lt; 0,
        MAX(0, HV15 - (ABS(HP16 + HQ15) * (1+$V15))),
        HV15 + HS16),
    HV15 + HT16 + HS16))</f>
        <v>274087.34810176212</v>
      </c>
      <c r="HW16" s="1">
        <f t="shared" si="56"/>
        <v>260869.31935558649</v>
      </c>
      <c r="HX16" s="36"/>
    </row>
    <row r="17" spans="1:232" x14ac:dyDescent="0.35">
      <c r="A17">
        <f t="shared" si="0"/>
        <v>50</v>
      </c>
      <c r="B17">
        <v>2040</v>
      </c>
      <c r="C17" s="1">
        <f>IF($B17&lt;Analysis!C$66,0,$AN17)+$AT17+$AW17+$BC17+$CF17+$CA17</f>
        <v>318500.9504509723</v>
      </c>
      <c r="D17" s="1">
        <f>IF($B17&lt;Analysis!C$66, 0, BV17)+AT17+AW17+BC17+CG17+CA17</f>
        <v>182608.23243707366</v>
      </c>
      <c r="E17" s="1">
        <f t="shared" si="1"/>
        <v>644983.4600155151</v>
      </c>
      <c r="F17" s="1">
        <f t="shared" si="9"/>
        <v>597443.99364129792</v>
      </c>
      <c r="G17" s="1">
        <f>IF(AND($B17&gt;=Analysis!$C$100, $B17&lt;Analysis!$C$101),$CK17,0)+IF($B17&gt;=Analysis!$C$130,EB17,0)+CQ17+CT17+CZ17+EH17+EK17+EQ17+$FO17+$FT17</f>
        <v>692652.05679733143</v>
      </c>
      <c r="H17" s="1">
        <f t="shared" si="10"/>
        <v>594688.33304958185</v>
      </c>
      <c r="I17" s="1">
        <f>IF($B17&lt;Analysis!$C$159,0,$FW17)+$GC17+$GF17+$GL17+$HQ17+$HV17</f>
        <v>692652.05679733143</v>
      </c>
      <c r="J17" s="1">
        <f t="shared" si="2"/>
        <v>594688.33304958185</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IF($B17=$B$2,((1+Analysis!$B$16)/(1+$S17))-1,IF(B17&lt;Analysis!$C$13,U16-((Analysis!$B$16-Analysis!$C$17)/(Analysis!$C$13-$B$2)),((1+Analysis!$C$17)/(1+$S16))-1))</f>
        <v>4.168067226890762E-2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23611.41572959668</v>
      </c>
      <c r="AI17" s="1">
        <f>IF(AE17 &gt;= 0,
    MAX(0, AF16 + AE17 - Analysis!$C$7),
    0)</f>
        <v>30888.48141857954</v>
      </c>
      <c r="AJ17" s="1">
        <f t="shared" si="44"/>
        <v>440739.03774360166</v>
      </c>
      <c r="AK17" s="1">
        <f t="shared" si="20"/>
        <v>620983.4600155151</v>
      </c>
      <c r="AL17" s="1">
        <f t="shared" si="5"/>
        <v>573443.99364129792</v>
      </c>
      <c r="AM17" s="36"/>
      <c r="AN17" s="1">
        <f t="shared" si="45"/>
        <v>1065825.2393246959</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-23931.300126048467</v>
      </c>
      <c r="AT17" s="1">
        <f>IF($B17&lt;Analysis!$C$66,0,IF($B17=Analysis!$C$66,-AP17-AS17,MIN(0,AT16-AS17)))</f>
        <v>-398154.66944020946</v>
      </c>
      <c r="AU17" s="64">
        <f>IF($B17&lt;Analysis!$C$66,0,IF($B17=Analysis!$C$66,Analysis!$C$72,IF(($B17-Analysis!$C$66)&lt;LOOKUP(Analysis!$C$66,$B:$B,AQ:AQ),AU16,0)))</f>
        <v>3.6999999999999998E-2</v>
      </c>
      <c r="AV17" s="1">
        <f>IF($B17&lt;Analysis!$C$66,0,IF($B17=Analysis!$C$66,-AU17*AP17,AU16*AT16))</f>
        <v>-15617.180873951542</v>
      </c>
      <c r="AW17" s="1">
        <f>IF($B17&lt;Analysis!$C$66,0,IF($B17=Analysis!$C$66,PMT(AU17,AQ17,AP17)*AQ17-AX17-AT17,IF(($B17-Analysis!$C$66+1)&lt;LOOKUP(Analysis!$C$66,$B:$B,AQ:AQ),IF(AW16-AV17&lt;0, AW16-AV17,0),0)))</f>
        <v>-109110.26009907523</v>
      </c>
      <c r="AX17" s="1">
        <f>IF($B17&lt;Analysis!$C$66,0,IF($B17=Analysis!$C$66,AS17+AV17,IF(AT16&lt;0,IF(AT16&gt;LOOKUP(Analysis!$C$66,$B:$B,AX:AX), AT16*(1+AU16),AX16),0)))</f>
        <v>-39548.481000000007</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-3197.4757179740877</v>
      </c>
      <c r="BF17" s="64">
        <f>IF($B17&lt;Analysis!$C$66,0,Analysis!$C$78)</f>
        <v>3.0000000000000001E-3</v>
      </c>
      <c r="BG17" s="1">
        <f>IF($B17&lt;Analysis!$C$66,0,-BH17*AN17)</f>
        <v>-7993.6892949352186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-135892.71801389873</v>
      </c>
      <c r="BS17" s="64">
        <f>IF($B17&lt;Analysis!C$66,0,Analysis!C$31)</f>
        <v>0.1275</v>
      </c>
      <c r="BT17" s="1">
        <f>IF($B17&lt;Analysis!$C$66,0,AN17+BR17)</f>
        <v>929932.52131079719</v>
      </c>
      <c r="BU17" s="1">
        <f>IF($B17-Analysis!$C$66&gt;3,0,IF($AN17&gt;LOOKUP(Analysis!$C$66,$B:$B, AN:AN),$V17*(LOOKUP(Analysis!$C$66,$B:$B, AN:AN)-AN17),0))</f>
        <v>0</v>
      </c>
      <c r="BV17" s="1">
        <f t="shared" si="23"/>
        <v>929932.52131079719</v>
      </c>
      <c r="BW17" s="42"/>
      <c r="BX17" s="1">
        <f>IF($B17&lt;Analysis!$C$66,$P17+$N17+$X17+$Z17,$P17+$N17+AS17+AV17+BB17+BE17+BG17+MAX(BI17,SUM(BJ17:BN17))+BP17)</f>
        <v>-120599.64601290932</v>
      </c>
      <c r="BY17" s="1">
        <f t="shared" si="24"/>
        <v>125216.12169525081</v>
      </c>
      <c r="BZ17" s="1">
        <f t="shared" si="46"/>
        <v>4616.4756823414937</v>
      </c>
      <c r="CA17" s="1">
        <f>IF(BZ17 &lt; 0,
    IF(CA16 + BZ17 &gt; 0,
        CA16 + BZ17, IF(CF16-ABS(CA16 + BZ17)*(1+$V17) &gt;= CA16 + BZ17,
        0, CA16 + BZ17)),
    MIN(CA16 + BZ17, Analysis!$C$7))+IF(CA16&lt;0, CA16*Analysis!$C$9,0)</f>
        <v>-240059.35933443892</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26"/>
        <v>641039.81785470806</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-13348.722363930101</v>
      </c>
      <c r="CQ17" s="1">
        <f>IF(OR($B17&lt;Analysis!$C$100, $B17&gt;=Analysis!$C$101),0,IF($B17=Analysis!$C$100,-CM17-CP17,MIN(0,CQ16-CP17)))</f>
        <v>-222088.06509741864</v>
      </c>
      <c r="CR17" s="64">
        <f>IF(OR($B17&lt;Analysis!$C$100, $B17&gt;=Analysis!$C$101),0,IF($B17=Analysis!$C$100,Analysis!$C$102,IF(($B17-Analysis!$C$100)&lt;LOOKUP(Analysis!$C$100,$B:$B,CN:CN),CR16,0)))</f>
        <v>3.6999999999999998E-2</v>
      </c>
      <c r="CS17" s="1">
        <f>IF(OR($B17&lt;Analysis!$C$100, $B17&gt;=Analysis!$C$101),0,IF($B17=Analysis!$C$100,-CR17*CM17,CR16*CQ16))</f>
        <v>-8711.1611360699026</v>
      </c>
      <c r="CT17" s="1">
        <f>IF(OR($B17&lt;Analysis!$C$100, $B17&gt;=Analysis!$C$101),0,IF($B17=Analysis!$C$100,PMT(CR17,CN17,CM17)*CN17-CU17-CQ17,IF(($B17-Analysis!$C$100+1)&lt;LOOKUP(Analysis!$C$100,$B:$B,CN:CN),IF(CT16-CS17&lt;0, CT16-CS17,0),0)))</f>
        <v>-60860.987971707407</v>
      </c>
      <c r="CU17" s="1">
        <f>IF(OR($B17&lt;Analysis!$C$100, $B17&gt;=Analysis!$C$101),0,IF($B17=Analysis!$C$100,CP17+CS17,IF(CQ16&lt;0,IF(CQ16&gt;LOOKUP(Analysis!$C$100,$B:$B,CU:CU), CQ16*(1+CR16),CU16),0)))</f>
        <v>-22059.883500000004</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27292.304695651488</v>
      </c>
      <c r="DE17" s="1">
        <f t="shared" si="27"/>
        <v>-1923.1194535641241</v>
      </c>
      <c r="DF17" s="64">
        <f>IF(OR($B17&lt;Analysis!$C$100, $B17&gt;=Analysis!$C$101),0,Analysis!$C$118)</f>
        <v>3.0000000000000001E-3</v>
      </c>
      <c r="DG17" s="1">
        <f t="shared" si="28"/>
        <v>-4807.7986339103099</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-1605.6888931565525</v>
      </c>
      <c r="DR17" s="1">
        <f t="shared" si="29"/>
        <v>-20596.606980630986</v>
      </c>
      <c r="DS17" s="1">
        <f>MIN(0,-(DB17+DR17)*Analysis!$C$28)-CS17*Analysis!$C$28</f>
        <v>3499.8620717412514</v>
      </c>
      <c r="DT17" s="1">
        <f>-Analysis!$C$116*DD17/12</f>
        <v>-2274.3587246376242</v>
      </c>
      <c r="DU17" s="53"/>
      <c r="DV17" s="1">
        <f t="shared" si="30"/>
        <v>-81732.576776475282</v>
      </c>
      <c r="DW17" s="64">
        <f>IF(OR($B17&lt;Analysis!$C$100, $B17&gt;=Analysis!$C$101),0,IF($B17=Analysis!$C$100,Analysis!$C$31,DW16))</f>
        <v>0.1275</v>
      </c>
      <c r="DX17" s="1">
        <f>IF(OR($B17&lt;Analysis!$C$100, $B17&gt;=Analysis!$C$101),0,CK17+DV17)</f>
        <v>559307.24107823276</v>
      </c>
      <c r="DY17" s="1">
        <f>IF(OR($B17&lt;Analysis!$C$100, $B17&gt;=Analysis!$C$101),0,IF($B17-Analysis!$C$100&gt;3,0,IF(CK17&gt;LOOKUP(Analysis!$C$100,$B:$B, CK:CK),$V17*(LOOKUP(Analysis!$C$100,$B:$B, CK:CK)-CK17),0)))</f>
        <v>0</v>
      </c>
      <c r="DZ17" s="1">
        <f t="shared" si="49"/>
        <v>559307.24107823276</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-127458.62741019863</v>
      </c>
      <c r="FM17" s="1">
        <f>$M17+$R17+DD17+IF(AND($B17&lt;&gt;Analysis!$C$130,$B17=Analysis!$C$101),DZ16+CQ16+CT16+CZ16,0)</f>
        <v>152508.42639090231</v>
      </c>
      <c r="FN17" s="1">
        <f t="shared" si="34"/>
        <v>25049.798980703679</v>
      </c>
      <c r="FO17" s="1">
        <f>IF(FN17 &lt; 0,
    IF(FO16 + FN17 &gt; 0,
        FO16 + FN17, IF(FT16-ABS(FO16 + FN17)*(1+$V17) &gt;= FO16 + FN17,
        0, FO16 + FN17)),
    MIN(FO16 + FN17, Analysis!$C$7))+IF(FO16&lt;0, FO16*Analysis!$C$9,0)</f>
        <v>24000</v>
      </c>
      <c r="FP17" s="53"/>
      <c r="FQ17" s="1">
        <f t="shared" si="51"/>
        <v>11424.144929283546</v>
      </c>
      <c r="FR17" s="1">
        <f>IF(OR($B17=Analysis!$C$100, $B17=Analysis!$C$130),0,IF(FN17 &gt;= 0,
    MAX(0, FO16 + FN17 - Analysis!$C$7),
    0))</f>
        <v>25049.798980703679</v>
      </c>
      <c r="FS17" s="1">
        <f>IF(OR($B17=Analysis!$C$100, $B17=Analysis!$C$130),0,MAX(0, FS16 + FR17 - IF(FN17 &lt; 0, MIN(ABS(FN17), FS16 + FR17), 0)))</f>
        <v>249021.39828179986</v>
      </c>
      <c r="FT17" s="1">
        <f>IF(OR($B17=Analysis!$C$100, $B17=Analysis!$C$130),0,IF(FN17 &lt; 0,
    IF(FN17 + FO16 &lt; 0,
        MAX(0, FT16 - (ABS(FN17 + FO16) * (1+$V16))),
        FT16 + FQ17),
    FT16 + FR17 + FQ17))</f>
        <v>310561.29201174935</v>
      </c>
      <c r="FU17" s="1">
        <f>IF(FT17-FS17&gt;0, FT17-$V17*(FT17-FS17),FT17)</f>
        <v>294330.14504047518</v>
      </c>
      <c r="FV17" s="36"/>
      <c r="FW17" s="1">
        <f t="shared" si="52"/>
        <v>641039.81785470806</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-13348.722363930101</v>
      </c>
      <c r="GC17" s="1">
        <f>IF($B17&lt;Analysis!$C$159,0,IF($B17=Analysis!$C$159,-FY17-GB17,MIN(0,GC16-GB17)))</f>
        <v>-222088.06509741864</v>
      </c>
      <c r="GD17" s="64">
        <f>IF($B17&lt;Analysis!$C$159,0,IF($B17=Analysis!$C$159,Analysis!$C$160,IF(($B17-Analysis!$C$159)&lt;LOOKUP(Analysis!$C$159,$B:$B,FZ:FZ),GD16,0)))</f>
        <v>3.6999999999999998E-2</v>
      </c>
      <c r="GE17" s="1">
        <f>IF($B17&lt;Analysis!$C$159,0,IF($B17=Analysis!$C$159,-GD17*FY17,GD16*GC16))</f>
        <v>-8711.1611360699026</v>
      </c>
      <c r="GF17" s="1">
        <f>IF($B17&lt;Analysis!$C$159,0,IF($B17=Analysis!$C$159,PMT(GD17,FZ17,FY17)*FZ17-GG17-GC17,IF(($B17-Analysis!$C$159+1)&lt;LOOKUP(Analysis!$C$159,$B:$B,FZ:FZ),IF(GF16-GE17&lt;0, GF16-GE17,0),0)))</f>
        <v>-60860.987971707407</v>
      </c>
      <c r="GG17" s="1">
        <f>IF($B17&lt;Analysis!$C$159,0,IF($B17=Analysis!$C$159,GB17+GE17,IF(GC16&lt;0,IF(GC16&gt;LOOKUP(Analysis!$C$159,$B:$B,GG:GG), GC16*(1+GD16),GG16),0)))</f>
        <v>-22059.883500000004</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27292.304695651488</v>
      </c>
      <c r="GQ17" s="1">
        <f t="shared" si="36"/>
        <v>-1923.1194535641241</v>
      </c>
      <c r="GR17" s="64">
        <f>IF($B17&lt;Analysis!$C$159,0,Analysis!$C$178)</f>
        <v>3.0000000000000001E-3</v>
      </c>
      <c r="GS17" s="1">
        <f t="shared" si="37"/>
        <v>-4807.7986339103099</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-1605.6888931565525</v>
      </c>
      <c r="HD17" s="1">
        <f t="shared" si="38"/>
        <v>-20596.606980630986</v>
      </c>
      <c r="HE17" s="1">
        <f>MIN(0,-(GN17+HD17)*Analysis!$C$28)-GE17*Analysis!$C$28</f>
        <v>3499.8620717412514</v>
      </c>
      <c r="HF17" s="1">
        <f>-Analysis!$C$176*GP17/12</f>
        <v>-2274.3587246376242</v>
      </c>
      <c r="HG17" s="38"/>
      <c r="HH17" s="1">
        <f>IF($B17&lt;Analysis!$C$159,0,-$HI17*$FW17)</f>
        <v>-81732.576776475282</v>
      </c>
      <c r="HI17" s="64">
        <f>IF($B17&lt;Analysis!$C$159,0,IF($B17=Analysis!$C$159,Analysis!$C$31,HI16))</f>
        <v>0.1275</v>
      </c>
      <c r="HJ17" s="1">
        <f>IF($B17&lt;Analysis!$C$159,0,$FW17+HH17)</f>
        <v>559307.24107823276</v>
      </c>
      <c r="HK17" s="1">
        <f>IF($B17-Analysis!$C$159&gt;10,0,IF($FW17&gt;LOOKUP(Analysis!$C$159,$B:$B, FW:FW),$V17*(LOOKUP(Analysis!$C$159,$B:$B, FW:FW)-FW17),0))</f>
        <v>0</v>
      </c>
      <c r="HL17" s="1">
        <f t="shared" si="39"/>
        <v>559307.24107823276</v>
      </c>
      <c r="HM17" s="38"/>
      <c r="HN17" s="1">
        <f t="shared" si="40"/>
        <v>-127458.62741019863</v>
      </c>
      <c r="HO17" s="1">
        <f t="shared" si="8"/>
        <v>152508.42639090231</v>
      </c>
      <c r="HP17" s="1">
        <f t="shared" si="41"/>
        <v>25049.798980703679</v>
      </c>
      <c r="HQ17" s="1">
        <f>IF(HP17 &lt; 0,
    IF(HQ16 + HP17 &gt; 0,
        HQ16 + HP17, IF(HV16-ABS(HQ16 + HP17)*(1+$V17) &gt;= HQ16 + HP17,
        0, HQ16 + HP17)),
    MIN(HQ16 + HP17, Analysis!$C$7))+IF(HQ16&lt;0, HQ16*Analysis!$C$9,0)</f>
        <v>24000</v>
      </c>
      <c r="HR17" s="38"/>
      <c r="HS17" s="1">
        <f t="shared" si="54"/>
        <v>11424.144929283546</v>
      </c>
      <c r="HT17" s="1">
        <f>IF($B17=Analysis!$C$159,0,IF(HP17 &gt;= 0,
    MAX(0, HQ16 + HP17 - Analysis!$C$7),
    0))</f>
        <v>25049.798980703679</v>
      </c>
      <c r="HU17" s="1">
        <f>IF($B17=Analysis!$C$159,0,MAX(0, HU16 + HT17 - IF(HP17 &lt; 0, MIN(ABS(HP17), HU16 + HT17), 0)))</f>
        <v>249021.39828179986</v>
      </c>
      <c r="HV17" s="1">
        <f>IF($B17=Analysis!$C$159,0,IF(HP17 &lt; 0,
    IF(HP17 + HQ16 &lt; 0,
        MAX(0, HV16 - (ABS(HP17 + HQ16) * (1+$V16))),
        HV16 + HS17),
    HV16 + HT17 + HS17))</f>
        <v>310561.29201174935</v>
      </c>
      <c r="HW17" s="1">
        <f>IF(HV17-HU17&gt;0, HV17-$V17*(HV17-HU17),HV17)</f>
        <v>294330.14504047518</v>
      </c>
      <c r="HX17" s="36"/>
    </row>
    <row r="18" spans="1:232" x14ac:dyDescent="0.35">
      <c r="A18">
        <f t="shared" si="0"/>
        <v>51</v>
      </c>
      <c r="B18">
        <v>2041</v>
      </c>
      <c r="C18" s="1">
        <f>IF($B18&lt;Analysis!C$66,0,$AN18)+$AT18+$AW18+$BC18+$CF18+$CA18</f>
        <v>376014.31892630807</v>
      </c>
      <c r="D18" s="1">
        <f>IF($B18&lt;Analysis!C$66, 0, BV18)+AT18+AW18+BC18+CG18+CA18</f>
        <v>236124.75626494177</v>
      </c>
      <c r="E18" s="1">
        <f t="shared" si="1"/>
        <v>701860.12894909806</v>
      </c>
      <c r="F18" s="1">
        <f t="shared" si="9"/>
        <v>647681.20135066623</v>
      </c>
      <c r="G18" s="1">
        <f>IF(AND($B18&gt;=Analysis!$C$100, $B18&lt;Analysis!$C$101),$CK18,0)+IF($B18&gt;=Analysis!$C$130,EB18,0)+CQ18+CT18+CZ18+EH18+EK18+EQ18+$FO18+$FT18</f>
        <v>772014.85078450595</v>
      </c>
      <c r="H18" s="1">
        <f t="shared" si="10"/>
        <v>668326.75336126925</v>
      </c>
      <c r="I18" s="1">
        <f>IF($B18&lt;Analysis!$C$159,0,$FW18)+$GC18+$GF18+$GL18+$HQ18+$HV18</f>
        <v>772014.85078450595</v>
      </c>
      <c r="J18" s="1">
        <f t="shared" si="2"/>
        <v>668326.75336126925</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IF($B18=$B$2,((1+Analysis!$B$16)/(1+$S18))-1,IF(B18&lt;Analysis!$C$13,U17-((Analysis!$B$16-Analysis!$C$17)/(Analysis!$C$13-$B$2)),((1+Analysis!$C$17)/(1+$S17))-1))</f>
        <v>4.053781512605048E-2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25173.312698444111</v>
      </c>
      <c r="AI18" s="1">
        <f>IF(AE18 &gt;= 0,
    MAX(0, AF17 + AE18 - Analysis!$C$7),
    0)</f>
        <v>31703.356235138839</v>
      </c>
      <c r="AJ18" s="1">
        <f t="shared" si="44"/>
        <v>472442.3939787405</v>
      </c>
      <c r="AK18" s="1">
        <f t="shared" si="20"/>
        <v>677860.12894909806</v>
      </c>
      <c r="AL18" s="1">
        <f t="shared" si="5"/>
        <v>623681.20135066623</v>
      </c>
      <c r="AM18" s="36"/>
      <c r="AN18" s="1">
        <f t="shared" si="45"/>
        <v>1097173.0404813047</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-24816.758230712258</v>
      </c>
      <c r="AT18" s="1">
        <f>IF($B18&lt;Analysis!$C$66,0,IF($B18=Analysis!$C$66,-AP18-AS18,MIN(0,AT17-AS18)))</f>
        <v>-373337.91120949719</v>
      </c>
      <c r="AU18" s="64">
        <f>IF($B18&lt;Analysis!$C$66,0,IF($B18=Analysis!$C$66,Analysis!$C$72,IF(($B18-Analysis!$C$66)&lt;LOOKUP(Analysis!$C$66,$B:$B,AQ:AQ),AU17,0)))</f>
        <v>3.6999999999999998E-2</v>
      </c>
      <c r="AV18" s="1">
        <f>IF($B18&lt;Analysis!$C$66,0,IF($B18=Analysis!$C$66,-AU18*AP18,AU17*AT17))</f>
        <v>-14731.72276928775</v>
      </c>
      <c r="AW18" s="1">
        <f>IF($B18&lt;Analysis!$C$66,0,IF($B18=Analysis!$C$66,PMT(AU18,AQ18,AP18)*AQ18-AX18-AT18,IF(($B18-Analysis!$C$66+1)&lt;LOOKUP(Analysis!$C$66,$B:$B,AQ:AQ),IF(AW17-AV18&lt;0, AW17-AV18,0),0)))</f>
        <v>-94378.537329787476</v>
      </c>
      <c r="AX18" s="1">
        <f>IF($B18&lt;Analysis!$C$66,0,IF($B18=Analysis!$C$66,AS18+AV18,IF(AT17&lt;0,IF(AT17&gt;LOOKUP(Analysis!$C$66,$B:$B,AX:AX), AT17*(1+AU17),AX17),0)))</f>
        <v>-39548.481000000007</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-3291.5191214439142</v>
      </c>
      <c r="BF18" s="64">
        <f>IF($B18&lt;Analysis!$C$66,0,Analysis!$C$78)</f>
        <v>3.0000000000000001E-3</v>
      </c>
      <c r="BG18" s="1">
        <f>IF($B18&lt;Analysis!$C$66,0,-BH18*AN18)</f>
        <v>-8228.7978036097848</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-139889.56266136636</v>
      </c>
      <c r="BS18" s="64">
        <f>IF($B18&lt;Analysis!C$66,0,Analysis!C$31)</f>
        <v>0.1275</v>
      </c>
      <c r="BT18" s="1">
        <f>IF($B18&lt;Analysis!$C$66,0,AN18+BR18)</f>
        <v>957283.47781993845</v>
      </c>
      <c r="BU18" s="1">
        <f>IF($B18-Analysis!$C$66&gt;3,0,IF($AN18&gt;LOOKUP(Analysis!$C$66,$B:$B, AN:AN),$V18*(LOOKUP(Analysis!$C$66,$B:$B, AN:AN)-AN18),0))</f>
        <v>0</v>
      </c>
      <c r="BV18" s="1">
        <f t="shared" si="23"/>
        <v>957283.47781993845</v>
      </c>
      <c r="BW18" s="42"/>
      <c r="BX18" s="1">
        <f>IF($B18&lt;Analysis!$C$66,$P18+$N18+$X18+$Z18,$P18+$N18+AS18+AV18+BB18+BE18+BG18+MAX(BI18,SUM(BJ18:BN18))+BP18)</f>
        <v>-120928.79792505372</v>
      </c>
      <c r="BY18" s="1">
        <f t="shared" si="24"/>
        <v>126750.63299053574</v>
      </c>
      <c r="BZ18" s="1">
        <f t="shared" si="46"/>
        <v>5821.8350654820242</v>
      </c>
      <c r="CA18" s="1">
        <f>IF(BZ18 &lt; 0,
    IF(CA17 + BZ18 &gt; 0,
        CA17 + BZ18, IF(CF17-ABS(CA17 + BZ18)*(1+$V18) &gt;= CA17 + BZ18,
        0, CA17 + BZ18)),
    MIN(CA17 + BZ18, Analysis!$C$7))+IF(CA17&lt;0, CA17*Analysis!$C$9,0)</f>
        <v>-253442.27301571204</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26"/>
        <v>659893.93014455249</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-13842.625091395514</v>
      </c>
      <c r="CQ18" s="1">
        <f>IF(OR($B18&lt;Analysis!$C$100, $B18&gt;=Analysis!$C$101),0,IF($B18=Analysis!$C$100,-CM18-CP18,MIN(0,CQ17-CP18)))</f>
        <v>-208245.44000602313</v>
      </c>
      <c r="CR18" s="64">
        <f>IF(OR($B18&lt;Analysis!$C$100, $B18&gt;=Analysis!$C$101),0,IF($B18=Analysis!$C$100,Analysis!$C$102,IF(($B18-Analysis!$C$100)&lt;LOOKUP(Analysis!$C$100,$B:$B,CN:CN),CR17,0)))</f>
        <v>3.6999999999999998E-2</v>
      </c>
      <c r="CS18" s="1">
        <f>IF(OR($B18&lt;Analysis!$C$100, $B18&gt;=Analysis!$C$101),0,IF($B18=Analysis!$C$100,-CR18*CM18,CR17*CQ17))</f>
        <v>-8217.2584086044899</v>
      </c>
      <c r="CT18" s="1">
        <f>IF(OR($B18&lt;Analysis!$C$100, $B18&gt;=Analysis!$C$101),0,IF($B18=Analysis!$C$100,PMT(CR18,CN18,CM18)*CN18-CU18-CQ18,IF(($B18-Analysis!$C$100+1)&lt;LOOKUP(Analysis!$C$100,$B:$B,CN:CN),IF(CT17-CS18&lt;0, CT17-CS18,0),0)))</f>
        <v>-52643.729563102919</v>
      </c>
      <c r="CU18" s="1">
        <f>IF(OR($B18&lt;Analysis!$C$100, $B18&gt;=Analysis!$C$101),0,IF($B18=Analysis!$C$100,CP18+CS18,IF(CQ17&lt;0,IF(CQ17&gt;LOOKUP(Analysis!$C$100,$B:$B,CU:CU), CQ17*(1+CR17),CU17),0)))</f>
        <v>-22059.883500000004</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27978.548951405948</v>
      </c>
      <c r="DE18" s="1">
        <f t="shared" si="27"/>
        <v>-1979.6817904336576</v>
      </c>
      <c r="DF18" s="64">
        <f>IF(OR($B18&lt;Analysis!$C$100, $B18&gt;=Analysis!$C$101),0,Analysis!$C$118)</f>
        <v>3.0000000000000001E-3</v>
      </c>
      <c r="DG18" s="1">
        <f t="shared" si="28"/>
        <v>-4949.2044760841436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-1652.9150370729219</v>
      </c>
      <c r="DR18" s="1">
        <f t="shared" si="29"/>
        <v>-20841.801303590724</v>
      </c>
      <c r="DS18" s="1">
        <f>MIN(0,-(DB18+DR18)*Analysis!$C$28)-CS18*Analysis!$C$28</f>
        <v>3110.6473194468767</v>
      </c>
      <c r="DT18" s="1">
        <f>-Analysis!$C$116*DD18/12</f>
        <v>-2331.5457459504955</v>
      </c>
      <c r="DU18" s="53"/>
      <c r="DV18" s="1">
        <f t="shared" si="30"/>
        <v>-84136.47609343045</v>
      </c>
      <c r="DW18" s="64">
        <f>IF(OR($B18&lt;Analysis!$C$100, $B18&gt;=Analysis!$C$101),0,IF($B18=Analysis!$C$100,Analysis!$C$31,DW17))</f>
        <v>0.1275</v>
      </c>
      <c r="DX18" s="1">
        <f>IF(OR($B18&lt;Analysis!$C$100, $B18&gt;=Analysis!$C$101),0,CK18+DV18)</f>
        <v>575757.45405112207</v>
      </c>
      <c r="DY18" s="1">
        <f>IF(OR($B18&lt;Analysis!$C$100, $B18&gt;=Analysis!$C$101),0,IF($B18-Analysis!$C$100&gt;3,0,IF(CK18&gt;LOOKUP(Analysis!$C$100,$B:$B, CK:CK),$V18*(LOOKUP(Analysis!$C$100,$B:$B, CK:CK)-CK18),0)))</f>
        <v>0</v>
      </c>
      <c r="DZ18" s="1">
        <f t="shared" si="49"/>
        <v>575757.45405112207</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-128869.85998549126</v>
      </c>
      <c r="FM18" s="1">
        <f>$M18+$R18+DD18+IF(AND($B18&lt;&gt;Analysis!$C$130,$B18=Analysis!$C$101),DZ17+CQ17+CT17+CZ17,0)</f>
        <v>154729.1819419417</v>
      </c>
      <c r="FN18" s="1">
        <f t="shared" si="34"/>
        <v>25859.32195645044</v>
      </c>
      <c r="FO18" s="1">
        <f>IF(FN18 &lt; 0,
    IF(FO17 + FN18 &gt; 0,
        FO17 + FN18, IF(FT17-ABS(FO17 + FN18)*(1+$V18) &gt;= FO17 + FN18,
        0, FO17 + FN18)),
    MIN(FO17 + FN18, Analysis!$C$7))+IF(FO17&lt;0, FO17*Analysis!$C$9,0)</f>
        <v>24000</v>
      </c>
      <c r="FP18" s="53"/>
      <c r="FQ18" s="1">
        <f t="shared" si="51"/>
        <v>12589.476240879672</v>
      </c>
      <c r="FR18" s="1">
        <f>IF(OR($B18=Analysis!$C$100, $B18=Analysis!$C$130),0,IF(FN18 &gt;= 0,
    MAX(0, FO17 + FN18 - Analysis!$C$7),
    0))</f>
        <v>25859.32195645044</v>
      </c>
      <c r="FS18" s="1">
        <f>IF(OR($B18=Analysis!$C$100, $B18=Analysis!$C$130),0,MAX(0, FS17 + FR18 - IF(FN18 &lt; 0, MIN(ABS(FN18), FS17 + FR18), 0)))</f>
        <v>274880.72023825033</v>
      </c>
      <c r="FT18" s="1">
        <f>IF(OR($B18=Analysis!$C$100, $B18=Analysis!$C$130),0,IF(FN18 &lt; 0,
    IF(FN18 + FO17 &lt; 0,
        MAX(0, FT17 - (ABS(FN18 + FO17) * (1+$V17))),
        FT17 + FQ18),
    FT17 + FR18 + FQ18))</f>
        <v>349010.0902090795</v>
      </c>
      <c r="FU18" s="1">
        <f>IF(FT18-FS18&gt;0, FT18-$V18*(FT18-FS18),FT18)</f>
        <v>329458.46887927328</v>
      </c>
      <c r="FV18" s="36"/>
      <c r="FW18" s="1">
        <f t="shared" si="52"/>
        <v>659893.93014455249</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-13842.625091395514</v>
      </c>
      <c r="GC18" s="1">
        <f>IF($B18&lt;Analysis!$C$159,0,IF($B18=Analysis!$C$159,-FY18-GB18,MIN(0,GC17-GB18)))</f>
        <v>-208245.44000602313</v>
      </c>
      <c r="GD18" s="64">
        <f>IF($B18&lt;Analysis!$C$159,0,IF($B18=Analysis!$C$159,Analysis!$C$160,IF(($B18-Analysis!$C$159)&lt;LOOKUP(Analysis!$C$159,$B:$B,FZ:FZ),GD17,0)))</f>
        <v>3.6999999999999998E-2</v>
      </c>
      <c r="GE18" s="1">
        <f>IF($B18&lt;Analysis!$C$159,0,IF($B18=Analysis!$C$159,-GD18*FY18,GD17*GC17))</f>
        <v>-8217.2584086044899</v>
      </c>
      <c r="GF18" s="1">
        <f>IF($B18&lt;Analysis!$C$159,0,IF($B18=Analysis!$C$159,PMT(GD18,FZ18,FY18)*FZ18-GG18-GC18,IF(($B18-Analysis!$C$159+1)&lt;LOOKUP(Analysis!$C$159,$B:$B,FZ:FZ),IF(GF17-GE18&lt;0, GF17-GE18,0),0)))</f>
        <v>-52643.729563102919</v>
      </c>
      <c r="GG18" s="1">
        <f>IF($B18&lt;Analysis!$C$159,0,IF($B18=Analysis!$C$159,GB18+GE18,IF(GC17&lt;0,IF(GC17&gt;LOOKUP(Analysis!$C$159,$B:$B,GG:GG), GC17*(1+GD17),GG17),0)))</f>
        <v>-22059.883500000004</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27978.548951405948</v>
      </c>
      <c r="GQ18" s="1">
        <f t="shared" si="36"/>
        <v>-1979.6817904336576</v>
      </c>
      <c r="GR18" s="64">
        <f>IF($B18&lt;Analysis!$C$159,0,Analysis!$C$178)</f>
        <v>3.0000000000000001E-3</v>
      </c>
      <c r="GS18" s="1">
        <f t="shared" si="37"/>
        <v>-4949.2044760841436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-1652.9150370729219</v>
      </c>
      <c r="HD18" s="1">
        <f t="shared" si="38"/>
        <v>-20841.801303590724</v>
      </c>
      <c r="HE18" s="1">
        <f>MIN(0,-(GN18+HD18)*Analysis!$C$28)-GE18*Analysis!$C$28</f>
        <v>3110.6473194468767</v>
      </c>
      <c r="HF18" s="1">
        <f>-Analysis!$C$176*GP18/12</f>
        <v>-2331.5457459504955</v>
      </c>
      <c r="HG18" s="38"/>
      <c r="HH18" s="1">
        <f>IF($B18&lt;Analysis!$C$159,0,-$HI18*$FW18)</f>
        <v>-84136.47609343045</v>
      </c>
      <c r="HI18" s="64">
        <f>IF($B18&lt;Analysis!$C$159,0,IF($B18=Analysis!$C$159,Analysis!$C$31,HI17))</f>
        <v>0.1275</v>
      </c>
      <c r="HJ18" s="1">
        <f>IF($B18&lt;Analysis!$C$159,0,$FW18+HH18)</f>
        <v>575757.45405112207</v>
      </c>
      <c r="HK18" s="1">
        <f>IF($B18-Analysis!$C$159&gt;10,0,IF($FW18&gt;LOOKUP(Analysis!$C$159,$B:$B, FW:FW),$V18*(LOOKUP(Analysis!$C$159,$B:$B, FW:FW)-FW18),0))</f>
        <v>0</v>
      </c>
      <c r="HL18" s="1">
        <f t="shared" si="39"/>
        <v>575757.45405112207</v>
      </c>
      <c r="HM18" s="38"/>
      <c r="HN18" s="1">
        <f t="shared" si="40"/>
        <v>-128869.85998549126</v>
      </c>
      <c r="HO18" s="1">
        <f t="shared" si="8"/>
        <v>154729.1819419417</v>
      </c>
      <c r="HP18" s="1">
        <f t="shared" si="41"/>
        <v>25859.32195645044</v>
      </c>
      <c r="HQ18" s="1">
        <f>IF(HP18 &lt; 0,
    IF(HQ17 + HP18 &gt; 0,
        HQ17 + HP18, IF(HV17-ABS(HQ17 + HP18)*(1+$V18) &gt;= HQ17 + HP18,
        0, HQ17 + HP18)),
    MIN(HQ17 + HP18, Analysis!$C$7))+IF(HQ17&lt;0, HQ17*Analysis!$C$9,0)</f>
        <v>24000</v>
      </c>
      <c r="HR18" s="38"/>
      <c r="HS18" s="1">
        <f t="shared" si="54"/>
        <v>12589.476240879672</v>
      </c>
      <c r="HT18" s="1">
        <f>IF($B18=Analysis!$C$159,0,IF(HP18 &gt;= 0,
    MAX(0, HQ17 + HP18 - Analysis!$C$7),
    0))</f>
        <v>25859.32195645044</v>
      </c>
      <c r="HU18" s="1">
        <f>IF($B18=Analysis!$C$159,0,MAX(0, HU17 + HT18 - IF(HP18 &lt; 0, MIN(ABS(HP18), HU17 + HT18), 0)))</f>
        <v>274880.72023825033</v>
      </c>
      <c r="HV18" s="1">
        <f>IF($B18=Analysis!$C$159,0,IF(HP18 &lt; 0,
    IF(HP18 + HQ17 &lt; 0,
        MAX(0, HV17 - (ABS(HP18 + HQ17) * (1+$V17))),
        HV17 + HS18),
    HV17 + HT18 + HS18))</f>
        <v>349010.0902090795</v>
      </c>
      <c r="HW18" s="1">
        <f>IF(HV18-HU18&gt;0, HV18-$V18*(HV18-HU18),HV18)</f>
        <v>329458.46887927328</v>
      </c>
      <c r="HX18" s="36"/>
    </row>
    <row r="19" spans="1:232" x14ac:dyDescent="0.35">
      <c r="A19">
        <f t="shared" si="0"/>
        <v>52</v>
      </c>
      <c r="B19">
        <v>2042</v>
      </c>
      <c r="C19" s="1">
        <f>IF($B19&lt;Analysis!C$66,0,$AN19)+$AT19+$AW19+$BC19+$CF19+$CA19</f>
        <v>434593.53218883643</v>
      </c>
      <c r="D19" s="1">
        <f>IF($B19&lt;Analysis!C$66, 0, BV19)+AT19+AW19+BC19+CG19+CA19</f>
        <v>290589.57062566507</v>
      </c>
      <c r="E19" s="1">
        <f t="shared" si="1"/>
        <v>761080.27080592338</v>
      </c>
      <c r="F19" s="1">
        <f t="shared" si="9"/>
        <v>699858.09165253025</v>
      </c>
      <c r="G19" s="1">
        <f>IF(AND($B19&gt;=Analysis!$C$100, $B19&lt;Analysis!$C$101),$CK19,0)+IF($B19&gt;=Analysis!$C$130,EB19,0)+CQ19+CT19+CZ19+EH19+EK19+EQ19+$FO19+$FT19</f>
        <v>853897.28348768153</v>
      </c>
      <c r="H19" s="1">
        <f t="shared" si="10"/>
        <v>744108.22234623542</v>
      </c>
      <c r="I19" s="1">
        <f>IF($B19&lt;Analysis!$C$159,0,$FW19)+$GC19+$GF19+$GL19+$HQ19+$HV19</f>
        <v>853897.28348768153</v>
      </c>
      <c r="J19" s="1">
        <f t="shared" si="2"/>
        <v>744108.22234623542</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IF($B19=$B$2,((1+Analysis!$B$16)/(1+$S19))-1,IF(B19&lt;Analysis!$C$13,U18-((Analysis!$B$16-Analysis!$C$17)/(Analysis!$C$13-$B$2)),((1+Analysis!$C$17)/(1+$S18))-1))</f>
        <v>3.9394957983193341E-2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26704.271298431737</v>
      </c>
      <c r="AI19" s="1">
        <f>IF(AE19 &gt;= 0,
    MAX(0, AF18 + AE19 - Analysis!$C$7),
    0)</f>
        <v>32515.870558393523</v>
      </c>
      <c r="AJ19" s="1">
        <f t="shared" si="44"/>
        <v>504958.26453713403</v>
      </c>
      <c r="AK19" s="1">
        <f t="shared" si="20"/>
        <v>737080.27080592338</v>
      </c>
      <c r="AL19" s="1">
        <f t="shared" si="5"/>
        <v>675858.09165253025</v>
      </c>
      <c r="AM19" s="36"/>
      <c r="AN19" s="1">
        <f t="shared" si="45"/>
        <v>1129442.8357895785</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-25734.97828524861</v>
      </c>
      <c r="AT19" s="1">
        <f>IF($B19&lt;Analysis!$C$66,0,IF($B19=Analysis!$C$66,-AP19-AS19,MIN(0,AT18-AS19)))</f>
        <v>-347602.93292424857</v>
      </c>
      <c r="AU19" s="64">
        <f>IF($B19&lt;Analysis!$C$66,0,IF($B19=Analysis!$C$66,Analysis!$C$72,IF(($B19-Analysis!$C$66)&lt;LOOKUP(Analysis!$C$66,$B:$B,AQ:AQ),AU18,0)))</f>
        <v>3.6999999999999998E-2</v>
      </c>
      <c r="AV19" s="1">
        <f>IF($B19&lt;Analysis!$C$66,0,IF($B19=Analysis!$C$66,-AU19*AP19,AU18*AT18))</f>
        <v>-13813.502714751396</v>
      </c>
      <c r="AW19" s="1">
        <f>IF($B19&lt;Analysis!$C$66,0,IF($B19=Analysis!$C$66,PMT(AU19,AQ19,AP19)*AQ19-AX19-AT19,IF(($B19-Analysis!$C$66+1)&lt;LOOKUP(Analysis!$C$66,$B:$B,AQ:AQ),IF(AW18-AV19&lt;0, AW18-AV19,0),0)))</f>
        <v>-80565.034615036086</v>
      </c>
      <c r="AX19" s="1">
        <f>IF($B19&lt;Analysis!$C$66,0,IF($B19=Analysis!$C$66,AS19+AV19,IF(AT18&lt;0,IF(AT18&gt;LOOKUP(Analysis!$C$66,$B:$B,AX:AX), AT18*(1+AU18),AX18),0)))</f>
        <v>-39548.481000000007</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-3388.3285073687357</v>
      </c>
      <c r="BF19" s="64">
        <f>IF($B19&lt;Analysis!$C$66,0,Analysis!$C$78)</f>
        <v>3.0000000000000001E-3</v>
      </c>
      <c r="BG19" s="1">
        <f>IF($B19&lt;Analysis!$C$66,0,-BH19*AN19)</f>
        <v>-8470.8212684218379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-144003.96156317127</v>
      </c>
      <c r="BS19" s="64">
        <f>IF($B19&lt;Analysis!C$66,0,Analysis!C$31)</f>
        <v>0.1275</v>
      </c>
      <c r="BT19" s="1">
        <f>IF($B19&lt;Analysis!$C$66,0,AN19+BR19)</f>
        <v>985438.87422640726</v>
      </c>
      <c r="BU19" s="1">
        <f>IF($B19-Analysis!$C$66&gt;3,0,IF($AN19&gt;LOOKUP(Analysis!$C$66,$B:$B, AN:AN),$V19*(LOOKUP(Analysis!$C$66,$B:$B, AN:AN)-AN19),0))</f>
        <v>0</v>
      </c>
      <c r="BV19" s="1">
        <f t="shared" si="23"/>
        <v>985438.87422640726</v>
      </c>
      <c r="BW19" s="42"/>
      <c r="BX19" s="1">
        <f>IF($B19&lt;Analysis!$C$66,$P19+$N19+$X19+$Z19,$P19+$N19+AS19+AV19+BB19+BE19+BG19+MAX(BI19,SUM(BJ19:BN19))+BP19)</f>
        <v>-121267.63077579057</v>
      </c>
      <c r="BY19" s="1">
        <f t="shared" si="24"/>
        <v>128303.9495713021</v>
      </c>
      <c r="BZ19" s="1">
        <f t="shared" si="46"/>
        <v>7036.3187955115282</v>
      </c>
      <c r="CA19" s="1">
        <f>IF(BZ19 &lt; 0,
    IF(CA18 + BZ19 &gt; 0,
        CA18 + BZ19, IF(CF18-ABS(CA18 + BZ19)*(1+$V19) &gt;= CA18 + BZ19,
        0, CA18 + BZ19)),
    MIN(CA18 + BZ19, Analysis!$C$7))+IF(CA18&lt;0, CA18*Analysis!$C$9,0)</f>
        <v>-266681.33606145746</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-25928.079012908576</v>
      </c>
      <c r="CJ19" s="1">
        <f>IF(OR($B19&lt;Analysis!$C$100, $B19&gt;=Analysis!$C$130),0,Z19)</f>
        <v>-3960</v>
      </c>
      <c r="CK19" s="1">
        <f t="shared" si="26"/>
        <v>679302.57514880411</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-14354.802219777148</v>
      </c>
      <c r="CQ19" s="1">
        <f>IF(OR($B19&lt;Analysis!$C$100, $B19&gt;=Analysis!$C$101),0,IF($B19=Analysis!$C$100,-CM19-CP19,MIN(0,CQ18-CP19)))</f>
        <v>-193890.63778624599</v>
      </c>
      <c r="CR19" s="64">
        <f>IF(OR($B19&lt;Analysis!$C$100, $B19&gt;=Analysis!$C$101),0,IF($B19=Analysis!$C$100,Analysis!$C$102,IF(($B19-Analysis!$C$100)&lt;LOOKUP(Analysis!$C$100,$B:$B,CN:CN),CR18,0)))</f>
        <v>3.6999999999999998E-2</v>
      </c>
      <c r="CS19" s="1">
        <f>IF(OR($B19&lt;Analysis!$C$100, $B19&gt;=Analysis!$C$101),0,IF($B19=Analysis!$C$100,-CR19*CM19,CR18*CQ18))</f>
        <v>-7705.0812802228556</v>
      </c>
      <c r="CT19" s="1">
        <f>IF(OR($B19&lt;Analysis!$C$100, $B19&gt;=Analysis!$C$101),0,IF($B19=Analysis!$C$100,PMT(CR19,CN19,CM19)*CN19-CU19-CQ19,IF(($B19-Analysis!$C$100+1)&lt;LOOKUP(Analysis!$C$100,$B:$B,CN:CN),IF(CT18-CS19&lt;0, CT18-CS19,0),0)))</f>
        <v>-44938.648282880065</v>
      </c>
      <c r="CU19" s="1">
        <f>IF(OR($B19&lt;Analysis!$C$100, $B19&gt;=Analysis!$C$101),0,IF($B19=Analysis!$C$100,CP19+CS19,IF(CQ18&lt;0,IF(CQ18&gt;LOOKUP(Analysis!$C$100,$B:$B,CU:CU), CQ18*(1+CR18),CU18),0)))</f>
        <v>-22059.883500000004</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28684.976861741423</v>
      </c>
      <c r="DE19" s="1">
        <f t="shared" si="27"/>
        <v>-2037.9077254464123</v>
      </c>
      <c r="DF19" s="64">
        <f>IF(OR($B19&lt;Analysis!$C$100, $B19&gt;=Analysis!$C$101),0,Analysis!$C$118)</f>
        <v>3.0000000000000001E-3</v>
      </c>
      <c r="DG19" s="1">
        <f t="shared" si="28"/>
        <v>-5094.7693136160306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-1701.5301852221257</v>
      </c>
      <c r="DR19" s="1">
        <f t="shared" si="29"/>
        <v>-21094.207224284572</v>
      </c>
      <c r="DS19" s="1">
        <f>MIN(0,-(DB19+DR19)*Analysis!$C$28)-CS19*Analysis!$C$28</f>
        <v>2708.3244020549218</v>
      </c>
      <c r="DT19" s="1">
        <f>-Analysis!$C$116*DD19/12</f>
        <v>-2390.4147384784519</v>
      </c>
      <c r="DU19" s="53"/>
      <c r="DV19" s="1">
        <f t="shared" si="30"/>
        <v>-86611.078331472527</v>
      </c>
      <c r="DW19" s="64">
        <f>IF(OR($B19&lt;Analysis!$C$100, $B19&gt;=Analysis!$C$101),0,IF($B19=Analysis!$C$100,Analysis!$C$31,DW18))</f>
        <v>0.1275</v>
      </c>
      <c r="DX19" s="1">
        <f>IF(OR($B19&lt;Analysis!$C$100, $B19&gt;=Analysis!$C$101),0,CK19+DV19)</f>
        <v>592691.49681733153</v>
      </c>
      <c r="DY19" s="1">
        <f>IF(OR($B19&lt;Analysis!$C$100, $B19&gt;=Analysis!$C$101),0,IF($B19-Analysis!$C$100&gt;3,0,IF(CK19&gt;LOOKUP(Analysis!$C$100,$B:$B, CK:CK),$V19*(LOOKUP(Analysis!$C$100,$B:$B, CK:CK)-CK19),0)))</f>
        <v>0</v>
      </c>
      <c r="DZ19" s="1">
        <f t="shared" si="49"/>
        <v>592691.49681733153</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-130324.26007361669</v>
      </c>
      <c r="FM19" s="1">
        <f>$M19+$R19+DD19+IF(AND($B19&lt;&gt;Analysis!$C$130,$B19=Analysis!$C$101),DZ18+CQ18+CT18+CZ18,0)</f>
        <v>156988.92643304353</v>
      </c>
      <c r="FN19" s="1">
        <f t="shared" si="34"/>
        <v>26664.666359426832</v>
      </c>
      <c r="FO19" s="1">
        <f>IF(FN19 &lt; 0,
    IF(FO18 + FN19 &gt; 0,
        FO18 + FN19, IF(FT18-ABS(FO18 + FN19)*(1+$V19) &gt;= FO18 + FN19,
        0, FO18 + FN19)),
    MIN(FO18 + FN19, Analysis!$C$7))+IF(FO18&lt;0, FO18*Analysis!$C$9,0)</f>
        <v>24000</v>
      </c>
      <c r="FP19" s="53"/>
      <c r="FQ19" s="1">
        <f t="shared" si="51"/>
        <v>13749.237839497204</v>
      </c>
      <c r="FR19" s="1">
        <f>IF(OR($B19=Analysis!$C$100, $B19=Analysis!$C$130),0,IF(FN19 &gt;= 0,
    MAX(0, FO18 + FN19 - Analysis!$C$7),
    0))</f>
        <v>26664.666359426832</v>
      </c>
      <c r="FS19" s="1">
        <f>IF(OR($B19=Analysis!$C$100, $B19=Analysis!$C$130),0,MAX(0, FS18 + FR19 - IF(FN19 &lt; 0, MIN(ABS(FN19), FS18 + FR19), 0)))</f>
        <v>301545.38659767713</v>
      </c>
      <c r="FT19" s="1">
        <f>IF(OR($B19=Analysis!$C$100, $B19=Analysis!$C$130),0,IF(FN19 &lt; 0,
    IF(FN19 + FO18 &lt; 0,
        MAX(0, FT18 - (ABS(FN19 + FO18) * (1+$V18))),
        FT18 + FQ19),
    FT18 + FR19 + FQ19))</f>
        <v>389423.99440800358</v>
      </c>
      <c r="FU19" s="1">
        <f t="shared" ref="FU19:FU52" si="57">IF(FT19-FS19&gt;0, FT19-$V19*(FT19-FS19),FT19)</f>
        <v>366246.01159802999</v>
      </c>
      <c r="FV19" s="36"/>
      <c r="FW19" s="1">
        <f t="shared" si="52"/>
        <v>679302.57514880411</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-14354.802219777148</v>
      </c>
      <c r="GC19" s="1">
        <f>IF($B19&lt;Analysis!$C$159,0,IF($B19=Analysis!$C$159,-FY19-GB19,MIN(0,GC18-GB19)))</f>
        <v>-193890.63778624599</v>
      </c>
      <c r="GD19" s="64">
        <f>IF($B19&lt;Analysis!$C$159,0,IF($B19=Analysis!$C$159,Analysis!$C$160,IF(($B19-Analysis!$C$159)&lt;LOOKUP(Analysis!$C$159,$B:$B,FZ:FZ),GD18,0)))</f>
        <v>3.6999999999999998E-2</v>
      </c>
      <c r="GE19" s="1">
        <f>IF($B19&lt;Analysis!$C$159,0,IF($B19=Analysis!$C$159,-GD19*FY19,GD18*GC18))</f>
        <v>-7705.0812802228556</v>
      </c>
      <c r="GF19" s="1">
        <f>IF($B19&lt;Analysis!$C$159,0,IF($B19=Analysis!$C$159,PMT(GD19,FZ19,FY19)*FZ19-GG19-GC19,IF(($B19-Analysis!$C$159+1)&lt;LOOKUP(Analysis!$C$159,$B:$B,FZ:FZ),IF(GF18-GE19&lt;0, GF18-GE19,0),0)))</f>
        <v>-44938.648282880065</v>
      </c>
      <c r="GG19" s="1">
        <f>IF($B19&lt;Analysis!$C$159,0,IF($B19=Analysis!$C$159,GB19+GE19,IF(GC18&lt;0,IF(GC18&gt;LOOKUP(Analysis!$C$159,$B:$B,GG:GG), GC18*(1+GD18),GG18),0)))</f>
        <v>-22059.883500000004</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28684.976861741423</v>
      </c>
      <c r="GQ19" s="1">
        <f t="shared" si="36"/>
        <v>-2037.9077254464123</v>
      </c>
      <c r="GR19" s="64">
        <f>IF($B19&lt;Analysis!$C$159,0,Analysis!$C$178)</f>
        <v>3.0000000000000001E-3</v>
      </c>
      <c r="GS19" s="1">
        <f t="shared" si="37"/>
        <v>-5094.7693136160306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-1701.5301852221257</v>
      </c>
      <c r="HD19" s="1">
        <f t="shared" si="38"/>
        <v>-21094.207224284572</v>
      </c>
      <c r="HE19" s="1">
        <f>MIN(0,-(GN19+HD19)*Analysis!$C$28)-GE19*Analysis!$C$28</f>
        <v>2708.3244020549218</v>
      </c>
      <c r="HF19" s="1">
        <f>-Analysis!$C$176*GP19/12</f>
        <v>-2390.4147384784519</v>
      </c>
      <c r="HG19" s="38"/>
      <c r="HH19" s="1">
        <f>IF($B19&lt;Analysis!$C$159,0,-$HI19*$FW19)</f>
        <v>-86611.078331472527</v>
      </c>
      <c r="HI19" s="64">
        <f>IF($B19&lt;Analysis!$C$159,0,IF($B19=Analysis!$C$159,Analysis!$C$31,HI18))</f>
        <v>0.1275</v>
      </c>
      <c r="HJ19" s="1">
        <f>IF($B19&lt;Analysis!$C$159,0,$FW19+HH19)</f>
        <v>592691.49681733153</v>
      </c>
      <c r="HK19" s="1">
        <f>IF($B19-Analysis!$C$159&gt;10,0,IF($FW19&gt;LOOKUP(Analysis!$C$159,$B:$B, FW:FW),$V19*(LOOKUP(Analysis!$C$159,$B:$B, FW:FW)-FW19),0))</f>
        <v>0</v>
      </c>
      <c r="HL19" s="1">
        <f t="shared" si="39"/>
        <v>592691.49681733153</v>
      </c>
      <c r="HM19" s="38"/>
      <c r="HN19" s="1">
        <f t="shared" si="40"/>
        <v>-130324.26007361669</v>
      </c>
      <c r="HO19" s="1">
        <f t="shared" si="8"/>
        <v>156988.92643304353</v>
      </c>
      <c r="HP19" s="1">
        <f t="shared" si="41"/>
        <v>26664.666359426832</v>
      </c>
      <c r="HQ19" s="1">
        <f>IF(HP19 &lt; 0,
    IF(HQ18 + HP19 &gt; 0,
        HQ18 + HP19, IF(HV18-ABS(HQ18 + HP19)*(1+$V19) &gt;= HQ18 + HP19,
        0, HQ18 + HP19)),
    MIN(HQ18 + HP19, Analysis!$C$7))+IF(HQ18&lt;0, HQ18*Analysis!$C$9,0)</f>
        <v>24000</v>
      </c>
      <c r="HR19" s="38"/>
      <c r="HS19" s="1">
        <f t="shared" si="54"/>
        <v>13749.237839497204</v>
      </c>
      <c r="HT19" s="1">
        <f>IF($B19=Analysis!$C$159,0,IF(HP19 &gt;= 0,
    MAX(0, HQ18 + HP19 - Analysis!$C$7),
    0))</f>
        <v>26664.666359426832</v>
      </c>
      <c r="HU19" s="1">
        <f>IF($B19=Analysis!$C$159,0,MAX(0, HU18 + HT19 - IF(HP19 &lt; 0, MIN(ABS(HP19), HU18 + HT19), 0)))</f>
        <v>301545.38659767713</v>
      </c>
      <c r="HV19" s="1">
        <f>IF($B19=Analysis!$C$159,0,IF(HP19 &lt; 0,
    IF(HP19 + HQ18 &lt; 0,
        MAX(0, HV18 - (ABS(HP19 + HQ18) * (1+$V18))),
        HV18 + HS19),
    HV18 + HT19 + HS19))</f>
        <v>389423.99440800358</v>
      </c>
      <c r="HW19" s="1">
        <f t="shared" ref="HW19:HW52" si="58">IF(HV19-HU19&gt;0, HV19-$V19*(HV19-HU19),HV19)</f>
        <v>366246.01159802999</v>
      </c>
      <c r="HX19" s="36"/>
    </row>
    <row r="20" spans="1:232" x14ac:dyDescent="0.35">
      <c r="A20">
        <f t="shared" si="0"/>
        <v>53</v>
      </c>
      <c r="B20">
        <v>2043</v>
      </c>
      <c r="C20" s="1">
        <f>IF($B20&lt;Analysis!C$66,0,$AN20)+$AT20+$AW20+$BC20+$CF20+$CA20</f>
        <v>494286.28583477938</v>
      </c>
      <c r="D20" s="1">
        <f>IF($B20&lt;Analysis!C$66, 0, BV20)+AT20+AW20+BC20+CG20+CA20</f>
        <v>346046.91363739723</v>
      </c>
      <c r="E20" s="1">
        <f t="shared" si="1"/>
        <v>822600.77197458199</v>
      </c>
      <c r="F20" s="1">
        <f t="shared" si="9"/>
        <v>753942.1961629797</v>
      </c>
      <c r="G20" s="1">
        <f>IF(AND($B20&gt;=Analysis!$C$100, $B20&lt;Analysis!$C$101),$CK20,0)+IF($B20&gt;=Analysis!$C$130,EB20,0)+CQ20+CT20+CZ20+EH20+EK20+EQ20+$FO20+$FT20</f>
        <v>938298.26560165361</v>
      </c>
      <c r="H20" s="1">
        <f t="shared" si="10"/>
        <v>822032.92439628753</v>
      </c>
      <c r="I20" s="1">
        <f>IF($B20&lt;Analysis!$C$159,0,$FW20)+$GC20+$GF20+$GL20+$HQ20+$HV20</f>
        <v>938298.26560165361</v>
      </c>
      <c r="J20" s="1">
        <f t="shared" si="2"/>
        <v>822032.92439628753</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IF($B20=$B$2,((1+Analysis!$B$16)/(1+$S20))-1,IF(B20&lt;Analysis!$C$13,U19-((Analysis!$B$16-Analysis!$C$17)/(Analysis!$C$13-$B$2)),((1+Analysis!$C$17)/(1+$S19))-1))</f>
        <v>3.8252100840336201E-2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28194.868846290497</v>
      </c>
      <c r="AI20" s="1">
        <f>IF(AE20 &gt;= 0,
    MAX(0, AF19 + AE20 - Analysis!$C$7),
    0)</f>
        <v>33325.632322368052</v>
      </c>
      <c r="AJ20" s="1">
        <f t="shared" si="44"/>
        <v>538283.89685950207</v>
      </c>
      <c r="AK20" s="1">
        <f t="shared" si="20"/>
        <v>798600.77197458199</v>
      </c>
      <c r="AL20" s="1">
        <f t="shared" si="5"/>
        <v>729942.1961629797</v>
      </c>
      <c r="AM20" s="36"/>
      <c r="AN20" s="1">
        <f t="shared" si="45"/>
        <v>1162661.7427245663</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-26687.172481802809</v>
      </c>
      <c r="AT20" s="1">
        <f>IF($B20&lt;Analysis!$C$66,0,IF($B20=Analysis!$C$66,-AP20-AS20,MIN(0,AT19-AS20)))</f>
        <v>-320915.76044244575</v>
      </c>
      <c r="AU20" s="64">
        <f>IF($B20&lt;Analysis!$C$66,0,IF($B20=Analysis!$C$66,Analysis!$C$72,IF(($B20-Analysis!$C$66)&lt;LOOKUP(Analysis!$C$66,$B:$B,AQ:AQ),AU19,0)))</f>
        <v>3.6999999999999998E-2</v>
      </c>
      <c r="AV20" s="1">
        <f>IF($B20&lt;Analysis!$C$66,0,IF($B20=Analysis!$C$66,-AU20*AP20,AU19*AT19))</f>
        <v>-12861.308518197196</v>
      </c>
      <c r="AW20" s="1">
        <f>IF($B20&lt;Analysis!$C$66,0,IF($B20=Analysis!$C$66,PMT(AU20,AQ20,AP20)*AQ20-AX20-AT20,IF(($B20-Analysis!$C$66+1)&lt;LOOKUP(Analysis!$C$66,$B:$B,AQ:AQ),IF(AW19-AV20&lt;0, AW19-AV20,0),0)))</f>
        <v>-67703.726096838887</v>
      </c>
      <c r="AX20" s="1">
        <f>IF($B20&lt;Analysis!$C$66,0,IF($B20=Analysis!$C$66,AS20+AV20,IF(AT19&lt;0,IF(AT19&gt;LOOKUP(Analysis!$C$66,$B:$B,AX:AX), AT19*(1+AU19),AX19),0)))</f>
        <v>-39548.481000000007</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-3487.9852281736989</v>
      </c>
      <c r="BF20" s="64">
        <f>IF($B20&lt;Analysis!$C$66,0,Analysis!$C$78)</f>
        <v>3.0000000000000001E-3</v>
      </c>
      <c r="BG20" s="1">
        <f>IF($B20&lt;Analysis!$C$66,0,-BH20*AN20)</f>
        <v>-8719.9630704342471</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-148239.37219738221</v>
      </c>
      <c r="BS20" s="64">
        <f>IF($B20&lt;Analysis!C$66,0,Analysis!C$31)</f>
        <v>0.1275</v>
      </c>
      <c r="BT20" s="1">
        <f>IF($B20&lt;Analysis!$C$66,0,AN20+BR20)</f>
        <v>1014422.3705271841</v>
      </c>
      <c r="BU20" s="1">
        <f>IF($B20-Analysis!$C$66&gt;3,0,IF($AN20&gt;LOOKUP(Analysis!$C$66,$B:$B, AN:AN),$V20*(LOOKUP(Analysis!$C$66,$B:$B, AN:AN)-AN20),0))</f>
        <v>0</v>
      </c>
      <c r="BV20" s="1">
        <f t="shared" si="23"/>
        <v>1014422.3705271841</v>
      </c>
      <c r="BW20" s="42"/>
      <c r="BX20" s="1">
        <f>IF($B20&lt;Analysis!$C$66,$P20+$N20+$X20+$Z20,$P20+$N20+AS20+AV20+BB20+BE20+BG20+MAX(BI20,SUM(BJ20:BN20))+BP20)</f>
        <v>-121616.42929860795</v>
      </c>
      <c r="BY20" s="1">
        <f t="shared" si="24"/>
        <v>129876.30189447982</v>
      </c>
      <c r="BZ20" s="1">
        <f t="shared" si="46"/>
        <v>8259.8725958718715</v>
      </c>
      <c r="CA20" s="1">
        <f>IF(BZ20 &lt; 0,
    IF(CA19 + BZ20 &gt; 0,
        CA19 + BZ20, IF(CF19-ABS(CA19 + BZ20)*(1+$V20) &gt;= CA19 + BZ20,
        0, CA19 + BZ20)),
    MIN(CA19 + BZ20, Analysis!$C$7))+IF(CA19&lt;0, CA19*Analysis!$C$9,0)</f>
        <v>-279755.97035050218</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-26690.669572111772</v>
      </c>
      <c r="CJ20" s="1">
        <f>IF(OR($B20&lt;Analysis!$C$100, $B20&gt;=Analysis!$C$130),0,Z20)</f>
        <v>-3960</v>
      </c>
      <c r="CK20" s="1">
        <f t="shared" si="26"/>
        <v>699282.06265318079</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-14885.929901908901</v>
      </c>
      <c r="CQ20" s="1">
        <f>IF(OR($B20&lt;Analysis!$C$100, $B20&gt;=Analysis!$C$101),0,IF($B20=Analysis!$C$100,-CM20-CP20,MIN(0,CQ19-CP20)))</f>
        <v>-179004.70788433708</v>
      </c>
      <c r="CR20" s="64">
        <f>IF(OR($B20&lt;Analysis!$C$100, $B20&gt;=Analysis!$C$101),0,IF($B20=Analysis!$C$100,Analysis!$C$102,IF(($B20-Analysis!$C$100)&lt;LOOKUP(Analysis!$C$100,$B:$B,CN:CN),CR19,0)))</f>
        <v>3.6999999999999998E-2</v>
      </c>
      <c r="CS20" s="1">
        <f>IF(OR($B20&lt;Analysis!$C$100, $B20&gt;=Analysis!$C$101),0,IF($B20=Analysis!$C$100,-CR20*CM20,CR19*CQ19))</f>
        <v>-7173.9535980911014</v>
      </c>
      <c r="CT20" s="1">
        <f>IF(OR($B20&lt;Analysis!$C$100, $B20&gt;=Analysis!$C$101),0,IF($B20=Analysis!$C$100,PMT(CR20,CN20,CM20)*CN20-CU20-CQ20,IF(($B20-Analysis!$C$100+1)&lt;LOOKUP(Analysis!$C$100,$B:$B,CN:CN),IF(CT19-CS20&lt;0, CT19-CS20,0),0)))</f>
        <v>-37764.694684788963</v>
      </c>
      <c r="CU20" s="1">
        <f>IF(OR($B20&lt;Analysis!$C$100, $B20&gt;=Analysis!$C$101),0,IF($B20=Analysis!$C$100,CP20+CS20,IF(CQ19&lt;0,IF(CQ19&gt;LOOKUP(Analysis!$C$100,$B:$B,CU:CU), CQ19*(1+CR19),CU19),0)))</f>
        <v>-22059.883500000004</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29412.182063557349</v>
      </c>
      <c r="DE20" s="1">
        <f t="shared" si="27"/>
        <v>-2097.8461879595425</v>
      </c>
      <c r="DF20" s="64">
        <f>IF(OR($B20&lt;Analysis!$C$100, $B20&gt;=Analysis!$C$101),0,Analysis!$C$118)</f>
        <v>3.0000000000000001E-3</v>
      </c>
      <c r="DG20" s="1">
        <f t="shared" si="28"/>
        <v>-5244.6154698988557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-1751.5751906698356</v>
      </c>
      <c r="DR20" s="1">
        <f t="shared" si="29"/>
        <v>-21354.036848528234</v>
      </c>
      <c r="DS20" s="1">
        <f>MIN(0,-(DB20+DR20)*Analysis!$C$28)-CS20*Analysis!$C$28</f>
        <v>2292.446340419639</v>
      </c>
      <c r="DT20" s="1">
        <f>-Analysis!$C$116*DD20/12</f>
        <v>-2451.0151719631126</v>
      </c>
      <c r="DU20" s="53"/>
      <c r="DV20" s="1">
        <f t="shared" si="30"/>
        <v>-89158.462988280546</v>
      </c>
      <c r="DW20" s="64">
        <f>IF(OR($B20&lt;Analysis!$C$100, $B20&gt;=Analysis!$C$101),0,IF($B20=Analysis!$C$100,Analysis!$C$31,DW19))</f>
        <v>0.1275</v>
      </c>
      <c r="DX20" s="1">
        <f>IF(OR($B20&lt;Analysis!$C$100, $B20&gt;=Analysis!$C$101),0,CK20+DV20)</f>
        <v>610123.59966490022</v>
      </c>
      <c r="DY20" s="1">
        <f>IF(OR($B20&lt;Analysis!$C$100, $B20&gt;=Analysis!$C$101),0,IF($B20-Analysis!$C$100&gt;3,0,IF(CK20&gt;LOOKUP(Analysis!$C$100,$B:$B, CK:CK),$V20*(LOOKUP(Analysis!$C$100,$B:$B, CK:CK)-CK20),0)))</f>
        <v>0</v>
      </c>
      <c r="DZ20" s="1">
        <f t="shared" si="49"/>
        <v>610123.59966490022</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-131823.15875218349</v>
      </c>
      <c r="FM20" s="1">
        <f>$M20+$R20+DD20+IF(AND($B20&lt;&gt;Analysis!$C$130,$B20=Analysis!$C$101),DZ19+CQ19+CT19+CZ19,0)</f>
        <v>159288.48395803716</v>
      </c>
      <c r="FN20" s="1">
        <f t="shared" si="34"/>
        <v>27465.325205853675</v>
      </c>
      <c r="FO20" s="1">
        <f>IF(FN20 &lt; 0,
    IF(FO19 + FN20 &gt; 0,
        FO19 + FN20, IF(FT19-ABS(FO19 + FN20)*(1+$V20) &gt;= FO19 + FN20,
        0, FO19 + FN20)),
    MIN(FO19 + FN20, Analysis!$C$7))+IF(FO19&lt;0, FO19*Analysis!$C$9,0)</f>
        <v>24000</v>
      </c>
      <c r="FP20" s="53"/>
      <c r="FQ20" s="1">
        <f t="shared" si="51"/>
        <v>14896.285903741473</v>
      </c>
      <c r="FR20" s="1">
        <f>IF(OR($B20=Analysis!$C$100, $B20=Analysis!$C$130),0,IF(FN20 &gt;= 0,
    MAX(0, FO19 + FN20 - Analysis!$C$7),
    0))</f>
        <v>27465.325205853675</v>
      </c>
      <c r="FS20" s="1">
        <f>IF(OR($B20=Analysis!$C$100, $B20=Analysis!$C$130),0,MAX(0, FS19 + FR20 - IF(FN20 &lt; 0, MIN(ABS(FN20), FS19 + FR20), 0)))</f>
        <v>329010.71180353081</v>
      </c>
      <c r="FT20" s="1">
        <f>IF(OR($B20=Analysis!$C$100, $B20=Analysis!$C$130),0,IF(FN20 &lt; 0,
    IF(FN20 + FO19 &lt; 0,
        MAX(0, FT19 - (ABS(FN20 + FO19) * (1+$V19))),
        FT19 + FQ20),
    FT19 + FR20 + FQ20))</f>
        <v>431785.60551759874</v>
      </c>
      <c r="FU20" s="1">
        <f t="shared" si="57"/>
        <v>404678.7273005133</v>
      </c>
      <c r="FV20" s="36"/>
      <c r="FW20" s="1">
        <f t="shared" si="52"/>
        <v>699282.06265318079</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-14885.929901908901</v>
      </c>
      <c r="GC20" s="1">
        <f>IF($B20&lt;Analysis!$C$159,0,IF($B20=Analysis!$C$159,-FY20-GB20,MIN(0,GC19-GB20)))</f>
        <v>-179004.70788433708</v>
      </c>
      <c r="GD20" s="64">
        <f>IF($B20&lt;Analysis!$C$159,0,IF($B20=Analysis!$C$159,Analysis!$C$160,IF(($B20-Analysis!$C$159)&lt;LOOKUP(Analysis!$C$159,$B:$B,FZ:FZ),GD19,0)))</f>
        <v>3.6999999999999998E-2</v>
      </c>
      <c r="GE20" s="1">
        <f>IF($B20&lt;Analysis!$C$159,0,IF($B20=Analysis!$C$159,-GD20*FY20,GD19*GC19))</f>
        <v>-7173.9535980911014</v>
      </c>
      <c r="GF20" s="1">
        <f>IF($B20&lt;Analysis!$C$159,0,IF($B20=Analysis!$C$159,PMT(GD20,FZ20,FY20)*FZ20-GG20-GC20,IF(($B20-Analysis!$C$159+1)&lt;LOOKUP(Analysis!$C$159,$B:$B,FZ:FZ),IF(GF19-GE20&lt;0, GF19-GE20,0),0)))</f>
        <v>-37764.694684788963</v>
      </c>
      <c r="GG20" s="1">
        <f>IF($B20&lt;Analysis!$C$159,0,IF($B20=Analysis!$C$159,GB20+GE20,IF(GC19&lt;0,IF(GC19&gt;LOOKUP(Analysis!$C$159,$B:$B,GG:GG), GC19*(1+GD19),GG19),0)))</f>
        <v>-22059.883500000004</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29412.182063557349</v>
      </c>
      <c r="GQ20" s="1">
        <f t="shared" si="36"/>
        <v>-2097.8461879595425</v>
      </c>
      <c r="GR20" s="64">
        <f>IF($B20&lt;Analysis!$C$159,0,Analysis!$C$178)</f>
        <v>3.0000000000000001E-3</v>
      </c>
      <c r="GS20" s="1">
        <f t="shared" si="37"/>
        <v>-5244.6154698988557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-1751.5751906698356</v>
      </c>
      <c r="HD20" s="1">
        <f t="shared" si="38"/>
        <v>-21354.036848528234</v>
      </c>
      <c r="HE20" s="1">
        <f>MIN(0,-(GN20+HD20)*Analysis!$C$28)-GE20*Analysis!$C$28</f>
        <v>2292.446340419639</v>
      </c>
      <c r="HF20" s="1">
        <f>-Analysis!$C$176*GP20/12</f>
        <v>-2451.0151719631126</v>
      </c>
      <c r="HG20" s="38"/>
      <c r="HH20" s="1">
        <f>IF($B20&lt;Analysis!$C$159,0,-$HI20*$FW20)</f>
        <v>-89158.462988280546</v>
      </c>
      <c r="HI20" s="64">
        <f>IF($B20&lt;Analysis!$C$159,0,IF($B20=Analysis!$C$159,Analysis!$C$31,HI19))</f>
        <v>0.1275</v>
      </c>
      <c r="HJ20" s="1">
        <f>IF($B20&lt;Analysis!$C$159,0,$FW20+HH20)</f>
        <v>610123.59966490022</v>
      </c>
      <c r="HK20" s="1">
        <f>IF($B20-Analysis!$C$159&gt;10,0,IF($FW20&gt;LOOKUP(Analysis!$C$159,$B:$B, FW:FW),$V20*(LOOKUP(Analysis!$C$159,$B:$B, FW:FW)-FW20),0))</f>
        <v>0</v>
      </c>
      <c r="HL20" s="1">
        <f t="shared" si="39"/>
        <v>610123.59966490022</v>
      </c>
      <c r="HM20" s="38"/>
      <c r="HN20" s="1">
        <f t="shared" si="40"/>
        <v>-131823.15875218349</v>
      </c>
      <c r="HO20" s="1">
        <f t="shared" si="8"/>
        <v>159288.48395803716</v>
      </c>
      <c r="HP20" s="1">
        <f t="shared" si="41"/>
        <v>27465.325205853675</v>
      </c>
      <c r="HQ20" s="1">
        <f>IF(HP20 &lt; 0,
    IF(HQ19 + HP20 &gt; 0,
        HQ19 + HP20, IF(HV19-ABS(HQ19 + HP20)*(1+$V20) &gt;= HQ19 + HP20,
        0, HQ19 + HP20)),
    MIN(HQ19 + HP20, Analysis!$C$7))+IF(HQ19&lt;0, HQ19*Analysis!$C$9,0)</f>
        <v>24000</v>
      </c>
      <c r="HR20" s="38"/>
      <c r="HS20" s="1">
        <f t="shared" si="54"/>
        <v>14896.285903741473</v>
      </c>
      <c r="HT20" s="1">
        <f>IF($B20=Analysis!$C$159,0,IF(HP20 &gt;= 0,
    MAX(0, HQ19 + HP20 - Analysis!$C$7),
    0))</f>
        <v>27465.325205853675</v>
      </c>
      <c r="HU20" s="1">
        <f>IF($B20=Analysis!$C$159,0,MAX(0, HU19 + HT20 - IF(HP20 &lt; 0, MIN(ABS(HP20), HU19 + HT20), 0)))</f>
        <v>329010.71180353081</v>
      </c>
      <c r="HV20" s="1">
        <f>IF($B20=Analysis!$C$159,0,IF(HP20 &lt; 0,
    IF(HP20 + HQ19 &lt; 0,
        MAX(0, HV19 - (ABS(HP20 + HQ19) * (1+$V19))),
        HV19 + HS20),
    HV19 + HT20 + HS20))</f>
        <v>431785.60551759874</v>
      </c>
      <c r="HW20" s="1">
        <f t="shared" si="58"/>
        <v>404678.7273005133</v>
      </c>
      <c r="HX20" s="36"/>
    </row>
    <row r="21" spans="1:232" x14ac:dyDescent="0.35">
      <c r="A21">
        <f t="shared" si="0"/>
        <v>54</v>
      </c>
      <c r="B21">
        <v>2044</v>
      </c>
      <c r="C21" s="1">
        <f>IF($B21&lt;Analysis!C$66,0,$AN21)+$AT21+$AW21+$BC21+$CF21+$CA21</f>
        <v>550892.65945600299</v>
      </c>
      <c r="D21" s="1">
        <f>IF($B21&lt;Analysis!C$66, 0, BV21)+AT21+AW21+BC21+CG21+CA21</f>
        <v>398293.30572340387</v>
      </c>
      <c r="E21" s="1">
        <f t="shared" si="1"/>
        <v>882118.47661459842</v>
      </c>
      <c r="F21" s="1">
        <f t="shared" si="9"/>
        <v>805643.54541531345</v>
      </c>
      <c r="G21" s="1">
        <f>IF(AND($B21&gt;=Analysis!$C$100, $B21&lt;Analysis!$C$101),$CK21,0)+IF($B21&gt;=Analysis!$C$130,EB21,0)+CQ21+CT21+CZ21+EH21+EK21+EQ21+$FO21+$FT21</f>
        <v>1020959.276224955</v>
      </c>
      <c r="H21" s="1">
        <f t="shared" si="10"/>
        <v>897845.4984572574</v>
      </c>
      <c r="I21" s="1">
        <f>IF($B21&lt;Analysis!$C$159,0,$FW21)+$GC21+$GF21+$GL21+$HQ21+$HV21</f>
        <v>1020959.276224955</v>
      </c>
      <c r="J21" s="1">
        <f t="shared" si="2"/>
        <v>897845.4984572574</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IF($B21=$B$2,((1+Analysis!$B$16)/(1+$S21))-1,IF(B21&lt;Analysis!$C$13,U20-((Analysis!$B$16-Analysis!$C$17)/(Analysis!$C$13-$B$2)),((1+Analysis!$C$17)/(1+$S20))-1))</f>
        <v>3.7109243697479061E-2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29635.470664199671</v>
      </c>
      <c r="AI21" s="1">
        <f>IF(AE21 &gt;= 0,
    MAX(0, AF20 + AE21 - Analysis!$C$7),
    0)</f>
        <v>29882.233975816707</v>
      </c>
      <c r="AJ21" s="1">
        <f t="shared" si="44"/>
        <v>568166.13083531882</v>
      </c>
      <c r="AK21" s="1">
        <f t="shared" si="20"/>
        <v>858118.47661459842</v>
      </c>
      <c r="AL21" s="1">
        <f t="shared" si="5"/>
        <v>781643.54541531345</v>
      </c>
      <c r="AM21" s="36"/>
      <c r="AN21" s="1">
        <f t="shared" si="45"/>
        <v>1196857.6763341124</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-27674.597863629515</v>
      </c>
      <c r="AT21" s="1">
        <f>IF($B21&lt;Analysis!$C$66,0,IF($B21=Analysis!$C$66,-AP21-AS21,MIN(0,AT20-AS21)))</f>
        <v>-293241.16257881623</v>
      </c>
      <c r="AU21" s="64">
        <f>IF($B21&lt;Analysis!$C$66,0,IF($B21=Analysis!$C$66,Analysis!$C$72,IF(($B21-Analysis!$C$66)&lt;LOOKUP(Analysis!$C$66,$B:$B,AQ:AQ),AU20,0)))</f>
        <v>3.6999999999999998E-2</v>
      </c>
      <c r="AV21" s="1">
        <f>IF($B21&lt;Analysis!$C$66,0,IF($B21=Analysis!$C$66,-AU21*AP21,AU20*AT20))</f>
        <v>-11873.883136370492</v>
      </c>
      <c r="AW21" s="1">
        <f>IF($B21&lt;Analysis!$C$66,0,IF($B21=Analysis!$C$66,PMT(AU21,AQ21,AP21)*AQ21-AX21-AT21,IF(($B21-Analysis!$C$66+1)&lt;LOOKUP(Analysis!$C$66,$B:$B,AQ:AQ),IF(AW20-AV21&lt;0, AW20-AV21,0),0)))</f>
        <v>-55829.842960468392</v>
      </c>
      <c r="AX21" s="1">
        <f>IF($B21&lt;Analysis!$C$66,0,IF($B21=Analysis!$C$66,AS21+AV21,IF(AT20&lt;0,IF(AT20&gt;LOOKUP(Analysis!$C$66,$B:$B,AX:AX), AT20*(1+AU20),AX20),0)))</f>
        <v>-39548.481000000007</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-3590.5730290023375</v>
      </c>
      <c r="BF21" s="64">
        <f>IF($B21&lt;Analysis!$C$66,0,Analysis!$C$78)</f>
        <v>3.0000000000000001E-3</v>
      </c>
      <c r="BG21" s="1">
        <f>IF($B21&lt;Analysis!$C$66,0,-BH21*AN21)</f>
        <v>-8976.4325725058425</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-152599.35373259932</v>
      </c>
      <c r="BS21" s="64">
        <f>IF($B21&lt;Analysis!C$66,0,Analysis!C$31)</f>
        <v>0.1275</v>
      </c>
      <c r="BT21" s="1">
        <f>IF($B21&lt;Analysis!$C$66,0,AN21+BR21)</f>
        <v>1044258.3226015131</v>
      </c>
      <c r="BU21" s="1">
        <f>IF($B21-Analysis!$C$66&gt;3,0,IF($AN21&gt;LOOKUP(Analysis!$C$66,$B:$B, AN:AN),$V21*(LOOKUP(Analysis!$C$66,$B:$B, AN:AN)-AN21),0))</f>
        <v>0</v>
      </c>
      <c r="BV21" s="1">
        <f t="shared" si="23"/>
        <v>1044258.3226015131</v>
      </c>
      <c r="BW21" s="42"/>
      <c r="BX21" s="1">
        <f>IF($B21&lt;Analysis!$C$66,$P21+$N21+$X21+$Z21,$P21+$N21+AS21+AV21+BB21+BE21+BG21+MAX(BI21,SUM(BJ21:BN21))+BP21)</f>
        <v>-126225.48660150819</v>
      </c>
      <c r="BY21" s="1">
        <f t="shared" si="24"/>
        <v>131467.92324122589</v>
      </c>
      <c r="BZ21" s="1">
        <f t="shared" si="46"/>
        <v>5242.4366397176927</v>
      </c>
      <c r="CA21" s="1">
        <f>IF(BZ21 &lt; 0,
    IF(CA20 + BZ21 &gt; 0,
        CA20 + BZ21, IF(CF20-ABS(CA20 + BZ21)*(1+$V21) &gt;= CA20 + BZ21,
        0, CA20 + BZ21)),
    MIN(CA20 + BZ21, Analysis!$C$7))+IF(CA20&lt;0, CA20*Analysis!$C$9,0)</f>
        <v>-296894.0113388247</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-27475.689265409179</v>
      </c>
      <c r="CJ21" s="1">
        <f>IF(OR($B21&lt;Analysis!$C$100, $B21&gt;=Analysis!$C$130),0,Z21)</f>
        <v>-3960</v>
      </c>
      <c r="CK21" s="1">
        <f t="shared" si="26"/>
        <v>719849.18214298028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-15436.709308279533</v>
      </c>
      <c r="CQ21" s="1">
        <f>IF(OR($B21&lt;Analysis!$C$100, $B21&gt;=Analysis!$C$101),0,IF($B21=Analysis!$C$100,-CM21-CP21,MIN(0,CQ20-CP21)))</f>
        <v>-163567.99857605755</v>
      </c>
      <c r="CR21" s="64">
        <f>IF(OR($B21&lt;Analysis!$C$100, $B21&gt;=Analysis!$C$101),0,IF($B21=Analysis!$C$100,Analysis!$C$102,IF(($B21-Analysis!$C$100)&lt;LOOKUP(Analysis!$C$100,$B:$B,CN:CN),CR20,0)))</f>
        <v>3.6999999999999998E-2</v>
      </c>
      <c r="CS21" s="1">
        <f>IF(OR($B21&lt;Analysis!$C$100, $B21&gt;=Analysis!$C$101),0,IF($B21=Analysis!$C$100,-CR21*CM21,CR20*CQ20))</f>
        <v>-6623.1741917204718</v>
      </c>
      <c r="CT21" s="1">
        <f>IF(OR($B21&lt;Analysis!$C$100, $B21&gt;=Analysis!$C$101),0,IF($B21=Analysis!$C$100,PMT(CR21,CN21,CM21)*CN21-CU21-CQ21,IF(($B21-Analysis!$C$100+1)&lt;LOOKUP(Analysis!$C$100,$B:$B,CN:CN),IF(CT20-CS21&lt;0, CT20-CS21,0),0)))</f>
        <v>-31141.520493068492</v>
      </c>
      <c r="CU21" s="1">
        <f>IF(OR($B21&lt;Analysis!$C$100, $B21&gt;=Analysis!$C$101),0,IF($B21=Analysis!$C$100,CP21+CS21,IF(CQ20&lt;0,IF(CQ20&gt;LOOKUP(Analysis!$C$100,$B:$B,CU:CU), CQ20*(1+CR20),CU20),0)))</f>
        <v>-22059.883500000004</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30160.775653661982</v>
      </c>
      <c r="DE21" s="1">
        <f t="shared" si="27"/>
        <v>-2159.5475464289407</v>
      </c>
      <c r="DF21" s="64">
        <f>IF(OR($B21&lt;Analysis!$C$100, $B21&gt;=Analysis!$C$101),0,Analysis!$C$118)</f>
        <v>3.0000000000000001E-3</v>
      </c>
      <c r="DG21" s="1">
        <f t="shared" si="28"/>
        <v>-5398.8688660723519</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-1803.092108042478</v>
      </c>
      <c r="DR21" s="1">
        <f t="shared" si="29"/>
        <v>-21621.508520543768</v>
      </c>
      <c r="DS21" s="1">
        <f>MIN(0,-(DB21+DR21)*Analysis!$C$28)-CS21*Analysis!$C$28</f>
        <v>1862.5507354893243</v>
      </c>
      <c r="DT21" s="1">
        <f>-Analysis!$C$116*DD21/12</f>
        <v>-2513.3979711384986</v>
      </c>
      <c r="DU21" s="53"/>
      <c r="DV21" s="1">
        <f t="shared" si="30"/>
        <v>-91780.770723229987</v>
      </c>
      <c r="DW21" s="64">
        <f>IF(OR($B21&lt;Analysis!$C$100, $B21&gt;=Analysis!$C$101),0,IF($B21=Analysis!$C$100,Analysis!$C$31,DW20))</f>
        <v>0.1275</v>
      </c>
      <c r="DX21" s="1">
        <f>IF(OR($B21&lt;Analysis!$C$100, $B21&gt;=Analysis!$C$101),0,CK21+DV21)</f>
        <v>628068.41141975031</v>
      </c>
      <c r="DY21" s="1">
        <f>IF(OR($B21&lt;Analysis!$C$100, $B21&gt;=Analysis!$C$101),0,IF($B21-Analysis!$C$100&gt;3,0,IF(CK21&gt;LOOKUP(Analysis!$C$100,$B:$B, CK:CK),$V21*(LOOKUP(Analysis!$C$100,$B:$B, CK:CK)-CK21),0)))</f>
        <v>0</v>
      </c>
      <c r="DZ21" s="1">
        <f t="shared" si="49"/>
        <v>628068.41141975031</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-137617.92852160212</v>
      </c>
      <c r="FM21" s="1">
        <f>$M21+$R21+DD21+IF(AND($B21&lt;&gt;Analysis!$C$130,$B21=Analysis!$C$101),DZ20+CQ20+CT20+CZ20,0)</f>
        <v>161628.69889488787</v>
      </c>
      <c r="FN21" s="1">
        <f t="shared" si="34"/>
        <v>24010.770373285748</v>
      </c>
      <c r="FO21" s="1">
        <f>IF(FN21 &lt; 0,
    IF(FO20 + FN21 &gt; 0,
        FO20 + FN21, IF(FT20-ABS(FO20 + FN21)*(1+$V21) &gt;= FO20 + FN21,
        0, FO20 + FN21)),
    MIN(FO20 + FN21, Analysis!$C$7))+IF(FO20&lt;0, FO20*Analysis!$C$9,0)</f>
        <v>24000</v>
      </c>
      <c r="FP21" s="53"/>
      <c r="FQ21" s="1">
        <f t="shared" si="51"/>
        <v>16023.23726021613</v>
      </c>
      <c r="FR21" s="1">
        <f>IF(OR($B21=Analysis!$C$100, $B21=Analysis!$C$130),0,IF(FN21 &gt;= 0,
    MAX(0, FO20 + FN21 - Analysis!$C$7),
    0))</f>
        <v>24010.770373285748</v>
      </c>
      <c r="FS21" s="1">
        <f>IF(OR($B21=Analysis!$C$100, $B21=Analysis!$C$130),0,MAX(0, FS20 + FR21 - IF(FN21 &lt; 0, MIN(ABS(FN21), FS20 + FR21), 0)))</f>
        <v>353021.48217681656</v>
      </c>
      <c r="FT21" s="1">
        <f>IF(OR($B21=Analysis!$C$100, $B21=Analysis!$C$130),0,IF(FN21 &lt; 0,
    IF(FN21 + FO20 &lt; 0,
        MAX(0, FT20 - (ABS(FN21 + FO20) * (1+$V20))),
        FT20 + FQ21),
    FT20 + FR21 + FQ21))</f>
        <v>471819.61315110064</v>
      </c>
      <c r="FU21" s="1">
        <f t="shared" si="57"/>
        <v>440486.6061066332</v>
      </c>
      <c r="FV21" s="36"/>
      <c r="FW21" s="1">
        <f t="shared" si="52"/>
        <v>719849.18214298028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-15436.709308279533</v>
      </c>
      <c r="GC21" s="1">
        <f>IF($B21&lt;Analysis!$C$159,0,IF($B21=Analysis!$C$159,-FY21-GB21,MIN(0,GC20-GB21)))</f>
        <v>-163567.99857605755</v>
      </c>
      <c r="GD21" s="64">
        <f>IF($B21&lt;Analysis!$C$159,0,IF($B21=Analysis!$C$159,Analysis!$C$160,IF(($B21-Analysis!$C$159)&lt;LOOKUP(Analysis!$C$159,$B:$B,FZ:FZ),GD20,0)))</f>
        <v>3.6999999999999998E-2</v>
      </c>
      <c r="GE21" s="1">
        <f>IF($B21&lt;Analysis!$C$159,0,IF($B21=Analysis!$C$159,-GD21*FY21,GD20*GC20))</f>
        <v>-6623.1741917204718</v>
      </c>
      <c r="GF21" s="1">
        <f>IF($B21&lt;Analysis!$C$159,0,IF($B21=Analysis!$C$159,PMT(GD21,FZ21,FY21)*FZ21-GG21-GC21,IF(($B21-Analysis!$C$159+1)&lt;LOOKUP(Analysis!$C$159,$B:$B,FZ:FZ),IF(GF20-GE21&lt;0, GF20-GE21,0),0)))</f>
        <v>-31141.520493068492</v>
      </c>
      <c r="GG21" s="1">
        <f>IF($B21&lt;Analysis!$C$159,0,IF($B21=Analysis!$C$159,GB21+GE21,IF(GC20&lt;0,IF(GC20&gt;LOOKUP(Analysis!$C$159,$B:$B,GG:GG), GC20*(1+GD20),GG20),0)))</f>
        <v>-22059.883500000004</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30160.775653661982</v>
      </c>
      <c r="GQ21" s="1">
        <f t="shared" si="36"/>
        <v>-2159.5475464289407</v>
      </c>
      <c r="GR21" s="64">
        <f>IF($B21&lt;Analysis!$C$159,0,Analysis!$C$178)</f>
        <v>3.0000000000000001E-3</v>
      </c>
      <c r="GS21" s="1">
        <f t="shared" si="37"/>
        <v>-5398.8688660723519</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-1803.092108042478</v>
      </c>
      <c r="HD21" s="1">
        <f t="shared" si="38"/>
        <v>-21621.508520543768</v>
      </c>
      <c r="HE21" s="1">
        <f>MIN(0,-(GN21+HD21)*Analysis!$C$28)-GE21*Analysis!$C$28</f>
        <v>1862.5507354893243</v>
      </c>
      <c r="HF21" s="1">
        <f>-Analysis!$C$176*GP21/12</f>
        <v>-2513.3979711384986</v>
      </c>
      <c r="HG21" s="38"/>
      <c r="HH21" s="1">
        <f>IF($B21&lt;Analysis!$C$159,0,-$HI21*$FW21)</f>
        <v>-91780.770723229987</v>
      </c>
      <c r="HI21" s="64">
        <f>IF($B21&lt;Analysis!$C$159,0,IF($B21=Analysis!$C$159,Analysis!$C$31,HI20))</f>
        <v>0.1275</v>
      </c>
      <c r="HJ21" s="1">
        <f>IF($B21&lt;Analysis!$C$159,0,$FW21+HH21)</f>
        <v>628068.41141975031</v>
      </c>
      <c r="HK21" s="1">
        <f>IF($B21-Analysis!$C$159&gt;10,0,IF($FW21&gt;LOOKUP(Analysis!$C$159,$B:$B, FW:FW),$V21*(LOOKUP(Analysis!$C$159,$B:$B, FW:FW)-FW21),0))</f>
        <v>0</v>
      </c>
      <c r="HL21" s="1">
        <f t="shared" si="39"/>
        <v>628068.41141975031</v>
      </c>
      <c r="HM21" s="38"/>
      <c r="HN21" s="1">
        <f t="shared" si="40"/>
        <v>-137617.92852160212</v>
      </c>
      <c r="HO21" s="1">
        <f t="shared" si="8"/>
        <v>161628.69889488787</v>
      </c>
      <c r="HP21" s="1">
        <f t="shared" si="41"/>
        <v>24010.770373285748</v>
      </c>
      <c r="HQ21" s="1">
        <f>IF(HP21 &lt; 0,
    IF(HQ20 + HP21 &gt; 0,
        HQ20 + HP21, IF(HV20-ABS(HQ20 + HP21)*(1+$V21) &gt;= HQ20 + HP21,
        0, HQ20 + HP21)),
    MIN(HQ20 + HP21, Analysis!$C$7))+IF(HQ20&lt;0, HQ20*Analysis!$C$9,0)</f>
        <v>24000</v>
      </c>
      <c r="HR21" s="38"/>
      <c r="HS21" s="1">
        <f t="shared" si="54"/>
        <v>16023.23726021613</v>
      </c>
      <c r="HT21" s="1">
        <f>IF($B21=Analysis!$C$159,0,IF(HP21 &gt;= 0,
    MAX(0, HQ20 + HP21 - Analysis!$C$7),
    0))</f>
        <v>24010.770373285748</v>
      </c>
      <c r="HU21" s="1">
        <f>IF($B21=Analysis!$C$159,0,MAX(0, HU20 + HT21 - IF(HP21 &lt; 0, MIN(ABS(HP21), HU20 + HT21), 0)))</f>
        <v>353021.48217681656</v>
      </c>
      <c r="HV21" s="1">
        <f>IF($B21=Analysis!$C$159,0,IF(HP21 &lt; 0,
    IF(HP21 + HQ20 &lt; 0,
        MAX(0, HV20 - (ABS(HP21 + HQ20) * (1+$V20))),
        HV20 + HS21),
    HV20 + HT21 + HS21))</f>
        <v>471819.61315110064</v>
      </c>
      <c r="HW21" s="1">
        <f t="shared" si="58"/>
        <v>440486.6061066332</v>
      </c>
      <c r="HX21" s="36"/>
    </row>
    <row r="22" spans="1:232" x14ac:dyDescent="0.35">
      <c r="A22">
        <f t="shared" si="0"/>
        <v>55</v>
      </c>
      <c r="B22">
        <v>2045</v>
      </c>
      <c r="C22" s="1">
        <f>IF($B22&lt;Analysis!C$66,0,$AN22)+$AT22+$AW22+$BC22+$CF22+$CA22</f>
        <v>656764.13473957381</v>
      </c>
      <c r="D22" s="1">
        <f>IF($B22&lt;Analysis!C$66, 0, BV22)+AT22+AW22+BC22+CG22+CA22</f>
        <v>499676.56472072145</v>
      </c>
      <c r="E22" s="1">
        <f t="shared" si="1"/>
        <v>992056.02292219293</v>
      </c>
      <c r="F22" s="1">
        <f t="shared" si="9"/>
        <v>907440.86447646772</v>
      </c>
      <c r="G22" s="1">
        <f>IF(AND($B22&gt;=Analysis!$C$100, $B22&lt;Analysis!$C$101),$CK22,0)+IF($B22&gt;=Analysis!$C$130,EB22,0)+CQ22+CT22+CZ22+EH22+EK22+EQ22+$FO22+$FT22</f>
        <v>1154350.1664205149</v>
      </c>
      <c r="H22" s="1">
        <f t="shared" si="10"/>
        <v>1024061.2099314989</v>
      </c>
      <c r="I22" s="1">
        <f>IF($B22&lt;Analysis!$C$159,0,$FW22)+$GC22+$GF22+$GL22+$HQ22+$HV22</f>
        <v>1154350.1664205149</v>
      </c>
      <c r="J22" s="1">
        <f t="shared" si="2"/>
        <v>1024061.2099314989</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IF($B22=$B$2,((1+Analysis!$B$16)/(1+$S22))-1,IF(B22&lt;Analysis!$C$13,U21-((Analysis!$B$16-Analysis!$C$17)/(Analysis!$C$13-$B$2)),((1+Analysis!$C$17)/(1+$S21))-1))</f>
        <v>3.5966386554621921E-2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30863.420839583938</v>
      </c>
      <c r="AI22" s="1">
        <f>IF(AE22 &gt;= 0,
    MAX(0, AF21 + AE22 - Analysis!$C$7),
    0)</f>
        <v>79074.125468010549</v>
      </c>
      <c r="AJ22" s="1">
        <f t="shared" si="44"/>
        <v>647240.25630332937</v>
      </c>
      <c r="AK22" s="1">
        <f t="shared" si="20"/>
        <v>968056.02292219293</v>
      </c>
      <c r="AL22" s="1">
        <f t="shared" si="5"/>
        <v>883440.86447646772</v>
      </c>
      <c r="AM22" s="36"/>
      <c r="AN22" s="1">
        <f t="shared" si="45"/>
        <v>1232059.3726968805</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-28698.557984583807</v>
      </c>
      <c r="AT22" s="1">
        <f>IF($B22&lt;Analysis!$C$66,0,IF($B22=Analysis!$C$66,-AP22-AS22,MIN(0,AT21-AS22)))</f>
        <v>-264542.6045942324</v>
      </c>
      <c r="AU22" s="64">
        <f>IF($B22&lt;Analysis!$C$66,0,IF($B22=Analysis!$C$66,Analysis!$C$72,IF(($B22-Analysis!$C$66)&lt;LOOKUP(Analysis!$C$66,$B:$B,AQ:AQ),AU21,0)))</f>
        <v>3.6999999999999998E-2</v>
      </c>
      <c r="AV22" s="1">
        <f>IF($B22&lt;Analysis!$C$66,0,IF($B22=Analysis!$C$66,-AU22*AP22,AU21*AT21))</f>
        <v>-10849.9230154162</v>
      </c>
      <c r="AW22" s="1">
        <f>IF($B22&lt;Analysis!$C$66,0,IF($B22=Analysis!$C$66,PMT(AU22,AQ22,AP22)*AQ22-AX22-AT22,IF(($B22-Analysis!$C$66+1)&lt;LOOKUP(Analysis!$C$66,$B:$B,AQ:AQ),IF(AW21-AV22&lt;0, AW21-AV22,0),0)))</f>
        <v>-44979.919945052192</v>
      </c>
      <c r="AX22" s="1">
        <f>IF($B22&lt;Analysis!$C$66,0,IF($B22=Analysis!$C$66,AS22+AV22,IF(AT21&lt;0,IF(AT21&gt;LOOKUP(Analysis!$C$66,$B:$B,AX:AX), AT21*(1+AU21),AX21),0)))</f>
        <v>-39548.481000000007</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-3696.1781180906414</v>
      </c>
      <c r="BF22" s="64">
        <f>IF($B22&lt;Analysis!$C$66,0,Analysis!$C$78)</f>
        <v>3.0000000000000001E-3</v>
      </c>
      <c r="BG22" s="1">
        <f>IF($B22&lt;Analysis!$C$66,0,-BH22*AN22)</f>
        <v>-9240.4452952266038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-157087.57001885228</v>
      </c>
      <c r="BS22" s="64">
        <f>IF($B22&lt;Analysis!C$66,0,Analysis!C$31)</f>
        <v>0.1275</v>
      </c>
      <c r="BT22" s="1">
        <f>IF($B22&lt;Analysis!$C$66,0,AN22+BR22)</f>
        <v>1074971.8026780281</v>
      </c>
      <c r="BU22" s="1">
        <f>IF($B22-Analysis!$C$66&gt;3,0,IF($AN22&gt;LOOKUP(Analysis!$C$66,$B:$B, AN:AN),$V22*(LOOKUP(Analysis!$C$66,$B:$B, AN:AN)-AN22),0))</f>
        <v>0</v>
      </c>
      <c r="BV22" s="1">
        <f t="shared" si="23"/>
        <v>1074971.8026780281</v>
      </c>
      <c r="BW22" s="42"/>
      <c r="BX22" s="1">
        <f>IF($B22&lt;Analysis!$C$66,$P22+$N22+$X22+$Z22,$P22+$N22+AS22+AV22+BB22+BE22+BG22+MAX(BI22,SUM(BJ22:BN22))+BP22)</f>
        <v>-126595.10441331724</v>
      </c>
      <c r="BY22" s="1">
        <f t="shared" si="24"/>
        <v>181467.92324122589</v>
      </c>
      <c r="BZ22" s="1">
        <f t="shared" si="46"/>
        <v>54872.818827908646</v>
      </c>
      <c r="CA22" s="1">
        <f>IF(BZ22 &lt; 0,
    IF(CA21 + BZ22 &gt; 0,
        CA21 + BZ22, IF(CF21-ABS(CA21 + BZ22)*(1+$V22) &gt;= CA21 + BZ22,
        0, CA21 + BZ22)),
    MIN(CA21 + BZ22, Analysis!$C$7))+IF(CA21&lt;0, CA21*Analysis!$C$9,0)</f>
        <v>-265772.71341802203</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-28283.797773215334</v>
      </c>
      <c r="CJ22" s="1">
        <f>IF(OR($B22&lt;Analysis!$C$100, $B22&gt;=Analysis!$C$130),0,Z22)</f>
        <v>-3960</v>
      </c>
      <c r="CK22" s="1">
        <f t="shared" si="26"/>
        <v>741021.21691189159</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-16007.867552685875</v>
      </c>
      <c r="CQ22" s="1">
        <f>IF(OR($B22&lt;Analysis!$C$100, $B22&gt;=Analysis!$C$101),0,IF($B22=Analysis!$C$100,-CM22-CP22,MIN(0,CQ21-CP22)))</f>
        <v>-147560.13102337168</v>
      </c>
      <c r="CR22" s="64">
        <f>IF(OR($B22&lt;Analysis!$C$100, $B22&gt;=Analysis!$C$101),0,IF($B22=Analysis!$C$100,Analysis!$C$102,IF(($B22-Analysis!$C$100)&lt;LOOKUP(Analysis!$C$100,$B:$B,CN:CN),CR21,0)))</f>
        <v>3.6999999999999998E-2</v>
      </c>
      <c r="CS22" s="1">
        <f>IF(OR($B22&lt;Analysis!$C$100, $B22&gt;=Analysis!$C$101),0,IF($B22=Analysis!$C$100,-CR22*CM22,CR21*CQ21))</f>
        <v>-6052.0159473141293</v>
      </c>
      <c r="CT22" s="1">
        <f>IF(OR($B22&lt;Analysis!$C$100, $B22&gt;=Analysis!$C$101),0,IF($B22=Analysis!$C$100,PMT(CR22,CN22,CM22)*CN22-CU22-CQ22,IF(($B22-Analysis!$C$100+1)&lt;LOOKUP(Analysis!$C$100,$B:$B,CN:CN),IF(CT21-CS22&lt;0, CT21-CS22,0),0)))</f>
        <v>-25089.504545754364</v>
      </c>
      <c r="CU22" s="1">
        <f>IF(OR($B22&lt;Analysis!$C$100, $B22&gt;=Analysis!$C$101),0,IF($B22=Analysis!$C$100,CP22+CS22,IF(CQ21&lt;0,IF(CQ21&gt;LOOKUP(Analysis!$C$100,$B:$B,CU:CU), CQ21*(1+CR21),CU21),0)))</f>
        <v>-22059.883500000004</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30931.386702299103</v>
      </c>
      <c r="DE22" s="1">
        <f t="shared" si="27"/>
        <v>-2223.0636507356749</v>
      </c>
      <c r="DF22" s="64">
        <f>IF(OR($B22&lt;Analysis!$C$100, $B22&gt;=Analysis!$C$101),0,Analysis!$C$118)</f>
        <v>3.0000000000000001E-3</v>
      </c>
      <c r="DG22" s="1">
        <f t="shared" si="28"/>
        <v>-5557.6591268391867</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-1856.124228867257</v>
      </c>
      <c r="DR22" s="1">
        <f t="shared" si="29"/>
        <v>-21896.84700644212</v>
      </c>
      <c r="DS22" s="1">
        <f>MIN(0,-(DB22+DR22)*Analysis!$C$28)-CS22*Analysis!$C$28</f>
        <v>1418.1592306616387</v>
      </c>
      <c r="DT22" s="1">
        <f>-Analysis!$C$116*DD22/12</f>
        <v>-2577.6155585249253</v>
      </c>
      <c r="DU22" s="53"/>
      <c r="DV22" s="1">
        <f t="shared" si="30"/>
        <v>-94480.20515626618</v>
      </c>
      <c r="DW22" s="64">
        <f>IF(OR($B22&lt;Analysis!$C$100, $B22&gt;=Analysis!$C$101),0,IF($B22=Analysis!$C$100,Analysis!$C$31,DW21))</f>
        <v>0.1275</v>
      </c>
      <c r="DX22" s="1">
        <f>IF(OR($B22&lt;Analysis!$C$100, $B22&gt;=Analysis!$C$101),0,CK22+DV22)</f>
        <v>646541.01175562537</v>
      </c>
      <c r="DY22" s="1">
        <f>IF(OR($B22&lt;Analysis!$C$100, $B22&gt;=Analysis!$C$101),0,IF($B22-Analysis!$C$100&gt;3,0,IF(CK22&gt;LOOKUP(Analysis!$C$100,$B:$B, CK:CK),$V22*(LOOKUP(Analysis!$C$100,$B:$B, CK:CK)-CK22),0)))</f>
        <v>0</v>
      </c>
      <c r="DZ22" s="1">
        <f t="shared" si="49"/>
        <v>646541.01175562537</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-139209.98460752075</v>
      </c>
      <c r="FM22" s="1">
        <f>$M22+$R22+DD22+IF(AND($B22&lt;&gt;Analysis!$C$130,$B22=Analysis!$C$101),DZ21+CQ21+CT21+CZ21,0)</f>
        <v>212399.309943525</v>
      </c>
      <c r="FN22" s="1">
        <f t="shared" si="34"/>
        <v>73189.325336004258</v>
      </c>
      <c r="FO22" s="1">
        <f>IF(FN22 &lt; 0,
    IF(FO21 + FN22 &gt; 0,
        FO21 + FN22, IF(FT21-ABS(FO21 + FN22)*(1+$V22) &gt;= FO21 + FN22,
        0, FO21 + FN22)),
    MIN(FO21 + FN22, Analysis!$C$7))+IF(FO21&lt;0, FO21*Analysis!$C$9,0)</f>
        <v>24000</v>
      </c>
      <c r="FP22" s="53"/>
      <c r="FQ22" s="1">
        <f t="shared" si="51"/>
        <v>16969.646590644661</v>
      </c>
      <c r="FR22" s="1">
        <f>IF(OR($B22=Analysis!$C$100, $B22=Analysis!$C$130),0,IF(FN22 &gt;= 0,
    MAX(0, FO21 + FN22 - Analysis!$C$7),
    0))</f>
        <v>73189.325336004258</v>
      </c>
      <c r="FS22" s="1">
        <f>IF(OR($B22=Analysis!$C$100, $B22=Analysis!$C$130),0,MAX(0, FS21 + FR22 - IF(FN22 &lt; 0, MIN(ABS(FN22), FS21 + FR22), 0)))</f>
        <v>426210.80751282081</v>
      </c>
      <c r="FT22" s="1">
        <f>IF(OR($B22=Analysis!$C$100, $B22=Analysis!$C$130),0,IF(FN22 &lt; 0,
    IF(FN22 + FO21 &lt; 0,
        MAX(0, FT21 - (ABS(FN22 + FO21) * (1+$V21))),
        FT21 + FQ22),
    FT21 + FR22 + FQ22))</f>
        <v>561978.58507774945</v>
      </c>
      <c r="FU22" s="1">
        <f t="shared" si="57"/>
        <v>526169.83374499949</v>
      </c>
      <c r="FV22" s="36"/>
      <c r="FW22" s="1">
        <f t="shared" si="52"/>
        <v>741021.21691189159</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-16007.867552685875</v>
      </c>
      <c r="GC22" s="1">
        <f>IF($B22&lt;Analysis!$C$159,0,IF($B22=Analysis!$C$159,-FY22-GB22,MIN(0,GC21-GB22)))</f>
        <v>-147560.13102337168</v>
      </c>
      <c r="GD22" s="64">
        <f>IF($B22&lt;Analysis!$C$159,0,IF($B22=Analysis!$C$159,Analysis!$C$160,IF(($B22-Analysis!$C$159)&lt;LOOKUP(Analysis!$C$159,$B:$B,FZ:FZ),GD21,0)))</f>
        <v>3.6999999999999998E-2</v>
      </c>
      <c r="GE22" s="1">
        <f>IF($B22&lt;Analysis!$C$159,0,IF($B22=Analysis!$C$159,-GD22*FY22,GD21*GC21))</f>
        <v>-6052.0159473141293</v>
      </c>
      <c r="GF22" s="1">
        <f>IF($B22&lt;Analysis!$C$159,0,IF($B22=Analysis!$C$159,PMT(GD22,FZ22,FY22)*FZ22-GG22-GC22,IF(($B22-Analysis!$C$159+1)&lt;LOOKUP(Analysis!$C$159,$B:$B,FZ:FZ),IF(GF21-GE22&lt;0, GF21-GE22,0),0)))</f>
        <v>-25089.504545754364</v>
      </c>
      <c r="GG22" s="1">
        <f>IF($B22&lt;Analysis!$C$159,0,IF($B22=Analysis!$C$159,GB22+GE22,IF(GC21&lt;0,IF(GC21&gt;LOOKUP(Analysis!$C$159,$B:$B,GG:GG), GC21*(1+GD21),GG21),0)))</f>
        <v>-22059.883500000004</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30931.386702299103</v>
      </c>
      <c r="GQ22" s="1">
        <f t="shared" si="36"/>
        <v>-2223.0636507356749</v>
      </c>
      <c r="GR22" s="64">
        <f>IF($B22&lt;Analysis!$C$159,0,Analysis!$C$178)</f>
        <v>3.0000000000000001E-3</v>
      </c>
      <c r="GS22" s="1">
        <f t="shared" si="37"/>
        <v>-5557.6591268391867</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-1856.124228867257</v>
      </c>
      <c r="HD22" s="1">
        <f t="shared" si="38"/>
        <v>-21896.84700644212</v>
      </c>
      <c r="HE22" s="1">
        <f>MIN(0,-(GN22+HD22)*Analysis!$C$28)-GE22*Analysis!$C$28</f>
        <v>1418.1592306616387</v>
      </c>
      <c r="HF22" s="1">
        <f>-Analysis!$C$176*GP22/12</f>
        <v>-2577.6155585249253</v>
      </c>
      <c r="HG22" s="38"/>
      <c r="HH22" s="1">
        <f>IF($B22&lt;Analysis!$C$159,0,-$HI22*$FW22)</f>
        <v>-94480.20515626618</v>
      </c>
      <c r="HI22" s="64">
        <f>IF($B22&lt;Analysis!$C$159,0,IF($B22=Analysis!$C$159,Analysis!$C$31,HI21))</f>
        <v>0.1275</v>
      </c>
      <c r="HJ22" s="1">
        <f>IF($B22&lt;Analysis!$C$159,0,$FW22+HH22)</f>
        <v>646541.01175562537</v>
      </c>
      <c r="HK22" s="1">
        <f>IF($B22-Analysis!$C$159&gt;10,0,IF($FW22&gt;LOOKUP(Analysis!$C$159,$B:$B, FW:FW),$V22*(LOOKUP(Analysis!$C$159,$B:$B, FW:FW)-FW22),0))</f>
        <v>0</v>
      </c>
      <c r="HL22" s="1">
        <f t="shared" si="39"/>
        <v>646541.01175562537</v>
      </c>
      <c r="HM22" s="38"/>
      <c r="HN22" s="1">
        <f t="shared" si="40"/>
        <v>-139209.98460752075</v>
      </c>
      <c r="HO22" s="1">
        <f t="shared" si="8"/>
        <v>212399.309943525</v>
      </c>
      <c r="HP22" s="1">
        <f t="shared" si="41"/>
        <v>73189.325336004258</v>
      </c>
      <c r="HQ22" s="1">
        <f>IF(HP22 &lt; 0,
    IF(HQ21 + HP22 &gt; 0,
        HQ21 + HP22, IF(HV21-ABS(HQ21 + HP22)*(1+$V22) &gt;= HQ21 + HP22,
        0, HQ21 + HP22)),
    MIN(HQ21 + HP22, Analysis!$C$7))+IF(HQ21&lt;0, HQ21*Analysis!$C$9,0)</f>
        <v>24000</v>
      </c>
      <c r="HR22" s="38"/>
      <c r="HS22" s="1">
        <f t="shared" si="54"/>
        <v>16969.646590644661</v>
      </c>
      <c r="HT22" s="1">
        <f>IF($B22=Analysis!$C$159,0,IF(HP22 &gt;= 0,
    MAX(0, HQ21 + HP22 - Analysis!$C$7),
    0))</f>
        <v>73189.325336004258</v>
      </c>
      <c r="HU22" s="1">
        <f>IF($B22=Analysis!$C$159,0,MAX(0, HU21 + HT22 - IF(HP22 &lt; 0, MIN(ABS(HP22), HU21 + HT22), 0)))</f>
        <v>426210.80751282081</v>
      </c>
      <c r="HV22" s="1">
        <f>IF($B22=Analysis!$C$159,0,IF(HP22 &lt; 0,
    IF(HP22 + HQ21 &lt; 0,
        MAX(0, HV21 - (ABS(HP22 + HQ21) * (1+$V21))),
        HV21 + HS22),
    HV21 + HT22 + HS22))</f>
        <v>561978.58507774945</v>
      </c>
      <c r="HW22" s="1">
        <f t="shared" si="58"/>
        <v>526169.83374499949</v>
      </c>
      <c r="HX22" s="36"/>
    </row>
    <row r="23" spans="1:232" x14ac:dyDescent="0.35">
      <c r="A23">
        <f t="shared" si="0"/>
        <v>56</v>
      </c>
      <c r="B23">
        <v>2046</v>
      </c>
      <c r="C23" s="1">
        <f>IF($B23&lt;Analysis!C$66,0,$AN23)+$AT23+$AW23+$BC23+$CF23+$CA23</f>
        <v>711530.16894355742</v>
      </c>
      <c r="D23" s="1">
        <f>IF($B23&lt;Analysis!C$66, 0, BV23)+AT23+AW23+BC23+CG23+CA23</f>
        <v>549822.37627709191</v>
      </c>
      <c r="E23" s="1">
        <f t="shared" si="1"/>
        <v>1049759.399371576</v>
      </c>
      <c r="F23" s="1">
        <f t="shared" si="9"/>
        <v>956252.93107767007</v>
      </c>
      <c r="G23" s="1">
        <f>IF(AND($B23&gt;=Analysis!$C$100, $B23&lt;Analysis!$C$101),$CK23,0)+IF($B23&gt;=Analysis!$C$130,EB23,0)+CQ23+CT23+CZ23+EH23+EK23+EQ23+$FO23+$FT23</f>
        <v>1235866.6690989556</v>
      </c>
      <c r="H23" s="1">
        <f t="shared" si="10"/>
        <v>1097637.2750303997</v>
      </c>
      <c r="I23" s="1">
        <f>IF($B23&lt;Analysis!$C$159,0,$FW23)+$GC23+$GF23+$GL23+$HQ23+$HV23</f>
        <v>1235866.6690989556</v>
      </c>
      <c r="J23" s="1">
        <f t="shared" si="2"/>
        <v>1097637.2750303997</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IF($B23=$B$2,((1+Analysis!$B$16)/(1+$S23))-1,IF(B23&lt;Analysis!$C$13,U22-((Analysis!$B$16-Analysis!$C$17)/(Analysis!$C$13-$B$2)),((1+Analysis!$C$17)/(1+$S22))-1))</f>
        <v>3.4823529411764781E-2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33711.127386467029</v>
      </c>
      <c r="AI23" s="1">
        <f>IF(AE23 &gt;= 0,
    MAX(0, AF22 + AE23 - Analysis!$C$7),
    0)</f>
        <v>23992.249062915973</v>
      </c>
      <c r="AJ23" s="1">
        <f t="shared" si="44"/>
        <v>671232.50536624528</v>
      </c>
      <c r="AK23" s="1">
        <f t="shared" si="20"/>
        <v>1025759.399371576</v>
      </c>
      <c r="AL23" s="1">
        <f t="shared" si="5"/>
        <v>932252.93107767007</v>
      </c>
      <c r="AM23" s="36"/>
      <c r="AN23" s="1">
        <f t="shared" si="45"/>
        <v>1268296.4130703183</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-29760.404630013407</v>
      </c>
      <c r="AT23" s="1">
        <f>IF($B23&lt;Analysis!$C$66,0,IF($B23=Analysis!$C$66,-AP23-AS23,MIN(0,AT22-AS23)))</f>
        <v>-234782.19996421901</v>
      </c>
      <c r="AU23" s="64">
        <f>IF($B23&lt;Analysis!$C$66,0,IF($B23=Analysis!$C$66,Analysis!$C$72,IF(($B23-Analysis!$C$66)&lt;LOOKUP(Analysis!$C$66,$B:$B,AQ:AQ),AU22,0)))</f>
        <v>3.6999999999999998E-2</v>
      </c>
      <c r="AV23" s="1">
        <f>IF($B23&lt;Analysis!$C$66,0,IF($B23=Analysis!$C$66,-AU23*AP23,AU22*AT22))</f>
        <v>-9788.0763699865984</v>
      </c>
      <c r="AW23" s="1">
        <f>IF($B23&lt;Analysis!$C$66,0,IF($B23=Analysis!$C$66,PMT(AU23,AQ23,AP23)*AQ23-AX23-AT23,IF(($B23-Analysis!$C$66+1)&lt;LOOKUP(Analysis!$C$66,$B:$B,AQ:AQ),IF(AW22-AV23&lt;0, AW22-AV23,0),0)))</f>
        <v>-35191.843575065592</v>
      </c>
      <c r="AX23" s="1">
        <f>IF($B23&lt;Analysis!$C$66,0,IF($B23=Analysis!$C$66,AS23+AV23,IF(AT22&lt;0,IF(AT22&gt;LOOKUP(Analysis!$C$66,$B:$B,AX:AX), AT22*(1+AU22),AX22),0)))</f>
        <v>-39548.481000000007</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-3804.8892392109551</v>
      </c>
      <c r="BF23" s="64">
        <f>IF($B23&lt;Analysis!$C$66,0,Analysis!$C$78)</f>
        <v>3.0000000000000001E-3</v>
      </c>
      <c r="BG23" s="1">
        <f>IF($B23&lt;Analysis!$C$66,0,-BH23*AN23)</f>
        <v>-9512.2230980273871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-161707.7926664656</v>
      </c>
      <c r="BS23" s="64">
        <f>IF($B23&lt;Analysis!C$66,0,Analysis!C$31)</f>
        <v>0.1275</v>
      </c>
      <c r="BT23" s="1">
        <f>IF($B23&lt;Analysis!$C$66,0,AN23+BR23)</f>
        <v>1106588.6204038528</v>
      </c>
      <c r="BU23" s="1">
        <f>IF($B23-Analysis!$C$66&gt;3,0,IF($AN23&gt;LOOKUP(Analysis!$C$66,$B:$B, AN:AN),$V23*(LOOKUP(Analysis!$C$66,$B:$B, AN:AN)-AN23),0))</f>
        <v>0</v>
      </c>
      <c r="BV23" s="1">
        <f t="shared" si="23"/>
        <v>1106588.6204038528</v>
      </c>
      <c r="BW23" s="42"/>
      <c r="BX23" s="1">
        <f>IF($B23&lt;Analysis!$C$66,$P23+$N23+$X23+$Z23,$P23+$N23+AS23+AV23+BB23+BE23+BG23+MAX(BI23,SUM(BJ23:BN23))+BP23)</f>
        <v>-131225.59333723836</v>
      </c>
      <c r="BY23" s="1">
        <f t="shared" si="24"/>
        <v>131467.92324122589</v>
      </c>
      <c r="BZ23" s="1">
        <f t="shared" si="46"/>
        <v>242.32990398752736</v>
      </c>
      <c r="CA23" s="1">
        <f>IF(BZ23 &lt; 0,
    IF(CA22 + BZ23 &gt; 0,
        CA22 + BZ23, IF(CF22-ABS(CA22 + BZ23)*(1+$V23) &gt;= CA22 + BZ23,
        0, CA22 + BZ23)),
    MIN(CA22 + BZ23, Analysis!$C$7))+IF(CA22&lt;0, CA22*Analysis!$C$9,0)</f>
        <v>-286792.20058747625</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-29115.674178309906</v>
      </c>
      <c r="CJ23" s="1">
        <f>IF(OR($B23&lt;Analysis!$C$100, $B23&gt;=Analysis!$C$130),0,Z23)</f>
        <v>-3960</v>
      </c>
      <c r="CK23" s="1">
        <f t="shared" si="26"/>
        <v>762815.9585857708</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-16600.158652135251</v>
      </c>
      <c r="CQ23" s="1">
        <f>IF(OR($B23&lt;Analysis!$C$100, $B23&gt;=Analysis!$C$101),0,IF($B23=Analysis!$C$100,-CM23-CP23,MIN(0,CQ22-CP23)))</f>
        <v>-130959.97237123642</v>
      </c>
      <c r="CR23" s="64">
        <f>IF(OR($B23&lt;Analysis!$C$100, $B23&gt;=Analysis!$C$101),0,IF($B23=Analysis!$C$100,Analysis!$C$102,IF(($B23-Analysis!$C$100)&lt;LOOKUP(Analysis!$C$100,$B:$B,CN:CN),CR22,0)))</f>
        <v>3.6999999999999998E-2</v>
      </c>
      <c r="CS23" s="1">
        <f>IF(OR($B23&lt;Analysis!$C$100, $B23&gt;=Analysis!$C$101),0,IF($B23=Analysis!$C$100,-CR23*CM23,CR22*CQ22))</f>
        <v>-5459.7248478647516</v>
      </c>
      <c r="CT23" s="1">
        <f>IF(OR($B23&lt;Analysis!$C$100, $B23&gt;=Analysis!$C$101),0,IF($B23=Analysis!$C$100,PMT(CR23,CN23,CM23)*CN23-CU23-CQ23,IF(($B23-Analysis!$C$100+1)&lt;LOOKUP(Analysis!$C$100,$B:$B,CN:CN),IF(CT22-CS23&lt;0, CT22-CS23,0),0)))</f>
        <v>-19629.779697889611</v>
      </c>
      <c r="CU23" s="1">
        <f>IF(OR($B23&lt;Analysis!$C$100, $B23&gt;=Analysis!$C$101),0,IF($B23=Analysis!$C$100,CP23+CS23,IF(CQ22&lt;0,IF(CQ22&gt;LOOKUP(Analysis!$C$100,$B:$B,CU:CU), CQ22*(1+CR22),CU22),0)))</f>
        <v>-22059.883500000004</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31724.66278177849</v>
      </c>
      <c r="DE23" s="1">
        <f t="shared" si="27"/>
        <v>-2288.4478757573124</v>
      </c>
      <c r="DF23" s="64">
        <f>IF(OR($B23&lt;Analysis!$C$100, $B23&gt;=Analysis!$C$101),0,Analysis!$C$118)</f>
        <v>3.0000000000000001E-3</v>
      </c>
      <c r="DG23" s="1">
        <f t="shared" si="28"/>
        <v>-5721.1196893932811</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-1910.7161179515883</v>
      </c>
      <c r="DR23" s="1">
        <f t="shared" si="29"/>
        <v>-22180.283683102185</v>
      </c>
      <c r="DS23" s="1">
        <f>MIN(0,-(DB23+DR23)*Analysis!$C$28)-CS23*Analysis!$C$28</f>
        <v>958.77695521346573</v>
      </c>
      <c r="DT23" s="1">
        <f>-Analysis!$C$116*DD23/12</f>
        <v>-2643.7218984815408</v>
      </c>
      <c r="DU23" s="53"/>
      <c r="DV23" s="1">
        <f t="shared" si="30"/>
        <v>-97259.034719685777</v>
      </c>
      <c r="DW23" s="64">
        <f>IF(OR($B23&lt;Analysis!$C$100, $B23&gt;=Analysis!$C$101),0,IF($B23=Analysis!$C$100,Analysis!$C$31,DW22))</f>
        <v>0.1275</v>
      </c>
      <c r="DX23" s="1">
        <f>IF(OR($B23&lt;Analysis!$C$100, $B23&gt;=Analysis!$C$101),0,CK23+DV23)</f>
        <v>665556.92386608501</v>
      </c>
      <c r="DY23" s="1">
        <f>IF(OR($B23&lt;Analysis!$C$100, $B23&gt;=Analysis!$C$101),0,IF($B23-Analysis!$C$100&gt;3,0,IF(CK23&gt;LOOKUP(Analysis!$C$100,$B:$B, CK:CK),$V23*(LOOKUP(Analysis!$C$100,$B:$B, CK:CK)-CK23),0)))</f>
        <v>0</v>
      </c>
      <c r="DZ23" s="1">
        <f t="shared" si="49"/>
        <v>665556.92386608501</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-145100.78630468019</v>
      </c>
      <c r="FM23" s="1">
        <f>$M23+$R23+DD23+IF(AND($B23&lt;&gt;Analysis!$C$130,$B23=Analysis!$C$101),DZ22+CQ22+CT22+CZ22,0)</f>
        <v>163192.58602300438</v>
      </c>
      <c r="FN23" s="1">
        <f t="shared" si="34"/>
        <v>18091.799718324182</v>
      </c>
      <c r="FO23" s="1">
        <f>IF(FN23 &lt; 0,
    IF(FO22 + FN23 &gt; 0,
        FO22 + FN23, IF(FT22-ABS(FO22 + FN23)*(1+$V23) &gt;= FO22 + FN23,
        0, FO22 + FN23)),
    MIN(FO22 + FN23, Analysis!$C$7))+IF(FO22&lt;0, FO22*Analysis!$C$9,0)</f>
        <v>24000</v>
      </c>
      <c r="FP23" s="53"/>
      <c r="FQ23" s="1">
        <f t="shared" si="51"/>
        <v>19570.077786236965</v>
      </c>
      <c r="FR23" s="1">
        <f>IF(OR($B23=Analysis!$C$100, $B23=Analysis!$C$130),0,IF(FN23 &gt;= 0,
    MAX(0, FO22 + FN23 - Analysis!$C$7),
    0))</f>
        <v>18091.799718324182</v>
      </c>
      <c r="FS23" s="1">
        <f>IF(OR($B23=Analysis!$C$100, $B23=Analysis!$C$130),0,MAX(0, FS22 + FR23 - IF(FN23 &lt; 0, MIN(ABS(FN23), FS22 + FR23), 0)))</f>
        <v>444302.60723114503</v>
      </c>
      <c r="FT23" s="1">
        <f>IF(OR($B23=Analysis!$C$100, $B23=Analysis!$C$130),0,IF(FN23 &lt; 0,
    IF(FN23 + FO22 &lt; 0,
        MAX(0, FT22 - (ABS(FN23 + FO22) * (1+$V22))),
        FT22 + FQ23),
    FT22 + FR23 + FQ23))</f>
        <v>599640.46258231066</v>
      </c>
      <c r="FU23" s="1">
        <f t="shared" si="57"/>
        <v>558670.10323344078</v>
      </c>
      <c r="FV23" s="36"/>
      <c r="FW23" s="1">
        <f t="shared" si="52"/>
        <v>762815.9585857708</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-16600.158652135251</v>
      </c>
      <c r="GC23" s="1">
        <f>IF($B23&lt;Analysis!$C$159,0,IF($B23=Analysis!$C$159,-FY23-GB23,MIN(0,GC22-GB23)))</f>
        <v>-130959.97237123642</v>
      </c>
      <c r="GD23" s="64">
        <f>IF($B23&lt;Analysis!$C$159,0,IF($B23=Analysis!$C$159,Analysis!$C$160,IF(($B23-Analysis!$C$159)&lt;LOOKUP(Analysis!$C$159,$B:$B,FZ:FZ),GD22,0)))</f>
        <v>3.6999999999999998E-2</v>
      </c>
      <c r="GE23" s="1">
        <f>IF($B23&lt;Analysis!$C$159,0,IF($B23=Analysis!$C$159,-GD23*FY23,GD22*GC22))</f>
        <v>-5459.7248478647516</v>
      </c>
      <c r="GF23" s="1">
        <f>IF($B23&lt;Analysis!$C$159,0,IF($B23=Analysis!$C$159,PMT(GD23,FZ23,FY23)*FZ23-GG23-GC23,IF(($B23-Analysis!$C$159+1)&lt;LOOKUP(Analysis!$C$159,$B:$B,FZ:FZ),IF(GF22-GE23&lt;0, GF22-GE23,0),0)))</f>
        <v>-19629.779697889611</v>
      </c>
      <c r="GG23" s="1">
        <f>IF($B23&lt;Analysis!$C$159,0,IF($B23=Analysis!$C$159,GB23+GE23,IF(GC22&lt;0,IF(GC22&gt;LOOKUP(Analysis!$C$159,$B:$B,GG:GG), GC22*(1+GD22),GG22),0)))</f>
        <v>-22059.883500000004</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31724.66278177849</v>
      </c>
      <c r="GQ23" s="1">
        <f t="shared" si="36"/>
        <v>-2288.4478757573124</v>
      </c>
      <c r="GR23" s="64">
        <f>IF($B23&lt;Analysis!$C$159,0,Analysis!$C$178)</f>
        <v>3.0000000000000001E-3</v>
      </c>
      <c r="GS23" s="1">
        <f t="shared" si="37"/>
        <v>-5721.1196893932811</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-1910.7161179515883</v>
      </c>
      <c r="HD23" s="1">
        <f t="shared" si="38"/>
        <v>-22180.283683102185</v>
      </c>
      <c r="HE23" s="1">
        <f>MIN(0,-(GN23+HD23)*Analysis!$C$28)-GE23*Analysis!$C$28</f>
        <v>958.77695521346573</v>
      </c>
      <c r="HF23" s="1">
        <f>-Analysis!$C$176*GP23/12</f>
        <v>-2643.7218984815408</v>
      </c>
      <c r="HG23" s="38"/>
      <c r="HH23" s="1">
        <f>IF($B23&lt;Analysis!$C$159,0,-$HI23*$FW23)</f>
        <v>-97259.034719685777</v>
      </c>
      <c r="HI23" s="64">
        <f>IF($B23&lt;Analysis!$C$159,0,IF($B23=Analysis!$C$159,Analysis!$C$31,HI22))</f>
        <v>0.1275</v>
      </c>
      <c r="HJ23" s="1">
        <f>IF($B23&lt;Analysis!$C$159,0,$FW23+HH23)</f>
        <v>665556.92386608501</v>
      </c>
      <c r="HK23" s="1">
        <f>IF($B23-Analysis!$C$159&gt;10,0,IF($FW23&gt;LOOKUP(Analysis!$C$159,$B:$B, FW:FW),$V23*(LOOKUP(Analysis!$C$159,$B:$B, FW:FW)-FW23),0))</f>
        <v>0</v>
      </c>
      <c r="HL23" s="1">
        <f t="shared" si="39"/>
        <v>665556.92386608501</v>
      </c>
      <c r="HM23" s="38"/>
      <c r="HN23" s="1">
        <f t="shared" si="40"/>
        <v>-145100.78630468019</v>
      </c>
      <c r="HO23" s="1">
        <f t="shared" si="8"/>
        <v>163192.58602300438</v>
      </c>
      <c r="HP23" s="1">
        <f t="shared" si="41"/>
        <v>18091.799718324182</v>
      </c>
      <c r="HQ23" s="1">
        <f>IF(HP23 &lt; 0,
    IF(HQ22 + HP23 &gt; 0,
        HQ22 + HP23, IF(HV22-ABS(HQ22 + HP23)*(1+$V23) &gt;= HQ22 + HP23,
        0, HQ22 + HP23)),
    MIN(HQ22 + HP23, Analysis!$C$7))+IF(HQ22&lt;0, HQ22*Analysis!$C$9,0)</f>
        <v>24000</v>
      </c>
      <c r="HR23" s="38"/>
      <c r="HS23" s="1">
        <f t="shared" si="54"/>
        <v>19570.077786236965</v>
      </c>
      <c r="HT23" s="1">
        <f>IF($B23=Analysis!$C$159,0,IF(HP23 &gt;= 0,
    MAX(0, HQ22 + HP23 - Analysis!$C$7),
    0))</f>
        <v>18091.799718324182</v>
      </c>
      <c r="HU23" s="1">
        <f>IF($B23=Analysis!$C$159,0,MAX(0, HU22 + HT23 - IF(HP23 &lt; 0, MIN(ABS(HP23), HU22 + HT23), 0)))</f>
        <v>444302.60723114503</v>
      </c>
      <c r="HV23" s="1">
        <f>IF($B23=Analysis!$C$159,0,IF(HP23 &lt; 0,
    IF(HP23 + HQ22 &lt; 0,
        MAX(0, HV22 - (ABS(HP23 + HQ22) * (1+$V22))),
        HV22 + HS23),
    HV22 + HT23 + HS23))</f>
        <v>599640.46258231066</v>
      </c>
      <c r="HW23" s="1">
        <f t="shared" si="58"/>
        <v>558670.10323344078</v>
      </c>
      <c r="HX23" s="36"/>
    </row>
    <row r="24" spans="1:232" x14ac:dyDescent="0.35">
      <c r="A24">
        <f t="shared" si="0"/>
        <v>57</v>
      </c>
      <c r="B24">
        <v>2047</v>
      </c>
      <c r="C24" s="1">
        <f>IF($B24&lt;Analysis!C$66,0,$AN24)+$AT24+$AW24+$BC24+$CF24+$CA24</f>
        <v>765288.75970446132</v>
      </c>
      <c r="D24" s="1">
        <f>IF($B24&lt;Analysis!C$66, 0, BV24)+AT24+AW24+BC24+CG24+CA24</f>
        <v>598824.85548898205</v>
      </c>
      <c r="E24" s="1">
        <f t="shared" si="1"/>
        <v>1107443.5712332921</v>
      </c>
      <c r="F24" s="1">
        <f t="shared" si="9"/>
        <v>1004824.9977404812</v>
      </c>
      <c r="G24" s="1">
        <f>IF(AND($B24&gt;=Analysis!$C$100, $B24&lt;Analysis!$C$101),$CK24,0)+IF($B24&gt;=Analysis!$C$130,EB24,0)+CQ24+CT24+CZ24+EH24+EK24+EQ24+$FO24+$FT24</f>
        <v>1317775.9653745419</v>
      </c>
      <c r="H24" s="1">
        <f t="shared" si="10"/>
        <v>1171359.2389453198</v>
      </c>
      <c r="I24" s="1">
        <f>IF($B24&lt;Analysis!$C$159,0,$FW24)+$GC24+$GF24+$GL24+$HQ24+$HV24</f>
        <v>1317775.9653745419</v>
      </c>
      <c r="J24" s="1">
        <f t="shared" si="2"/>
        <v>1171359.2389453198</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IF($B24=$B$2,((1+Analysis!$B$16)/(1+$S24))-1,IF(B24&lt;Analysis!$C$13,U23-((Analysis!$B$16-Analysis!$C$17)/(Analysis!$C$13-$B$2)),((1+Analysis!$C$17)/(1+$S23))-1))</f>
        <v>3.3680672268907641E-2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34548.266156985599</v>
      </c>
      <c r="AI24" s="1">
        <f>IF(AE24 &gt;= 0,
    MAX(0, AF23 + AE24 - Analysis!$C$7),
    0)</f>
        <v>23135.905704730394</v>
      </c>
      <c r="AJ24" s="1">
        <f t="shared" si="44"/>
        <v>694368.41107097571</v>
      </c>
      <c r="AK24" s="1">
        <f t="shared" si="20"/>
        <v>1083443.5712332921</v>
      </c>
      <c r="AL24" s="1">
        <f t="shared" si="5"/>
        <v>980824.99774048117</v>
      </c>
      <c r="AM24" s="36"/>
      <c r="AN24" s="1">
        <f t="shared" si="45"/>
        <v>1305599.2487488573</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-30861.539601323904</v>
      </c>
      <c r="AT24" s="1">
        <f>IF($B24&lt;Analysis!$C$66,0,IF($B24=Analysis!$C$66,-AP24-AS24,MIN(0,AT23-AS24)))</f>
        <v>-203920.66036289511</v>
      </c>
      <c r="AU24" s="64">
        <f>IF($B24&lt;Analysis!$C$66,0,IF($B24=Analysis!$C$66,Analysis!$C$72,IF(($B24-Analysis!$C$66)&lt;LOOKUP(Analysis!$C$66,$B:$B,AQ:AQ),AU23,0)))</f>
        <v>3.6999999999999998E-2</v>
      </c>
      <c r="AV24" s="1">
        <f>IF($B24&lt;Analysis!$C$66,0,IF($B24=Analysis!$C$66,-AU24*AP24,AU23*AT23))</f>
        <v>-8686.9413986761028</v>
      </c>
      <c r="AW24" s="1">
        <f>IF($B24&lt;Analysis!$C$66,0,IF($B24=Analysis!$C$66,PMT(AU24,AQ24,AP24)*AQ24-AX24-AT24,IF(($B24-Analysis!$C$66+1)&lt;LOOKUP(Analysis!$C$66,$B:$B,AQ:AQ),IF(AW23-AV24&lt;0, AW23-AV24,0),0)))</f>
        <v>-26504.902176389489</v>
      </c>
      <c r="AX24" s="1">
        <f>IF($B24&lt;Analysis!$C$66,0,IF($B24=Analysis!$C$66,AS24+AV24,IF(AT23&lt;0,IF(AT23&gt;LOOKUP(Analysis!$C$66,$B:$B,AX:AX), AT23*(1+AU23),AX23),0)))</f>
        <v>-39548.481000000007</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-3916.7977462465719</v>
      </c>
      <c r="BF24" s="64">
        <f>IF($B24&lt;Analysis!$C$66,0,Analysis!$C$78)</f>
        <v>3.0000000000000001E-3</v>
      </c>
      <c r="BG24" s="1">
        <f>IF($B24&lt;Analysis!$C$66,0,-BH24*AN24)</f>
        <v>-9791.9943656164287</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-166463.9042154793</v>
      </c>
      <c r="BS24" s="64">
        <f>IF($B24&lt;Analysis!C$66,0,Analysis!C$31)</f>
        <v>0.1275</v>
      </c>
      <c r="BT24" s="1">
        <f>IF($B24&lt;Analysis!$C$66,0,AN24+BR24)</f>
        <v>1139135.344533378</v>
      </c>
      <c r="BU24" s="1">
        <f>IF($B24-Analysis!$C$66&gt;3,0,IF($AN24&gt;LOOKUP(Analysis!$C$66,$B:$B, AN:AN),$V24*(LOOKUP(Analysis!$C$66,$B:$B, AN:AN)-AN24),0))</f>
        <v>0</v>
      </c>
      <c r="BV24" s="1">
        <f t="shared" si="23"/>
        <v>1139135.344533378</v>
      </c>
      <c r="BW24" s="42"/>
      <c r="BX24" s="1">
        <f>IF($B24&lt;Analysis!$C$66,$P24+$N24+$X24+$Z24,$P24+$N24+AS24+AV24+BB24+BE24+BG24+MAX(BI24,SUM(BJ24:BN24))+BP24)</f>
        <v>-131617.273111863</v>
      </c>
      <c r="BY24" s="1">
        <f t="shared" si="24"/>
        <v>131467.92324122589</v>
      </c>
      <c r="BZ24" s="1">
        <f t="shared" si="46"/>
        <v>-149.34987063711742</v>
      </c>
      <c r="CA24" s="1">
        <f>IF(BZ24 &lt; 0,
    IF(CA23 + BZ24 &gt; 0,
        CA23 + BZ24, IF(CF23-ABS(CA23 + BZ24)*(1+$V24) &gt;= CA23 + BZ24,
        0, CA23 + BZ24)),
    MIN(CA23 + BZ24, Analysis!$C$7))+IF(CA23&lt;0, CA23*Analysis!$C$9,0)</f>
        <v>-309884.92650511145</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-29972.017536495496</v>
      </c>
      <c r="CJ24" s="1">
        <f>IF(OR($B24&lt;Analysis!$C$100, $B24&gt;=Analysis!$C$130),0,Z24)</f>
        <v>-3960</v>
      </c>
      <c r="CK24" s="1">
        <f t="shared" si="26"/>
        <v>785251.72207358771</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-17214.364522264255</v>
      </c>
      <c r="CQ24" s="1">
        <f>IF(OR($B24&lt;Analysis!$C$100, $B24&gt;=Analysis!$C$101),0,IF($B24=Analysis!$C$100,-CM24-CP24,MIN(0,CQ23-CP24)))</f>
        <v>-113745.60784897217</v>
      </c>
      <c r="CR24" s="64">
        <f>IF(OR($B24&lt;Analysis!$C$100, $B24&gt;=Analysis!$C$101),0,IF($B24=Analysis!$C$100,Analysis!$C$102,IF(($B24-Analysis!$C$100)&lt;LOOKUP(Analysis!$C$100,$B:$B,CN:CN),CR23,0)))</f>
        <v>3.6999999999999998E-2</v>
      </c>
      <c r="CS24" s="1">
        <f>IF(OR($B24&lt;Analysis!$C$100, $B24&gt;=Analysis!$C$101),0,IF($B24=Analysis!$C$100,-CR24*CM24,CR23*CQ23))</f>
        <v>-4845.5189777357473</v>
      </c>
      <c r="CT24" s="1">
        <f>IF(OR($B24&lt;Analysis!$C$100, $B24&gt;=Analysis!$C$101),0,IF($B24=Analysis!$C$100,PMT(CR24,CN24,CM24)*CN24-CU24-CQ24,IF(($B24-Analysis!$C$100+1)&lt;LOOKUP(Analysis!$C$100,$B:$B,CN:CN),IF(CT23-CS24&lt;0, CT23-CS24,0),0)))</f>
        <v>-14784.260720153863</v>
      </c>
      <c r="CU24" s="1">
        <f>IF(OR($B24&lt;Analysis!$C$100, $B24&gt;=Analysis!$C$101),0,IF($B24=Analysis!$C$100,CP24+CS24,IF(CQ23&lt;0,IF(CQ23&gt;LOOKUP(Analysis!$C$100,$B:$B,CU:CU), CQ23*(1+CR23),CU23),0)))</f>
        <v>-22059.883500000004</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32541.270510654329</v>
      </c>
      <c r="DE24" s="1">
        <f t="shared" si="27"/>
        <v>-2355.7551662207634</v>
      </c>
      <c r="DF24" s="64">
        <f>IF(OR($B24&lt;Analysis!$C$100, $B24&gt;=Analysis!$C$101),0,Analysis!$C$118)</f>
        <v>3.0000000000000001E-3</v>
      </c>
      <c r="DG24" s="1">
        <f t="shared" si="28"/>
        <v>-5889.387915551908</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-1966.9136508325173</v>
      </c>
      <c r="DR24" s="1">
        <f t="shared" si="29"/>
        <v>-22472.05673260519</v>
      </c>
      <c r="DS24" s="1">
        <f>MIN(0,-(DB24+DR24)*Analysis!$C$28)-CS24*Analysis!$C$28</f>
        <v>483.89194813355584</v>
      </c>
      <c r="DT24" s="1">
        <f>-Analysis!$C$116*DD24/12</f>
        <v>-2711.7725425545273</v>
      </c>
      <c r="DU24" s="53"/>
      <c r="DV24" s="1">
        <f t="shared" si="30"/>
        <v>-100119.59456438244</v>
      </c>
      <c r="DW24" s="64">
        <f>IF(OR($B24&lt;Analysis!$C$100, $B24&gt;=Analysis!$C$101),0,IF($B24=Analysis!$C$100,Analysis!$C$31,DW23))</f>
        <v>0.1275</v>
      </c>
      <c r="DX24" s="1">
        <f>IF(OR($B24&lt;Analysis!$C$100, $B24&gt;=Analysis!$C$101),0,CK24+DV24)</f>
        <v>685132.12750920525</v>
      </c>
      <c r="DY24" s="1">
        <f>IF(OR($B24&lt;Analysis!$C$100, $B24&gt;=Analysis!$C$101),0,IF($B24-Analysis!$C$100&gt;3,0,IF(CK24&gt;LOOKUP(Analysis!$C$100,$B:$B, CK:CK),$V24*(LOOKUP(Analysis!$C$100,$B:$B, CK:CK)-CK24),0)))</f>
        <v>0</v>
      </c>
      <c r="DZ24" s="1">
        <f t="shared" si="49"/>
        <v>685132.12750920525</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-146791.83836352165</v>
      </c>
      <c r="FM24" s="1">
        <f>$M24+$R24+DD24+IF(AND($B24&lt;&gt;Analysis!$C$130,$B24=Analysis!$C$101),DZ23+CQ23+CT23+CZ23,0)</f>
        <v>164009.1937518802</v>
      </c>
      <c r="FN24" s="1">
        <f t="shared" si="34"/>
        <v>17217.355388358556</v>
      </c>
      <c r="FO24" s="1">
        <f>IF(FN24 &lt; 0,
    IF(FO23 + FN24 &gt; 0,
        FO23 + FN24, IF(FT23-ABS(FO23 + FN24)*(1+$V24) &gt;= FO23 + FN24,
        0, FO23 + FN24)),
    MIN(FO23 + FN24, Analysis!$C$7))+IF(FO23&lt;0, FO23*Analysis!$C$9,0)</f>
        <v>24000</v>
      </c>
      <c r="FP24" s="53"/>
      <c r="FQ24" s="1">
        <f t="shared" si="51"/>
        <v>20196.293899410979</v>
      </c>
      <c r="FR24" s="1">
        <f>IF(OR($B24=Analysis!$C$100, $B24=Analysis!$C$130),0,IF(FN24 &gt;= 0,
    MAX(0, FO23 + FN24 - Analysis!$C$7),
    0))</f>
        <v>17217.355388358556</v>
      </c>
      <c r="FS24" s="1">
        <f>IF(OR($B24=Analysis!$C$100, $B24=Analysis!$C$130),0,MAX(0, FS23 + FR24 - IF(FN24 &lt; 0, MIN(ABS(FN24), FS23 + FR24), 0)))</f>
        <v>461519.96261950361</v>
      </c>
      <c r="FT24" s="1">
        <f>IF(OR($B24=Analysis!$C$100, $B24=Analysis!$C$130),0,IF(FN24 &lt; 0,
    IF(FN24 + FO23 &lt; 0,
        MAX(0, FT23 - (ABS(FN24 + FO23) * (1+$V23))),
        FT23 + FQ24),
    FT23 + FR24 + FQ24))</f>
        <v>637054.11187008023</v>
      </c>
      <c r="FU24" s="1">
        <f t="shared" si="57"/>
        <v>590756.98000524065</v>
      </c>
      <c r="FV24" s="36"/>
      <c r="FW24" s="1">
        <f t="shared" si="52"/>
        <v>785251.72207358771</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-17214.364522264255</v>
      </c>
      <c r="GC24" s="1">
        <f>IF($B24&lt;Analysis!$C$159,0,IF($B24=Analysis!$C$159,-FY24-GB24,MIN(0,GC23-GB24)))</f>
        <v>-113745.60784897217</v>
      </c>
      <c r="GD24" s="64">
        <f>IF($B24&lt;Analysis!$C$159,0,IF($B24=Analysis!$C$159,Analysis!$C$160,IF(($B24-Analysis!$C$159)&lt;LOOKUP(Analysis!$C$159,$B:$B,FZ:FZ),GD23,0)))</f>
        <v>3.6999999999999998E-2</v>
      </c>
      <c r="GE24" s="1">
        <f>IF($B24&lt;Analysis!$C$159,0,IF($B24=Analysis!$C$159,-GD24*FY24,GD23*GC23))</f>
        <v>-4845.5189777357473</v>
      </c>
      <c r="GF24" s="1">
        <f>IF($B24&lt;Analysis!$C$159,0,IF($B24=Analysis!$C$159,PMT(GD24,FZ24,FY24)*FZ24-GG24-GC24,IF(($B24-Analysis!$C$159+1)&lt;LOOKUP(Analysis!$C$159,$B:$B,FZ:FZ),IF(GF23-GE24&lt;0, GF23-GE24,0),0)))</f>
        <v>-14784.260720153863</v>
      </c>
      <c r="GG24" s="1">
        <f>IF($B24&lt;Analysis!$C$159,0,IF($B24=Analysis!$C$159,GB24+GE24,IF(GC23&lt;0,IF(GC23&gt;LOOKUP(Analysis!$C$159,$B:$B,GG:GG), GC23*(1+GD23),GG23),0)))</f>
        <v>-22059.883500000004</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32541.270510654329</v>
      </c>
      <c r="GQ24" s="1">
        <f t="shared" si="36"/>
        <v>-2355.7551662207634</v>
      </c>
      <c r="GR24" s="64">
        <f>IF($B24&lt;Analysis!$C$159,0,Analysis!$C$178)</f>
        <v>3.0000000000000001E-3</v>
      </c>
      <c r="GS24" s="1">
        <f t="shared" si="37"/>
        <v>-5889.387915551908</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-1966.9136508325173</v>
      </c>
      <c r="HD24" s="1">
        <f t="shared" si="38"/>
        <v>-22472.05673260519</v>
      </c>
      <c r="HE24" s="1">
        <f>MIN(0,-(GN24+HD24)*Analysis!$C$28)-GE24*Analysis!$C$28</f>
        <v>483.89194813355584</v>
      </c>
      <c r="HF24" s="1">
        <f>-Analysis!$C$176*GP24/12</f>
        <v>-2711.7725425545273</v>
      </c>
      <c r="HG24" s="38"/>
      <c r="HH24" s="1">
        <f>IF($B24&lt;Analysis!$C$159,0,-$HI24*$FW24)</f>
        <v>-100119.59456438244</v>
      </c>
      <c r="HI24" s="64">
        <f>IF($B24&lt;Analysis!$C$159,0,IF($B24=Analysis!$C$159,Analysis!$C$31,HI23))</f>
        <v>0.1275</v>
      </c>
      <c r="HJ24" s="1">
        <f>IF($B24&lt;Analysis!$C$159,0,$FW24+HH24)</f>
        <v>685132.12750920525</v>
      </c>
      <c r="HK24" s="1">
        <f>IF($B24-Analysis!$C$159&gt;10,0,IF($FW24&gt;LOOKUP(Analysis!$C$159,$B:$B, FW:FW),$V24*(LOOKUP(Analysis!$C$159,$B:$B, FW:FW)-FW24),0))</f>
        <v>0</v>
      </c>
      <c r="HL24" s="1">
        <f t="shared" si="39"/>
        <v>685132.12750920525</v>
      </c>
      <c r="HM24" s="38"/>
      <c r="HN24" s="1">
        <f t="shared" si="40"/>
        <v>-146791.83836352165</v>
      </c>
      <c r="HO24" s="1">
        <f t="shared" si="8"/>
        <v>164009.1937518802</v>
      </c>
      <c r="HP24" s="1">
        <f t="shared" si="41"/>
        <v>17217.355388358556</v>
      </c>
      <c r="HQ24" s="1">
        <f>IF(HP24 &lt; 0,
    IF(HQ23 + HP24 &gt; 0,
        HQ23 + HP24, IF(HV23-ABS(HQ23 + HP24)*(1+$V24) &gt;= HQ23 + HP24,
        0, HQ23 + HP24)),
    MIN(HQ23 + HP24, Analysis!$C$7))+IF(HQ23&lt;0, HQ23*Analysis!$C$9,0)</f>
        <v>24000</v>
      </c>
      <c r="HR24" s="38"/>
      <c r="HS24" s="1">
        <f t="shared" si="54"/>
        <v>20196.293899410979</v>
      </c>
      <c r="HT24" s="1">
        <f>IF($B24=Analysis!$C$159,0,IF(HP24 &gt;= 0,
    MAX(0, HQ23 + HP24 - Analysis!$C$7),
    0))</f>
        <v>17217.355388358556</v>
      </c>
      <c r="HU24" s="1">
        <f>IF($B24=Analysis!$C$159,0,MAX(0, HU23 + HT24 - IF(HP24 &lt; 0, MIN(ABS(HP24), HU23 + HT24), 0)))</f>
        <v>461519.96261950361</v>
      </c>
      <c r="HV24" s="1">
        <f>IF($B24=Analysis!$C$159,0,IF(HP24 &lt; 0,
    IF(HP24 + HQ23 &lt; 0,
        MAX(0, HV23 - (ABS(HP24 + HQ23) * (1+$V23))),
        HV23 + HS24),
    HV23 + HT24 + HS24))</f>
        <v>637054.11187008023</v>
      </c>
      <c r="HW24" s="1">
        <f t="shared" si="58"/>
        <v>590756.98000524065</v>
      </c>
      <c r="HX24" s="36"/>
    </row>
    <row r="25" spans="1:232" x14ac:dyDescent="0.35">
      <c r="A25">
        <f t="shared" si="0"/>
        <v>58</v>
      </c>
      <c r="B25">
        <v>2048</v>
      </c>
      <c r="C25" s="1">
        <f>IF($B25&lt;Analysis!C$66,0,$AN25)+$AT25+$AW25+$BC25+$CF25+$CA25</f>
        <v>817893.87484979734</v>
      </c>
      <c r="D25" s="1">
        <f>IF($B25&lt;Analysis!C$66, 0, BV25)+AT25+AW25+BC25+CG25+CA25</f>
        <v>646533.97345150972</v>
      </c>
      <c r="E25" s="1">
        <f t="shared" si="1"/>
        <v>1164950.8336307753</v>
      </c>
      <c r="F25" s="1">
        <f t="shared" si="9"/>
        <v>1053034.3112918611</v>
      </c>
      <c r="G25" s="1">
        <f>IF(AND($B25&gt;=Analysis!$C$100, $B25&lt;Analysis!$C$101),$CK25,0)+IF($B25&gt;=Analysis!$C$130,EB25,0)+CQ25+CT25+CZ25+EH25+EK25+EQ25+$FO25+$FT25</f>
        <v>1399974.963610589</v>
      </c>
      <c r="H25" s="1">
        <f t="shared" si="10"/>
        <v>1245146.4411966479</v>
      </c>
      <c r="I25" s="1">
        <f>IF($B25&lt;Analysis!$C$159,0,$FW25)+$GC25+$GF25+$GL25+$HQ25+$HV25</f>
        <v>1399974.963610589</v>
      </c>
      <c r="J25" s="1">
        <f t="shared" si="2"/>
        <v>1245146.4411966479</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IF($B25=$B$2,((1+Analysis!$B$16)/(1+$S25))-1,IF(B25&lt;Analysis!$C$13,U24-((Analysis!$B$16-Analysis!$C$17)/(Analysis!$C$13-$B$2)),((1+Analysis!$C$17)/(1+$S24))-1))</f>
        <v>3.2537815126050501E-2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35252.886620296784</v>
      </c>
      <c r="AI25" s="1">
        <f>IF(AE25 &gt;= 0,
    MAX(0, AF24 + AE25 - Analysis!$C$7),
    0)</f>
        <v>22254.375777186404</v>
      </c>
      <c r="AJ25" s="1">
        <f t="shared" si="44"/>
        <v>716622.78684816207</v>
      </c>
      <c r="AK25" s="1">
        <f t="shared" si="20"/>
        <v>1140950.8336307753</v>
      </c>
      <c r="AL25" s="1">
        <f t="shared" si="5"/>
        <v>1029034.3112918611</v>
      </c>
      <c r="AM25" s="36"/>
      <c r="AN25" s="1">
        <f t="shared" si="45"/>
        <v>1343999.2266532355</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-32003.416566572887</v>
      </c>
      <c r="AT25" s="1">
        <f>IF($B25&lt;Analysis!$C$66,0,IF($B25=Analysis!$C$66,-AP25-AS25,MIN(0,AT24-AS25)))</f>
        <v>-171917.24379632223</v>
      </c>
      <c r="AU25" s="64">
        <f>IF($B25&lt;Analysis!$C$66,0,IF($B25=Analysis!$C$66,Analysis!$C$72,IF(($B25-Analysis!$C$66)&lt;LOOKUP(Analysis!$C$66,$B:$B,AQ:AQ),AU24,0)))</f>
        <v>3.6999999999999998E-2</v>
      </c>
      <c r="AV25" s="1">
        <f>IF($B25&lt;Analysis!$C$66,0,IF($B25=Analysis!$C$66,-AU25*AP25,AU24*AT24))</f>
        <v>-7545.0644334271192</v>
      </c>
      <c r="AW25" s="1">
        <f>IF($B25&lt;Analysis!$C$66,0,IF($B25=Analysis!$C$66,PMT(AU25,AQ25,AP25)*AQ25-AX25-AT25,IF(($B25-Analysis!$C$66+1)&lt;LOOKUP(Analysis!$C$66,$B:$B,AQ:AQ),IF(AW24-AV25&lt;0, AW24-AV25,0),0)))</f>
        <v>-18959.837742962369</v>
      </c>
      <c r="AX25" s="1">
        <f>IF($B25&lt;Analysis!$C$66,0,IF($B25=Analysis!$C$66,AS25+AV25,IF(AT24&lt;0,IF(AT24&gt;LOOKUP(Analysis!$C$66,$B:$B,AX:AX), AT24*(1+AU24),AX24),0)))</f>
        <v>-39548.481000000007</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-4031.9976799597066</v>
      </c>
      <c r="BF25" s="64">
        <f>IF($B25&lt;Analysis!$C$66,0,Analysis!$C$78)</f>
        <v>3.0000000000000001E-3</v>
      </c>
      <c r="BG25" s="1">
        <f>IF($B25&lt;Analysis!$C$66,0,-BH25*AN25)</f>
        <v>-10079.994199899265</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-171359.90139828753</v>
      </c>
      <c r="BS25" s="64">
        <f>IF($B25&lt;Analysis!C$66,0,Analysis!C$31)</f>
        <v>0.1275</v>
      </c>
      <c r="BT25" s="1">
        <f>IF($B25&lt;Analysis!$C$66,0,AN25+BR25)</f>
        <v>1172639.3252549479</v>
      </c>
      <c r="BU25" s="1">
        <f>IF($B25-Analysis!$C$66&gt;3,0,IF($AN25&gt;LOOKUP(Analysis!$C$66,$B:$B, AN:AN),$V25*(LOOKUP(Analysis!$C$66,$B:$B, AN:AN)-AN25),0))</f>
        <v>0</v>
      </c>
      <c r="BV25" s="1">
        <f t="shared" si="23"/>
        <v>1172639.3252549479</v>
      </c>
      <c r="BW25" s="42"/>
      <c r="BX25" s="1">
        <f>IF($B25&lt;Analysis!$C$66,$P25+$N25+$X25+$Z25,$P25+$N25+AS25+AV25+BB25+BE25+BG25+MAX(BI25,SUM(BJ25:BN25))+BP25)</f>
        <v>-132020.47287985898</v>
      </c>
      <c r="BY25" s="1">
        <f t="shared" si="24"/>
        <v>131467.92324122589</v>
      </c>
      <c r="BZ25" s="1">
        <f t="shared" si="46"/>
        <v>-552.5496386330924</v>
      </c>
      <c r="CA25" s="1">
        <f>IF(BZ25 &lt; 0,
    IF(CA24 + BZ25 &gt; 0,
        CA24 + BZ25, IF(CF24-ABS(CA24 + BZ25)*(1+$V25) &gt;= CA24 + BZ25,
        0, CA24 + BZ25)),
    MIN(CA24 + BZ25, Analysis!$C$7))+IF(CA24&lt;0, CA24*Analysis!$C$9,0)</f>
        <v>-335228.27026415349</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-30853.547464039486</v>
      </c>
      <c r="CJ25" s="1">
        <f>IF(OR($B25&lt;Analysis!$C$100, $B25&gt;=Analysis!$C$130),0,Z25)</f>
        <v>-3960</v>
      </c>
      <c r="CK25" s="1">
        <f t="shared" si="26"/>
        <v>808347.36095810507</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-17851.296009588033</v>
      </c>
      <c r="CQ25" s="1">
        <f>IF(OR($B25&lt;Analysis!$C$100, $B25&gt;=Analysis!$C$101),0,IF($B25=Analysis!$C$100,-CM25-CP25,MIN(0,CQ24-CP25)))</f>
        <v>-95894.311839384143</v>
      </c>
      <c r="CR25" s="64">
        <f>IF(OR($B25&lt;Analysis!$C$100, $B25&gt;=Analysis!$C$101),0,IF($B25=Analysis!$C$100,Analysis!$C$102,IF(($B25-Analysis!$C$100)&lt;LOOKUP(Analysis!$C$100,$B:$B,CN:CN),CR24,0)))</f>
        <v>3.6999999999999998E-2</v>
      </c>
      <c r="CS25" s="1">
        <f>IF(OR($B25&lt;Analysis!$C$100, $B25&gt;=Analysis!$C$101),0,IF($B25=Analysis!$C$100,-CR25*CM25,CR24*CQ24))</f>
        <v>-4208.5874904119701</v>
      </c>
      <c r="CT25" s="1">
        <f>IF(OR($B25&lt;Analysis!$C$100, $B25&gt;=Analysis!$C$101),0,IF($B25=Analysis!$C$100,PMT(CR25,CN25,CM25)*CN25-CU25-CQ25,IF(($B25-Analysis!$C$100+1)&lt;LOOKUP(Analysis!$C$100,$B:$B,CN:CN),IF(CT24-CS25&lt;0, CT24-CS25,0),0)))</f>
        <v>-10575.673229741893</v>
      </c>
      <c r="CU25" s="1">
        <f>IF(OR($B25&lt;Analysis!$C$100, $B25&gt;=Analysis!$C$101),0,IF($B25=Analysis!$C$100,CP25+CS25,IF(CQ24&lt;0,IF(CQ24&gt;LOOKUP(Analysis!$C$100,$B:$B,CU:CU), CQ24*(1+CR24),CU24),0)))</f>
        <v>-22059.883500000004</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33381.896113908871</v>
      </c>
      <c r="DE25" s="1">
        <f t="shared" si="27"/>
        <v>-2425.0420828743154</v>
      </c>
      <c r="DF25" s="64">
        <f>IF(OR($B25&lt;Analysis!$C$100, $B25&gt;=Analysis!$C$101),0,Analysis!$C$118)</f>
        <v>3.0000000000000001E-3</v>
      </c>
      <c r="DG25" s="1">
        <f t="shared" si="28"/>
        <v>-6062.6052071857875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-2024.7640523275916</v>
      </c>
      <c r="DR25" s="1">
        <f t="shared" si="29"/>
        <v>-22772.411342387695</v>
      </c>
      <c r="DS25" s="1">
        <f>MIN(0,-(DB25+DR25)*Analysis!$C$28)-CS25*Analysis!$C$28</f>
        <v>-7.0254383378801322</v>
      </c>
      <c r="DT25" s="1">
        <f>-Analysis!$C$116*DD25/12</f>
        <v>-2781.8246761590726</v>
      </c>
      <c r="DU25" s="53"/>
      <c r="DV25" s="1">
        <f t="shared" si="30"/>
        <v>-103064.2885221584</v>
      </c>
      <c r="DW25" s="64">
        <f>IF(OR($B25&lt;Analysis!$C$100, $B25&gt;=Analysis!$C$101),0,IF($B25=Analysis!$C$100,Analysis!$C$31,DW24))</f>
        <v>0.1275</v>
      </c>
      <c r="DX25" s="1">
        <f>IF(OR($B25&lt;Analysis!$C$100, $B25&gt;=Analysis!$C$101),0,CK25+DV25)</f>
        <v>705283.07243594667</v>
      </c>
      <c r="DY25" s="1">
        <f>IF(OR($B25&lt;Analysis!$C$100, $B25&gt;=Analysis!$C$101),0,IF($B25-Analysis!$C$100&gt;3,0,IF(CK25&gt;LOOKUP(Analysis!$C$100,$B:$B, CK:CK),$V25*(LOOKUP(Analysis!$C$100,$B:$B, CK:CK)-CK25),0)))</f>
        <v>0</v>
      </c>
      <c r="DZ25" s="1">
        <f t="shared" si="49"/>
        <v>705283.07243594667</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-148534.69242092414</v>
      </c>
      <c r="FM25" s="1">
        <f>$M25+$R25+DD25+IF(AND($B25&lt;&gt;Analysis!$C$130,$B25=Analysis!$C$101),DZ24+CQ24+CT24+CZ24,0)</f>
        <v>164849.81935513476</v>
      </c>
      <c r="FN25" s="1">
        <f t="shared" si="34"/>
        <v>16315.126934210624</v>
      </c>
      <c r="FO25" s="1">
        <f>IF(FN25 &lt; 0,
    IF(FO24 + FN25 &gt; 0,
        FO24 + FN25, IF(FT24-ABS(FO24 + FN25)*(1+$V25) &gt;= FO24 + FN25,
        0, FO24 + FN25)),
    MIN(FO24 + FN25, Analysis!$C$7))+IF(FO24&lt;0, FO24*Analysis!$C$9,0)</f>
        <v>24000</v>
      </c>
      <c r="FP25" s="53"/>
      <c r="FQ25" s="1">
        <f t="shared" si="51"/>
        <v>20728.348917318966</v>
      </c>
      <c r="FR25" s="1">
        <f>IF(OR($B25=Analysis!$C$100, $B25=Analysis!$C$130),0,IF(FN25 &gt;= 0,
    MAX(0, FO24 + FN25 - Analysis!$C$7),
    0))</f>
        <v>16315.126934210624</v>
      </c>
      <c r="FS25" s="1">
        <f>IF(OR($B25=Analysis!$C$100, $B25=Analysis!$C$130),0,MAX(0, FS24 + FR25 - IF(FN25 &lt; 0, MIN(ABS(FN25), FS24 + FR25), 0)))</f>
        <v>477835.08955371426</v>
      </c>
      <c r="FT25" s="1">
        <f>IF(OR($B25=Analysis!$C$100, $B25=Analysis!$C$130),0,IF(FN25 &lt; 0,
    IF(FN25 + FO24 &lt; 0,
        MAX(0, FT24 - (ABS(FN25 + FO24) * (1+$V24))),
        FT24 + FQ25),
    FT24 + FR25 + FQ25))</f>
        <v>674097.58772160986</v>
      </c>
      <c r="FU25" s="1">
        <f t="shared" si="57"/>
        <v>622333.35382982739</v>
      </c>
      <c r="FV25" s="36"/>
      <c r="FW25" s="1">
        <f t="shared" si="52"/>
        <v>808347.36095810507</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-17851.296009588033</v>
      </c>
      <c r="GC25" s="1">
        <f>IF($B25&lt;Analysis!$C$159,0,IF($B25=Analysis!$C$159,-FY25-GB25,MIN(0,GC24-GB25)))</f>
        <v>-95894.311839384143</v>
      </c>
      <c r="GD25" s="64">
        <f>IF($B25&lt;Analysis!$C$159,0,IF($B25=Analysis!$C$159,Analysis!$C$160,IF(($B25-Analysis!$C$159)&lt;LOOKUP(Analysis!$C$159,$B:$B,FZ:FZ),GD24,0)))</f>
        <v>3.6999999999999998E-2</v>
      </c>
      <c r="GE25" s="1">
        <f>IF($B25&lt;Analysis!$C$159,0,IF($B25=Analysis!$C$159,-GD25*FY25,GD24*GC24))</f>
        <v>-4208.5874904119701</v>
      </c>
      <c r="GF25" s="1">
        <f>IF($B25&lt;Analysis!$C$159,0,IF($B25=Analysis!$C$159,PMT(GD25,FZ25,FY25)*FZ25-GG25-GC25,IF(($B25-Analysis!$C$159+1)&lt;LOOKUP(Analysis!$C$159,$B:$B,FZ:FZ),IF(GF24-GE25&lt;0, GF24-GE25,0),0)))</f>
        <v>-10575.673229741893</v>
      </c>
      <c r="GG25" s="1">
        <f>IF($B25&lt;Analysis!$C$159,0,IF($B25=Analysis!$C$159,GB25+GE25,IF(GC24&lt;0,IF(GC24&gt;LOOKUP(Analysis!$C$159,$B:$B,GG:GG), GC24*(1+GD24),GG24),0)))</f>
        <v>-22059.883500000004</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33381.896113908871</v>
      </c>
      <c r="GQ25" s="1">
        <f t="shared" si="36"/>
        <v>-2425.0420828743154</v>
      </c>
      <c r="GR25" s="64">
        <f>IF($B25&lt;Analysis!$C$159,0,Analysis!$C$178)</f>
        <v>3.0000000000000001E-3</v>
      </c>
      <c r="GS25" s="1">
        <f t="shared" si="37"/>
        <v>-6062.6052071857875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-2024.7640523275916</v>
      </c>
      <c r="HD25" s="1">
        <f t="shared" si="38"/>
        <v>-22772.411342387695</v>
      </c>
      <c r="HE25" s="1">
        <f>MIN(0,-(GN25+HD25)*Analysis!$C$28)-GE25*Analysis!$C$28</f>
        <v>-7.0254383378801322</v>
      </c>
      <c r="HF25" s="1">
        <f>-Analysis!$C$176*GP25/12</f>
        <v>-2781.8246761590726</v>
      </c>
      <c r="HG25" s="38"/>
      <c r="HH25" s="1">
        <f>IF($B25&lt;Analysis!$C$159,0,-$HI25*$FW25)</f>
        <v>-103064.2885221584</v>
      </c>
      <c r="HI25" s="64">
        <f>IF($B25&lt;Analysis!$C$159,0,IF($B25=Analysis!$C$159,Analysis!$C$31,HI24))</f>
        <v>0.1275</v>
      </c>
      <c r="HJ25" s="1">
        <f>IF($B25&lt;Analysis!$C$159,0,$FW25+HH25)</f>
        <v>705283.07243594667</v>
      </c>
      <c r="HK25" s="1">
        <f>IF($B25-Analysis!$C$159&gt;10,0,IF($FW25&gt;LOOKUP(Analysis!$C$159,$B:$B, FW:FW),$V25*(LOOKUP(Analysis!$C$159,$B:$B, FW:FW)-FW25),0))</f>
        <v>0</v>
      </c>
      <c r="HL25" s="1">
        <f t="shared" si="39"/>
        <v>705283.07243594667</v>
      </c>
      <c r="HM25" s="38"/>
      <c r="HN25" s="1">
        <f t="shared" si="40"/>
        <v>-148534.69242092414</v>
      </c>
      <c r="HO25" s="1">
        <f t="shared" si="8"/>
        <v>164849.81935513476</v>
      </c>
      <c r="HP25" s="1">
        <f t="shared" si="41"/>
        <v>16315.126934210624</v>
      </c>
      <c r="HQ25" s="1">
        <f>IF(HP25 &lt; 0,
    IF(HQ24 + HP25 &gt; 0,
        HQ24 + HP25, IF(HV24-ABS(HQ24 + HP25)*(1+$V25) &gt;= HQ24 + HP25,
        0, HQ24 + HP25)),
    MIN(HQ24 + HP25, Analysis!$C$7))+IF(HQ24&lt;0, HQ24*Analysis!$C$9,0)</f>
        <v>24000</v>
      </c>
      <c r="HR25" s="38"/>
      <c r="HS25" s="1">
        <f t="shared" si="54"/>
        <v>20728.348917318966</v>
      </c>
      <c r="HT25" s="1">
        <f>IF($B25=Analysis!$C$159,0,IF(HP25 &gt;= 0,
    MAX(0, HQ24 + HP25 - Analysis!$C$7),
    0))</f>
        <v>16315.126934210624</v>
      </c>
      <c r="HU25" s="1">
        <f>IF($B25=Analysis!$C$159,0,MAX(0, HU24 + HT25 - IF(HP25 &lt; 0, MIN(ABS(HP25), HU24 + HT25), 0)))</f>
        <v>477835.08955371426</v>
      </c>
      <c r="HV25" s="1">
        <f>IF($B25=Analysis!$C$159,0,IF(HP25 &lt; 0,
    IF(HP25 + HQ24 &lt; 0,
        MAX(0, HV24 - (ABS(HP25 + HQ24) * (1+$V24))),
        HV24 + HS25),
    HV24 + HT25 + HS25))</f>
        <v>674097.58772160986</v>
      </c>
      <c r="HW25" s="1">
        <f t="shared" si="58"/>
        <v>622333.35382982739</v>
      </c>
      <c r="HX25" s="36"/>
    </row>
    <row r="26" spans="1:232" x14ac:dyDescent="0.35">
      <c r="A26">
        <f t="shared" si="0"/>
        <v>59</v>
      </c>
      <c r="B26">
        <v>2049</v>
      </c>
      <c r="C26" s="1">
        <f>IF($B26&lt;Analysis!C$66,0,$AN26)+$AT26+$AW26+$BC26+$CF26+$CA26</f>
        <v>869185.87502454338</v>
      </c>
      <c r="D26" s="1">
        <f>IF($B26&lt;Analysis!C$66, 0, BV26)+AT26+AW26+BC26+CG26+CA26</f>
        <v>692785.97652630624</v>
      </c>
      <c r="E26" s="1">
        <f t="shared" si="1"/>
        <v>1222117.8556123353</v>
      </c>
      <c r="F26" s="1">
        <f t="shared" si="9"/>
        <v>1100753.7809798515</v>
      </c>
      <c r="G26" s="1">
        <f>IF(AND($B26&gt;=Analysis!$C$100, $B26&lt;Analysis!$C$101),$CK26,0)+IF($B26&gt;=Analysis!$C$130,EB26,0)+CQ26+CT26+CZ26+EH26+EK26+EQ26+$FO26+$FT26</f>
        <v>1482357.255699147</v>
      </c>
      <c r="H26" s="1">
        <f t="shared" si="10"/>
        <v>1318915.6194209978</v>
      </c>
      <c r="I26" s="1">
        <f>IF($B26&lt;Analysis!$C$159,0,$FW26)+$GC26+$GF26+$GL26+$HQ26+$HV26</f>
        <v>1482357.255699147</v>
      </c>
      <c r="J26" s="1">
        <f t="shared" si="2"/>
        <v>1318915.6194209978</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IF($B26=$B$2,((1+Analysis!$B$16)/(1+$S26))-1,IF(B26&lt;Analysis!$C$13,U25-((Analysis!$B$16-Analysis!$C$17)/(Analysis!$C$13-$B$2)),((1+Analysis!$C$17)/(1+$S25))-1))</f>
        <v>3.1394957983193361E-2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35820.103482727631</v>
      </c>
      <c r="AI26" s="1">
        <f>IF(AE26 &gt;= 0,
    MAX(0, AF25 + AE26 - Analysis!$C$7),
    0)</f>
        <v>21346.918498832296</v>
      </c>
      <c r="AJ26" s="1">
        <f t="shared" si="44"/>
        <v>737969.70534699433</v>
      </c>
      <c r="AK26" s="1">
        <f t="shared" si="20"/>
        <v>1198117.8556123353</v>
      </c>
      <c r="AL26" s="1">
        <f t="shared" si="5"/>
        <v>1076753.7809798515</v>
      </c>
      <c r="AM26" s="36"/>
      <c r="AN26" s="1">
        <f t="shared" si="45"/>
        <v>1383528.6156724484</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-33187.542979536083</v>
      </c>
      <c r="AT26" s="1">
        <f>IF($B26&lt;Analysis!$C$66,0,IF($B26=Analysis!$C$66,-AP26-AS26,MIN(0,AT25-AS26)))</f>
        <v>-138729.70081678615</v>
      </c>
      <c r="AU26" s="64">
        <f>IF($B26&lt;Analysis!$C$66,0,IF($B26=Analysis!$C$66,Analysis!$C$72,IF(($B26-Analysis!$C$66)&lt;LOOKUP(Analysis!$C$66,$B:$B,AQ:AQ),AU25,0)))</f>
        <v>3.6999999999999998E-2</v>
      </c>
      <c r="AV26" s="1">
        <f>IF($B26&lt;Analysis!$C$66,0,IF($B26=Analysis!$C$66,-AU26*AP26,AU25*AT25))</f>
        <v>-6360.9380204639219</v>
      </c>
      <c r="AW26" s="1">
        <f>IF($B26&lt;Analysis!$C$66,0,IF($B26=Analysis!$C$66,PMT(AU26,AQ26,AP26)*AQ26-AX26-AT26,IF(($B26-Analysis!$C$66+1)&lt;LOOKUP(Analysis!$C$66,$B:$B,AQ:AQ),IF(AW25-AV26&lt;0, AW25-AV26,0),0)))</f>
        <v>-12598.899722498447</v>
      </c>
      <c r="AX26" s="1">
        <f>IF($B26&lt;Analysis!$C$66,0,IF($B26=Analysis!$C$66,AS26+AV26,IF(AT25&lt;0,IF(AT25&gt;LOOKUP(Analysis!$C$66,$B:$B,AX:AX), AT25*(1+AU25),AX25),0)))</f>
        <v>-39548.481000000007</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-4150.5858470173453</v>
      </c>
      <c r="BF26" s="64">
        <f>IF($B26&lt;Analysis!$C$66,0,Analysis!$C$78)</f>
        <v>3.0000000000000001E-3</v>
      </c>
      <c r="BG26" s="1">
        <f>IF($B26&lt;Analysis!$C$66,0,-BH26*AN26)</f>
        <v>-10376.464617543363</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-176399.89849823716</v>
      </c>
      <c r="BS26" s="64">
        <f>IF($B26&lt;Analysis!C$66,0,Analysis!C$31)</f>
        <v>0.1275</v>
      </c>
      <c r="BT26" s="1">
        <f>IF($B26&lt;Analysis!$C$66,0,AN26+BR26)</f>
        <v>1207128.7171742113</v>
      </c>
      <c r="BU26" s="1">
        <f>IF($B26-Analysis!$C$66&gt;3,0,IF($AN26&gt;LOOKUP(Analysis!$C$66,$B:$B, AN:AN),$V26*(LOOKUP(Analysis!$C$66,$B:$B, AN:AN)-AN26),0))</f>
        <v>0</v>
      </c>
      <c r="BV26" s="1">
        <f t="shared" si="23"/>
        <v>1207128.7171742113</v>
      </c>
      <c r="BW26" s="42"/>
      <c r="BX26" s="1">
        <f>IF($B26&lt;Analysis!$C$66,$P26+$N26+$X26+$Z26,$P26+$N26+AS26+AV26+BB26+BE26+BG26+MAX(BI26,SUM(BJ26:BN26))+BP26)</f>
        <v>-132435.53146456071</v>
      </c>
      <c r="BY26" s="1">
        <f t="shared" si="24"/>
        <v>131467.92324122589</v>
      </c>
      <c r="BZ26" s="1">
        <f t="shared" si="46"/>
        <v>-967.60822333482793</v>
      </c>
      <c r="CA26" s="1">
        <f>IF(BZ26 &lt; 0,
    IF(CA25 + BZ26 &gt; 0,
        CA25 + BZ26, IF(CF25-ABS(CA25 + BZ26)*(1+$V26) &gt;= CA25 + BZ26,
        0, CA25 + BZ26)),
    MIN(CA25 + BZ26, Analysis!$C$7))+IF(CA25&lt;0, CA25*Analysis!$C$9,0)</f>
        <v>-363014.14010862057</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-31761.00474239359</v>
      </c>
      <c r="CJ26" s="1">
        <f>IF(OR($B26&lt;Analysis!$C$100, $B26&gt;=Analysis!$C$130),0,Z26)</f>
        <v>-3960</v>
      </c>
      <c r="CK26" s="1">
        <f t="shared" si="26"/>
        <v>832122.28333922592</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-18511.793961942789</v>
      </c>
      <c r="CQ26" s="1">
        <f>IF(OR($B26&lt;Analysis!$C$100, $B26&gt;=Analysis!$C$101),0,IF($B26=Analysis!$C$100,-CM26-CP26,MIN(0,CQ25-CP26)))</f>
        <v>-77382.517877441351</v>
      </c>
      <c r="CR26" s="64">
        <f>IF(OR($B26&lt;Analysis!$C$100, $B26&gt;=Analysis!$C$101),0,IF($B26=Analysis!$C$100,Analysis!$C$102,IF(($B26-Analysis!$C$100)&lt;LOOKUP(Analysis!$C$100,$B:$B,CN:CN),CR25,0)))</f>
        <v>3.6999999999999998E-2</v>
      </c>
      <c r="CS26" s="1">
        <f>IF(OR($B26&lt;Analysis!$C$100, $B26&gt;=Analysis!$C$101),0,IF($B26=Analysis!$C$100,-CR26*CM26,CR25*CQ25))</f>
        <v>-3548.0895380572133</v>
      </c>
      <c r="CT26" s="1">
        <f>IF(OR($B26&lt;Analysis!$C$100, $B26&gt;=Analysis!$C$101),0,IF($B26=Analysis!$C$100,PMT(CR26,CN26,CM26)*CN26-CU26-CQ26,IF(($B26-Analysis!$C$100+1)&lt;LOOKUP(Analysis!$C$100,$B:$B,CN:CN),IF(CT25-CS26&lt;0, CT25-CS26,0),0)))</f>
        <v>-7027.5836916846802</v>
      </c>
      <c r="CU26" s="1">
        <f>IF(OR($B26&lt;Analysis!$C$100, $B26&gt;=Analysis!$C$101),0,IF($B26=Analysis!$C$100,CP26+CS26,IF(CQ25&lt;0,IF(CQ25&gt;LOOKUP(Analysis!$C$100,$B:$B,CU:CU), CQ25*(1+CR25),CU25),0)))</f>
        <v>-22059.883500000004</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34247.245999612074</v>
      </c>
      <c r="DE26" s="1">
        <f t="shared" si="27"/>
        <v>-2496.3668500176777</v>
      </c>
      <c r="DF26" s="64">
        <f>IF(OR($B26&lt;Analysis!$C$100, $B26&gt;=Analysis!$C$101),0,Analysis!$C$118)</f>
        <v>3.0000000000000001E-3</v>
      </c>
      <c r="DG26" s="1">
        <f t="shared" si="28"/>
        <v>-6240.9171250441941</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-2084.3159362195797</v>
      </c>
      <c r="DR26" s="1">
        <f t="shared" si="29"/>
        <v>-23081.599911281453</v>
      </c>
      <c r="DS26" s="1">
        <f>MIN(0,-(DB26+DR26)*Analysis!$C$28)-CS26*Analysis!$C$28</f>
        <v>-514.523156183315</v>
      </c>
      <c r="DT26" s="1">
        <f>-Analysis!$C$116*DD26/12</f>
        <v>-2853.9371666343395</v>
      </c>
      <c r="DU26" s="53"/>
      <c r="DV26" s="1">
        <f t="shared" si="30"/>
        <v>-106095.59112575131</v>
      </c>
      <c r="DW26" s="64">
        <f>IF(OR($B26&lt;Analysis!$C$100, $B26&gt;=Analysis!$C$101),0,IF($B26=Analysis!$C$100,Analysis!$C$31,DW25))</f>
        <v>0.1275</v>
      </c>
      <c r="DX26" s="1">
        <f>IF(OR($B26&lt;Analysis!$C$100, $B26&gt;=Analysis!$C$101),0,CK26+DV26)</f>
        <v>726026.69221347466</v>
      </c>
      <c r="DY26" s="1">
        <f>IF(OR($B26&lt;Analysis!$C$100, $B26&gt;=Analysis!$C$101),0,IF($B26-Analysis!$C$100&gt;3,0,IF(CK26&gt;LOOKUP(Analysis!$C$100,$B:$B, CK:CK),$V26*(LOOKUP(Analysis!$C$100,$B:$B, CK:CK)-CK26),0)))</f>
        <v>0</v>
      </c>
      <c r="DZ26" s="1">
        <f t="shared" si="49"/>
        <v>726026.69221347466</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-150330.94847649269</v>
      </c>
      <c r="FM26" s="1">
        <f>$M26+$R26+DD26+IF(AND($B26&lt;&gt;Analysis!$C$130,$B26=Analysis!$C$101),DZ25+CQ25+CT25+CZ25,0)</f>
        <v>165715.16924083797</v>
      </c>
      <c r="FN26" s="1">
        <f t="shared" si="34"/>
        <v>15384.220764345286</v>
      </c>
      <c r="FO26" s="1">
        <f>IF(FN26 &lt; 0,
    IF(FO25 + FN26 &gt; 0,
        FO25 + FN26, IF(FT25-ABS(FO25 + FN26)*(1+$V26) &gt;= FO25 + FN26,
        0, FO25 + FN26)),
    MIN(FO25 + FN26, Analysis!$C$7))+IF(FO25&lt;0, FO25*Analysis!$C$9,0)</f>
        <v>24000</v>
      </c>
      <c r="FP26" s="53"/>
      <c r="FQ26" s="1">
        <f t="shared" si="51"/>
        <v>21163.265443091943</v>
      </c>
      <c r="FR26" s="1">
        <f>IF(OR($B26=Analysis!$C$100, $B26=Analysis!$C$130),0,IF(FN26 &gt;= 0,
    MAX(0, FO25 + FN26 - Analysis!$C$7),
    0))</f>
        <v>15384.220764345286</v>
      </c>
      <c r="FS26" s="1">
        <f>IF(OR($B26=Analysis!$C$100, $B26=Analysis!$C$130),0,MAX(0, FS25 + FR26 - IF(FN26 &lt; 0, MIN(ABS(FN26), FS25 + FR26), 0)))</f>
        <v>493219.31031805952</v>
      </c>
      <c r="FT26" s="1">
        <f>IF(OR($B26=Analysis!$C$100, $B26=Analysis!$C$130),0,IF(FN26 &lt; 0,
    IF(FN26 + FO25 &lt; 0,
        MAX(0, FT25 - (ABS(FN26 + FO25) * (1+$V25))),
        FT25 + FQ26),
    FT25 + FR26 + FQ26))</f>
        <v>710645.0739290471</v>
      </c>
      <c r="FU26" s="1">
        <f t="shared" si="57"/>
        <v>653299.02877664915</v>
      </c>
      <c r="FV26" s="36"/>
      <c r="FW26" s="1">
        <f t="shared" si="52"/>
        <v>832122.28333922592</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-18511.793961942789</v>
      </c>
      <c r="GC26" s="1">
        <f>IF($B26&lt;Analysis!$C$159,0,IF($B26=Analysis!$C$159,-FY26-GB26,MIN(0,GC25-GB26)))</f>
        <v>-77382.517877441351</v>
      </c>
      <c r="GD26" s="64">
        <f>IF($B26&lt;Analysis!$C$159,0,IF($B26=Analysis!$C$159,Analysis!$C$160,IF(($B26-Analysis!$C$159)&lt;LOOKUP(Analysis!$C$159,$B:$B,FZ:FZ),GD25,0)))</f>
        <v>3.6999999999999998E-2</v>
      </c>
      <c r="GE26" s="1">
        <f>IF($B26&lt;Analysis!$C$159,0,IF($B26=Analysis!$C$159,-GD26*FY26,GD25*GC25))</f>
        <v>-3548.0895380572133</v>
      </c>
      <c r="GF26" s="1">
        <f>IF($B26&lt;Analysis!$C$159,0,IF($B26=Analysis!$C$159,PMT(GD26,FZ26,FY26)*FZ26-GG26-GC26,IF(($B26-Analysis!$C$159+1)&lt;LOOKUP(Analysis!$C$159,$B:$B,FZ:FZ),IF(GF25-GE26&lt;0, GF25-GE26,0),0)))</f>
        <v>-7027.5836916846802</v>
      </c>
      <c r="GG26" s="1">
        <f>IF($B26&lt;Analysis!$C$159,0,IF($B26=Analysis!$C$159,GB26+GE26,IF(GC25&lt;0,IF(GC25&gt;LOOKUP(Analysis!$C$159,$B:$B,GG:GG), GC25*(1+GD25),GG25),0)))</f>
        <v>-22059.883500000004</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34247.245999612074</v>
      </c>
      <c r="GQ26" s="1">
        <f t="shared" si="36"/>
        <v>-2496.3668500176777</v>
      </c>
      <c r="GR26" s="64">
        <f>IF($B26&lt;Analysis!$C$159,0,Analysis!$C$178)</f>
        <v>3.0000000000000001E-3</v>
      </c>
      <c r="GS26" s="1">
        <f t="shared" si="37"/>
        <v>-6240.9171250441941</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-2084.3159362195797</v>
      </c>
      <c r="HD26" s="1">
        <f t="shared" si="38"/>
        <v>-23081.599911281453</v>
      </c>
      <c r="HE26" s="1">
        <f>MIN(0,-(GN26+HD26)*Analysis!$C$28)-GE26*Analysis!$C$28</f>
        <v>-514.523156183315</v>
      </c>
      <c r="HF26" s="1">
        <f>-Analysis!$C$176*GP26/12</f>
        <v>-2853.9371666343395</v>
      </c>
      <c r="HG26" s="38"/>
      <c r="HH26" s="1">
        <f>IF($B26&lt;Analysis!$C$159,0,-$HI26*$FW26)</f>
        <v>-106095.59112575131</v>
      </c>
      <c r="HI26" s="64">
        <f>IF($B26&lt;Analysis!$C$159,0,IF($B26=Analysis!$C$159,Analysis!$C$31,HI25))</f>
        <v>0.1275</v>
      </c>
      <c r="HJ26" s="1">
        <f>IF($B26&lt;Analysis!$C$159,0,$FW26+HH26)</f>
        <v>726026.69221347466</v>
      </c>
      <c r="HK26" s="1">
        <f>IF($B26-Analysis!$C$159&gt;10,0,IF($FW26&gt;LOOKUP(Analysis!$C$159,$B:$B, FW:FW),$V26*(LOOKUP(Analysis!$C$159,$B:$B, FW:FW)-FW26),0))</f>
        <v>0</v>
      </c>
      <c r="HL26" s="1">
        <f t="shared" si="39"/>
        <v>726026.69221347466</v>
      </c>
      <c r="HM26" s="38"/>
      <c r="HN26" s="1">
        <f t="shared" si="40"/>
        <v>-150330.94847649269</v>
      </c>
      <c r="HO26" s="1">
        <f t="shared" si="8"/>
        <v>165715.16924083797</v>
      </c>
      <c r="HP26" s="1">
        <f t="shared" si="41"/>
        <v>15384.220764345286</v>
      </c>
      <c r="HQ26" s="1">
        <f>IF(HP26 &lt; 0,
    IF(HQ25 + HP26 &gt; 0,
        HQ25 + HP26, IF(HV25-ABS(HQ25 + HP26)*(1+$V26) &gt;= HQ25 + HP26,
        0, HQ25 + HP26)),
    MIN(HQ25 + HP26, Analysis!$C$7))+IF(HQ25&lt;0, HQ25*Analysis!$C$9,0)</f>
        <v>24000</v>
      </c>
      <c r="HR26" s="38"/>
      <c r="HS26" s="1">
        <f t="shared" si="54"/>
        <v>21163.265443091943</v>
      </c>
      <c r="HT26" s="1">
        <f>IF($B26=Analysis!$C$159,0,IF(HP26 &gt;= 0,
    MAX(0, HQ25 + HP26 - Analysis!$C$7),
    0))</f>
        <v>15384.220764345286</v>
      </c>
      <c r="HU26" s="1">
        <f>IF($B26=Analysis!$C$159,0,MAX(0, HU25 + HT26 - IF(HP26 &lt; 0, MIN(ABS(HP26), HU25 + HT26), 0)))</f>
        <v>493219.31031805952</v>
      </c>
      <c r="HV26" s="1">
        <f>IF($B26=Analysis!$C$159,0,IF(HP26 &lt; 0,
    IF(HP26 + HQ25 &lt; 0,
        MAX(0, HV25 - (ABS(HP26 + HQ25) * (1+$V25))),
        HV25 + HS26),
    HV25 + HT26 + HS26))</f>
        <v>710645.0739290471</v>
      </c>
      <c r="HW26" s="1">
        <f t="shared" si="58"/>
        <v>653299.02877664915</v>
      </c>
      <c r="HX26" s="36"/>
    </row>
    <row r="27" spans="1:232" x14ac:dyDescent="0.35">
      <c r="A27">
        <f t="shared" si="0"/>
        <v>60</v>
      </c>
      <c r="B27">
        <v>2050</v>
      </c>
      <c r="C27" s="1">
        <f>IF($B27&lt;Analysis!C$66,0,$AN27)+$AT27+$AW27+$BC27+$CF27+$CA27</f>
        <v>918990.36851039785</v>
      </c>
      <c r="D27" s="1">
        <f>IF($B27&lt;Analysis!C$66, 0, BV27)+AT27+AW27+BC27+CG27+CA27</f>
        <v>737402.23770338902</v>
      </c>
      <c r="E27" s="1">
        <f t="shared" si="1"/>
        <v>1278776.2090994536</v>
      </c>
      <c r="F27" s="1">
        <f t="shared" si="9"/>
        <v>1147852.3621652564</v>
      </c>
      <c r="G27" s="1">
        <f>IF(AND($B27&gt;=Analysis!$C$100, $B27&lt;Analysis!$C$101),$CK27,0)+IF($B27&gt;=Analysis!$C$130,EB27,0)+CQ27+CT27+CZ27+EH27+EK27+EQ27+$FO27+$FT27</f>
        <v>1564813.544619333</v>
      </c>
      <c r="H27" s="1">
        <f t="shared" si="10"/>
        <v>1392581.218705589</v>
      </c>
      <c r="I27" s="1">
        <f>IF($B27&lt;Analysis!$C$159,0,$FW27)+$GC27+$GF27+$GL27+$HQ27+$HV27</f>
        <v>1564813.544619333</v>
      </c>
      <c r="J27" s="1">
        <f t="shared" si="2"/>
        <v>1392581.218705589</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IF($B27=$B$2,((1+Analysis!$B$16)/(1+$S27))-1,IF(B27&lt;Analysis!$C$13,U26-((Analysis!$B$16-Analysis!$C$17)/(Analysis!$C$13-$B$2)),((1+Analysis!$C$17)/(1+$S26))-1))</f>
        <v>3.0252100840336218E-2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36245.582186591753</v>
      </c>
      <c r="AI27" s="1">
        <f>IF(AE27 &gt;= 0,
    MAX(0, AF26 + AE27 - Analysis!$C$7),
    0)</f>
        <v>20412.771300526598</v>
      </c>
      <c r="AJ27" s="1">
        <f t="shared" si="44"/>
        <v>758382.4766475209</v>
      </c>
      <c r="AK27" s="1">
        <f t="shared" si="20"/>
        <v>1254776.2090994536</v>
      </c>
      <c r="AL27" s="1">
        <f t="shared" si="5"/>
        <v>1123852.3621652564</v>
      </c>
      <c r="AM27" s="36"/>
      <c r="AN27" s="1">
        <f t="shared" si="45"/>
        <v>1424220.6337804617</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-34415.482069778918</v>
      </c>
      <c r="AT27" s="1">
        <f>IF($B27&lt;Analysis!$C$66,0,IF($B27=Analysis!$C$66,-AP27-AS27,MIN(0,AT26-AS27)))</f>
        <v>-104314.21874700722</v>
      </c>
      <c r="AU27" s="64">
        <f>IF($B27&lt;Analysis!$C$66,0,IF($B27=Analysis!$C$66,Analysis!$C$72,IF(($B27-Analysis!$C$66)&lt;LOOKUP(Analysis!$C$66,$B:$B,AQ:AQ),AU26,0)))</f>
        <v>3.6999999999999998E-2</v>
      </c>
      <c r="AV27" s="1">
        <f>IF($B27&lt;Analysis!$C$66,0,IF($B27=Analysis!$C$66,-AU27*AP27,AU26*AT26))</f>
        <v>-5132.998930221087</v>
      </c>
      <c r="AW27" s="1">
        <f>IF($B27&lt;Analysis!$C$66,0,IF($B27=Analysis!$C$66,PMT(AU27,AQ27,AP27)*AQ27-AX27-AT27,IF(($B27-Analysis!$C$66+1)&lt;LOOKUP(Analysis!$C$66,$B:$B,AQ:AQ),IF(AW26-AV27&lt;0, AW26-AV27,0),0)))</f>
        <v>-7465.9007922773599</v>
      </c>
      <c r="AX27" s="1">
        <f>IF($B27&lt;Analysis!$C$66,0,IF($B27=Analysis!$C$66,AS27+AV27,IF(AT26&lt;0,IF(AT26&gt;LOOKUP(Analysis!$C$66,$B:$B,AX:AX), AT26*(1+AU26),AX26),0)))</f>
        <v>-39548.481000000007</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-4272.6619013413856</v>
      </c>
      <c r="BF27" s="64">
        <f>IF($B27&lt;Analysis!$C$66,0,Analysis!$C$78)</f>
        <v>3.0000000000000001E-3</v>
      </c>
      <c r="BG27" s="1">
        <f>IF($B27&lt;Analysis!$C$66,0,-BH27*AN27)</f>
        <v>-10681.654753353463</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-181588.13080700889</v>
      </c>
      <c r="BS27" s="64">
        <f>IF($B27&lt;Analysis!C$66,0,Analysis!C$31)</f>
        <v>0.1275</v>
      </c>
      <c r="BT27" s="1">
        <f>IF($B27&lt;Analysis!$C$66,0,AN27+BR27)</f>
        <v>1242632.5029734529</v>
      </c>
      <c r="BU27" s="1">
        <f>IF($B27-Analysis!$C$66&gt;3,0,IF($AN27&gt;LOOKUP(Analysis!$C$66,$B:$B, AN:AN),$V27*(LOOKUP(Analysis!$C$66,$B:$B, AN:AN)-AN27),0))</f>
        <v>0</v>
      </c>
      <c r="BV27" s="1">
        <f t="shared" si="23"/>
        <v>1242632.5029734529</v>
      </c>
      <c r="BW27" s="42"/>
      <c r="BX27" s="1">
        <f>IF($B27&lt;Analysis!$C$66,$P27+$N27+$X27+$Z27,$P27+$N27+AS27+AV27+BB27+BE27+BG27+MAX(BI27,SUM(BJ27:BN27))+BP27)</f>
        <v>-132862.79765469488</v>
      </c>
      <c r="BY27" s="1">
        <f t="shared" si="24"/>
        <v>131467.92324122589</v>
      </c>
      <c r="BZ27" s="1">
        <f t="shared" si="46"/>
        <v>-1394.8744134689914</v>
      </c>
      <c r="CA27" s="1">
        <f>IF(BZ27 &lt; 0,
    IF(CA26 + BZ27 &gt; 0,
        CA26 + BZ27, IF(CF26-ABS(CA26 + BZ27)*(1+$V27) &gt;= CA26 + BZ27,
        0, CA26 + BZ27)),
    MIN(CA26 + BZ27, Analysis!$C$7))+IF(CA26&lt;0, CA26*Analysis!$C$9,0)</f>
        <v>-393450.14573077922</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-32695.151940699288</v>
      </c>
      <c r="CJ27" s="1">
        <f>IF(OR($B27&lt;Analysis!$C$100, $B27&gt;=Analysis!$C$130),0,Z27)</f>
        <v>-3960</v>
      </c>
      <c r="CK27" s="1">
        <f t="shared" si="26"/>
        <v>856596.46814332088</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-19196.730338534675</v>
      </c>
      <c r="CQ27" s="1">
        <f>IF(OR($B27&lt;Analysis!$C$100, $B27&gt;=Analysis!$C$101),0,IF($B27=Analysis!$C$100,-CM27-CP27,MIN(0,CQ26-CP27)))</f>
        <v>-58185.787538906676</v>
      </c>
      <c r="CR27" s="64">
        <f>IF(OR($B27&lt;Analysis!$C$100, $B27&gt;=Analysis!$C$101),0,IF($B27=Analysis!$C$100,Analysis!$C$102,IF(($B27-Analysis!$C$100)&lt;LOOKUP(Analysis!$C$100,$B:$B,CN:CN),CR26,0)))</f>
        <v>3.6999999999999998E-2</v>
      </c>
      <c r="CS27" s="1">
        <f>IF(OR($B27&lt;Analysis!$C$100, $B27&gt;=Analysis!$C$101),0,IF($B27=Analysis!$C$100,-CR27*CM27,CR26*CQ26))</f>
        <v>-2863.15316146533</v>
      </c>
      <c r="CT27" s="1">
        <f>IF(OR($B27&lt;Analysis!$C$100, $B27&gt;=Analysis!$C$101),0,IF($B27=Analysis!$C$100,PMT(CR27,CN27,CM27)*CN27-CU27-CQ27,IF(($B27-Analysis!$C$100+1)&lt;LOOKUP(Analysis!$C$100,$B:$B,CN:CN),IF(CT26-CS27&lt;0, CT26-CS27,0),0)))</f>
        <v>-4164.4305302193497</v>
      </c>
      <c r="CU27" s="1">
        <f>IF(OR($B27&lt;Analysis!$C$100, $B27&gt;=Analysis!$C$101),0,IF($B27=Analysis!$C$100,CP27+CS27,IF(CQ26&lt;0,IF(CQ26&gt;LOOKUP(Analysis!$C$100,$B:$B,CU:CU), CQ26*(1+CR26),CU26),0)))</f>
        <v>-22059.883500000004</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35138.047352541849</v>
      </c>
      <c r="DE27" s="1">
        <f t="shared" si="27"/>
        <v>-2569.7894044299628</v>
      </c>
      <c r="DF27" s="64">
        <f>IF(OR($B27&lt;Analysis!$C$100, $B27&gt;=Analysis!$C$101),0,Analysis!$C$118)</f>
        <v>3.0000000000000001E-3</v>
      </c>
      <c r="DG27" s="1">
        <f t="shared" si="28"/>
        <v>-6424.4735110749061</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-2145.6193461083913</v>
      </c>
      <c r="DR27" s="1">
        <f t="shared" si="29"/>
        <v>-23399.88226161326</v>
      </c>
      <c r="DS27" s="1">
        <f>MIN(0,-(DB27+DR27)*Analysis!$C$28)-CS27*Analysis!$C$28</f>
        <v>-1039.1681008422524</v>
      </c>
      <c r="DT27" s="1">
        <f>-Analysis!$C$116*DD27/12</f>
        <v>-2928.1706127118209</v>
      </c>
      <c r="DU27" s="53"/>
      <c r="DV27" s="1">
        <f t="shared" si="30"/>
        <v>-109216.04968827342</v>
      </c>
      <c r="DW27" s="64">
        <f>IF(OR($B27&lt;Analysis!$C$100, $B27&gt;=Analysis!$C$101),0,IF($B27=Analysis!$C$100,Analysis!$C$31,DW26))</f>
        <v>0.1275</v>
      </c>
      <c r="DX27" s="1">
        <f>IF(OR($B27&lt;Analysis!$C$100, $B27&gt;=Analysis!$C$101),0,CK27+DV27)</f>
        <v>747380.41845504742</v>
      </c>
      <c r="DY27" s="1">
        <f>IF(OR($B27&lt;Analysis!$C$100, $B27&gt;=Analysis!$C$101),0,IF($B27-Analysis!$C$100&gt;3,0,IF(CK27&gt;LOOKUP(Analysis!$C$100,$B:$B, CK:CK),$V27*(LOOKUP(Analysis!$C$100,$B:$B, CK:CK)-CK27),0)))</f>
        <v>0</v>
      </c>
      <c r="DZ27" s="1">
        <f t="shared" si="49"/>
        <v>747380.41845504742</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-152182.25641586661</v>
      </c>
      <c r="FM27" s="1">
        <f>$M27+$R27+DD27+IF(AND($B27&lt;&gt;Analysis!$C$130,$B27=Analysis!$C$101),DZ26+CQ26+CT26+CZ26,0)</f>
        <v>166605.97059376774</v>
      </c>
      <c r="FN27" s="1">
        <f t="shared" si="34"/>
        <v>14423.714177901129</v>
      </c>
      <c r="FO27" s="1">
        <f>IF(FN27 &lt; 0,
    IF(FO26 + FN27 &gt; 0,
        FO26 + FN27, IF(FT26-ABS(FO26 + FN27)*(1+$V27) &gt;= FO26 + FN27,
        0, FO26 + FN27)),
    MIN(FO26 + FN27, Analysis!$C$7))+IF(FO26&lt;0, FO26*Analysis!$C$9,0)</f>
        <v>24000</v>
      </c>
      <c r="FP27" s="53"/>
      <c r="FQ27" s="1">
        <f t="shared" si="51"/>
        <v>21498.506438189721</v>
      </c>
      <c r="FR27" s="1">
        <f>IF(OR($B27=Analysis!$C$100, $B27=Analysis!$C$130),0,IF(FN27 &gt;= 0,
    MAX(0, FO26 + FN27 - Analysis!$C$7),
    0))</f>
        <v>14423.714177901129</v>
      </c>
      <c r="FS27" s="1">
        <f>IF(OR($B27=Analysis!$C$100, $B27=Analysis!$C$130),0,MAX(0, FS26 + FR27 - IF(FN27 &lt; 0, MIN(ABS(FN27), FS26 + FR27), 0)))</f>
        <v>507643.02449596068</v>
      </c>
      <c r="FT27" s="1">
        <f>IF(OR($B27=Analysis!$C$100, $B27=Analysis!$C$130),0,IF(FN27 &lt; 0,
    IF(FN27 + FO26 &lt; 0,
        MAX(0, FT26 - (ABS(FN27 + FO26) * (1+$V26))),
        FT26 + FQ27),
    FT26 + FR27 + FQ27))</f>
        <v>746567.29454513802</v>
      </c>
      <c r="FU27" s="1">
        <f t="shared" si="57"/>
        <v>683551.01831966755</v>
      </c>
      <c r="FV27" s="36"/>
      <c r="FW27" s="1">
        <f t="shared" si="52"/>
        <v>856596.46814332088</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-19196.730338534675</v>
      </c>
      <c r="GC27" s="1">
        <f>IF($B27&lt;Analysis!$C$159,0,IF($B27=Analysis!$C$159,-FY27-GB27,MIN(0,GC26-GB27)))</f>
        <v>-58185.787538906676</v>
      </c>
      <c r="GD27" s="64">
        <f>IF($B27&lt;Analysis!$C$159,0,IF($B27=Analysis!$C$159,Analysis!$C$160,IF(($B27-Analysis!$C$159)&lt;LOOKUP(Analysis!$C$159,$B:$B,FZ:FZ),GD26,0)))</f>
        <v>3.6999999999999998E-2</v>
      </c>
      <c r="GE27" s="1">
        <f>IF($B27&lt;Analysis!$C$159,0,IF($B27=Analysis!$C$159,-GD27*FY27,GD26*GC26))</f>
        <v>-2863.15316146533</v>
      </c>
      <c r="GF27" s="1">
        <f>IF($B27&lt;Analysis!$C$159,0,IF($B27=Analysis!$C$159,PMT(GD27,FZ27,FY27)*FZ27-GG27-GC27,IF(($B27-Analysis!$C$159+1)&lt;LOOKUP(Analysis!$C$159,$B:$B,FZ:FZ),IF(GF26-GE27&lt;0, GF26-GE27,0),0)))</f>
        <v>-4164.4305302193497</v>
      </c>
      <c r="GG27" s="1">
        <f>IF($B27&lt;Analysis!$C$159,0,IF($B27=Analysis!$C$159,GB27+GE27,IF(GC26&lt;0,IF(GC26&gt;LOOKUP(Analysis!$C$159,$B:$B,GG:GG), GC26*(1+GD26),GG26),0)))</f>
        <v>-22059.883500000004</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35138.047352541849</v>
      </c>
      <c r="GQ27" s="1">
        <f t="shared" si="36"/>
        <v>-2569.7894044299628</v>
      </c>
      <c r="GR27" s="64">
        <f>IF($B27&lt;Analysis!$C$159,0,Analysis!$C$178)</f>
        <v>3.0000000000000001E-3</v>
      </c>
      <c r="GS27" s="1">
        <f t="shared" si="37"/>
        <v>-6424.4735110749061</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-2145.6193461083913</v>
      </c>
      <c r="HD27" s="1">
        <f t="shared" si="38"/>
        <v>-23399.88226161326</v>
      </c>
      <c r="HE27" s="1">
        <f>MIN(0,-(GN27+HD27)*Analysis!$C$28)-GE27*Analysis!$C$28</f>
        <v>-1039.1681008422524</v>
      </c>
      <c r="HF27" s="1">
        <f>-Analysis!$C$176*GP27/12</f>
        <v>-2928.1706127118209</v>
      </c>
      <c r="HG27" s="38"/>
      <c r="HH27" s="1">
        <f>IF($B27&lt;Analysis!$C$159,0,-$HI27*$FW27)</f>
        <v>-109216.04968827342</v>
      </c>
      <c r="HI27" s="64">
        <f>IF($B27&lt;Analysis!$C$159,0,IF($B27=Analysis!$C$159,Analysis!$C$31,HI26))</f>
        <v>0.1275</v>
      </c>
      <c r="HJ27" s="1">
        <f>IF($B27&lt;Analysis!$C$159,0,$FW27+HH27)</f>
        <v>747380.41845504742</v>
      </c>
      <c r="HK27" s="1">
        <f>IF($B27-Analysis!$C$159&gt;10,0,IF($FW27&gt;LOOKUP(Analysis!$C$159,$B:$B, FW:FW),$V27*(LOOKUP(Analysis!$C$159,$B:$B, FW:FW)-FW27),0))</f>
        <v>0</v>
      </c>
      <c r="HL27" s="1">
        <f t="shared" si="39"/>
        <v>747380.41845504742</v>
      </c>
      <c r="HM27" s="38"/>
      <c r="HN27" s="1">
        <f t="shared" si="40"/>
        <v>-152182.25641586661</v>
      </c>
      <c r="HO27" s="1">
        <f t="shared" si="8"/>
        <v>166605.97059376774</v>
      </c>
      <c r="HP27" s="1">
        <f t="shared" si="41"/>
        <v>14423.714177901129</v>
      </c>
      <c r="HQ27" s="1">
        <f>IF(HP27 &lt; 0,
    IF(HQ26 + HP27 &gt; 0,
        HQ26 + HP27, IF(HV26-ABS(HQ26 + HP27)*(1+$V27) &gt;= HQ26 + HP27,
        0, HQ26 + HP27)),
    MIN(HQ26 + HP27, Analysis!$C$7))+IF(HQ26&lt;0, HQ26*Analysis!$C$9,0)</f>
        <v>24000</v>
      </c>
      <c r="HR27" s="38"/>
      <c r="HS27" s="1">
        <f t="shared" si="54"/>
        <v>21498.506438189721</v>
      </c>
      <c r="HT27" s="1">
        <f>IF($B27=Analysis!$C$159,0,IF(HP27 &gt;= 0,
    MAX(0, HQ26 + HP27 - Analysis!$C$7),
    0))</f>
        <v>14423.714177901129</v>
      </c>
      <c r="HU27" s="1">
        <f>IF($B27=Analysis!$C$159,0,MAX(0, HU26 + HT27 - IF(HP27 &lt; 0, MIN(ABS(HP27), HU26 + HT27), 0)))</f>
        <v>507643.02449596068</v>
      </c>
      <c r="HV27" s="1">
        <f>IF($B27=Analysis!$C$159,0,IF(HP27 &lt; 0,
    IF(HP27 + HQ26 &lt; 0,
        MAX(0, HV26 - (ABS(HP27 + HQ26) * (1+$V26))),
        HV26 + HS27),
    HV26 + HT27 + HS27))</f>
        <v>746567.29454513802</v>
      </c>
      <c r="HW27" s="1">
        <f t="shared" si="58"/>
        <v>683551.01831966755</v>
      </c>
      <c r="HX27" s="36"/>
    </row>
    <row r="28" spans="1:232" x14ac:dyDescent="0.35">
      <c r="A28">
        <f t="shared" si="0"/>
        <v>61</v>
      </c>
      <c r="B28">
        <v>2051</v>
      </c>
      <c r="C28" s="1">
        <f>IF($B28&lt;Analysis!C$66,0,$AN28)+$AT28+$AW28+$BC28+$CF28+$CA28</f>
        <v>980316.97276569519</v>
      </c>
      <c r="D28" s="1">
        <f>IF($B28&lt;Analysis!C$66, 0, BV28)+AT28+AW28+BC28+CG28+CA28</f>
        <v>793388.01458200964</v>
      </c>
      <c r="E28" s="1">
        <f t="shared" si="1"/>
        <v>1347952.9447405522</v>
      </c>
      <c r="F28" s="1">
        <f t="shared" si="9"/>
        <v>1207395.4743784596</v>
      </c>
      <c r="G28" s="1">
        <f>IF(AND($B28&gt;=Analysis!$C$100, $B28&lt;Analysis!$C$101),$CK28,0)+IF($B28&gt;=Analysis!$C$130,EB28,0)+CQ28+CT28+CZ28+EH28+EK28+EQ28+$FO28+$FT28</f>
        <v>1660432.1056056628</v>
      </c>
      <c r="H28" s="1">
        <f t="shared" si="10"/>
        <v>1479255.7254799507</v>
      </c>
      <c r="I28" s="1">
        <f>IF($B28&lt;Analysis!$C$159,0,$FW28)+$GC28+$GF28+$GL28+$HQ28+$HV28</f>
        <v>1660432.1056056628</v>
      </c>
      <c r="J28" s="1">
        <f t="shared" si="2"/>
        <v>1479255.7254799507</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IF($B28=$B$2,((1+Analysis!$B$16)/(1+$S28))-1,IF(B28&lt;Analysis!$C$13,U27-((Analysis!$B$16-Analysis!$C$17)/(Analysis!$C$13-$B$2)),((1+Analysis!$C$17)/(1+$S27))-1))</f>
        <v>2.9109243697479074E-2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36525.586456474957</v>
      </c>
      <c r="AI28" s="1">
        <f>IF(AE28 &gt;= 0,
    MAX(0, AF27 + AE28 - Analysis!$C$7),
    0)</f>
        <v>32651.149184623675</v>
      </c>
      <c r="AJ28" s="1">
        <f t="shared" si="44"/>
        <v>791033.62583214464</v>
      </c>
      <c r="AK28" s="1">
        <f t="shared" si="20"/>
        <v>1323952.9447405522</v>
      </c>
      <c r="AL28" s="1">
        <f t="shared" si="5"/>
        <v>1183395.4743784596</v>
      </c>
      <c r="AM28" s="36"/>
      <c r="AN28" s="1">
        <f t="shared" si="45"/>
        <v>1466109.4759504755</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-35688.854906360742</v>
      </c>
      <c r="AT28" s="1">
        <f>IF($B28&lt;Analysis!$C$66,0,IF($B28=Analysis!$C$66,-AP28-AS28,MIN(0,AT27-AS28)))</f>
        <v>-68625.363840646489</v>
      </c>
      <c r="AU28" s="64">
        <f>IF($B28&lt;Analysis!$C$66,0,IF($B28=Analysis!$C$66,Analysis!$C$72,IF(($B28-Analysis!$C$66)&lt;LOOKUP(Analysis!$C$66,$B:$B,AQ:AQ),AU27,0)))</f>
        <v>3.6999999999999998E-2</v>
      </c>
      <c r="AV28" s="1">
        <f>IF($B28&lt;Analysis!$C$66,0,IF($B28=Analysis!$C$66,-AU28*AP28,AU27*AT27))</f>
        <v>-3859.6260936392673</v>
      </c>
      <c r="AW28" s="1">
        <f>IF($B28&lt;Analysis!$C$66,0,IF($B28=Analysis!$C$66,PMT(AU28,AQ28,AP28)*AQ28-AX28-AT28,IF(($B28-Analysis!$C$66+1)&lt;LOOKUP(Analysis!$C$66,$B:$B,AQ:AQ),IF(AW27-AV28&lt;0, AW27-AV28,0),0)))</f>
        <v>-3606.2746986380926</v>
      </c>
      <c r="AX28" s="1">
        <f>IF($B28&lt;Analysis!$C$66,0,IF($B28=Analysis!$C$66,AS28+AV28,IF(AT27&lt;0,IF(AT27&gt;LOOKUP(Analysis!$C$66,$B:$B,AX:AX), AT27*(1+AU27),AX27),0)))</f>
        <v>-39548.481000000007</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-4398.3284278514266</v>
      </c>
      <c r="BF28" s="64">
        <f>IF($B28&lt;Analysis!$C$66,0,Analysis!$C$78)</f>
        <v>3.0000000000000001E-3</v>
      </c>
      <c r="BG28" s="1">
        <f>IF($B28&lt;Analysis!$C$66,0,-BH28*AN28)</f>
        <v>-10995.821069628566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-186928.95818368564</v>
      </c>
      <c r="BS28" s="64">
        <f>IF($B28&lt;Analysis!C$66,0,Analysis!C$31)</f>
        <v>0.1275</v>
      </c>
      <c r="BT28" s="1">
        <f>IF($B28&lt;Analysis!$C$66,0,AN28+BR28)</f>
        <v>1279180.51776679</v>
      </c>
      <c r="BU28" s="1">
        <f>IF($B28-Analysis!$C$66&gt;3,0,IF($AN28&gt;LOOKUP(Analysis!$C$66,$B:$B, AN:AN),$V28*(LOOKUP(Analysis!$C$66,$B:$B, AN:AN)-AN28),0))</f>
        <v>0</v>
      </c>
      <c r="BV28" s="1">
        <f t="shared" si="23"/>
        <v>1279180.51776679</v>
      </c>
      <c r="BW28" s="42"/>
      <c r="BX28" s="1">
        <f>IF($B28&lt;Analysis!$C$66,$P28+$N28+$X28+$Z28,$P28+$N28+AS28+AV28+BB28+BE28+BG28+MAX(BI28,SUM(BJ28:BN28))+BP28)</f>
        <v>-120102.63049748</v>
      </c>
      <c r="BY28" s="1">
        <f t="shared" si="24"/>
        <v>131467.92324122589</v>
      </c>
      <c r="BZ28" s="1">
        <f t="shared" si="46"/>
        <v>11365.292743745886</v>
      </c>
      <c r="CA28" s="1">
        <f>IF(BZ28 &lt; 0,
    IF(CA27 + BZ28 &gt; 0,
        CA27 + BZ28, IF(CF27-ABS(CA27 + BZ28)*(1+$V28) &gt;= CA27 + BZ28,
        0, CA27 + BZ28)),
    MIN(CA27 + BZ28, Analysis!$C$7))+IF(CA27&lt;0, CA27*Analysis!$C$9,0)</f>
        <v>-413560.86464549566</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-33656.774056602211</v>
      </c>
      <c r="CJ28" s="1">
        <f>IF(OR($B28&lt;Analysis!$C$100, $B28&gt;=Analysis!$C$130),0,Z28)</f>
        <v>-3960</v>
      </c>
      <c r="CK28" s="1">
        <f t="shared" si="26"/>
        <v>881790.48191224213</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-19907.009361060456</v>
      </c>
      <c r="CQ28" s="1">
        <f>IF(OR($B28&lt;Analysis!$C$100, $B28&gt;=Analysis!$C$101),0,IF($B28=Analysis!$C$100,-CM28-CP28,MIN(0,CQ27-CP28)))</f>
        <v>-38278.778177846223</v>
      </c>
      <c r="CR28" s="64">
        <f>IF(OR($B28&lt;Analysis!$C$100, $B28&gt;=Analysis!$C$101),0,IF($B28=Analysis!$C$100,Analysis!$C$102,IF(($B28-Analysis!$C$100)&lt;LOOKUP(Analysis!$C$100,$B:$B,CN:CN),CR27,0)))</f>
        <v>3.6999999999999998E-2</v>
      </c>
      <c r="CS28" s="1">
        <f>IF(OR($B28&lt;Analysis!$C$100, $B28&gt;=Analysis!$C$101),0,IF($B28=Analysis!$C$100,-CR28*CM28,CR27*CQ27))</f>
        <v>-2152.8741389395468</v>
      </c>
      <c r="CT28" s="1">
        <f>IF(OR($B28&lt;Analysis!$C$100, $B28&gt;=Analysis!$C$101),0,IF($B28=Analysis!$C$100,PMT(CR28,CN28,CM28)*CN28-CU28-CQ28,IF(($B28-Analysis!$C$100+1)&lt;LOOKUP(Analysis!$C$100,$B:$B,CN:CN),IF(CT27-CS28&lt;0, CT27-CS28,0),0)))</f>
        <v>-2011.5563912798029</v>
      </c>
      <c r="CU28" s="1">
        <f>IF(OR($B28&lt;Analysis!$C$100, $B28&gt;=Analysis!$C$101),0,IF($B28=Analysis!$C$100,CP28+CS28,IF(CQ27&lt;0,IF(CQ27&gt;LOOKUP(Analysis!$C$100,$B:$B,CU:CU), CQ27*(1+CR27),CU27),0)))</f>
        <v>-22059.883500000004</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36055.048745263666</v>
      </c>
      <c r="DE28" s="1">
        <f t="shared" si="27"/>
        <v>-2645.3714457367264</v>
      </c>
      <c r="DF28" s="64">
        <f>IF(OR($B28&lt;Analysis!$C$100, $B28&gt;=Analysis!$C$101),0,Analysis!$C$118)</f>
        <v>3.0000000000000001E-3</v>
      </c>
      <c r="DG28" s="1">
        <f t="shared" si="28"/>
        <v>-6613.4286143418158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-2208.7257974645204</v>
      </c>
      <c r="DR28" s="1">
        <f t="shared" si="29"/>
        <v>-23727.525857543063</v>
      </c>
      <c r="DS28" s="1">
        <f>MIN(0,-(DB28+DR28)*Analysis!$C$28)-CS28*Analysis!$C$28</f>
        <v>-1581.5467729789434</v>
      </c>
      <c r="DT28" s="1">
        <f>-Analysis!$C$116*DD28/12</f>
        <v>-3004.5873954386389</v>
      </c>
      <c r="DU28" s="53"/>
      <c r="DV28" s="1">
        <f t="shared" si="30"/>
        <v>-112428.28644381088</v>
      </c>
      <c r="DW28" s="64">
        <f>IF(OR($B28&lt;Analysis!$C$100, $B28&gt;=Analysis!$C$101),0,IF($B28=Analysis!$C$100,Analysis!$C$31,DW27))</f>
        <v>0.1275</v>
      </c>
      <c r="DX28" s="1">
        <f>IF(OR($B28&lt;Analysis!$C$100, $B28&gt;=Analysis!$C$101),0,CK28+DV28)</f>
        <v>769362.19546843122</v>
      </c>
      <c r="DY28" s="1">
        <f>IF(OR($B28&lt;Analysis!$C$100, $B28&gt;=Analysis!$C$101),0,IF($B28-Analysis!$C$100&gt;3,0,IF(CK28&gt;LOOKUP(Analysis!$C$100,$B:$B, CK:CK),$V28*(LOOKUP(Analysis!$C$100,$B:$B, CK:CK)-CK28),0)))</f>
        <v>0</v>
      </c>
      <c r="DZ28" s="1">
        <f t="shared" si="49"/>
        <v>769362.19546843122</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-140890.31758256286</v>
      </c>
      <c r="FM28" s="1">
        <f>$M28+$R28+DD28+IF(AND($B28&lt;&gt;Analysis!$C$130,$B28=Analysis!$C$101),DZ27+CQ27+CT27+CZ27,0)</f>
        <v>167522.97198648955</v>
      </c>
      <c r="FN28" s="1">
        <f t="shared" si="34"/>
        <v>26632.654403926688</v>
      </c>
      <c r="FO28" s="1">
        <f>IF(FN28 &lt; 0,
    IF(FO27 + FN28 &gt; 0,
        FO27 + FN28, IF(FT27-ABS(FO27 + FN28)*(1+$V28) &gt;= FO27 + FN28,
        0, FO27 + FN28)),
    MIN(FO27 + FN28, Analysis!$C$7))+IF(FO27&lt;0, FO27*Analysis!$C$9,0)</f>
        <v>24000</v>
      </c>
      <c r="FP28" s="53"/>
      <c r="FQ28" s="1">
        <f t="shared" si="51"/>
        <v>21732.009313482064</v>
      </c>
      <c r="FR28" s="1">
        <f>IF(OR($B28=Analysis!$C$100, $B28=Analysis!$C$130),0,IF(FN28 &gt;= 0,
    MAX(0, FO27 + FN28 - Analysis!$C$7),
    0))</f>
        <v>26632.654403926688</v>
      </c>
      <c r="FS28" s="1">
        <f>IF(OR($B28=Analysis!$C$100, $B28=Analysis!$C$130),0,MAX(0, FS27 + FR28 - IF(FN28 &lt; 0, MIN(ABS(FN28), FS27 + FR28), 0)))</f>
        <v>534275.67889988737</v>
      </c>
      <c r="FT28" s="1">
        <f>IF(OR($B28=Analysis!$C$100, $B28=Analysis!$C$130),0,IF(FN28 &lt; 0,
    IF(FN28 + FO27 &lt; 0,
        MAX(0, FT27 - (ABS(FN28 + FO27) * (1+$V27))),
        FT27 + FQ28),
    FT27 + FR28 + FQ28))</f>
        <v>794931.9582625468</v>
      </c>
      <c r="FU28" s="1">
        <f t="shared" si="57"/>
        <v>726183.86458064534</v>
      </c>
      <c r="FV28" s="36"/>
      <c r="FW28" s="1">
        <f t="shared" si="52"/>
        <v>881790.48191224213</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-19907.009361060456</v>
      </c>
      <c r="GC28" s="1">
        <f>IF($B28&lt;Analysis!$C$159,0,IF($B28=Analysis!$C$159,-FY28-GB28,MIN(0,GC27-GB28)))</f>
        <v>-38278.778177846223</v>
      </c>
      <c r="GD28" s="64">
        <f>IF($B28&lt;Analysis!$C$159,0,IF($B28=Analysis!$C$159,Analysis!$C$160,IF(($B28-Analysis!$C$159)&lt;LOOKUP(Analysis!$C$159,$B:$B,FZ:FZ),GD27,0)))</f>
        <v>3.6999999999999998E-2</v>
      </c>
      <c r="GE28" s="1">
        <f>IF($B28&lt;Analysis!$C$159,0,IF($B28=Analysis!$C$159,-GD28*FY28,GD27*GC27))</f>
        <v>-2152.8741389395468</v>
      </c>
      <c r="GF28" s="1">
        <f>IF($B28&lt;Analysis!$C$159,0,IF($B28=Analysis!$C$159,PMT(GD28,FZ28,FY28)*FZ28-GG28-GC28,IF(($B28-Analysis!$C$159+1)&lt;LOOKUP(Analysis!$C$159,$B:$B,FZ:FZ),IF(GF27-GE28&lt;0, GF27-GE28,0),0)))</f>
        <v>-2011.5563912798029</v>
      </c>
      <c r="GG28" s="1">
        <f>IF($B28&lt;Analysis!$C$159,0,IF($B28=Analysis!$C$159,GB28+GE28,IF(GC27&lt;0,IF(GC27&gt;LOOKUP(Analysis!$C$159,$B:$B,GG:GG), GC27*(1+GD27),GG27),0)))</f>
        <v>-22059.883500000004</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36055.048745263666</v>
      </c>
      <c r="GQ28" s="1">
        <f t="shared" si="36"/>
        <v>-2645.3714457367264</v>
      </c>
      <c r="GR28" s="64">
        <f>IF($B28&lt;Analysis!$C$159,0,Analysis!$C$178)</f>
        <v>3.0000000000000001E-3</v>
      </c>
      <c r="GS28" s="1">
        <f t="shared" si="37"/>
        <v>-6613.4286143418158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-2208.7257974645204</v>
      </c>
      <c r="HD28" s="1">
        <f t="shared" si="38"/>
        <v>-23727.525857543063</v>
      </c>
      <c r="HE28" s="1">
        <f>MIN(0,-(GN28+HD28)*Analysis!$C$28)-GE28*Analysis!$C$28</f>
        <v>-1581.5467729789434</v>
      </c>
      <c r="HF28" s="1">
        <f>-Analysis!$C$176*GP28/12</f>
        <v>-3004.5873954386389</v>
      </c>
      <c r="HG28" s="38"/>
      <c r="HH28" s="1">
        <f>IF($B28&lt;Analysis!$C$159,0,-$HI28*$FW28)</f>
        <v>-112428.28644381088</v>
      </c>
      <c r="HI28" s="64">
        <f>IF($B28&lt;Analysis!$C$159,0,IF($B28=Analysis!$C$159,Analysis!$C$31,HI27))</f>
        <v>0.1275</v>
      </c>
      <c r="HJ28" s="1">
        <f>IF($B28&lt;Analysis!$C$159,0,$FW28+HH28)</f>
        <v>769362.19546843122</v>
      </c>
      <c r="HK28" s="1">
        <f>IF($B28-Analysis!$C$159&gt;10,0,IF($FW28&gt;LOOKUP(Analysis!$C$159,$B:$B, FW:FW),$V28*(LOOKUP(Analysis!$C$159,$B:$B, FW:FW)-FW28),0))</f>
        <v>0</v>
      </c>
      <c r="HL28" s="1">
        <f t="shared" si="39"/>
        <v>769362.19546843122</v>
      </c>
      <c r="HM28" s="38"/>
      <c r="HN28" s="1">
        <f t="shared" si="40"/>
        <v>-140890.31758256286</v>
      </c>
      <c r="HO28" s="1">
        <f t="shared" si="8"/>
        <v>167522.97198648955</v>
      </c>
      <c r="HP28" s="1">
        <f t="shared" si="41"/>
        <v>26632.654403926688</v>
      </c>
      <c r="HQ28" s="1">
        <f>IF(HP28 &lt; 0,
    IF(HQ27 + HP28 &gt; 0,
        HQ27 + HP28, IF(HV27-ABS(HQ27 + HP28)*(1+$V28) &gt;= HQ27 + HP28,
        0, HQ27 + HP28)),
    MIN(HQ27 + HP28, Analysis!$C$7))+IF(HQ27&lt;0, HQ27*Analysis!$C$9,0)</f>
        <v>24000</v>
      </c>
      <c r="HR28" s="38"/>
      <c r="HS28" s="1">
        <f t="shared" si="54"/>
        <v>21732.009313482064</v>
      </c>
      <c r="HT28" s="1">
        <f>IF($B28=Analysis!$C$159,0,IF(HP28 &gt;= 0,
    MAX(0, HQ27 + HP28 - Analysis!$C$7),
    0))</f>
        <v>26632.654403926688</v>
      </c>
      <c r="HU28" s="1">
        <f>IF($B28=Analysis!$C$159,0,MAX(0, HU27 + HT28 - IF(HP28 &lt; 0, MIN(ABS(HP28), HU27 + HT28), 0)))</f>
        <v>534275.67889988737</v>
      </c>
      <c r="HV28" s="1">
        <f>IF($B28=Analysis!$C$159,0,IF(HP28 &lt; 0,
    IF(HP28 + HQ27 &lt; 0,
        MAX(0, HV27 - (ABS(HP28 + HQ27) * (1+$V27))),
        HV27 + HS28),
    HV27 + HT28 + HS28))</f>
        <v>794931.9582625468</v>
      </c>
      <c r="HW28" s="1">
        <f t="shared" si="58"/>
        <v>726183.86458064534</v>
      </c>
      <c r="HX28" s="36"/>
    </row>
    <row r="29" spans="1:232" x14ac:dyDescent="0.35">
      <c r="A29">
        <f t="shared" si="0"/>
        <v>62</v>
      </c>
      <c r="B29">
        <v>2052</v>
      </c>
      <c r="C29" s="1">
        <f>IF($B29&lt;Analysis!C$66,0,$AN29)+$AT29+$AW29+$BC29+$CF29+$CA29</f>
        <v>1040813.9751746545</v>
      </c>
      <c r="D29" s="1">
        <f>IF($B29&lt;Analysis!C$66, 0, BV29)+AT29+AW29+BC29+CG29+CA29</f>
        <v>848387.10645615449</v>
      </c>
      <c r="E29" s="1">
        <f t="shared" si="1"/>
        <v>1416640.3686386081</v>
      </c>
      <c r="F29" s="1">
        <f t="shared" si="9"/>
        <v>1266317.2433456294</v>
      </c>
      <c r="G29" s="1">
        <f>IF(AND($B29&gt;=Analysis!$C$100, $B29&lt;Analysis!$C$101),$CK29,0)+IF($B29&gt;=Analysis!$C$130,EB29,0)+CQ29+CT29+CZ29+EH29+EK29+EQ29+$FO29+$FT29</f>
        <v>1756268.4353174339</v>
      </c>
      <c r="H29" s="1">
        <f t="shared" si="10"/>
        <v>1565921.8158787983</v>
      </c>
      <c r="I29" s="1">
        <f>IF($B29&lt;Analysis!$C$159,0,$FW29)+$GC29+$GF29+$GL29+$HQ29+$HV29</f>
        <v>1756268.4353174339</v>
      </c>
      <c r="J29" s="1">
        <f t="shared" si="2"/>
        <v>1565921.8158787983</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IF($B29=$B$2,((1+Analysis!$B$16)/(1+$S29))-1,IF(B29&lt;Analysis!$C$13,U28-((Analysis!$B$16-Analysis!$C$17)/(Analysis!$C$13-$B$2)),((1+Analysis!$C$17)/(1+$S28))-1))</f>
        <v>2.7966386554621931E-2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37026.179832744296</v>
      </c>
      <c r="AI29" s="1">
        <f>IF(AE29 &gt;= 0,
    MAX(0, AF28 + AE29 - Analysis!$C$7),
    0)</f>
        <v>31661.244065311839</v>
      </c>
      <c r="AJ29" s="1">
        <f t="shared" si="44"/>
        <v>822694.86989745649</v>
      </c>
      <c r="AK29" s="1">
        <f t="shared" si="20"/>
        <v>1392640.3686386081</v>
      </c>
      <c r="AL29" s="1">
        <f t="shared" si="5"/>
        <v>1242317.2433456294</v>
      </c>
      <c r="AM29" s="36"/>
      <c r="AN29" s="1">
        <f t="shared" si="45"/>
        <v>1509230.3428901955</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-37009.342537896089</v>
      </c>
      <c r="AT29" s="1">
        <f>IF($B29&lt;Analysis!$C$66,0,IF($B29=Analysis!$C$66,-AP29-AS29,MIN(0,AT28-AS29)))</f>
        <v>-31616.0213027504</v>
      </c>
      <c r="AU29" s="64">
        <f>IF($B29&lt;Analysis!$C$66,0,IF($B29=Analysis!$C$66,Analysis!$C$72,IF(($B29-Analysis!$C$66)&lt;LOOKUP(Analysis!$C$66,$B:$B,AQ:AQ),AU28,0)))</f>
        <v>3.6999999999999998E-2</v>
      </c>
      <c r="AV29" s="1">
        <f>IF($B29&lt;Analysis!$C$66,0,IF($B29=Analysis!$C$66,-AU29*AP29,AU28*AT28))</f>
        <v>-2539.1384621039201</v>
      </c>
      <c r="AW29" s="1">
        <f>IF($B29&lt;Analysis!$C$66,0,IF($B29=Analysis!$C$66,PMT(AU29,AQ29,AP29)*AQ29-AX29-AT29,IF(($B29-Analysis!$C$66+1)&lt;LOOKUP(Analysis!$C$66,$B:$B,AQ:AQ),IF(AW28-AV29&lt;0, AW28-AV29,0),0)))</f>
        <v>-1067.1362365341724</v>
      </c>
      <c r="AX29" s="1">
        <f>IF($B29&lt;Analysis!$C$66,0,IF($B29=Analysis!$C$66,AS29+AV29,IF(AT28&lt;0,IF(AT28&gt;LOOKUP(Analysis!$C$66,$B:$B,AX:AX), AT28*(1+AU28),AX28),0)))</f>
        <v>-39548.481000000007</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-4527.691028670587</v>
      </c>
      <c r="BF29" s="64">
        <f>IF($B29&lt;Analysis!$C$66,0,Analysis!$C$78)</f>
        <v>3.0000000000000001E-3</v>
      </c>
      <c r="BG29" s="1">
        <f>IF($B29&lt;Analysis!$C$66,0,-BH29*AN29)</f>
        <v>-11319.227571676467</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-192426.86871849993</v>
      </c>
      <c r="BS29" s="64">
        <f>IF($B29&lt;Analysis!C$66,0,Analysis!C$31)</f>
        <v>0.1275</v>
      </c>
      <c r="BT29" s="1">
        <f>IF($B29&lt;Analysis!$C$66,0,AN29+BR29)</f>
        <v>1316803.4741716955</v>
      </c>
      <c r="BU29" s="1">
        <f>IF($B29-Analysis!$C$66&gt;3,0,IF($AN29&gt;LOOKUP(Analysis!$C$66,$B:$B, AN:AN),$V29*(LOOKUP(Analysis!$C$66,$B:$B, AN:AN)-AN29),0))</f>
        <v>0</v>
      </c>
      <c r="BV29" s="1">
        <f t="shared" si="23"/>
        <v>1316803.4741716955</v>
      </c>
      <c r="BW29" s="42"/>
      <c r="BX29" s="1">
        <f>IF($B29&lt;Analysis!$C$66,$P29+$N29+$X29+$Z29,$P29+$N29+AS29+AV29+BB29+BE29+BG29+MAX(BI29,SUM(BJ29:BN29))+BP29)</f>
        <v>-120555.39960034707</v>
      </c>
      <c r="BY29" s="1">
        <f t="shared" si="24"/>
        <v>131467.92324122589</v>
      </c>
      <c r="BZ29" s="1">
        <f t="shared" si="46"/>
        <v>10912.523640878819</v>
      </c>
      <c r="CA29" s="1">
        <f>IF(BZ29 &lt; 0,
    IF(CA28 + BZ29 &gt; 0,
        CA28 + BZ29, IF(CF28-ABS(CA28 + BZ29)*(1+$V29) &gt;= CA28 + BZ29,
        0, CA28 + BZ29)),
    MIN(CA28 + BZ29, Analysis!$C$7))+IF(CA28&lt;0, CA28*Analysis!$C$9,0)</f>
        <v>-435733.21017625649</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-34646.679175914047</v>
      </c>
      <c r="CJ29" s="1">
        <f>IF(OR($B29&lt;Analysis!$C$100, $B29&gt;=Analysis!$C$130),0,Z29)</f>
        <v>-3960</v>
      </c>
      <c r="CK29" s="1">
        <f t="shared" si="26"/>
        <v>907725.49608613166</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-20643.568707419694</v>
      </c>
      <c r="CQ29" s="1">
        <f>IF(OR($B29&lt;Analysis!$C$100, $B29&gt;=Analysis!$C$101),0,IF($B29=Analysis!$C$100,-CM29-CP29,MIN(0,CQ28-CP29)))</f>
        <v>-17635.209470426529</v>
      </c>
      <c r="CR29" s="64">
        <f>IF(OR($B29&lt;Analysis!$C$100, $B29&gt;=Analysis!$C$101),0,IF($B29=Analysis!$C$100,Analysis!$C$102,IF(($B29-Analysis!$C$100)&lt;LOOKUP(Analysis!$C$100,$B:$B,CN:CN),CR28,0)))</f>
        <v>3.6999999999999998E-2</v>
      </c>
      <c r="CS29" s="1">
        <f>IF(OR($B29&lt;Analysis!$C$100, $B29&gt;=Analysis!$C$101),0,IF($B29=Analysis!$C$100,-CR29*CM29,CR28*CQ28))</f>
        <v>-1416.3147925803103</v>
      </c>
      <c r="CT29" s="1">
        <f>IF(OR($B29&lt;Analysis!$C$100, $B29&gt;=Analysis!$C$101),0,IF($B29=Analysis!$C$100,PMT(CR29,CN29,CM29)*CN29-CU29-CQ29,IF(($B29-Analysis!$C$100+1)&lt;LOOKUP(Analysis!$C$100,$B:$B,CN:CN),IF(CT28-CS29&lt;0, CT28-CS29,0),0)))</f>
        <v>-595.24159869949267</v>
      </c>
      <c r="CU29" s="1">
        <f>IF(OR($B29&lt;Analysis!$C$100, $B29&gt;=Analysis!$C$101),0,IF($B29=Analysis!$C$100,CP29+CS29,IF(CQ28&lt;0,IF(CQ28&gt;LOOKUP(Analysis!$C$100,$B:$B,CU:CU), CQ28*(1+CR28),CU28),0)))</f>
        <v>-22059.883500000004</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36999.020767183189</v>
      </c>
      <c r="DE29" s="1">
        <f t="shared" si="27"/>
        <v>-2723.1764882583952</v>
      </c>
      <c r="DF29" s="64">
        <f>IF(OR($B29&lt;Analysis!$C$100, $B29&gt;=Analysis!$C$101),0,Analysis!$C$118)</f>
        <v>3.0000000000000001E-3</v>
      </c>
      <c r="DG29" s="1">
        <f t="shared" si="28"/>
        <v>-6807.9412206459874</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-2273.6883209193597</v>
      </c>
      <c r="DR29" s="1">
        <f t="shared" si="29"/>
        <v>-24064.806029823743</v>
      </c>
      <c r="DS29" s="1">
        <f>MIN(0,-(DB29+DR29)*Analysis!$C$28)-CS29*Analysis!$C$28</f>
        <v>-2142.2659635843406</v>
      </c>
      <c r="DT29" s="1">
        <f>-Analysis!$C$116*DD29/12</f>
        <v>-3083.2517305985989</v>
      </c>
      <c r="DU29" s="53"/>
      <c r="DV29" s="1">
        <f t="shared" si="30"/>
        <v>-115735.0007509818</v>
      </c>
      <c r="DW29" s="64">
        <f>IF(OR($B29&lt;Analysis!$C$100, $B29&gt;=Analysis!$C$101),0,IF($B29=Analysis!$C$100,Analysis!$C$31,DW28))</f>
        <v>0.1275</v>
      </c>
      <c r="DX29" s="1">
        <f>IF(OR($B29&lt;Analysis!$C$100, $B29&gt;=Analysis!$C$101),0,CK29+DV29)</f>
        <v>791990.49533514981</v>
      </c>
      <c r="DY29" s="1">
        <f>IF(OR($B29&lt;Analysis!$C$100, $B29&gt;=Analysis!$C$101),0,IF($B29-Analysis!$C$100&gt;3,0,IF(CK29&gt;LOOKUP(Analysis!$C$100,$B:$B, CK:CK),$V29*(LOOKUP(Analysis!$C$100,$B:$B, CK:CK)-CK29),0)))</f>
        <v>0</v>
      </c>
      <c r="DZ29" s="1">
        <f t="shared" si="49"/>
        <v>791990.49533514981</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-142856.88639992071</v>
      </c>
      <c r="FM29" s="1">
        <f>$M29+$R29+DD29+IF(AND($B29&lt;&gt;Analysis!$C$130,$B29=Analysis!$C$101),DZ28+CQ28+CT28+CZ28,0)</f>
        <v>168466.94400840907</v>
      </c>
      <c r="FN29" s="1">
        <f t="shared" si="34"/>
        <v>25610.057608488365</v>
      </c>
      <c r="FO29" s="1">
        <f>IF(FN29 &lt; 0,
    IF(FO28 + FN29 &gt; 0,
        FO28 + FN29, IF(FT28-ABS(FO28 + FN29)*(1+$V29) &gt;= FO28 + FN29,
        0, FO28 + FN29)),
    MIN(FO28 + FN29, Analysis!$C$7))+IF(FO28&lt;0, FO28*Analysis!$C$9,0)</f>
        <v>24000</v>
      </c>
      <c r="FP29" s="53"/>
      <c r="FQ29" s="1">
        <f t="shared" si="51"/>
        <v>22231.37442939297</v>
      </c>
      <c r="FR29" s="1">
        <f>IF(OR($B29=Analysis!$C$100, $B29=Analysis!$C$130),0,IF(FN29 &gt;= 0,
    MAX(0, FO28 + FN29 - Analysis!$C$7),
    0))</f>
        <v>25610.057608488365</v>
      </c>
      <c r="FS29" s="1">
        <f>IF(OR($B29=Analysis!$C$100, $B29=Analysis!$C$130),0,MAX(0, FS28 + FR29 - IF(FN29 &lt; 0, MIN(ABS(FN29), FS28 + FR29), 0)))</f>
        <v>559885.73650837573</v>
      </c>
      <c r="FT29" s="1">
        <f>IF(OR($B29=Analysis!$C$100, $B29=Analysis!$C$130),0,IF(FN29 &lt; 0,
    IF(FN29 + FO28 &lt; 0,
        MAX(0, FT28 - (ABS(FN29 + FO28) * (1+$V28))),
        FT28 + FQ29),
    FT28 + FR29 + FQ29))</f>
        <v>842773.39030042815</v>
      </c>
      <c r="FU29" s="1">
        <f t="shared" si="57"/>
        <v>768161.77161277435</v>
      </c>
      <c r="FV29" s="36"/>
      <c r="FW29" s="1">
        <f t="shared" si="52"/>
        <v>907725.49608613166</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-20643.568707419694</v>
      </c>
      <c r="GC29" s="1">
        <f>IF($B29&lt;Analysis!$C$159,0,IF($B29=Analysis!$C$159,-FY29-GB29,MIN(0,GC28-GB29)))</f>
        <v>-17635.209470426529</v>
      </c>
      <c r="GD29" s="64">
        <f>IF($B29&lt;Analysis!$C$159,0,IF($B29=Analysis!$C$159,Analysis!$C$160,IF(($B29-Analysis!$C$159)&lt;LOOKUP(Analysis!$C$159,$B:$B,FZ:FZ),GD28,0)))</f>
        <v>3.6999999999999998E-2</v>
      </c>
      <c r="GE29" s="1">
        <f>IF($B29&lt;Analysis!$C$159,0,IF($B29=Analysis!$C$159,-GD29*FY29,GD28*GC28))</f>
        <v>-1416.3147925803103</v>
      </c>
      <c r="GF29" s="1">
        <f>IF($B29&lt;Analysis!$C$159,0,IF($B29=Analysis!$C$159,PMT(GD29,FZ29,FY29)*FZ29-GG29-GC29,IF(($B29-Analysis!$C$159+1)&lt;LOOKUP(Analysis!$C$159,$B:$B,FZ:FZ),IF(GF28-GE29&lt;0, GF28-GE29,0),0)))</f>
        <v>-595.24159869949267</v>
      </c>
      <c r="GG29" s="1">
        <f>IF($B29&lt;Analysis!$C$159,0,IF($B29=Analysis!$C$159,GB29+GE29,IF(GC28&lt;0,IF(GC28&gt;LOOKUP(Analysis!$C$159,$B:$B,GG:GG), GC28*(1+GD28),GG28),0)))</f>
        <v>-22059.883500000004</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36999.020767183189</v>
      </c>
      <c r="GQ29" s="1">
        <f t="shared" si="36"/>
        <v>-2723.1764882583952</v>
      </c>
      <c r="GR29" s="64">
        <f>IF($B29&lt;Analysis!$C$159,0,Analysis!$C$178)</f>
        <v>3.0000000000000001E-3</v>
      </c>
      <c r="GS29" s="1">
        <f t="shared" si="37"/>
        <v>-6807.9412206459874</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-2273.6883209193597</v>
      </c>
      <c r="HD29" s="1">
        <f t="shared" si="38"/>
        <v>-24064.806029823743</v>
      </c>
      <c r="HE29" s="1">
        <f>MIN(0,-(GN29+HD29)*Analysis!$C$28)-GE29*Analysis!$C$28</f>
        <v>-2142.2659635843406</v>
      </c>
      <c r="HF29" s="1">
        <f>-Analysis!$C$176*GP29/12</f>
        <v>-3083.2517305985989</v>
      </c>
      <c r="HG29" s="38"/>
      <c r="HH29" s="1">
        <f>IF($B29&lt;Analysis!$C$159,0,-$HI29*$FW29)</f>
        <v>-115735.0007509818</v>
      </c>
      <c r="HI29" s="64">
        <f>IF($B29&lt;Analysis!$C$159,0,IF($B29=Analysis!$C$159,Analysis!$C$31,HI28))</f>
        <v>0.1275</v>
      </c>
      <c r="HJ29" s="1">
        <f>IF($B29&lt;Analysis!$C$159,0,$FW29+HH29)</f>
        <v>791990.49533514981</v>
      </c>
      <c r="HK29" s="1">
        <f>IF($B29-Analysis!$C$159&gt;10,0,IF($FW29&gt;LOOKUP(Analysis!$C$159,$B:$B, FW:FW),$V29*(LOOKUP(Analysis!$C$159,$B:$B, FW:FW)-FW29),0))</f>
        <v>0</v>
      </c>
      <c r="HL29" s="1">
        <f t="shared" si="39"/>
        <v>791990.49533514981</v>
      </c>
      <c r="HM29" s="38"/>
      <c r="HN29" s="1">
        <f t="shared" si="40"/>
        <v>-142856.88639992071</v>
      </c>
      <c r="HO29" s="1">
        <f t="shared" si="8"/>
        <v>168466.94400840907</v>
      </c>
      <c r="HP29" s="1">
        <f t="shared" si="41"/>
        <v>25610.057608488365</v>
      </c>
      <c r="HQ29" s="1">
        <f>IF(HP29 &lt; 0,
    IF(HQ28 + HP29 &gt; 0,
        HQ28 + HP29, IF(HV28-ABS(HQ28 + HP29)*(1+$V29) &gt;= HQ28 + HP29,
        0, HQ28 + HP29)),
    MIN(HQ28 + HP29, Analysis!$C$7))+IF(HQ28&lt;0, HQ28*Analysis!$C$9,0)</f>
        <v>24000</v>
      </c>
      <c r="HR29" s="38"/>
      <c r="HS29" s="1">
        <f t="shared" si="54"/>
        <v>22231.37442939297</v>
      </c>
      <c r="HT29" s="1">
        <f>IF($B29=Analysis!$C$159,0,IF(HP29 &gt;= 0,
    MAX(0, HQ28 + HP29 - Analysis!$C$7),
    0))</f>
        <v>25610.057608488365</v>
      </c>
      <c r="HU29" s="1">
        <f>IF($B29=Analysis!$C$159,0,MAX(0, HU28 + HT29 - IF(HP29 &lt; 0, MIN(ABS(HP29), HU28 + HT29), 0)))</f>
        <v>559885.73650837573</v>
      </c>
      <c r="HV29" s="1">
        <f>IF($B29=Analysis!$C$159,0,IF(HP29 &lt; 0,
    IF(HP29 + HQ28 &lt; 0,
        MAX(0, HV28 - (ABS(HP29 + HQ28) * (1+$V28))),
        HV28 + HS29),
    HV28 + HT29 + HS29))</f>
        <v>842773.39030042815</v>
      </c>
      <c r="HW29" s="1">
        <f t="shared" si="58"/>
        <v>768161.77161277435</v>
      </c>
      <c r="HX29" s="36"/>
    </row>
    <row r="30" spans="1:232" x14ac:dyDescent="0.35">
      <c r="A30">
        <f t="shared" si="0"/>
        <v>63</v>
      </c>
      <c r="B30">
        <v>2053</v>
      </c>
      <c r="C30" s="1">
        <f>IF($B30&lt;Analysis!C$66,0,$AN30)+$AT30+$AW30+$BC30+$CF30+$CA30</f>
        <v>1113436.7083406434</v>
      </c>
      <c r="D30" s="1">
        <f>IF($B30&lt;Analysis!C$66, 0, BV30)+AT30+AW30+BC30+CG30+CA30</f>
        <v>915350.22583630518</v>
      </c>
      <c r="E30" s="1">
        <f t="shared" si="1"/>
        <v>1497838.1226163465</v>
      </c>
      <c r="F30" s="1">
        <f t="shared" si="9"/>
        <v>1337662.476315358</v>
      </c>
      <c r="G30" s="1">
        <f>IF(AND($B30&gt;=Analysis!$C$100, $B30&lt;Analysis!$C$101),$CK30,0)+IF($B30&gt;=Analysis!$C$130,EB30,0)+CQ30+CT30+CZ30+EH30+EK30+EQ30+$FO30+$FT30</f>
        <v>1865329.9310648814</v>
      </c>
      <c r="H30" s="1">
        <f t="shared" si="10"/>
        <v>1665616.9671540735</v>
      </c>
      <c r="I30" s="1">
        <f>IF($B30&lt;Analysis!$C$159,0,$FW30)+$GC30+$GF30+$GL30+$HQ30+$HV30</f>
        <v>1865329.9310648814</v>
      </c>
      <c r="J30" s="1">
        <f t="shared" si="2"/>
        <v>1665616.9671540735</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IF($B30=$B$2,((1+Analysis!$B$16)/(1+$S30))-1,IF(B30&lt;Analysis!$C$13,U29-((Analysis!$B$16-Analysis!$C$17)/(Analysis!$C$13-$B$2)),((1+Analysis!$C$17)/(1+$S29))-1))</f>
        <v>2.6823529411764788E-2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37355.529888188663</v>
      </c>
      <c r="AI30" s="1">
        <f>IF(AE30 &gt;= 0,
    MAX(0, AF29 + AE30 - Analysis!$C$7),
    0)</f>
        <v>43842.224089549651</v>
      </c>
      <c r="AJ30" s="1">
        <f t="shared" si="44"/>
        <v>866537.09398700611</v>
      </c>
      <c r="AK30" s="1">
        <f t="shared" si="20"/>
        <v>1473838.1226163465</v>
      </c>
      <c r="AL30" s="1">
        <f t="shared" si="5"/>
        <v>1313662.476315358</v>
      </c>
      <c r="AM30" s="36"/>
      <c r="AN30" s="1">
        <f t="shared" si="45"/>
        <v>1553619.4706222604</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-31616.021302750396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-1169.7927882017648</v>
      </c>
      <c r="AW30" s="1">
        <f>IF($B30&lt;Analysis!$C$66,0,IF($B30=Analysis!$C$66,PMT(AU30,AQ30,AP30)*AQ30-AX30-AT30,IF(($B30-Analysis!$C$66+1)&lt;LOOKUP(Analysis!$C$66,$B:$B,AQ:AQ),IF(AW29-AV30&lt;0, AW29-AV30,0),0)))</f>
        <v>0</v>
      </c>
      <c r="AX30" s="1">
        <f>IF($B30&lt;Analysis!$C$66,0,IF($B30=Analysis!$C$66,AS30+AV30,IF(AT29&lt;0,IF(AT29&gt;LOOKUP(Analysis!$C$66,$B:$B,AX:AX), AT29*(1+AU29),AX29),0)))</f>
        <v>-32785.814090952161</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-4660.8584118667814</v>
      </c>
      <c r="BF30" s="64">
        <f>IF($B30&lt;Analysis!$C$66,0,Analysis!$C$78)</f>
        <v>3.0000000000000001E-3</v>
      </c>
      <c r="BG30" s="1">
        <f>IF($B30&lt;Analysis!$C$66,0,-BH30*AN30)</f>
        <v>-11652.146029666952</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-198086.4825043382</v>
      </c>
      <c r="BS30" s="64">
        <f>IF($B30&lt;Analysis!C$66,0,Analysis!C$31)</f>
        <v>0.1275</v>
      </c>
      <c r="BT30" s="1">
        <f>IF($B30&lt;Analysis!$C$66,0,AN30+BR30)</f>
        <v>1355532.9881179221</v>
      </c>
      <c r="BU30" s="1">
        <f>IF($B30-Analysis!$C$66&gt;3,0,IF($AN30&gt;LOOKUP(Analysis!$C$66,$B:$B, AN:AN),$V30*(LOOKUP(Analysis!$C$66,$B:$B, AN:AN)-AN30),0))</f>
        <v>0</v>
      </c>
      <c r="BV30" s="1">
        <f t="shared" si="23"/>
        <v>1355532.9881179221</v>
      </c>
      <c r="BW30" s="42"/>
      <c r="BX30" s="1">
        <f>IF($B30&lt;Analysis!$C$66,$P30+$N30+$X30+$Z30,$P30+$N30+AS30+AV30+BB30+BE30+BG30+MAX(BI30,SUM(BJ30:BN30))+BP30)</f>
        <v>-101058.81853248589</v>
      </c>
      <c r="BY30" s="1">
        <f t="shared" si="24"/>
        <v>131467.92324122589</v>
      </c>
      <c r="BZ30" s="1">
        <f t="shared" si="46"/>
        <v>30409.104708739993</v>
      </c>
      <c r="CA30" s="1">
        <f>IF(BZ30 &lt; 0,
    IF(CA29 + BZ30 &gt; 0,
        CA29 + BZ30, IF(CF29-ABS(CA29 + BZ30)*(1+$V30) &gt;= CA29 + BZ30,
        0, CA29 + BZ30)),
    MIN(CA29 + BZ30, Analysis!$C$7))+IF(CA29&lt;0, CA29*Analysis!$C$9,0)</f>
        <v>-440182.76228161698</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-35665.699151676228</v>
      </c>
      <c r="CJ30" s="1">
        <f>IF(OR($B30&lt;Analysis!$C$100, $B30&gt;=Analysis!$C$130),0,Z30)</f>
        <v>-3960</v>
      </c>
      <c r="CK30" s="1">
        <f t="shared" si="26"/>
        <v>934423.30479454738</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-17635.209470426529</v>
      </c>
      <c r="CQ30" s="1">
        <f>IF(OR($B30&lt;Analysis!$C$100, $B30&gt;=Analysis!$C$101),0,IF($B30=Analysis!$C$100,-CM30-CP30,MIN(0,CQ29-CP30)))</f>
        <v>0</v>
      </c>
      <c r="CR30" s="64">
        <f>IF(OR($B30&lt;Analysis!$C$100, $B30&gt;=Analysis!$C$101),0,IF($B30=Analysis!$C$100,Analysis!$C$102,IF(($B30-Analysis!$C$100)&lt;LOOKUP(Analysis!$C$100,$B:$B,CN:CN),CR29,0)))</f>
        <v>3.6999999999999998E-2</v>
      </c>
      <c r="CS30" s="1">
        <f>IF(OR($B30&lt;Analysis!$C$100, $B30&gt;=Analysis!$C$101),0,IF($B30=Analysis!$C$100,-CR30*CM30,CR29*CQ29))</f>
        <v>-652.50275040578151</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-18287.712220832309</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37970.756672100346</v>
      </c>
      <c r="DE30" s="1">
        <f t="shared" si="27"/>
        <v>-2803.2699143836421</v>
      </c>
      <c r="DF30" s="64">
        <f>IF(OR($B30&lt;Analysis!$C$100, $B30&gt;=Analysis!$C$101),0,Analysis!$C$118)</f>
        <v>3.0000000000000001E-3</v>
      </c>
      <c r="DG30" s="1">
        <f t="shared" si="28"/>
        <v>-7008.1747859591051</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-2340.561506828753</v>
      </c>
      <c r="DR30" s="1">
        <f t="shared" si="29"/>
        <v>-24412.0062071715</v>
      </c>
      <c r="DS30" s="1">
        <f>MIN(0,-(DB30+DR30)*Analysis!$C$28)-CS30*Analysis!$C$28</f>
        <v>-2721.9534632417785</v>
      </c>
      <c r="DT30" s="1">
        <f>-Analysis!$C$116*DD30/12</f>
        <v>-3164.2297226750288</v>
      </c>
      <c r="DU30" s="53"/>
      <c r="DV30" s="1">
        <f t="shared" si="30"/>
        <v>-119138.97136130479</v>
      </c>
      <c r="DW30" s="64">
        <f>IF(OR($B30&lt;Analysis!$C$100, $B30&gt;=Analysis!$C$101),0,IF($B30=Analysis!$C$100,Analysis!$C$31,DW29))</f>
        <v>0.1275</v>
      </c>
      <c r="DX30" s="1">
        <f>IF(OR($B30&lt;Analysis!$C$100, $B30&gt;=Analysis!$C$101),0,CK30+DV30)</f>
        <v>815284.33343324263</v>
      </c>
      <c r="DY30" s="1">
        <f>IF(OR($B30&lt;Analysis!$C$100, $B30&gt;=Analysis!$C$101),0,IF($B30-Analysis!$C$100&gt;3,0,IF(CK30&gt;LOOKUP(Analysis!$C$100,$B:$B, CK:CK),$V30*(LOOKUP(Analysis!$C$100,$B:$B, CK:CK)-CK30),0)))</f>
        <v>0</v>
      </c>
      <c r="DZ30" s="1">
        <f t="shared" si="49"/>
        <v>815284.33343324263</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-127911.60076559684</v>
      </c>
      <c r="FM30" s="1">
        <f>$M30+$R30+DD30+IF(AND($B30&lt;&gt;Analysis!$C$130,$B30=Analysis!$C$101),DZ29+CQ29+CT29+CZ29,0)</f>
        <v>169438.67991332622</v>
      </c>
      <c r="FN30" s="1">
        <f t="shared" si="34"/>
        <v>41527.079147729382</v>
      </c>
      <c r="FO30" s="1">
        <f>IF(FN30 &lt; 0,
    IF(FO29 + FN30 &gt; 0,
        FO29 + FN30, IF(FT29-ABS(FO29 + FN30)*(1+$V30) &gt;= FO29 + FN30,
        0, FO29 + FN30)),
    MIN(FO29 + FN30, Analysis!$C$7))+IF(FO29&lt;0, FO29*Analysis!$C$9,0)</f>
        <v>24000</v>
      </c>
      <c r="FP30" s="53"/>
      <c r="FQ30" s="1">
        <f t="shared" si="51"/>
        <v>22606.156822176261</v>
      </c>
      <c r="FR30" s="1">
        <f>IF(OR($B30=Analysis!$C$100, $B30=Analysis!$C$130),0,IF(FN30 &gt;= 0,
    MAX(0, FO29 + FN30 - Analysis!$C$7),
    0))</f>
        <v>41527.079147729382</v>
      </c>
      <c r="FS30" s="1">
        <f>IF(OR($B30=Analysis!$C$100, $B30=Analysis!$C$130),0,MAX(0, FS29 + FR30 - IF(FN30 &lt; 0, MIN(ABS(FN30), FS29 + FR30), 0)))</f>
        <v>601412.81565610506</v>
      </c>
      <c r="FT30" s="1">
        <f>IF(OR($B30=Analysis!$C$100, $B30=Analysis!$C$130),0,IF(FN30 &lt; 0,
    IF(FN30 + FO29 &lt; 0,
        MAX(0, FT29 - (ABS(FN30 + FO29) * (1+$V29))),
        FT29 + FQ30),
    FT29 + FR30 + FQ30))</f>
        <v>906906.62627033389</v>
      </c>
      <c r="FU30" s="1">
        <f t="shared" si="57"/>
        <v>826332.63372083101</v>
      </c>
      <c r="FV30" s="36"/>
      <c r="FW30" s="1">
        <f t="shared" si="52"/>
        <v>934423.30479454738</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-17635.209470426529</v>
      </c>
      <c r="GC30" s="1">
        <f>IF($B30&lt;Analysis!$C$159,0,IF($B30=Analysis!$C$159,-FY30-GB30,MIN(0,GC29-GB30)))</f>
        <v>0</v>
      </c>
      <c r="GD30" s="64">
        <f>IF($B30&lt;Analysis!$C$159,0,IF($B30=Analysis!$C$159,Analysis!$C$160,IF(($B30-Analysis!$C$159)&lt;LOOKUP(Analysis!$C$159,$B:$B,FZ:FZ),GD29,0)))</f>
        <v>3.6999999999999998E-2</v>
      </c>
      <c r="GE30" s="1">
        <f>IF($B30&lt;Analysis!$C$159,0,IF($B30=Analysis!$C$159,-GD30*FY30,GD29*GC29))</f>
        <v>-652.50275040578151</v>
      </c>
      <c r="GF30" s="1">
        <f>IF($B30&lt;Analysis!$C$159,0,IF($B30=Analysis!$C$159,PMT(GD30,FZ30,FY30)*FZ30-GG30-GC30,IF(($B30-Analysis!$C$159+1)&lt;LOOKUP(Analysis!$C$159,$B:$B,FZ:FZ),IF(GF29-GE30&lt;0, GF29-GE30,0),0)))</f>
        <v>0</v>
      </c>
      <c r="GG30" s="1">
        <f>IF($B30&lt;Analysis!$C$159,0,IF($B30=Analysis!$C$159,GB30+GE30,IF(GC29&lt;0,IF(GC29&gt;LOOKUP(Analysis!$C$159,$B:$B,GG:GG), GC29*(1+GD29),GG29),0)))</f>
        <v>-18287.712220832309</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37970.756672100346</v>
      </c>
      <c r="GQ30" s="1">
        <f t="shared" si="36"/>
        <v>-2803.2699143836421</v>
      </c>
      <c r="GR30" s="64">
        <f>IF($B30&lt;Analysis!$C$159,0,Analysis!$C$178)</f>
        <v>3.0000000000000001E-3</v>
      </c>
      <c r="GS30" s="1">
        <f t="shared" si="37"/>
        <v>-7008.1747859591051</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-2340.561506828753</v>
      </c>
      <c r="HD30" s="1">
        <f t="shared" si="38"/>
        <v>-24412.0062071715</v>
      </c>
      <c r="HE30" s="1">
        <f>MIN(0,-(GN30+HD30)*Analysis!$C$28)-GE30*Analysis!$C$28</f>
        <v>-2721.9534632417785</v>
      </c>
      <c r="HF30" s="1">
        <f>-Analysis!$C$176*GP30/12</f>
        <v>-3164.2297226750288</v>
      </c>
      <c r="HG30" s="38"/>
      <c r="HH30" s="1">
        <f>IF($B30&lt;Analysis!$C$159,0,-$HI30*$FW30)</f>
        <v>-119138.97136130479</v>
      </c>
      <c r="HI30" s="64">
        <f>IF($B30&lt;Analysis!$C$159,0,IF($B30=Analysis!$C$159,Analysis!$C$31,HI29))</f>
        <v>0.1275</v>
      </c>
      <c r="HJ30" s="1">
        <f>IF($B30&lt;Analysis!$C$159,0,$FW30+HH30)</f>
        <v>815284.33343324263</v>
      </c>
      <c r="HK30" s="1">
        <f>IF($B30-Analysis!$C$159&gt;10,0,IF($FW30&gt;LOOKUP(Analysis!$C$159,$B:$B, FW:FW),$V30*(LOOKUP(Analysis!$C$159,$B:$B, FW:FW)-FW30),0))</f>
        <v>0</v>
      </c>
      <c r="HL30" s="1">
        <f t="shared" si="39"/>
        <v>815284.33343324263</v>
      </c>
      <c r="HM30" s="38"/>
      <c r="HN30" s="1">
        <f t="shared" si="40"/>
        <v>-127911.60076559684</v>
      </c>
      <c r="HO30" s="1">
        <f t="shared" si="8"/>
        <v>169438.67991332622</v>
      </c>
      <c r="HP30" s="1">
        <f t="shared" si="41"/>
        <v>41527.079147729382</v>
      </c>
      <c r="HQ30" s="1">
        <f>IF(HP30 &lt; 0,
    IF(HQ29 + HP30 &gt; 0,
        HQ29 + HP30, IF(HV29-ABS(HQ29 + HP30)*(1+$V30) &gt;= HQ29 + HP30,
        0, HQ29 + HP30)),
    MIN(HQ29 + HP30, Analysis!$C$7))+IF(HQ29&lt;0, HQ29*Analysis!$C$9,0)</f>
        <v>24000</v>
      </c>
      <c r="HR30" s="38"/>
      <c r="HS30" s="1">
        <f t="shared" si="54"/>
        <v>22606.156822176261</v>
      </c>
      <c r="HT30" s="1">
        <f>IF($B30=Analysis!$C$159,0,IF(HP30 &gt;= 0,
    MAX(0, HQ29 + HP30 - Analysis!$C$7),
    0))</f>
        <v>41527.079147729382</v>
      </c>
      <c r="HU30" s="1">
        <f>IF($B30=Analysis!$C$159,0,MAX(0, HU29 + HT30 - IF(HP30 &lt; 0, MIN(ABS(HP30), HU29 + HT30), 0)))</f>
        <v>601412.81565610506</v>
      </c>
      <c r="HV30" s="1">
        <f>IF($B30=Analysis!$C$159,0,IF(HP30 &lt; 0,
    IF(HP30 + HQ29 &lt; 0,
        MAX(0, HV29 - (ABS(HP30 + HQ29) * (1+$V29))),
        HV29 + HS30),
    HV29 + HT30 + HS30))</f>
        <v>906906.62627033389</v>
      </c>
      <c r="HW30" s="1">
        <f t="shared" si="58"/>
        <v>826332.63372083101</v>
      </c>
      <c r="HX30" s="36"/>
    </row>
    <row r="31" spans="1:232" x14ac:dyDescent="0.35">
      <c r="A31">
        <f t="shared" si="0"/>
        <v>64</v>
      </c>
      <c r="B31">
        <v>2054</v>
      </c>
      <c r="C31" s="1">
        <f>IF($B31&lt;Analysis!C$66,0,$AN31)+$AT31+$AW31+$BC31+$CF31+$CA31</f>
        <v>1186631.9022219453</v>
      </c>
      <c r="D31" s="1">
        <f>IF($B31&lt;Analysis!C$66, 0, BV31)+AT31+AW31+BC31+CG31+CA31</f>
        <v>982719.34670277359</v>
      </c>
      <c r="E31" s="1">
        <f t="shared" si="1"/>
        <v>1578480.5093587087</v>
      </c>
      <c r="F31" s="1">
        <f t="shared" si="9"/>
        <v>1408322.1487418276</v>
      </c>
      <c r="G31" s="1">
        <f>IF(AND($B31&gt;=Analysis!$C$100, $B31&lt;Analysis!$C$101),$CK31,0)+IF($B31&gt;=Analysis!$C$130,EB31,0)+CQ31+CT31+CZ31+EH31+EK31+EQ31+$FO31+$FT31</f>
        <v>1974890.8245169928</v>
      </c>
      <c r="H31" s="1">
        <f t="shared" si="10"/>
        <v>1765531.0431383615</v>
      </c>
      <c r="I31" s="1">
        <f>IF($B31&lt;Analysis!$C$159,0,$FW31)+$GC31+$GF31+$GL31+$HQ31+$HV31</f>
        <v>1974890.8245169928</v>
      </c>
      <c r="J31" s="1">
        <f t="shared" si="2"/>
        <v>1765531.0431383615</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IF($B31=$B$2,((1+Analysis!$B$16)/(1+$S31))-1,IF(B31&lt;Analysis!$C$13,U30-((Analysis!$B$16-Analysis!$C$17)/(Analysis!$C$13-$B$2)),((1+Analysis!$C$17)/(1+$S30))-1))</f>
        <v>2.5680672268907644E-2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37849.153804332513</v>
      </c>
      <c r="AI31" s="1">
        <f>IF(AE31 &gt;= 0,
    MAX(0, AF30 + AE31 - Analysis!$C$7),
    0)</f>
        <v>42793.232938029774</v>
      </c>
      <c r="AJ31" s="1">
        <f t="shared" si="44"/>
        <v>909330.32692503592</v>
      </c>
      <c r="AK31" s="1">
        <f t="shared" si="20"/>
        <v>1554480.5093587087</v>
      </c>
      <c r="AL31" s="1">
        <f t="shared" si="5"/>
        <v>1384322.1487418276</v>
      </c>
      <c r="AM31" s="36"/>
      <c r="AN31" s="1">
        <f t="shared" si="45"/>
        <v>1599314.1609346799</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-4797.9424828040401</v>
      </c>
      <c r="BF31" s="64">
        <f>IF($B31&lt;Analysis!$C$66,0,Analysis!$C$78)</f>
        <v>3.0000000000000001E-3</v>
      </c>
      <c r="BG31" s="1">
        <f>IF($B31&lt;Analysis!$C$66,0,-BH31*AN31)</f>
        <v>-11994.8562070101</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-203912.5555191717</v>
      </c>
      <c r="BS31" s="64">
        <f>IF($B31&lt;Analysis!C$66,0,Analysis!C$31)</f>
        <v>0.1275</v>
      </c>
      <c r="BT31" s="1">
        <f>IF($B31&lt;Analysis!$C$66,0,AN31+BR31)</f>
        <v>1395401.6054155082</v>
      </c>
      <c r="BU31" s="1">
        <f>IF($B31-Analysis!$C$66&gt;3,0,IF($AN31&gt;LOOKUP(Analysis!$C$66,$B:$B, AN:AN),$V31*(LOOKUP(Analysis!$C$66,$B:$B, AN:AN)-AN31),0))</f>
        <v>0</v>
      </c>
      <c r="BV31" s="1">
        <f t="shared" si="23"/>
        <v>1395401.6054155082</v>
      </c>
      <c r="BW31" s="42"/>
      <c r="BX31" s="1">
        <f>IF($B31&lt;Analysis!$C$66,$P31+$N31+$X31+$Z31,$P31+$N31+AS31+AV31+BB31+BE31+BG31+MAX(BI31,SUM(BJ31:BN31))+BP31)</f>
        <v>-68752.798689814139</v>
      </c>
      <c r="BY31" s="1">
        <f t="shared" si="24"/>
        <v>131467.92324122589</v>
      </c>
      <c r="BZ31" s="1">
        <f t="shared" si="46"/>
        <v>62715.124551411747</v>
      </c>
      <c r="CA31" s="1">
        <f>IF(BZ31 &lt; 0,
    IF(CA30 + BZ31 &gt; 0,
        CA30 + BZ31, IF(CF30-ABS(CA30 + BZ31)*(1+$V31) &gt;= CA30 + BZ31,
        0, CA30 + BZ31)),
    MIN(CA30 + BZ31, Analysis!$C$7))+IF(CA30&lt;0, CA30*Analysis!$C$9,0)</f>
        <v>-412682.25871273456</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-36714.690303196119</v>
      </c>
      <c r="CJ31" s="1">
        <f>IF(OR($B31&lt;Analysis!$C$100, $B31&gt;=Analysis!$C$130),0,Z31)</f>
        <v>-3960</v>
      </c>
      <c r="CK31" s="1">
        <f t="shared" si="26"/>
        <v>961906.34317085776</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0</v>
      </c>
      <c r="CQ31" s="1">
        <f>IF(OR($B31&lt;Analysis!$C$100, $B31&gt;=Analysis!$C$101),0,IF($B31=Analysis!$C$100,-CM31-CP31,MIN(0,CQ30-CP31)))</f>
        <v>0</v>
      </c>
      <c r="CR31" s="64">
        <f>IF(OR($B31&lt;Analysis!$C$100, $B31&gt;=Analysis!$C$101),0,IF($B31=Analysis!$C$100,Analysis!$C$102,IF(($B31-Analysis!$C$100)&lt;LOOKUP(Analysis!$C$100,$B:$B,CN:CN),CR30,0)))</f>
        <v>0</v>
      </c>
      <c r="CS31" s="1">
        <f>IF(OR($B31&lt;Analysis!$C$100, $B31&gt;=Analysis!$C$101),0,IF($B31=Analysis!$C$100,-CR31*CM31,CR30*CQ30))</f>
        <v>0</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0</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38971.073044809193</v>
      </c>
      <c r="DE31" s="1">
        <f t="shared" si="27"/>
        <v>-2885.7190295125733</v>
      </c>
      <c r="DF31" s="64">
        <f>IF(OR($B31&lt;Analysis!$C$100, $B31&gt;=Analysis!$C$101),0,Analysis!$C$118)</f>
        <v>3.0000000000000001E-3</v>
      </c>
      <c r="DG31" s="1">
        <f t="shared" si="28"/>
        <v>-7214.2975737814331</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-2409.4015511472458</v>
      </c>
      <c r="DR31" s="1">
        <f t="shared" si="29"/>
        <v>-24769.418154441253</v>
      </c>
      <c r="DS31" s="1">
        <f>MIN(0,-(DB31+DR31)*Analysis!$C$28)-CS31*Analysis!$C$28</f>
        <v>-3259.4151799450092</v>
      </c>
      <c r="DT31" s="1">
        <f>-Analysis!$C$116*DD31/12</f>
        <v>-3247.5894204007659</v>
      </c>
      <c r="DU31" s="53"/>
      <c r="DV31" s="1">
        <f t="shared" si="30"/>
        <v>-122643.05875428437</v>
      </c>
      <c r="DW31" s="64">
        <f>IF(OR($B31&lt;Analysis!$C$100, $B31&gt;=Analysis!$C$101),0,IF($B31=Analysis!$C$100,Analysis!$C$31,DW30))</f>
        <v>0.1275</v>
      </c>
      <c r="DX31" s="1">
        <f>IF(OR($B31&lt;Analysis!$C$100, $B31&gt;=Analysis!$C$101),0,CK31+DV31)</f>
        <v>839263.28441657335</v>
      </c>
      <c r="DY31" s="1">
        <f>IF(OR($B31&lt;Analysis!$C$100, $B31&gt;=Analysis!$C$101),0,IF($B31-Analysis!$C$100&gt;3,0,IF(CK31&gt;LOOKUP(Analysis!$C$100,$B:$B, CK:CK),$V31*(LOOKUP(Analysis!$C$100,$B:$B, CK:CK)-CK31),0)))</f>
        <v>0</v>
      </c>
      <c r="DZ31" s="1">
        <f t="shared" si="49"/>
        <v>839263.28441657335</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-111651.11305798312</v>
      </c>
      <c r="FM31" s="1">
        <f>$M31+$R31+DD31+IF(AND($B31&lt;&gt;Analysis!$C$130,$B31=Analysis!$C$101),DZ30+CQ30+CT30+CZ30,0)</f>
        <v>170438.99628603508</v>
      </c>
      <c r="FN31" s="1">
        <f t="shared" si="34"/>
        <v>58787.883228051956</v>
      </c>
      <c r="FO31" s="1">
        <f>IF(FN31 &lt; 0,
    IF(FO30 + FN31 &gt; 0,
        FO30 + FN31, IF(FT30-ABS(FO30 + FN31)*(1+$V31) &gt;= FO30 + FN31,
        0, FO30 + FN31)),
    MIN(FO30 + FN31, Analysis!$C$7))+IF(FO30&lt;0, FO30*Analysis!$C$9,0)</f>
        <v>24000</v>
      </c>
      <c r="FP31" s="53"/>
      <c r="FQ31" s="1">
        <f t="shared" si="51"/>
        <v>23289.971847749151</v>
      </c>
      <c r="FR31" s="1">
        <f>IF(OR($B31=Analysis!$C$100, $B31=Analysis!$C$130),0,IF(FN31 &gt;= 0,
    MAX(0, FO30 + FN31 - Analysis!$C$7),
    0))</f>
        <v>58787.883228051956</v>
      </c>
      <c r="FS31" s="1">
        <f>IF(OR($B31=Analysis!$C$100, $B31=Analysis!$C$130),0,MAX(0, FS30 + FR31 - IF(FN31 &lt; 0, MIN(ABS(FN31), FS30 + FR31), 0)))</f>
        <v>660200.698884157</v>
      </c>
      <c r="FT31" s="1">
        <f>IF(OR($B31=Analysis!$C$100, $B31=Analysis!$C$130),0,IF(FN31 &lt; 0,
    IF(FN31 + FO30 &lt; 0,
        MAX(0, FT30 - (ABS(FN31 + FO30) * (1+$V30))),
        FT30 + FQ31),
    FT30 + FR31 + FQ31))</f>
        <v>988984.48134613503</v>
      </c>
      <c r="FU31" s="1">
        <f t="shared" si="57"/>
        <v>902267.7587217883</v>
      </c>
      <c r="FV31" s="36"/>
      <c r="FW31" s="1">
        <f t="shared" si="52"/>
        <v>961906.34317085776</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38971.073044809193</v>
      </c>
      <c r="GQ31" s="1">
        <f t="shared" si="36"/>
        <v>-2885.7190295125733</v>
      </c>
      <c r="GR31" s="64">
        <f>IF($B31&lt;Analysis!$C$159,0,Analysis!$C$178)</f>
        <v>3.0000000000000001E-3</v>
      </c>
      <c r="GS31" s="1">
        <f t="shared" si="37"/>
        <v>-7214.2975737814331</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-2409.4015511472458</v>
      </c>
      <c r="HD31" s="1">
        <f t="shared" si="38"/>
        <v>-24769.418154441253</v>
      </c>
      <c r="HE31" s="1">
        <f>MIN(0,-(GN31+HD31)*Analysis!$C$28)-GE31*Analysis!$C$28</f>
        <v>-3259.4151799450092</v>
      </c>
      <c r="HF31" s="1">
        <f>-Analysis!$C$176*GP31/12</f>
        <v>-3247.5894204007659</v>
      </c>
      <c r="HG31" s="38"/>
      <c r="HH31" s="1">
        <f>IF($B31&lt;Analysis!$C$159,0,-$HI31*$FW31)</f>
        <v>-122643.05875428437</v>
      </c>
      <c r="HI31" s="64">
        <f>IF($B31&lt;Analysis!$C$159,0,IF($B31=Analysis!$C$159,Analysis!$C$31,HI30))</f>
        <v>0.1275</v>
      </c>
      <c r="HJ31" s="1">
        <f>IF($B31&lt;Analysis!$C$159,0,$FW31+HH31)</f>
        <v>839263.28441657335</v>
      </c>
      <c r="HK31" s="1">
        <f>IF($B31-Analysis!$C$159&gt;10,0,IF($FW31&gt;LOOKUP(Analysis!$C$159,$B:$B, FW:FW),$V31*(LOOKUP(Analysis!$C$159,$B:$B, FW:FW)-FW31),0))</f>
        <v>0</v>
      </c>
      <c r="HL31" s="1">
        <f t="shared" si="39"/>
        <v>839263.28441657335</v>
      </c>
      <c r="HM31" s="38"/>
      <c r="HN31" s="1">
        <f t="shared" si="40"/>
        <v>-111651.11305798312</v>
      </c>
      <c r="HO31" s="1">
        <f t="shared" si="8"/>
        <v>170438.99628603508</v>
      </c>
      <c r="HP31" s="1">
        <f t="shared" si="41"/>
        <v>58787.883228051956</v>
      </c>
      <c r="HQ31" s="1">
        <f>IF(HP31 &lt; 0,
    IF(HQ30 + HP31 &gt; 0,
        HQ30 + HP31, IF(HV30-ABS(HQ30 + HP31)*(1+$V31) &gt;= HQ30 + HP31,
        0, HQ30 + HP31)),
    MIN(HQ30 + HP31, Analysis!$C$7))+IF(HQ30&lt;0, HQ30*Analysis!$C$9,0)</f>
        <v>24000</v>
      </c>
      <c r="HR31" s="38"/>
      <c r="HS31" s="1">
        <f t="shared" si="54"/>
        <v>23289.971847749151</v>
      </c>
      <c r="HT31" s="1">
        <f>IF($B31=Analysis!$C$159,0,IF(HP31 &gt;= 0,
    MAX(0, HQ30 + HP31 - Analysis!$C$7),
    0))</f>
        <v>58787.883228051956</v>
      </c>
      <c r="HU31" s="1">
        <f>IF($B31=Analysis!$C$159,0,MAX(0, HU30 + HT31 - IF(HP31 &lt; 0, MIN(ABS(HP31), HU30 + HT31), 0)))</f>
        <v>660200.698884157</v>
      </c>
      <c r="HV31" s="1">
        <f>IF($B31=Analysis!$C$159,0,IF(HP31 &lt; 0,
    IF(HP31 + HQ30 &lt; 0,
        MAX(0, HV30 - (ABS(HP31 + HQ30) * (1+$V30))),
        HV30 + HS31),
    HV30 + HT31 + HS31))</f>
        <v>988984.48134613503</v>
      </c>
      <c r="HW31" s="1">
        <f t="shared" si="58"/>
        <v>902267.7587217883</v>
      </c>
      <c r="HX31" s="36"/>
    </row>
    <row r="32" spans="1:232" x14ac:dyDescent="0.35">
      <c r="A32">
        <f t="shared" si="0"/>
        <v>65</v>
      </c>
      <c r="B32">
        <v>2055</v>
      </c>
      <c r="C32" s="1">
        <f>IF($B32&lt;Analysis!C$66,0,$AN32)+$AT32+$AW32+$BC32+$CF32+$CA32</f>
        <v>1262877.1920247169</v>
      </c>
      <c r="D32" s="1">
        <f>IF($B32&lt;Analysis!C$66, 0, BV32)+AT32+AW32+BC32+CG32+CA32</f>
        <v>1052967.2084020402</v>
      </c>
      <c r="E32" s="1">
        <f t="shared" si="1"/>
        <v>1658337.4538199843</v>
      </c>
      <c r="F32" s="1">
        <f t="shared" si="9"/>
        <v>1478118.7304780392</v>
      </c>
      <c r="G32" s="1">
        <f>IF(AND($B32&gt;=Analysis!$C$100, $B32&lt;Analysis!$C$101),$CK32,0)+IF($B32&gt;=Analysis!$C$130,EB32,0)+CQ32+CT32+CZ32+EH32+EK32+EQ32+$FO32+$FT32</f>
        <v>2085478.1054390161</v>
      </c>
      <c r="H32" s="1">
        <f t="shared" si="10"/>
        <v>1866110.6173045137</v>
      </c>
      <c r="I32" s="1">
        <f>IF($B32&lt;Analysis!$C$159,0,$FW32)+$GC32+$GF32+$GL32+$HQ32+$HV32</f>
        <v>2085478.1054390161</v>
      </c>
      <c r="J32" s="1">
        <f t="shared" si="2"/>
        <v>1866110.6173045137</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IF($B32=$B$2,((1+Analysis!$B$16)/(1+$S32))-1,IF(B32&lt;Analysis!$C$13,U31-((Analysis!$B$16-Analysis!$C$17)/(Analysis!$C$13-$B$2)),((1+Analysis!$C$17)/(1+$S31))-1))</f>
        <v>2.4537815126050501E-2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38143.555355692813</v>
      </c>
      <c r="AI32" s="1">
        <f>IF(AE32 &gt;= 0,
    MAX(0, AF31 + AE32 - Analysis!$C$7),
    0)</f>
        <v>41713.389105582813</v>
      </c>
      <c r="AJ32" s="1">
        <f t="shared" si="44"/>
        <v>951043.71603061876</v>
      </c>
      <c r="AK32" s="1">
        <f t="shared" si="20"/>
        <v>1634337.4538199843</v>
      </c>
      <c r="AL32" s="1">
        <f t="shared" si="5"/>
        <v>1454118.7304780392</v>
      </c>
      <c r="AM32" s="36"/>
      <c r="AN32" s="1">
        <f t="shared" si="45"/>
        <v>1646352.8127268765</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-4939.0584381806293</v>
      </c>
      <c r="BF32" s="64">
        <f>IF($B32&lt;Analysis!$C$66,0,Analysis!$C$78)</f>
        <v>3.0000000000000001E-3</v>
      </c>
      <c r="BG32" s="1">
        <f>IF($B32&lt;Analysis!$C$66,0,-BH32*AN32)</f>
        <v>-12347.646095451573</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-209909.98362267675</v>
      </c>
      <c r="BS32" s="64">
        <f>IF($B32&lt;Analysis!C$66,0,Analysis!C$31)</f>
        <v>0.1275</v>
      </c>
      <c r="BT32" s="1">
        <f>IF($B32&lt;Analysis!$C$66,0,AN32+BR32)</f>
        <v>1436442.8291041998</v>
      </c>
      <c r="BU32" s="1">
        <f>IF($B32-Analysis!$C$66&gt;3,0,IF($AN32&gt;LOOKUP(Analysis!$C$66,$B:$B, AN:AN),$V32*(LOOKUP(Analysis!$C$66,$B:$B, AN:AN)-AN32),0))</f>
        <v>0</v>
      </c>
      <c r="BV32" s="1">
        <f t="shared" si="23"/>
        <v>1436442.8291041998</v>
      </c>
      <c r="BW32" s="42"/>
      <c r="BX32" s="1">
        <f>IF($B32&lt;Analysis!$C$66,$P32+$N32+$X32+$Z32,$P32+$N32+AS32+AV32+BB32+BE32+BG32+MAX(BI32,SUM(BJ32:BN32))+BP32)</f>
        <v>-69246.704533632204</v>
      </c>
      <c r="BY32" s="1">
        <f t="shared" si="24"/>
        <v>131467.92324122589</v>
      </c>
      <c r="BZ32" s="1">
        <f t="shared" si="46"/>
        <v>62221.218707593682</v>
      </c>
      <c r="CA32" s="1">
        <f>IF(BZ32 &lt; 0,
    IF(CA31 + BZ32 &gt; 0,
        CA31 + BZ32, IF(CF31-ABS(CA31 + BZ32)*(1+$V32) &gt;= CA31 + BZ32,
        0, CA31 + BZ32)),
    MIN(CA31 + BZ32, Analysis!$C$7))+IF(CA31&lt;0, CA31*Analysis!$C$9,0)</f>
        <v>-383475.62070215965</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-37794.534135643065</v>
      </c>
      <c r="CJ32" s="1">
        <f>IF(OR($B32&lt;Analysis!$C$100, $B32&gt;=Analysis!$C$130),0,Z32)</f>
        <v>-3960</v>
      </c>
      <c r="CK32" s="1">
        <f t="shared" si="26"/>
        <v>990197.70620529482</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0</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0</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40000.810487303577</v>
      </c>
      <c r="DE32" s="1">
        <f t="shared" si="27"/>
        <v>-2970.5931186158846</v>
      </c>
      <c r="DF32" s="64">
        <f>IF(OR($B32&lt;Analysis!$C$100, $B32&gt;=Analysis!$C$101),0,Analysis!$C$118)</f>
        <v>3.0000000000000001E-3</v>
      </c>
      <c r="DG32" s="1">
        <f t="shared" si="28"/>
        <v>-7426.4827965397108</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-2480.266302651577</v>
      </c>
      <c r="DR32" s="1">
        <f t="shared" si="29"/>
        <v>-25137.342217807174</v>
      </c>
      <c r="DS32" s="1">
        <f>MIN(0,-(DB32+DR32)*Analysis!$C$28)-CS32*Analysis!$C$28</f>
        <v>-3515.0569793551572</v>
      </c>
      <c r="DT32" s="1">
        <f>-Analysis!$C$116*DD32/12</f>
        <v>-3333.4008739419646</v>
      </c>
      <c r="DU32" s="53"/>
      <c r="DV32" s="1">
        <f t="shared" si="30"/>
        <v>-126250.20754117508</v>
      </c>
      <c r="DW32" s="64">
        <f>IF(OR($B32&lt;Analysis!$C$100, $B32&gt;=Analysis!$C$101),0,IF($B32=Analysis!$C$100,Analysis!$C$31,DW31))</f>
        <v>0.1275</v>
      </c>
      <c r="DX32" s="1">
        <f>IF(OR($B32&lt;Analysis!$C$100, $B32&gt;=Analysis!$C$101),0,CK32+DV32)</f>
        <v>863947.49866411975</v>
      </c>
      <c r="DY32" s="1">
        <f>IF(OR($B32&lt;Analysis!$C$100, $B32&gt;=Analysis!$C$101),0,IF($B32-Analysis!$C$100&gt;3,0,IF(CK32&gt;LOOKUP(Analysis!$C$100,$B:$B, CK:CK),$V32*(LOOKUP(Analysis!$C$100,$B:$B, CK:CK)-CK32),0)))</f>
        <v>0</v>
      </c>
      <c r="DZ32" s="1">
        <f t="shared" si="49"/>
        <v>863947.49866411975</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-113440.33420674737</v>
      </c>
      <c r="FM32" s="1">
        <f>$M32+$R32+DD32+IF(AND($B32&lt;&gt;Analysis!$C$130,$B32=Analysis!$C$101),DZ31+CQ31+CT31+CZ31,0)</f>
        <v>171468.73372852948</v>
      </c>
      <c r="FN32" s="1">
        <f t="shared" si="34"/>
        <v>58028.399521782107</v>
      </c>
      <c r="FO32" s="1">
        <f>IF(FN32 &lt; 0,
    IF(FO31 + FN32 &gt; 0,
        FO31 + FN32, IF(FT31-ABS(FO31 + FN32)*(1+$V32) &gt;= FO31 + FN32,
        0, FO31 + FN32)),
    MIN(FO31 + FN32, Analysis!$C$7))+IF(FO31&lt;0, FO31*Analysis!$C$9,0)</f>
        <v>24000</v>
      </c>
      <c r="FP32" s="53"/>
      <c r="FQ32" s="1">
        <f t="shared" si="51"/>
        <v>24267.518365804401</v>
      </c>
      <c r="FR32" s="1">
        <f>IF(OR($B32=Analysis!$C$100, $B32=Analysis!$C$130),0,IF(FN32 &gt;= 0,
    MAX(0, FO31 + FN32 - Analysis!$C$7),
    0))</f>
        <v>58028.399521782107</v>
      </c>
      <c r="FS32" s="1">
        <f>IF(OR($B32=Analysis!$C$100, $B32=Analysis!$C$130),0,MAX(0, FS31 + FR32 - IF(FN32 &lt; 0, MIN(ABS(FN32), FS31 + FR32), 0)))</f>
        <v>718229.09840593906</v>
      </c>
      <c r="FT32" s="1">
        <f>IF(OR($B32=Analysis!$C$100, $B32=Analysis!$C$130),0,IF(FN32 &lt; 0,
    IF(FN32 + FO31 &lt; 0,
        MAX(0, FT31 - (ABS(FN32 + FO31) * (1+$V31))),
        FT31 + FQ32),
    FT31 + FR32 + FQ32))</f>
        <v>1071280.3992337214</v>
      </c>
      <c r="FU32" s="1">
        <f t="shared" si="57"/>
        <v>978163.11864039383</v>
      </c>
      <c r="FV32" s="36"/>
      <c r="FW32" s="1">
        <f t="shared" si="52"/>
        <v>990197.70620529482</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40000.810487303577</v>
      </c>
      <c r="GQ32" s="1">
        <f t="shared" si="36"/>
        <v>-2970.5931186158846</v>
      </c>
      <c r="GR32" s="64">
        <f>IF($B32&lt;Analysis!$C$159,0,Analysis!$C$178)</f>
        <v>3.0000000000000001E-3</v>
      </c>
      <c r="GS32" s="1">
        <f t="shared" si="37"/>
        <v>-7426.4827965397108</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-2480.266302651577</v>
      </c>
      <c r="HD32" s="1">
        <f t="shared" si="38"/>
        <v>-25137.342217807174</v>
      </c>
      <c r="HE32" s="1">
        <f>MIN(0,-(GN32+HD32)*Analysis!$C$28)-GE32*Analysis!$C$28</f>
        <v>-3515.0569793551572</v>
      </c>
      <c r="HF32" s="1">
        <f>-Analysis!$C$176*GP32/12</f>
        <v>-3333.4008739419646</v>
      </c>
      <c r="HG32" s="38"/>
      <c r="HH32" s="1">
        <f>IF($B32&lt;Analysis!$C$159,0,-$HI32*$FW32)</f>
        <v>-126250.20754117508</v>
      </c>
      <c r="HI32" s="64">
        <f>IF($B32&lt;Analysis!$C$159,0,IF($B32=Analysis!$C$159,Analysis!$C$31,HI31))</f>
        <v>0.1275</v>
      </c>
      <c r="HJ32" s="1">
        <f>IF($B32&lt;Analysis!$C$159,0,$FW32+HH32)</f>
        <v>863947.49866411975</v>
      </c>
      <c r="HK32" s="1">
        <f>IF($B32-Analysis!$C$159&gt;10,0,IF($FW32&gt;LOOKUP(Analysis!$C$159,$B:$B, FW:FW),$V32*(LOOKUP(Analysis!$C$159,$B:$B, FW:FW)-FW32),0))</f>
        <v>0</v>
      </c>
      <c r="HL32" s="1">
        <f t="shared" si="39"/>
        <v>863947.49866411975</v>
      </c>
      <c r="HM32" s="38"/>
      <c r="HN32" s="1">
        <f t="shared" si="40"/>
        <v>-113440.33420674737</v>
      </c>
      <c r="HO32" s="1">
        <f t="shared" si="8"/>
        <v>171468.73372852948</v>
      </c>
      <c r="HP32" s="1">
        <f t="shared" si="41"/>
        <v>58028.399521782107</v>
      </c>
      <c r="HQ32" s="1">
        <f>IF(HP32 &lt; 0,
    IF(HQ31 + HP32 &gt; 0,
        HQ31 + HP32, IF(HV31-ABS(HQ31 + HP32)*(1+$V32) &gt;= HQ31 + HP32,
        0, HQ31 + HP32)),
    MIN(HQ31 + HP32, Analysis!$C$7))+IF(HQ31&lt;0, HQ31*Analysis!$C$9,0)</f>
        <v>24000</v>
      </c>
      <c r="HR32" s="38"/>
      <c r="HS32" s="1">
        <f t="shared" si="54"/>
        <v>24267.518365804401</v>
      </c>
      <c r="HT32" s="1">
        <f>IF($B32=Analysis!$C$159,0,IF(HP32 &gt;= 0,
    MAX(0, HQ31 + HP32 - Analysis!$C$7),
    0))</f>
        <v>58028.399521782107</v>
      </c>
      <c r="HU32" s="1">
        <f>IF($B32=Analysis!$C$159,0,MAX(0, HU31 + HT32 - IF(HP32 &lt; 0, MIN(ABS(HP32), HU31 + HT32), 0)))</f>
        <v>718229.09840593906</v>
      </c>
      <c r="HV32" s="1">
        <f>IF($B32=Analysis!$C$159,0,IF(HP32 &lt; 0,
    IF(HP32 + HQ31 &lt; 0,
        MAX(0, HV31 - (ABS(HP32 + HQ31) * (1+$V31))),
        HV31 + HS32),
    HV31 + HT32 + HS32))</f>
        <v>1071280.3992337214</v>
      </c>
      <c r="HW32" s="1">
        <f t="shared" si="58"/>
        <v>978163.11864039383</v>
      </c>
      <c r="HX32" s="36"/>
    </row>
    <row r="33" spans="1:232" x14ac:dyDescent="0.35">
      <c r="A33">
        <f t="shared" si="0"/>
        <v>66</v>
      </c>
      <c r="B33">
        <v>2056</v>
      </c>
      <c r="C33" s="1">
        <f>IF($B33&lt;Analysis!C$66,0,$AN33)+$AT33+$AW33+$BC33+$CF33+$CA33</f>
        <v>1342334.0701406451</v>
      </c>
      <c r="D33" s="1">
        <f>IF($B33&lt;Analysis!C$66, 0, BV33)+AT33+AW33+BC33+CG33+CA33</f>
        <v>1126250.2634702425</v>
      </c>
      <c r="E33" s="1">
        <f t="shared" si="1"/>
        <v>1737174.4950428791</v>
      </c>
      <c r="F33" s="1">
        <f t="shared" si="9"/>
        <v>1546871.2229144555</v>
      </c>
      <c r="G33" s="1">
        <f>IF(AND($B33&gt;=Analysis!$C$100, $B33&lt;Analysis!$C$101),$CK33,0)+IF($B33&gt;=Analysis!$C$130,EB33,0)+CQ33+CT33+CZ33+EH33+EK33+EQ33+$FO33+$FT33</f>
        <v>2196910.705373968</v>
      </c>
      <c r="H33" s="1">
        <f t="shared" si="10"/>
        <v>1967219.7256601085</v>
      </c>
      <c r="I33" s="1">
        <f>IF($B33&lt;Analysis!$C$159,0,$FW33)+$GC33+$GF33+$GL33+$HQ33+$HV33</f>
        <v>2196910.705373968</v>
      </c>
      <c r="J33" s="1">
        <f t="shared" si="2"/>
        <v>1967219.7256601085</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IF($B33=$B$2,((1+Analysis!$B$16)/(1+$S33))-1,IF(B33&lt;Analysis!$C$13,U32-((Analysis!$B$16-Analysis!$C$17)/(Analysis!$C$13-$B$2)),((1+Analysis!$C$17)/(1+$S32))-1))</f>
        <v>2.3394957983193358E-2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38235.256062477747</v>
      </c>
      <c r="AI33" s="1">
        <f>IF(AE33 &gt;= 0,
    MAX(0, AF32 + AE33 - Analysis!$C$7),
    0)</f>
        <v>40601.785160416854</v>
      </c>
      <c r="AJ33" s="1">
        <f t="shared" si="44"/>
        <v>991645.50119103561</v>
      </c>
      <c r="AK33" s="1">
        <f t="shared" si="20"/>
        <v>1713174.4950428791</v>
      </c>
      <c r="AL33" s="1">
        <f t="shared" si="5"/>
        <v>1522871.2229144555</v>
      </c>
      <c r="AM33" s="36"/>
      <c r="AN33" s="1">
        <f t="shared" si="45"/>
        <v>1694774.9542776672</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-5084.324862833002</v>
      </c>
      <c r="BF33" s="64">
        <f>IF($B33&lt;Analysis!$C$66,0,Analysis!$C$78)</f>
        <v>3.0000000000000001E-3</v>
      </c>
      <c r="BG33" s="1">
        <f>IF($B33&lt;Analysis!$C$66,0,-BH33*AN33)</f>
        <v>-12710.812157082504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-216083.80667040258</v>
      </c>
      <c r="BS33" s="64">
        <f>IF($B33&lt;Analysis!C$66,0,Analysis!C$31)</f>
        <v>0.1275</v>
      </c>
      <c r="BT33" s="1">
        <f>IF($B33&lt;Analysis!$C$66,0,AN33+BR33)</f>
        <v>1478691.1476072646</v>
      </c>
      <c r="BU33" s="1">
        <f>IF($B33-Analysis!$C$66&gt;3,0,IF($AN33&gt;LOOKUP(Analysis!$C$66,$B:$B, AN:AN),$V33*(LOOKUP(Analysis!$C$66,$B:$B, AN:AN)-AN33),0))</f>
        <v>0</v>
      </c>
      <c r="BV33" s="1">
        <f t="shared" si="23"/>
        <v>1478691.1476072646</v>
      </c>
      <c r="BW33" s="42"/>
      <c r="BX33" s="1">
        <f>IF($B33&lt;Analysis!$C$66,$P33+$N33+$X33+$Z33,$P33+$N33+AS33+AV33+BB33+BE33+BG33+MAX(BI33,SUM(BJ33:BN33))+BP33)</f>
        <v>-69755.137019915506</v>
      </c>
      <c r="BY33" s="1">
        <f t="shared" si="24"/>
        <v>131467.92324122589</v>
      </c>
      <c r="BZ33" s="1">
        <f t="shared" si="46"/>
        <v>61712.78622131038</v>
      </c>
      <c r="CA33" s="1">
        <f>IF(BZ33 &lt; 0,
    IF(CA32 + BZ33 &gt; 0,
        CA32 + BZ33, IF(CF32-ABS(CA32 + BZ33)*(1+$V33) &gt;= CA32 + BZ33,
        0, CA32 + BZ33)),
    MIN(CA32 + BZ33, Analysis!$C$7))+IF(CA32&lt;0, CA32*Analysis!$C$9,0)</f>
        <v>-352440.88413702202</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-38906.13808080904</v>
      </c>
      <c r="CJ33" s="1">
        <f>IF(OR($B33&lt;Analysis!$C$100, $B33&gt;=Analysis!$C$130),0,Z33)</f>
        <v>-3960</v>
      </c>
      <c r="CK33" s="1">
        <f t="shared" si="26"/>
        <v>1019321.1681525095</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41060.834325165451</v>
      </c>
      <c r="DE33" s="1">
        <f t="shared" si="27"/>
        <v>-3057.9635044575284</v>
      </c>
      <c r="DF33" s="64">
        <f>IF(OR($B33&lt;Analysis!$C$100, $B33&gt;=Analysis!$C$101),0,Analysis!$C$118)</f>
        <v>3.0000000000000001E-3</v>
      </c>
      <c r="DG33" s="1">
        <f t="shared" si="28"/>
        <v>-7644.9087611438208</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-2553.2153115530941</v>
      </c>
      <c r="DR33" s="1">
        <f t="shared" si="29"/>
        <v>-25516.087577154442</v>
      </c>
      <c r="DS33" s="1">
        <f>MIN(0,-(DB33+DR33)*Analysis!$C$28)-CS33*Analysis!$C$28</f>
        <v>-3778.2176552185483</v>
      </c>
      <c r="DT33" s="1">
        <f>-Analysis!$C$116*DD33/12</f>
        <v>-3421.7361937637875</v>
      </c>
      <c r="DU33" s="53"/>
      <c r="DV33" s="1">
        <f t="shared" si="30"/>
        <v>-129963.44893944496</v>
      </c>
      <c r="DW33" s="64">
        <f>IF(OR($B33&lt;Analysis!$C$100, $B33&gt;=Analysis!$C$101),0,IF($B33=Analysis!$C$100,Analysis!$C$31,DW32))</f>
        <v>0.1275</v>
      </c>
      <c r="DX33" s="1">
        <f>IF(OR($B33&lt;Analysis!$C$100, $B33&gt;=Analysis!$C$101),0,CK33+DV33)</f>
        <v>889357.71921306453</v>
      </c>
      <c r="DY33" s="1">
        <f>IF(OR($B33&lt;Analysis!$C$100, $B33&gt;=Analysis!$C$101),0,IF($B33-Analysis!$C$100&gt;3,0,IF(CK33&gt;LOOKUP(Analysis!$C$100,$B:$B, CK:CK),$V33*(LOOKUP(Analysis!$C$100,$B:$B, CK:CK)-CK33),0)))</f>
        <v>0</v>
      </c>
      <c r="DZ33" s="1">
        <f t="shared" si="49"/>
        <v>889357.71921306453</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-115282.1795069458</v>
      </c>
      <c r="FM33" s="1">
        <f>$M33+$R33+DD33+IF(AND($B33&lt;&gt;Analysis!$C$130,$B33=Analysis!$C$101),DZ32+CQ32+CT32+CZ32,0)</f>
        <v>172528.75756639134</v>
      </c>
      <c r="FN33" s="1">
        <f t="shared" si="34"/>
        <v>57246.578059445543</v>
      </c>
      <c r="FO33" s="1">
        <f>IF(FN33 &lt; 0,
    IF(FO32 + FN33 &gt; 0,
        FO32 + FN33, IF(FT32-ABS(FO32 + FN33)*(1+$V33) &gt;= FO32 + FN33,
        0, FO32 + FN33)),
    MIN(FO32 + FN33, Analysis!$C$7))+IF(FO32&lt;0, FO32*Analysis!$C$9,0)</f>
        <v>24000</v>
      </c>
      <c r="FP33" s="53"/>
      <c r="FQ33" s="1">
        <f t="shared" si="51"/>
        <v>25062.559928291517</v>
      </c>
      <c r="FR33" s="1">
        <f>IF(OR($B33=Analysis!$C$100, $B33=Analysis!$C$130),0,IF(FN33 &gt;= 0,
    MAX(0, FO32 + FN33 - Analysis!$C$7),
    0))</f>
        <v>57246.578059445543</v>
      </c>
      <c r="FS33" s="1">
        <f>IF(OR($B33=Analysis!$C$100, $B33=Analysis!$C$130),0,MAX(0, FS32 + FR33 - IF(FN33 &lt; 0, MIN(ABS(FN33), FS32 + FR33), 0)))</f>
        <v>775475.67646538466</v>
      </c>
      <c r="FT33" s="1">
        <f>IF(OR($B33=Analysis!$C$100, $B33=Analysis!$C$130),0,IF(FN33 &lt; 0,
    IF(FN33 + FO32 &lt; 0,
        MAX(0, FT32 - (ABS(FN33 + FO32) * (1+$V32))),
        FT32 + FQ33),
    FT32 + FR33 + FQ33))</f>
        <v>1153589.5372214585</v>
      </c>
      <c r="FU33" s="1">
        <f t="shared" si="57"/>
        <v>1053862.006447044</v>
      </c>
      <c r="FV33" s="36"/>
      <c r="FW33" s="1">
        <f t="shared" si="52"/>
        <v>1019321.1681525095</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41060.834325165451</v>
      </c>
      <c r="GQ33" s="1">
        <f t="shared" si="36"/>
        <v>-3057.9635044575284</v>
      </c>
      <c r="GR33" s="64">
        <f>IF($B33&lt;Analysis!$C$159,0,Analysis!$C$178)</f>
        <v>3.0000000000000001E-3</v>
      </c>
      <c r="GS33" s="1">
        <f t="shared" si="37"/>
        <v>-7644.9087611438208</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-2553.2153115530941</v>
      </c>
      <c r="HD33" s="1">
        <f t="shared" si="38"/>
        <v>-25516.087577154442</v>
      </c>
      <c r="HE33" s="1">
        <f>MIN(0,-(GN33+HD33)*Analysis!$C$28)-GE33*Analysis!$C$28</f>
        <v>-3778.2176552185483</v>
      </c>
      <c r="HF33" s="1">
        <f>-Analysis!$C$176*GP33/12</f>
        <v>-3421.7361937637875</v>
      </c>
      <c r="HG33" s="38"/>
      <c r="HH33" s="1">
        <f>IF($B33&lt;Analysis!$C$159,0,-$HI33*$FW33)</f>
        <v>-129963.44893944496</v>
      </c>
      <c r="HI33" s="64">
        <f>IF($B33&lt;Analysis!$C$159,0,IF($B33=Analysis!$C$159,Analysis!$C$31,HI32))</f>
        <v>0.1275</v>
      </c>
      <c r="HJ33" s="1">
        <f>IF($B33&lt;Analysis!$C$159,0,$FW33+HH33)</f>
        <v>889357.71921306453</v>
      </c>
      <c r="HK33" s="1">
        <f>IF($B33-Analysis!$C$159&gt;10,0,IF($FW33&gt;LOOKUP(Analysis!$C$159,$B:$B, FW:FW),$V33*(LOOKUP(Analysis!$C$159,$B:$B, FW:FW)-FW33),0))</f>
        <v>0</v>
      </c>
      <c r="HL33" s="1">
        <f t="shared" si="39"/>
        <v>889357.71921306453</v>
      </c>
      <c r="HM33" s="38"/>
      <c r="HN33" s="1">
        <f t="shared" si="40"/>
        <v>-115282.1795069458</v>
      </c>
      <c r="HO33" s="1">
        <f t="shared" si="8"/>
        <v>172528.75756639134</v>
      </c>
      <c r="HP33" s="1">
        <f t="shared" si="41"/>
        <v>57246.578059445543</v>
      </c>
      <c r="HQ33" s="1">
        <f>IF(HP33 &lt; 0,
    IF(HQ32 + HP33 &gt; 0,
        HQ32 + HP33, IF(HV32-ABS(HQ32 + HP33)*(1+$V33) &gt;= HQ32 + HP33,
        0, HQ32 + HP33)),
    MIN(HQ32 + HP33, Analysis!$C$7))+IF(HQ32&lt;0, HQ32*Analysis!$C$9,0)</f>
        <v>24000</v>
      </c>
      <c r="HR33" s="38"/>
      <c r="HS33" s="1">
        <f t="shared" si="54"/>
        <v>25062.559928291517</v>
      </c>
      <c r="HT33" s="1">
        <f>IF($B33=Analysis!$C$159,0,IF(HP33 &gt;= 0,
    MAX(0, HQ32 + HP33 - Analysis!$C$7),
    0))</f>
        <v>57246.578059445543</v>
      </c>
      <c r="HU33" s="1">
        <f>IF($B33=Analysis!$C$159,0,MAX(0, HU32 + HT33 - IF(HP33 &lt; 0, MIN(ABS(HP33), HU32 + HT33), 0)))</f>
        <v>775475.67646538466</v>
      </c>
      <c r="HV33" s="1">
        <f>IF($B33=Analysis!$C$159,0,IF(HP33 &lt; 0,
    IF(HP33 + HQ32 &lt; 0,
        MAX(0, HV32 - (ABS(HP33 + HQ32) * (1+$V32))),
        HV32 + HS33),
    HV32 + HT33 + HS33))</f>
        <v>1153589.5372214585</v>
      </c>
      <c r="HW33" s="1">
        <f t="shared" si="58"/>
        <v>1053862.006447044</v>
      </c>
      <c r="HX33" s="36"/>
    </row>
    <row r="34" spans="1:232" x14ac:dyDescent="0.35">
      <c r="A34">
        <f t="shared" si="0"/>
        <v>67</v>
      </c>
      <c r="B34">
        <v>2057</v>
      </c>
      <c r="C34" s="1">
        <f>IF($B34&lt;Analysis!C$66,0,$AN34)+$AT34+$AW34+$BC34+$CF34+$CA34</f>
        <v>1425174.5214326927</v>
      </c>
      <c r="D34" s="1">
        <f>IF($B34&lt;Analysis!C$66, 0, BV34)+AT34+AW34+BC34+CG34+CA34</f>
        <v>1202735.3086837488</v>
      </c>
      <c r="E34" s="1">
        <f t="shared" si="1"/>
        <v>1814753.7136452349</v>
      </c>
      <c r="F34" s="1">
        <f t="shared" si="9"/>
        <v>1614395.834801829</v>
      </c>
      <c r="G34" s="1">
        <f>IF(AND($B34&gt;=Analysis!$C$100, $B34&lt;Analysis!$C$101),$CK34,0)+IF($B34&gt;=Analysis!$C$130,EB34,0)+CQ34+CT34+CZ34+EH34+EK34+EQ34+$FO34+$FT34</f>
        <v>2309002.29229022</v>
      </c>
      <c r="H34" s="1">
        <f t="shared" si="10"/>
        <v>2068718.4508958659</v>
      </c>
      <c r="I34" s="1">
        <f>IF($B34&lt;Analysis!$C$159,0,$FW34)+$GC34+$GF34+$GL34+$HQ34+$HV34</f>
        <v>2309002.29229022</v>
      </c>
      <c r="J34" s="1">
        <f t="shared" ref="J34:J52" si="59">$HL34+$GC34+$GF34+$GL34+$HQ34+$HW34</f>
        <v>2068718.4508958659</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IF($B34=$B$2,((1+Analysis!$B$16)/(1+$S34))-1,IF(B34&lt;Analysis!$C$13,U33-((Analysis!$B$16-Analysis!$C$17)/(Analysis!$C$13-$B$2)),((1+Analysis!$C$17)/(1+$S33))-1))</f>
        <v>2.2252100840336214E-2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38121.731620786217</v>
      </c>
      <c r="AI34" s="1">
        <f>IF(AE34 &gt;= 0,
    MAX(0, AF33 + AE34 - Analysis!$C$7),
    0)</f>
        <v>39457.486981569527</v>
      </c>
      <c r="AJ34" s="1">
        <f t="shared" si="44"/>
        <v>1031102.9881726052</v>
      </c>
      <c r="AK34" s="1">
        <f t="shared" si="20"/>
        <v>1790753.7136452349</v>
      </c>
      <c r="AL34" s="1">
        <f t="shared" si="5"/>
        <v>1590395.834801829</v>
      </c>
      <c r="AM34" s="36"/>
      <c r="AN34" s="1">
        <f t="shared" si="45"/>
        <v>1744621.2764623046</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-5233.8638293869144</v>
      </c>
      <c r="BF34" s="64">
        <f>IF($B34&lt;Analysis!$C$66,0,Analysis!$C$78)</f>
        <v>3.0000000000000001E-3</v>
      </c>
      <c r="BG34" s="1">
        <f>IF($B34&lt;Analysis!$C$66,0,-BH34*AN34)</f>
        <v>-13084.659573467285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-222439.21274894386</v>
      </c>
      <c r="BS34" s="64">
        <f>IF($B34&lt;Analysis!C$66,0,Analysis!C$31)</f>
        <v>0.1275</v>
      </c>
      <c r="BT34" s="1">
        <f>IF($B34&lt;Analysis!$C$66,0,AN34+BR34)</f>
        <v>1522182.0637133608</v>
      </c>
      <c r="BU34" s="1">
        <f>IF($B34-Analysis!$C$66&gt;3,0,IF($AN34&gt;LOOKUP(Analysis!$C$66,$B:$B, AN:AN),$V34*(LOOKUP(Analysis!$C$66,$B:$B, AN:AN)-AN34),0))</f>
        <v>0</v>
      </c>
      <c r="BV34" s="1">
        <f t="shared" si="23"/>
        <v>1522182.0637133608</v>
      </c>
      <c r="BW34" s="42"/>
      <c r="BX34" s="1">
        <f>IF($B34&lt;Analysis!$C$66,$P34+$N34+$X34+$Z34,$P34+$N34+AS34+AV34+BB34+BE34+BG34+MAX(BI34,SUM(BJ34:BN34))+BP34)</f>
        <v>-70278.523402854204</v>
      </c>
      <c r="BY34" s="1">
        <f t="shared" si="24"/>
        <v>131467.92324122589</v>
      </c>
      <c r="BZ34" s="1">
        <f t="shared" si="46"/>
        <v>61189.399838371683</v>
      </c>
      <c r="CA34" s="1">
        <f>IF(BZ34 &lt; 0,
    IF(CA33 + BZ34 &gt; 0,
        CA33 + BZ34, IF(CF33-ABS(CA33 + BZ34)*(1+$V34) &gt;= CA33 + BZ34,
        0, CA33 + BZ34)),
    MIN(CA33 + BZ34, Analysis!$C$7))+IF(CA33&lt;0, CA33*Analysis!$C$9,0)</f>
        <v>-319446.7550296121</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-40050.436259656366</v>
      </c>
      <c r="CJ34" s="1">
        <f>IF(OR($B34&lt;Analysis!$C$100, $B34&gt;=Analysis!$C$130),0,Z34)</f>
        <v>-3960</v>
      </c>
      <c r="CK34" s="1">
        <f t="shared" si="26"/>
        <v>1049301.2025099364</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42152.035334729146</v>
      </c>
      <c r="DE34" s="1">
        <f t="shared" si="27"/>
        <v>-3147.9036075298095</v>
      </c>
      <c r="DF34" s="64">
        <f>IF(OR($B34&lt;Analysis!$C$100, $B34&gt;=Analysis!$C$101),0,Analysis!$C$118)</f>
        <v>3.0000000000000001E-3</v>
      </c>
      <c r="DG34" s="1">
        <f t="shared" si="28"/>
        <v>-7869.7590188245231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-2628.3098795399505</v>
      </c>
      <c r="DR34" s="1">
        <f t="shared" si="29"/>
        <v>-25905.972505894282</v>
      </c>
      <c r="DS34" s="1">
        <f>MIN(0,-(DB34+DR34)*Analysis!$C$28)-CS34*Analysis!$C$28</f>
        <v>-4049.1183509602702</v>
      </c>
      <c r="DT34" s="1">
        <f>-Analysis!$C$116*DD34/12</f>
        <v>-3512.669611227429</v>
      </c>
      <c r="DU34" s="53"/>
      <c r="DV34" s="1">
        <f t="shared" si="30"/>
        <v>-133785.90332001689</v>
      </c>
      <c r="DW34" s="64">
        <f>IF(OR($B34&lt;Analysis!$C$100, $B34&gt;=Analysis!$C$101),0,IF($B34=Analysis!$C$100,Analysis!$C$31,DW33))</f>
        <v>0.1275</v>
      </c>
      <c r="DX34" s="1">
        <f>IF(OR($B34&lt;Analysis!$C$100, $B34&gt;=Analysis!$C$101),0,CK34+DV34)</f>
        <v>915515.29918991949</v>
      </c>
      <c r="DY34" s="1">
        <f>IF(OR($B34&lt;Analysis!$C$100, $B34&gt;=Analysis!$C$101),0,IF($B34-Analysis!$C$100&gt;3,0,IF(CK34&gt;LOOKUP(Analysis!$C$100,$B:$B, CK:CK),$V34*(LOOKUP(Analysis!$C$100,$B:$B, CK:CK)-CK34),0)))</f>
        <v>0</v>
      </c>
      <c r="DZ34" s="1">
        <f t="shared" si="49"/>
        <v>915515.29918991949</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-117178.19672773834</v>
      </c>
      <c r="FM34" s="1">
        <f>$M34+$R34+DD34+IF(AND($B34&lt;&gt;Analysis!$C$130,$B34=Analysis!$C$101),DZ33+CQ33+CT33+CZ33,0)</f>
        <v>173619.95857595504</v>
      </c>
      <c r="FN34" s="1">
        <f t="shared" si="34"/>
        <v>56441.761848216702</v>
      </c>
      <c r="FO34" s="1">
        <f>IF(FN34 &lt; 0,
    IF(FO33 + FN34 &gt; 0,
        FO33 + FN34, IF(FT33-ABS(FO33 + FN34)*(1+$V34) &gt;= FO33 + FN34,
        0, FO33 + FN34)),
    MIN(FO33 + FN34, Analysis!$C$7))+IF(FO33&lt;0, FO33*Analysis!$C$9,0)</f>
        <v>24000</v>
      </c>
      <c r="FP34" s="53"/>
      <c r="FQ34" s="1">
        <f t="shared" si="51"/>
        <v>25669.790710608682</v>
      </c>
      <c r="FR34" s="1">
        <f>IF(OR($B34=Analysis!$C$100, $B34=Analysis!$C$130),0,IF(FN34 &gt;= 0,
    MAX(0, FO33 + FN34 - Analysis!$C$7),
    0))</f>
        <v>56441.761848216702</v>
      </c>
      <c r="FS34" s="1">
        <f>IF(OR($B34=Analysis!$C$100, $B34=Analysis!$C$130),0,MAX(0, FS33 + FR34 - IF(FN34 &lt; 0, MIN(ABS(FN34), FS33 + FR34), 0)))</f>
        <v>831917.43831360131</v>
      </c>
      <c r="FT34" s="1">
        <f>IF(OR($B34=Analysis!$C$100, $B34=Analysis!$C$130),0,IF(FN34 &lt; 0,
    IF(FN34 + FO33 &lt; 0,
        MAX(0, FT33 - (ABS(FN34 + FO33) * (1+$V33))),
        FT33 + FQ34),
    FT33 + FR34 + FQ34))</f>
        <v>1235701.0897802839</v>
      </c>
      <c r="FU34" s="1">
        <f t="shared" si="57"/>
        <v>1129203.1517059463</v>
      </c>
      <c r="FV34" s="36"/>
      <c r="FW34" s="1">
        <f t="shared" si="52"/>
        <v>1049301.2025099364</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42152.035334729146</v>
      </c>
      <c r="GQ34" s="1">
        <f t="shared" si="36"/>
        <v>-3147.9036075298095</v>
      </c>
      <c r="GR34" s="64">
        <f>IF($B34&lt;Analysis!$C$159,0,Analysis!$C$178)</f>
        <v>3.0000000000000001E-3</v>
      </c>
      <c r="GS34" s="1">
        <f t="shared" si="37"/>
        <v>-7869.7590188245231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-2628.3098795399505</v>
      </c>
      <c r="HD34" s="1">
        <f t="shared" si="38"/>
        <v>-25905.972505894282</v>
      </c>
      <c r="HE34" s="1">
        <f>MIN(0,-(GN34+HD34)*Analysis!$C$28)-GE34*Analysis!$C$28</f>
        <v>-4049.1183509602702</v>
      </c>
      <c r="HF34" s="1">
        <f>-Analysis!$C$176*GP34/12</f>
        <v>-3512.669611227429</v>
      </c>
      <c r="HG34" s="38"/>
      <c r="HH34" s="1">
        <f>IF($B34&lt;Analysis!$C$159,0,-$HI34*$FW34)</f>
        <v>-133785.90332001689</v>
      </c>
      <c r="HI34" s="64">
        <f>IF($B34&lt;Analysis!$C$159,0,IF($B34=Analysis!$C$159,Analysis!$C$31,HI33))</f>
        <v>0.1275</v>
      </c>
      <c r="HJ34" s="1">
        <f>IF($B34&lt;Analysis!$C$159,0,$FW34+HH34)</f>
        <v>915515.29918991949</v>
      </c>
      <c r="HK34" s="1">
        <f>IF($B34-Analysis!$C$159&gt;10,0,IF($FW34&gt;LOOKUP(Analysis!$C$159,$B:$B, FW:FW),$V34*(LOOKUP(Analysis!$C$159,$B:$B, FW:FW)-FW34),0))</f>
        <v>0</v>
      </c>
      <c r="HL34" s="1">
        <f t="shared" si="39"/>
        <v>915515.29918991949</v>
      </c>
      <c r="HM34" s="38"/>
      <c r="HN34" s="1">
        <f t="shared" si="40"/>
        <v>-117178.19672773834</v>
      </c>
      <c r="HO34" s="1">
        <f t="shared" si="8"/>
        <v>173619.95857595504</v>
      </c>
      <c r="HP34" s="1">
        <f t="shared" si="41"/>
        <v>56441.761848216702</v>
      </c>
      <c r="HQ34" s="1">
        <f>IF(HP34 &lt; 0,
    IF(HQ33 + HP34 &gt; 0,
        HQ33 + HP34, IF(HV33-ABS(HQ33 + HP34)*(1+$V34) &gt;= HQ33 + HP34,
        0, HQ33 + HP34)),
    MIN(HQ33 + HP34, Analysis!$C$7))+IF(HQ33&lt;0, HQ33*Analysis!$C$9,0)</f>
        <v>24000</v>
      </c>
      <c r="HR34" s="38"/>
      <c r="HS34" s="1">
        <f t="shared" si="54"/>
        <v>25669.790710608682</v>
      </c>
      <c r="HT34" s="1">
        <f>IF($B34=Analysis!$C$159,0,IF(HP34 &gt;= 0,
    MAX(0, HQ33 + HP34 - Analysis!$C$7),
    0))</f>
        <v>56441.761848216702</v>
      </c>
      <c r="HU34" s="1">
        <f>IF($B34=Analysis!$C$159,0,MAX(0, HU33 + HT34 - IF(HP34 &lt; 0, MIN(ABS(HP34), HU33 + HT34), 0)))</f>
        <v>831917.43831360131</v>
      </c>
      <c r="HV34" s="1">
        <f>IF($B34=Analysis!$C$159,0,IF(HP34 &lt; 0,
    IF(HP34 + HQ33 &lt; 0,
        MAX(0, HV33 - (ABS(HP34 + HQ33) * (1+$V33))),
        HV33 + HS34),
    HV33 + HT34 + HS34))</f>
        <v>1235701.0897802839</v>
      </c>
      <c r="HW34" s="1">
        <f t="shared" si="58"/>
        <v>1129203.1517059463</v>
      </c>
      <c r="HX34" s="36"/>
    </row>
    <row r="35" spans="1:232" x14ac:dyDescent="0.35">
      <c r="A35">
        <f t="shared" si="0"/>
        <v>68</v>
      </c>
      <c r="B35">
        <v>2058</v>
      </c>
      <c r="C35" s="1">
        <f>IF($B35&lt;Analysis!C$66,0,$AN35)+$AT35+$AW35+$BC35+$CF35+$CA35</f>
        <v>1511581.791252797</v>
      </c>
      <c r="D35" s="1">
        <f>IF($B35&lt;Analysis!C$66, 0, BV35)+AT35+AW35+BC35+CG35+CA35</f>
        <v>1282600.2487171195</v>
      </c>
      <c r="E35" s="1">
        <f t="shared" si="1"/>
        <v>1890834.7031626704</v>
      </c>
      <c r="F35" s="1">
        <f t="shared" si="9"/>
        <v>1680506.6901559155</v>
      </c>
      <c r="G35" s="1">
        <f>IF(AND($B35&gt;=Analysis!$C$100, $B35&lt;Analysis!$C$101),$CK35,0)+IF($B35&gt;=Analysis!$C$130,EB35,0)+CQ35+CT35+CZ35+EH35+EK35+EQ35+$FO35+$FT35</f>
        <v>2421562.0823774063</v>
      </c>
      <c r="H35" s="1">
        <f t="shared" si="10"/>
        <v>2170463.5177759673</v>
      </c>
      <c r="I35" s="1">
        <f>IF($B35&lt;Analysis!$C$159,0,$FW35)+$GC35+$GF35+$GL35+$HQ35+$HV35</f>
        <v>2421562.0823774063</v>
      </c>
      <c r="J35" s="1">
        <f t="shared" si="59"/>
        <v>2170463.5177759673</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IF($B35=$B$2,((1+Analysis!$B$16)/(1+$S35))-1,IF(B35&lt;Analysis!$C$13,U34-((Analysis!$B$16-Analysis!$C$17)/(Analysis!$C$13-$B$2)),((1+Analysis!$C$17)/(1+$S34))-1))</f>
        <v>2.1109243697479071E-2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37801.456543502914</v>
      </c>
      <c r="AI35" s="1">
        <f>IF(AE35 &gt;= 0,
    MAX(0, AF34 + AE35 - Analysis!$C$7),
    0)</f>
        <v>38279.532973932568</v>
      </c>
      <c r="AJ35" s="1">
        <f t="shared" si="44"/>
        <v>1069382.5211465377</v>
      </c>
      <c r="AK35" s="1">
        <f t="shared" si="20"/>
        <v>1866834.7031626704</v>
      </c>
      <c r="AL35" s="1">
        <f t="shared" si="5"/>
        <v>1656506.6901559155</v>
      </c>
      <c r="AM35" s="36"/>
      <c r="AN35" s="1">
        <f t="shared" si="45"/>
        <v>1795933.6669464903</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-5387.8010008394713</v>
      </c>
      <c r="BF35" s="64">
        <f>IF($B35&lt;Analysis!$C$66,0,Analysis!$C$78)</f>
        <v>3.0000000000000001E-3</v>
      </c>
      <c r="BG35" s="1">
        <f>IF($B35&lt;Analysis!$C$66,0,-BH35*AN35)</f>
        <v>-13469.502502098676</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-228981.54253567752</v>
      </c>
      <c r="BS35" s="64">
        <f>IF($B35&lt;Analysis!C$66,0,Analysis!C$31)</f>
        <v>0.1275</v>
      </c>
      <c r="BT35" s="1">
        <f>IF($B35&lt;Analysis!$C$66,0,AN35+BR35)</f>
        <v>1566952.1244108127</v>
      </c>
      <c r="BU35" s="1">
        <f>IF($B35-Analysis!$C$66&gt;3,0,IF($AN35&gt;LOOKUP(Analysis!$C$66,$B:$B, AN:AN),$V35*(LOOKUP(Analysis!$C$66,$B:$B, AN:AN)-AN35),0))</f>
        <v>0</v>
      </c>
      <c r="BV35" s="1">
        <f t="shared" si="23"/>
        <v>1566952.1244108127</v>
      </c>
      <c r="BW35" s="42"/>
      <c r="BX35" s="1">
        <f>IF($B35&lt;Analysis!$C$66,$P35+$N35+$X35+$Z35,$P35+$N35+AS35+AV35+BB35+BE35+BG35+MAX(BI35,SUM(BJ35:BN35))+BP35)</f>
        <v>-70817.303502938143</v>
      </c>
      <c r="BY35" s="1">
        <f t="shared" si="24"/>
        <v>131467.92324122589</v>
      </c>
      <c r="BZ35" s="1">
        <f t="shared" si="46"/>
        <v>60650.619738287744</v>
      </c>
      <c r="CA35" s="1">
        <f>IF(BZ35 &lt; 0,
    IF(CA34 + BZ35 &gt; 0,
        CA34 + BZ35, IF(CF34-ABS(CA34 + BZ35)*(1+$V35) &gt;= CA34 + BZ35,
        0, CA34 + BZ35)),
    MIN(CA34 + BZ35, Analysis!$C$7))+IF(CA34&lt;0, CA34*Analysis!$C$9,0)</f>
        <v>-284351.87569369329</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-41228.390267293325</v>
      </c>
      <c r="CJ35" s="1">
        <f>IF(OR($B35&lt;Analysis!$C$100, $B35&gt;=Analysis!$C$130),0,Z35)</f>
        <v>-3960</v>
      </c>
      <c r="CK35" s="1">
        <f t="shared" ref="CK35:CK52" si="60">CK34*(1+$CL34)</f>
        <v>1080163.0025837582</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43275.330491632951</v>
      </c>
      <c r="DE35" s="1">
        <f t="shared" si="27"/>
        <v>-3240.4890077512746</v>
      </c>
      <c r="DF35" s="64">
        <f>IF(OR($B35&lt;Analysis!$C$100, $B35&gt;=Analysis!$C$101),0,Analysis!$C$118)</f>
        <v>3.0000000000000001E-3</v>
      </c>
      <c r="DG35" s="1">
        <f t="shared" si="28"/>
        <v>-8101.222519378186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-2705.6131112911257</v>
      </c>
      <c r="DR35" s="1">
        <f t="shared" si="29"/>
        <v>-26307.324638420585</v>
      </c>
      <c r="DS35" s="1">
        <f>MIN(0,-(DB35+DR35)*Analysis!$C$28)-CS35*Analysis!$C$28</f>
        <v>-4327.9867142238081</v>
      </c>
      <c r="DT35" s="1">
        <f>-Analysis!$C$116*DD35/12</f>
        <v>-3606.2775409694127</v>
      </c>
      <c r="DU35" s="53"/>
      <c r="DV35" s="1">
        <f t="shared" si="30"/>
        <v>-137720.78282942917</v>
      </c>
      <c r="DW35" s="64">
        <f>IF(OR($B35&lt;Analysis!$C$100, $B35&gt;=Analysis!$C$101),0,IF($B35=Analysis!$C$100,Analysis!$C$31,DW34))</f>
        <v>0.1275</v>
      </c>
      <c r="DX35" s="1">
        <f>IF(OR($B35&lt;Analysis!$C$100, $B35&gt;=Analysis!$C$101),0,CK35+DV35)</f>
        <v>942442.21975432907</v>
      </c>
      <c r="DY35" s="1">
        <f>IF(OR($B35&lt;Analysis!$C$100, $B35&gt;=Analysis!$C$101),0,IF($B35-Analysis!$C$100&gt;3,0,IF(CK35&gt;LOOKUP(Analysis!$C$100,$B:$B, CK:CK),$V35*(LOOKUP(Analysis!$C$100,$B:$B, CK:CK)-CK35),0)))</f>
        <v>0</v>
      </c>
      <c r="DZ35" s="1">
        <f t="shared" si="49"/>
        <v>942442.21975432907</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-119129.97916090713</v>
      </c>
      <c r="FM35" s="1">
        <f>$M35+$R35+DD35+IF(AND($B35&lt;&gt;Analysis!$C$130,$B35=Analysis!$C$101),DZ34+CQ34+CT34+CZ34,0)</f>
        <v>174743.25373285884</v>
      </c>
      <c r="FN35" s="1">
        <f t="shared" si="34"/>
        <v>55613.274571951712</v>
      </c>
      <c r="FO35" s="1">
        <f>IF(FN35 &lt; 0,
    IF(FO34 + FN35 &gt; 0,
        FO34 + FN35, IF(FT34-ABS(FO34 + FN35)*(1+$V35) &gt;= FO34 + FN35,
        0, FO34 + FN35)),
    MIN(FO34 + FN35, Analysis!$C$7))+IF(FO34&lt;0, FO34*Analysis!$C$9,0)</f>
        <v>24000</v>
      </c>
      <c r="FP35" s="53"/>
      <c r="FQ35" s="1">
        <f t="shared" si="51"/>
        <v>26084.715441412478</v>
      </c>
      <c r="FR35" s="1">
        <f>IF(OR($B35=Analysis!$C$100, $B35=Analysis!$C$130),0,IF(FN35 &gt;= 0,
    MAX(0, FO34 + FN35 - Analysis!$C$7),
    0))</f>
        <v>55613.274571951712</v>
      </c>
      <c r="FS35" s="1">
        <f>IF(OR($B35=Analysis!$C$100, $B35=Analysis!$C$130),0,MAX(0, FS34 + FR35 - IF(FN35 &lt; 0, MIN(ABS(FN35), FS34 + FR35), 0)))</f>
        <v>887530.71288555302</v>
      </c>
      <c r="FT35" s="1">
        <f>IF(OR($B35=Analysis!$C$100, $B35=Analysis!$C$130),0,IF(FN35 &lt; 0,
    IF(FN35 + FO34 &lt; 0,
        MAX(0, FT34 - (ABS(FN35 + FO34) * (1+$V34))),
        FT34 + FQ35),
    FT34 + FR35 + FQ35))</f>
        <v>1317399.0797936481</v>
      </c>
      <c r="FU35" s="1">
        <f t="shared" si="57"/>
        <v>1204021.2980216381</v>
      </c>
      <c r="FV35" s="36"/>
      <c r="FW35" s="1">
        <f t="shared" si="52"/>
        <v>1080163.0025837582</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43275.330491632951</v>
      </c>
      <c r="GQ35" s="1">
        <f t="shared" si="36"/>
        <v>-3240.4890077512746</v>
      </c>
      <c r="GR35" s="64">
        <f>IF($B35&lt;Analysis!$C$159,0,Analysis!$C$178)</f>
        <v>3.0000000000000001E-3</v>
      </c>
      <c r="GS35" s="1">
        <f t="shared" si="37"/>
        <v>-8101.222519378186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-2705.6131112911257</v>
      </c>
      <c r="HD35" s="1">
        <f t="shared" si="38"/>
        <v>-26307.324638420585</v>
      </c>
      <c r="HE35" s="1">
        <f>MIN(0,-(GN35+HD35)*Analysis!$C$28)-GE35*Analysis!$C$28</f>
        <v>-4327.9867142238081</v>
      </c>
      <c r="HF35" s="1">
        <f>-Analysis!$C$176*GP35/12</f>
        <v>-3606.2775409694127</v>
      </c>
      <c r="HG35" s="38"/>
      <c r="HH35" s="1">
        <f>IF($B35&lt;Analysis!$C$159,0,-$HI35*$FW35)</f>
        <v>-137720.78282942917</v>
      </c>
      <c r="HI35" s="64">
        <f>IF($B35&lt;Analysis!$C$159,0,IF($B35=Analysis!$C$159,Analysis!$C$31,HI34))</f>
        <v>0.1275</v>
      </c>
      <c r="HJ35" s="1">
        <f>IF($B35&lt;Analysis!$C$159,0,$FW35+HH35)</f>
        <v>942442.21975432907</v>
      </c>
      <c r="HK35" s="1">
        <f>IF($B35-Analysis!$C$159&gt;10,0,IF($FW35&gt;LOOKUP(Analysis!$C$159,$B:$B, FW:FW),$V35*(LOOKUP(Analysis!$C$159,$B:$B, FW:FW)-FW35),0))</f>
        <v>0</v>
      </c>
      <c r="HL35" s="1">
        <f t="shared" si="39"/>
        <v>942442.21975432907</v>
      </c>
      <c r="HM35" s="38"/>
      <c r="HN35" s="1">
        <f t="shared" si="40"/>
        <v>-119129.97916090713</v>
      </c>
      <c r="HO35" s="1">
        <f t="shared" si="8"/>
        <v>174743.25373285884</v>
      </c>
      <c r="HP35" s="1">
        <f t="shared" si="41"/>
        <v>55613.274571951712</v>
      </c>
      <c r="HQ35" s="1">
        <f>IF(HP35 &lt; 0,
    IF(HQ34 + HP35 &gt; 0,
        HQ34 + HP35, IF(HV34-ABS(HQ34 + HP35)*(1+$V35) &gt;= HQ34 + HP35,
        0, HQ34 + HP35)),
    MIN(HQ34 + HP35, Analysis!$C$7))+IF(HQ34&lt;0, HQ34*Analysis!$C$9,0)</f>
        <v>24000</v>
      </c>
      <c r="HR35" s="38"/>
      <c r="HS35" s="1">
        <f t="shared" si="54"/>
        <v>26084.715441412478</v>
      </c>
      <c r="HT35" s="1">
        <f>IF($B35=Analysis!$C$159,0,IF(HP35 &gt;= 0,
    MAX(0, HQ34 + HP35 - Analysis!$C$7),
    0))</f>
        <v>55613.274571951712</v>
      </c>
      <c r="HU35" s="1">
        <f>IF($B35=Analysis!$C$159,0,MAX(0, HU34 + HT35 - IF(HP35 &lt; 0, MIN(ABS(HP35), HU34 + HT35), 0)))</f>
        <v>887530.71288555302</v>
      </c>
      <c r="HV35" s="1">
        <f>IF($B35=Analysis!$C$159,0,IF(HP35 &lt; 0,
    IF(HP35 + HQ34 &lt; 0,
        MAX(0, HV34 - (ABS(HP35 + HQ34) * (1+$V34))),
        HV34 + HS35),
    HV34 + HT35 + HS35))</f>
        <v>1317399.0797936481</v>
      </c>
      <c r="HW35" s="1">
        <f t="shared" si="58"/>
        <v>1204021.2980216381</v>
      </c>
      <c r="HX35" s="36"/>
    </row>
    <row r="36" spans="1:232" x14ac:dyDescent="0.35">
      <c r="A36">
        <f t="shared" si="0"/>
        <v>69</v>
      </c>
      <c r="B36">
        <v>2059</v>
      </c>
      <c r="C36" s="1">
        <f>IF($B36&lt;Analysis!C$66,0,$AN36)+$AT36+$AW36+$BC36+$CF36+$CA36</f>
        <v>1601751.2128015764</v>
      </c>
      <c r="D36" s="1">
        <f>IF($B36&lt;Analysis!C$66, 0, BV36)+AT36+AW36+BC36+CG36+CA36</f>
        <v>1366034.9190148495</v>
      </c>
      <c r="E36" s="1">
        <f t="shared" si="1"/>
        <v>1965175.5797397878</v>
      </c>
      <c r="F36" s="1">
        <f t="shared" si="9"/>
        <v>1745016.5641831928</v>
      </c>
      <c r="G36" s="1">
        <f>IF(AND($B36&gt;=Analysis!$C$100, $B36&lt;Analysis!$C$101),$CK36,0)+IF($B36&gt;=Analysis!$C$130,EB36,0)+CQ36+CT36+CZ36+EH36+EK36+EQ36+$FO36+$FT36</f>
        <v>2534395.7017501183</v>
      </c>
      <c r="H36" s="1">
        <f t="shared" si="10"/>
        <v>2272308.9252055082</v>
      </c>
      <c r="I36" s="1">
        <f>IF($B36&lt;Analysis!$C$159,0,$FW36)+$GC36+$GF36+$GL36+$HQ36+$HV36</f>
        <v>2534395.7017501183</v>
      </c>
      <c r="J36" s="1">
        <f t="shared" si="59"/>
        <v>2272308.9252055082</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IF($B36=$B$2,((1+Analysis!$B$16)/(1+$S36))-1,IF(B36&lt;Analysis!$C$13,U35-((Analysis!$B$16-Analysis!$C$17)/(Analysis!$C$13-$B$2)),((1+Analysis!$C$17)/(1+$S35))-1))</f>
        <v>1.9966386554621927E-2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37273.943316928759</v>
      </c>
      <c r="AI36" s="1">
        <f>IF(AE36 &gt;= 0,
    MAX(0, AF35 + AE36 - Analysis!$C$7),
    0)</f>
        <v>37066.933260188642</v>
      </c>
      <c r="AJ36" s="1">
        <f t="shared" si="44"/>
        <v>1106449.4544067264</v>
      </c>
      <c r="AK36" s="1">
        <f t="shared" si="20"/>
        <v>1941175.5797397878</v>
      </c>
      <c r="AL36" s="1">
        <f t="shared" si="5"/>
        <v>1721016.5641831928</v>
      </c>
      <c r="AM36" s="36"/>
      <c r="AN36" s="1">
        <f t="shared" si="45"/>
        <v>1848755.2453860932</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-5546.2657361582797</v>
      </c>
      <c r="BF36" s="64">
        <f>IF($B36&lt;Analysis!$C$66,0,Analysis!$C$78)</f>
        <v>3.0000000000000001E-3</v>
      </c>
      <c r="BG36" s="1">
        <f>IF($B36&lt;Analysis!$C$66,0,-BH36*AN36)</f>
        <v>-13865.664340395699</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-235716.29378672689</v>
      </c>
      <c r="BS36" s="64">
        <f>IF($B36&lt;Analysis!C$66,0,Analysis!C$31)</f>
        <v>0.1275</v>
      </c>
      <c r="BT36" s="1">
        <f>IF($B36&lt;Analysis!$C$66,0,AN36+BR36)</f>
        <v>1613038.9515993663</v>
      </c>
      <c r="BU36" s="1">
        <f>IF($B36-Analysis!$C$66&gt;3,0,IF($AN36&gt;LOOKUP(Analysis!$C$66,$B:$B, AN:AN),$V36*(LOOKUP(Analysis!$C$66,$B:$B, AN:AN)-AN36),0))</f>
        <v>0</v>
      </c>
      <c r="BV36" s="1">
        <f t="shared" si="23"/>
        <v>1613038.9515993663</v>
      </c>
      <c r="BW36" s="42"/>
      <c r="BX36" s="1">
        <f>IF($B36&lt;Analysis!$C$66,$P36+$N36+$X36+$Z36,$P36+$N36+AS36+AV36+BB36+BE36+BG36+MAX(BI36,SUM(BJ36:BN36))+BP36)</f>
        <v>-71371.930076553981</v>
      </c>
      <c r="BY36" s="1">
        <f t="shared" si="24"/>
        <v>131467.92324122589</v>
      </c>
      <c r="BZ36" s="1">
        <f t="shared" si="46"/>
        <v>60095.993164671905</v>
      </c>
      <c r="CA36" s="1">
        <f>IF(BZ36 &lt; 0,
    IF(CA35 + BZ36 &gt; 0,
        CA35 + BZ36, IF(CF35-ABS(CA35 + BZ36)*(1+$V36) &gt;= CA35 + BZ36,
        0, CA35 + BZ36)),
    MIN(CA35 + BZ36, Analysis!$C$7))+IF(CA35&lt;0, CA35*Analysis!$C$9,0)</f>
        <v>-247004.03258451686</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-42440.989981037252</v>
      </c>
      <c r="CJ36" s="1">
        <f>IF(OR($B36&lt;Analysis!$C$100, $B36&gt;=Analysis!$C$130),0,Z36)</f>
        <v>-3960</v>
      </c>
      <c r="CK36" s="1">
        <f t="shared" si="60"/>
        <v>1111932.5026597513</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44431.663741386867</v>
      </c>
      <c r="DE36" s="1">
        <f t="shared" si="27"/>
        <v>-3335.7975079792541</v>
      </c>
      <c r="DF36" s="64">
        <f>IF(OR($B36&lt;Analysis!$C$100, $B36&gt;=Analysis!$C$101),0,Analysis!$C$118)</f>
        <v>3.0000000000000001E-3</v>
      </c>
      <c r="DG36" s="1">
        <f t="shared" si="28"/>
        <v>-8339.4937699481343</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-2785.1899675055711</v>
      </c>
      <c r="DR36" s="1">
        <f t="shared" si="29"/>
        <v>-26720.481245432962</v>
      </c>
      <c r="DS36" s="1">
        <f>MIN(0,-(DB36+DR36)*Analysis!$C$28)-CS36*Analysis!$C$28</f>
        <v>-4615.0570881715676</v>
      </c>
      <c r="DT36" s="1">
        <f>-Analysis!$C$116*DD36/12</f>
        <v>-3702.6386451155722</v>
      </c>
      <c r="DU36" s="53"/>
      <c r="DV36" s="1">
        <f t="shared" si="30"/>
        <v>-141771.39408911829</v>
      </c>
      <c r="DW36" s="64">
        <f>IF(OR($B36&lt;Analysis!$C$100, $B36&gt;=Analysis!$C$101),0,IF($B36=Analysis!$C$100,Analysis!$C$31,DW35))</f>
        <v>0.1275</v>
      </c>
      <c r="DX36" s="1">
        <f>IF(OR($B36&lt;Analysis!$C$100, $B36&gt;=Analysis!$C$101),0,CK36+DV36)</f>
        <v>970161.10857063299</v>
      </c>
      <c r="DY36" s="1">
        <f>IF(OR($B36&lt;Analysis!$C$100, $B36&gt;=Analysis!$C$101),0,IF($B36-Analysis!$C$100&gt;3,0,IF(CK36&gt;LOOKUP(Analysis!$C$100,$B:$B, CK:CK),$V36*(LOOKUP(Analysis!$C$100,$B:$B, CK:CK)-CK36),0)))</f>
        <v>0</v>
      </c>
      <c r="DZ36" s="1">
        <f t="shared" si="49"/>
        <v>970161.10857063299</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-121139.16695975735</v>
      </c>
      <c r="FM36" s="1">
        <f>$M36+$R36+DD36+IF(AND($B36&lt;&gt;Analysis!$C$130,$B36=Analysis!$C$101),DZ35+CQ35+CT35+CZ35,0)</f>
        <v>175899.58698261276</v>
      </c>
      <c r="FN36" s="1">
        <f t="shared" si="34"/>
        <v>54760.420022855411</v>
      </c>
      <c r="FO36" s="1">
        <f>IF(FN36 &lt; 0,
    IF(FO35 + FN36 &gt; 0,
        FO35 + FN36, IF(FT35-ABS(FO35 + FN36)*(1+$V36) &gt;= FO35 + FN36,
        0, FO35 + FN36)),
    MIN(FO35 + FN36, Analysis!$C$7))+IF(FO35&lt;0, FO35*Analysis!$C$9,0)</f>
        <v>24000</v>
      </c>
      <c r="FP36" s="53"/>
      <c r="FQ36" s="1">
        <f t="shared" si="51"/>
        <v>26303.699273863196</v>
      </c>
      <c r="FR36" s="1">
        <f>IF(OR($B36=Analysis!$C$100, $B36=Analysis!$C$130),0,IF(FN36 &gt;= 0,
    MAX(0, FO35 + FN36 - Analysis!$C$7),
    0))</f>
        <v>54760.420022855411</v>
      </c>
      <c r="FS36" s="1">
        <f>IF(OR($B36=Analysis!$C$100, $B36=Analysis!$C$130),0,MAX(0, FS35 + FR36 - IF(FN36 &lt; 0, MIN(ABS(FN36), FS35 + FR36), 0)))</f>
        <v>942291.13290840841</v>
      </c>
      <c r="FT36" s="1">
        <f>IF(OR($B36=Analysis!$C$100, $B36=Analysis!$C$130),0,IF(FN36 &lt; 0,
    IF(FN36 + FO35 &lt; 0,
        MAX(0, FT35 - (ABS(FN36 + FO35) * (1+$V35))),
        FT35 + FQ36),
    FT35 + FR36 + FQ36))</f>
        <v>1398463.1990903667</v>
      </c>
      <c r="FU36" s="1">
        <f t="shared" si="57"/>
        <v>1278147.8166348753</v>
      </c>
      <c r="FV36" s="36"/>
      <c r="FW36" s="1">
        <f t="shared" si="52"/>
        <v>1111932.5026597513</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44431.663741386867</v>
      </c>
      <c r="GQ36" s="1">
        <f t="shared" si="36"/>
        <v>-3335.7975079792541</v>
      </c>
      <c r="GR36" s="64">
        <f>IF($B36&lt;Analysis!$C$159,0,Analysis!$C$178)</f>
        <v>3.0000000000000001E-3</v>
      </c>
      <c r="GS36" s="1">
        <f t="shared" si="37"/>
        <v>-8339.4937699481343</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-2785.1899675055711</v>
      </c>
      <c r="HD36" s="1">
        <f t="shared" si="38"/>
        <v>-26720.481245432962</v>
      </c>
      <c r="HE36" s="1">
        <f>MIN(0,-(GN36+HD36)*Analysis!$C$28)-GE36*Analysis!$C$28</f>
        <v>-4615.0570881715676</v>
      </c>
      <c r="HF36" s="1">
        <f>-Analysis!$C$176*GP36/12</f>
        <v>-3702.6386451155722</v>
      </c>
      <c r="HG36" s="38"/>
      <c r="HH36" s="1">
        <f>IF($B36&lt;Analysis!$C$159,0,-$HI36*$FW36)</f>
        <v>-141771.39408911829</v>
      </c>
      <c r="HI36" s="64">
        <f>IF($B36&lt;Analysis!$C$159,0,IF($B36=Analysis!$C$159,Analysis!$C$31,HI35))</f>
        <v>0.1275</v>
      </c>
      <c r="HJ36" s="1">
        <f>IF($B36&lt;Analysis!$C$159,0,$FW36+HH36)</f>
        <v>970161.10857063299</v>
      </c>
      <c r="HK36" s="1">
        <f>IF($B36-Analysis!$C$159&gt;10,0,IF($FW36&gt;LOOKUP(Analysis!$C$159,$B:$B, FW:FW),$V36*(LOOKUP(Analysis!$C$159,$B:$B, FW:FW)-FW36),0))</f>
        <v>0</v>
      </c>
      <c r="HL36" s="1">
        <f t="shared" si="39"/>
        <v>970161.10857063299</v>
      </c>
      <c r="HM36" s="38"/>
      <c r="HN36" s="1">
        <f t="shared" si="40"/>
        <v>-121139.16695975735</v>
      </c>
      <c r="HO36" s="1">
        <f t="shared" si="8"/>
        <v>175899.58698261276</v>
      </c>
      <c r="HP36" s="1">
        <f t="shared" si="41"/>
        <v>54760.420022855411</v>
      </c>
      <c r="HQ36" s="1">
        <f>IF(HP36 &lt; 0,
    IF(HQ35 + HP36 &gt; 0,
        HQ35 + HP36, IF(HV35-ABS(HQ35 + HP36)*(1+$V36) &gt;= HQ35 + HP36,
        0, HQ35 + HP36)),
    MIN(HQ35 + HP36, Analysis!$C$7))+IF(HQ35&lt;0, HQ35*Analysis!$C$9,0)</f>
        <v>24000</v>
      </c>
      <c r="HR36" s="38"/>
      <c r="HS36" s="1">
        <f t="shared" si="54"/>
        <v>26303.699273863196</v>
      </c>
      <c r="HT36" s="1">
        <f>IF($B36=Analysis!$C$159,0,IF(HP36 &gt;= 0,
    MAX(0, HQ35 + HP36 - Analysis!$C$7),
    0))</f>
        <v>54760.420022855411</v>
      </c>
      <c r="HU36" s="1">
        <f>IF($B36=Analysis!$C$159,0,MAX(0, HU35 + HT36 - IF(HP36 &lt; 0, MIN(ABS(HP36), HU35 + HT36), 0)))</f>
        <v>942291.13290840841</v>
      </c>
      <c r="HV36" s="1">
        <f>IF($B36=Analysis!$C$159,0,IF(HP36 &lt; 0,
    IF(HP36 + HQ35 &lt; 0,
        MAX(0, HV35 - (ABS(HP36 + HQ35) * (1+$V35))),
        HV35 + HS36),
    HV35 + HT36 + HS36))</f>
        <v>1398463.1990903667</v>
      </c>
      <c r="HW36" s="1">
        <f t="shared" si="58"/>
        <v>1278147.8166348753</v>
      </c>
      <c r="HX36" s="36"/>
    </row>
    <row r="37" spans="1:232" x14ac:dyDescent="0.35">
      <c r="A37">
        <f t="shared" si="0"/>
        <v>70</v>
      </c>
      <c r="B37">
        <v>2060</v>
      </c>
      <c r="C37" s="1">
        <f>IF($B37&lt;Analysis!C$66,0,$AN37)+$AT37+$AW37+$BC37+$CF37+$CA37</f>
        <v>1630157.136895037</v>
      </c>
      <c r="D37" s="1">
        <f>IF($B37&lt;Analysis!C$66, 0, BV37)+AT37+AW37+BC37+CG37+CA37</f>
        <v>1387508.0109381122</v>
      </c>
      <c r="E37" s="1">
        <f t="shared" si="1"/>
        <v>1933700.1284996388</v>
      </c>
      <c r="F37" s="1">
        <f t="shared" si="9"/>
        <v>1707622.6047391153</v>
      </c>
      <c r="G37" s="1">
        <f>IF(AND($B37&gt;=Analysis!$C$100, $B37&lt;Analysis!$C$101),$CK37,0)+IF($B37&gt;=Analysis!$C$130,EB37,0)+CQ37+CT37+CZ37+EH37+EK37+EQ37+$FO37+$FT37</f>
        <v>1855435.3783000857</v>
      </c>
      <c r="H37" s="1">
        <f t="shared" si="10"/>
        <v>1612786.2523431608</v>
      </c>
      <c r="I37" s="1">
        <f>IF($B37&lt;Analysis!$C$159,0,$FW37)+$GC37+$GF37+$GL37+$HQ37+$HV37</f>
        <v>2582668.9658239773</v>
      </c>
      <c r="J37" s="1">
        <f t="shared" si="59"/>
        <v>2306054.3661098555</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IF($B37=$B$2,((1+Analysis!$B$16)/(1+$S37))-1,IF(B37&lt;Analysis!$C$13,U36-((Analysis!$B$16-Analysis!$C$17)/(Analysis!$C$13-$B$2)),((1+Analysis!$C$17)/(1+$S36))-1))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38062.266269407468</v>
      </c>
      <c r="AI37" s="1">
        <f>IF(AE37 &gt;= 0,
    MAX(0, AF36 + AE37 - Analysis!$C$7),
    0)</f>
        <v>0</v>
      </c>
      <c r="AJ37" s="1">
        <f t="shared" si="44"/>
        <v>1076534.161635095</v>
      </c>
      <c r="AK37" s="1">
        <f t="shared" si="20"/>
        <v>1933700.1284996388</v>
      </c>
      <c r="AL37" s="1">
        <f t="shared" si="5"/>
        <v>1707622.6047391153</v>
      </c>
      <c r="AM37" s="36"/>
      <c r="AN37" s="1">
        <f t="shared" si="45"/>
        <v>1903130.399662155</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-5709.3911989864646</v>
      </c>
      <c r="BF37" s="64">
        <f>IF($B37&lt;Analysis!$C$66,0,Analysis!$C$78)</f>
        <v>3.0000000000000001E-3</v>
      </c>
      <c r="BG37" s="1">
        <f>IF($B37&lt;Analysis!$C$66,0,-BH37*AN37)</f>
        <v>-14273.477997466161</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-242649.12595692475</v>
      </c>
      <c r="BS37" s="64">
        <f>IF($B37&lt;Analysis!C$66,0,Analysis!C$31)</f>
        <v>0.1275</v>
      </c>
      <c r="BT37" s="1">
        <f>IF($B37&lt;Analysis!$C$66,0,AN37+BR37)</f>
        <v>1660481.2737052301</v>
      </c>
      <c r="BU37" s="1">
        <f>IF($B37-Analysis!$C$66&gt;3,0,IF($AN37&gt;LOOKUP(Analysis!$C$66,$B:$B, AN:AN),$V37*(LOOKUP(Analysis!$C$66,$B:$B, AN:AN)-AN37),0))</f>
        <v>0</v>
      </c>
      <c r="BV37" s="1">
        <f t="shared" si="23"/>
        <v>1660481.2737052301</v>
      </c>
      <c r="BW37" s="42"/>
      <c r="BX37" s="1">
        <f>IF($B37&lt;Analysis!$C$66,$P37+$N37+$X37+$Z37,$P37+$N37+AS37+AV37+BB37+BE37+BG37+MAX(BI37,SUM(BJ37:BN37))+BP37)</f>
        <v>-71942.869196452622</v>
      </c>
      <c r="BY37" s="1">
        <f t="shared" si="24"/>
        <v>65733.961620612943</v>
      </c>
      <c r="BZ37" s="1">
        <f t="shared" si="46"/>
        <v>-6208.9075758396793</v>
      </c>
      <c r="CA37" s="1">
        <f>IF(BZ37 &lt; 0,
    IF(CA36 + BZ37 &gt; 0,
        CA36 + BZ37, IF(CF36-ABS(CA36 + BZ37)*(1+$V37) &gt;= CA36 + BZ37,
        0, CA36 + BZ37)),
    MIN(CA36 + BZ37, Analysis!$C$7))+IF(CA36&lt;0, CA36*Analysis!$C$9,0)</f>
        <v>-272973.26276711788</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1144636.399796803</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-82773.523974315438</v>
      </c>
      <c r="FM37" s="1">
        <f>$M37+$R37+DD37+IF(AND($B37&lt;&gt;Analysis!$C$130,$B37=Analysis!$C$101),DZ36+CQ36+CT36+CZ36,0)</f>
        <v>65733.961620612943</v>
      </c>
      <c r="FN37" s="1">
        <f t="shared" si="34"/>
        <v>-17039.562353702495</v>
      </c>
      <c r="FO37" s="1">
        <f>IF(FN37 &lt; 0,
    IF(FO36 + FN37 &gt; 0,
        FO36 + FN37, IF(FT36-ABS(FO36 + FN37)*(1+$V37) &gt;= FO36 + FN37,
        0, FO36 + FN37)),
    MIN(FO36 + FN37, Analysis!$C$7))+IF(FO36&lt;0, FO36*Analysis!$C$9,0)</f>
        <v>6960.4376462975051</v>
      </c>
      <c r="FP37" s="53"/>
      <c r="FQ37" s="1">
        <f t="shared" si="51"/>
        <v>27420.847040987486</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1144636.399796803</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45622.00679260413</v>
      </c>
      <c r="GQ37" s="1">
        <f t="shared" si="36"/>
        <v>-3433.909199390409</v>
      </c>
      <c r="GR37" s="64">
        <f>IF($B37&lt;Analysis!$C$159,0,Analysis!$C$178)</f>
        <v>3.0000000000000001E-3</v>
      </c>
      <c r="GS37" s="1">
        <f t="shared" si="37"/>
        <v>-8584.7729984760226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-2867.1073194910291</v>
      </c>
      <c r="HD37" s="1">
        <f t="shared" si="38"/>
        <v>-27145.789517357458</v>
      </c>
      <c r="HE37" s="1">
        <f>MIN(0,-(GN37+HD37)*Analysis!$C$28)-GE37*Analysis!$C$28</f>
        <v>-4910.5707084119103</v>
      </c>
      <c r="HF37" s="1">
        <f>-Analysis!$C$176*GP37/12</f>
        <v>-3801.8338993836774</v>
      </c>
      <c r="HG37" s="38"/>
      <c r="HH37" s="1">
        <f>IF($B37&lt;Analysis!$C$159,0,-$HI37*$FW37)</f>
        <v>-145941.14097409238</v>
      </c>
      <c r="HI37" s="64">
        <f>IF($B37&lt;Analysis!$C$159,0,IF($B37=Analysis!$C$159,Analysis!$C$31,HI36))</f>
        <v>0.1275</v>
      </c>
      <c r="HJ37" s="1">
        <f>IF($B37&lt;Analysis!$C$159,0,$FW37+HH37)</f>
        <v>998695.2588227106</v>
      </c>
      <c r="HK37" s="1">
        <f>IF($B37-Analysis!$C$159&gt;10,0,IF($FW37&gt;LOOKUP(Analysis!$C$159,$B:$B, FW:FW),$V37*(LOOKUP(Analysis!$C$159,$B:$B, FW:FW)-FW37),0))</f>
        <v>0</v>
      </c>
      <c r="HL37" s="1">
        <f t="shared" si="39"/>
        <v>998695.2588227106</v>
      </c>
      <c r="HM37" s="38"/>
      <c r="HN37" s="1">
        <f t="shared" si="40"/>
        <v>-123207.44851739729</v>
      </c>
      <c r="HO37" s="1">
        <f t="shared" si="8"/>
        <v>111355.96841321708</v>
      </c>
      <c r="HP37" s="1">
        <f t="shared" si="41"/>
        <v>-11851.480104180213</v>
      </c>
      <c r="HQ37" s="1">
        <f>IF(HP37 &lt; 0,
    IF(HQ36 + HP37 &gt; 0,
        HQ36 + HP37, IF(HV36-ABS(HQ36 + HP37)*(1+$V37) &gt;= HQ36 + HP37,
        0, HQ36 + HP37)),
    MIN(HQ36 + HP37, Analysis!$C$7))+IF(HQ36&lt;0, HQ36*Analysis!$C$9,0)</f>
        <v>12148.519895819787</v>
      </c>
      <c r="HR37" s="38"/>
      <c r="HS37" s="1">
        <f t="shared" si="54"/>
        <v>27420.847040987486</v>
      </c>
      <c r="HT37" s="1">
        <f>IF($B37=Analysis!$C$159,0,IF(HP37 &gt;= 0,
    MAX(0, HQ36 + HP37 - Analysis!$C$7),
    0))</f>
        <v>0</v>
      </c>
      <c r="HU37" s="1">
        <f>IF($B37=Analysis!$C$159,0,MAX(0, HU36 + HT37 - IF(HP37 &lt; 0, MIN(ABS(HP37), HU36 + HT37), 0)))</f>
        <v>930439.65280422824</v>
      </c>
      <c r="HV37" s="1">
        <f>IF($B37=Analysis!$C$159,0,IF(HP37 &lt; 0,
    IF(HP37 + HQ36 &lt; 0,
        MAX(0, HV36 - (ABS(HP37 + HQ36) * (1+$V36))),
        HV36 + HS37),
    HV36 + HT37 + HS37))</f>
        <v>1425884.0461313543</v>
      </c>
      <c r="HW37" s="1">
        <f t="shared" si="58"/>
        <v>1295210.5873913248</v>
      </c>
      <c r="HX37" s="36"/>
    </row>
    <row r="38" spans="1:232" x14ac:dyDescent="0.35">
      <c r="A38">
        <f t="shared" si="0"/>
        <v>71</v>
      </c>
      <c r="B38">
        <v>2061</v>
      </c>
      <c r="C38" s="1">
        <f>IF($B38&lt;Analysis!C$66,0,$AN38)+$AT38+$AW38+$BC38+$CF38+$CA38</f>
        <v>1656182.3811379366</v>
      </c>
      <c r="D38" s="1">
        <f>IF($B38&lt;Analysis!C$66, 0, BV38)+AT38+AW38+BC38+CG38+CA38</f>
        <v>1406396.5161822787</v>
      </c>
      <c r="E38" s="1">
        <f t="shared" si="1"/>
        <v>1892609.3603431112</v>
      </c>
      <c r="F38" s="1">
        <f t="shared" si="9"/>
        <v>1668793.7086017481</v>
      </c>
      <c r="G38" s="1">
        <f>IF(AND($B38&gt;=Analysis!$C$100, $B38&lt;Analysis!$C$101),$CK38,0)+IF($B38&gt;=Analysis!$C$130,EB38,0)+CQ38+CT38+CZ38+EH38+EK38+EQ38+$FO38+$FT38</f>
        <v>1898400.7215064005</v>
      </c>
      <c r="H38" s="1">
        <f t="shared" si="10"/>
        <v>1633851.6023474811</v>
      </c>
      <c r="I38" s="1">
        <f>IF($B38&lt;Analysis!$C$159,0,$FW38)+$GC38+$GF38+$GL38+$HQ38+$HV38</f>
        <v>2601758.0535623692</v>
      </c>
      <c r="J38" s="1">
        <f t="shared" si="59"/>
        <v>2317780.5555930771</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IF($B38=$B$2,((1+Analysis!$B$16)/(1+$S38))-1,IF(B38&lt;Analysis!$C$13,U37-((Analysis!$B$16-Analysis!$C$17)/(Analysis!$C$13-$B$2)),((1+Analysis!$C$17)/(1+$S37))-1))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37915.688794110429</v>
      </c>
      <c r="AI38" s="1">
        <f>IF(AE38 &gt;= 0,
    MAX(0, AF37 + AE38 - Analysis!$C$7),
    0)</f>
        <v>0</v>
      </c>
      <c r="AJ38" s="1">
        <f t="shared" si="44"/>
        <v>1044019.2115606914</v>
      </c>
      <c r="AK38" s="1">
        <f t="shared" si="20"/>
        <v>1892609.3603431112</v>
      </c>
      <c r="AL38" s="1">
        <f t="shared" si="5"/>
        <v>1668793.7086017481</v>
      </c>
      <c r="AM38" s="36"/>
      <c r="AN38" s="1">
        <f t="shared" si="45"/>
        <v>1959104.8231816303</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-5877.3144695448909</v>
      </c>
      <c r="BF38" s="64">
        <f>IF($B38&lt;Analysis!$C$66,0,Analysis!$C$78)</f>
        <v>3.0000000000000001E-3</v>
      </c>
      <c r="BG38" s="1">
        <f>IF($B38&lt;Analysis!$C$66,0,-BH38*AN38)</f>
        <v>-14693.286173862227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-249785.86495565786</v>
      </c>
      <c r="BS38" s="64">
        <f>IF($B38&lt;Analysis!C$66,0,Analysis!C$31)</f>
        <v>0.1275</v>
      </c>
      <c r="BT38" s="1">
        <f>IF($B38&lt;Analysis!$C$66,0,AN38+BR38)</f>
        <v>1709318.9582259725</v>
      </c>
      <c r="BU38" s="1">
        <f>IF($B38-Analysis!$C$66&gt;3,0,IF($AN38&gt;LOOKUP(Analysis!$C$66,$B:$B, AN:AN),$V38*(LOOKUP(Analysis!$C$66,$B:$B, AN:AN)-AN38),0))</f>
        <v>0</v>
      </c>
      <c r="BV38" s="1">
        <f t="shared" si="23"/>
        <v>1709318.9582259725</v>
      </c>
      <c r="BW38" s="42"/>
      <c r="BX38" s="1">
        <f>IF($B38&lt;Analysis!$C$66,$P38+$N38+$X38+$Z38,$P38+$N38+AS38+AV38+BB38+BE38+BG38+MAX(BI38,SUM(BJ38:BN38))+BP38)</f>
        <v>-72530.600643407117</v>
      </c>
      <c r="BY38" s="1">
        <f t="shared" si="24"/>
        <v>64419.282388200685</v>
      </c>
      <c r="BZ38" s="1">
        <f t="shared" si="46"/>
        <v>-8111.3182552064318</v>
      </c>
      <c r="CA38" s="1">
        <f>IF(BZ38 &lt; 0,
    IF(CA37 + BZ38 &gt; 0,
        CA37 + BZ38, IF(CF37-ABS(CA37 + BZ38)*(1+$V38) &gt;= CA37 + BZ38,
        0, CA37 + BZ38)),
    MIN(CA37 + BZ38, Analysis!$C$7))+IF(CA37&lt;0, CA37*Analysis!$C$9,0)</f>
        <v>-302922.44204369374</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1178302.176261415</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-83501.191480068621</v>
      </c>
      <c r="FM38" s="1">
        <f>$M38+$R38+DD38+IF(AND($B38&lt;&gt;Analysis!$C$130,$B38=Analysis!$C$101),DZ37+CQ37+CT37+CZ37,0)</f>
        <v>64419.282388200685</v>
      </c>
      <c r="FN38" s="1">
        <f t="shared" si="34"/>
        <v>-19081.909091867936</v>
      </c>
      <c r="FO38" s="1">
        <f>IF(FN38 &lt; 0,
    IF(FO37 + FN38 &gt; 0,
        FO37 + FN38, IF(FT37-ABS(FO37 + FN38)*(1+$V38) &gt;= FO37 + FN38,
        0, FO37 + FN38)),
    MIN(FO37 + FN38, Analysis!$C$7))+IF(FO37&lt;0, FO37*Analysis!$C$9,0)</f>
        <v>-12121.471445570431</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1178302.176261415</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46847.359933563079</v>
      </c>
      <c r="GQ38" s="1">
        <f t="shared" si="36"/>
        <v>-3534.906528784245</v>
      </c>
      <c r="GR38" s="64">
        <f>IF($B38&lt;Analysis!$C$159,0,Analysis!$C$178)</f>
        <v>3.0000000000000001E-3</v>
      </c>
      <c r="GS38" s="1">
        <f t="shared" si="37"/>
        <v>-8837.2663219606129</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-2951.4340053584124</v>
      </c>
      <c r="HD38" s="1">
        <f t="shared" si="38"/>
        <v>-27583.60685610327</v>
      </c>
      <c r="HE38" s="1">
        <f>MIN(0,-(GN38+HD38)*Analysis!$C$28)-GE38*Analysis!$C$28</f>
        <v>-5214.7759057181411</v>
      </c>
      <c r="HF38" s="1">
        <f>-Analysis!$C$176*GP38/12</f>
        <v>-3903.9466611302564</v>
      </c>
      <c r="HG38" s="38"/>
      <c r="HH38" s="1">
        <f>IF($B38&lt;Analysis!$C$159,0,-$HI38*$FW38)</f>
        <v>-150233.52747333041</v>
      </c>
      <c r="HI38" s="64">
        <f>IF($B38&lt;Analysis!$C$159,0,IF($B38=Analysis!$C$159,Analysis!$C$31,HI37))</f>
        <v>0.1275</v>
      </c>
      <c r="HJ38" s="1">
        <f>IF($B38&lt;Analysis!$C$159,0,$FW38+HH38)</f>
        <v>1028068.6487880846</v>
      </c>
      <c r="HK38" s="1">
        <f>IF($B38-Analysis!$C$159&gt;10,0,IF($FW38&gt;LOOKUP(Analysis!$C$159,$B:$B, FW:FW),$V38*(LOOKUP(Analysis!$C$159,$B:$B, FW:FW)-FW38),0))</f>
        <v>0</v>
      </c>
      <c r="HL38" s="1">
        <f t="shared" si="39"/>
        <v>1028068.6487880846</v>
      </c>
      <c r="HM38" s="38"/>
      <c r="HN38" s="1">
        <f t="shared" si="40"/>
        <v>-125336.56188555603</v>
      </c>
      <c r="HO38" s="1">
        <f t="shared" si="8"/>
        <v>111266.64232176376</v>
      </c>
      <c r="HP38" s="1">
        <f t="shared" si="41"/>
        <v>-14069.919563792268</v>
      </c>
      <c r="HQ38" s="1">
        <f>IF(HP38 &lt; 0,
    IF(HQ37 + HP38 &gt; 0,
        HQ37 + HP38, IF(HV37-ABS(HQ37 + HP38)*(1+$V38) &gt;= HQ37 + HP38,
        0, HQ37 + HP38)),
    MIN(HQ37 + HP38, Analysis!$C$7))+IF(HQ37&lt;0, HQ37*Analysis!$C$9,0)</f>
        <v>0</v>
      </c>
      <c r="HR38" s="38"/>
      <c r="HS38" s="1">
        <f t="shared" si="54"/>
        <v>27958.510708457827</v>
      </c>
      <c r="HT38" s="1">
        <f>IF($B38=Analysis!$C$159,0,IF(HP38 &gt;= 0,
    MAX(0, HQ37 + HP38 - Analysis!$C$7),
    0))</f>
        <v>0</v>
      </c>
      <c r="HU38" s="1">
        <f>IF($B38=Analysis!$C$159,0,MAX(0, HU37 + HT38 - IF(HP38 &lt; 0, MIN(ABS(HP38), HU37 + HT38), 0)))</f>
        <v>916369.73324043595</v>
      </c>
      <c r="HV38" s="1">
        <f>IF($B38=Analysis!$C$159,0,IF(HP38 &lt; 0,
    IF(HP38 + HQ37 &lt; 0,
        MAX(0, HV37 - (ABS(HP38 + HQ37) * (1+$V37))),
        HV37 + HS38),
    HV37 + HT38 + HS38))</f>
        <v>1423455.877300954</v>
      </c>
      <c r="HW38" s="1">
        <f t="shared" si="58"/>
        <v>1289711.9068049924</v>
      </c>
      <c r="HX38" s="36"/>
    </row>
    <row r="39" spans="1:232" x14ac:dyDescent="0.35">
      <c r="A39">
        <f t="shared" si="0"/>
        <v>72</v>
      </c>
      <c r="B39">
        <v>2062</v>
      </c>
      <c r="C39" s="1">
        <f>IF($B39&lt;Analysis!C$66,0,$AN39)+$AT39+$AW39+$BC39+$CF39+$CA39</f>
        <v>1679564.5942990659</v>
      </c>
      <c r="D39" s="1">
        <f>IF($B39&lt;Analysis!C$66, 0, BV39)+AT39+AW39+BC39+CG39+CA39</f>
        <v>1422432.0862564766</v>
      </c>
      <c r="E39" s="1">
        <f t="shared" si="1"/>
        <v>1848218.7422867331</v>
      </c>
      <c r="F39" s="1">
        <f t="shared" si="9"/>
        <v>1626846.6052665468</v>
      </c>
      <c r="G39" s="1">
        <f>IF(AND($B39&gt;=Analysis!$C$100, $B39&lt;Analysis!$C$101),$CK39,0)+IF($B39&gt;=Analysis!$C$130,EB39,0)+CQ39+CT39+CZ39+EH39+EK39+EQ39+$FO39+$FT39</f>
        <v>1940005.1984321915</v>
      </c>
      <c r="H39" s="1">
        <f t="shared" si="10"/>
        <v>1652911.9686241597</v>
      </c>
      <c r="I39" s="1">
        <f>IF($B39&lt;Analysis!$C$159,0,$FW39)+$GC39+$GF39+$GL39+$HQ39+$HV39</f>
        <v>2615829.2227545613</v>
      </c>
      <c r="J39" s="1">
        <f t="shared" si="59"/>
        <v>2328566.1960559357</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IF($B39=$B$2,((1+Analysis!$B$16)/(1+$S39))-1,IF(B39&lt;Analysis!$C$13,U38-((Analysis!$B$16-Analysis!$C$17)/(Analysis!$C$13-$B$2)),((1+Analysis!$C$17)/(1+$S38))-1))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37109.987457707932</v>
      </c>
      <c r="AI39" s="1">
        <f>IF(AE39 &gt;= 0,
    MAX(0, AF38 + AE39 - Analysis!$C$7),
    0)</f>
        <v>0</v>
      </c>
      <c r="AJ39" s="1">
        <f t="shared" si="44"/>
        <v>1008893.1042955059</v>
      </c>
      <c r="AK39" s="1">
        <f t="shared" si="20"/>
        <v>1848218.7422867331</v>
      </c>
      <c r="AL39" s="1">
        <f t="shared" si="5"/>
        <v>1626846.6052665468</v>
      </c>
      <c r="AM39" s="36"/>
      <c r="AN39" s="1">
        <f t="shared" si="45"/>
        <v>2016725.553275208</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-6050.1766598256245</v>
      </c>
      <c r="BF39" s="64">
        <f>IF($B39&lt;Analysis!$C$66,0,Analysis!$C$78)</f>
        <v>3.0000000000000001E-3</v>
      </c>
      <c r="BG39" s="1">
        <f>IF($B39&lt;Analysis!$C$66,0,-BH39*AN39)</f>
        <v>-15125.44164956406</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-257132.50804258903</v>
      </c>
      <c r="BS39" s="64">
        <f>IF($B39&lt;Analysis!C$66,0,Analysis!C$31)</f>
        <v>0.1275</v>
      </c>
      <c r="BT39" s="1">
        <f>IF($B39&lt;Analysis!$C$66,0,AN39+BR39)</f>
        <v>1759593.0452326189</v>
      </c>
      <c r="BU39" s="1">
        <f>IF($B39-Analysis!$C$66&gt;3,0,IF($AN39&gt;LOOKUP(Analysis!$C$66,$B:$B, AN:AN),$V39*(LOOKUP(Analysis!$C$66,$B:$B, AN:AN)-AN39),0))</f>
        <v>0</v>
      </c>
      <c r="BV39" s="1">
        <f t="shared" si="23"/>
        <v>1759593.0452326189</v>
      </c>
      <c r="BW39" s="42"/>
      <c r="BX39" s="1">
        <f>IF($B39&lt;Analysis!$C$66,$P39+$N39+$X39+$Z39,$P39+$N39+AS39+AV39+BB39+BE39+BG39+MAX(BI39,SUM(BJ39:BN39))+BP39)</f>
        <v>-73135.618309389683</v>
      </c>
      <c r="BY39" s="1">
        <f t="shared" si="24"/>
        <v>63130.89674043667</v>
      </c>
      <c r="BZ39" s="1">
        <f t="shared" si="46"/>
        <v>-10004.721568953013</v>
      </c>
      <c r="CA39" s="1">
        <f>IF(BZ39 &lt; 0,
    IF(CA38 + BZ39 &gt; 0,
        CA38 + BZ39, IF(CF38-ABS(CA38 + BZ39)*(1+$V39) &gt;= CA38 + BZ39,
        0, CA38 + BZ39)),
    MIN(CA38 + BZ39, Analysis!$C$7))+IF(CA38&lt;0, CA38*Analysis!$C$9,0)</f>
        <v>-337160.95897614222</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1212958.122622045</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-84250.260971285126</v>
      </c>
      <c r="FM39" s="1">
        <f>$M39+$R39+DD39+IF(AND($B39&lt;&gt;Analysis!$C$130,$B39=Analysis!$C$101),DZ38+CQ38+CT38+CZ38,0)</f>
        <v>63130.89674043667</v>
      </c>
      <c r="FN39" s="1">
        <f t="shared" si="34"/>
        <v>-21119.364230848456</v>
      </c>
      <c r="FO39" s="1">
        <f>IF(FN39 &lt; 0,
    IF(FO38 + FN39 &gt; 0,
        FO38 + FN39, IF(FT38-ABS(FO38 + FN39)*(1+$V39) &gt;= FO38 + FN39,
        0, FO38 + FN39)),
    MIN(FO38 + FN39, Analysis!$C$7))+IF(FO38&lt;0, FO38*Analysis!$C$9,0)</f>
        <v>-34210.553392064518</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1212958.122622045</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48108.752872785524</v>
      </c>
      <c r="GQ39" s="1">
        <f t="shared" si="36"/>
        <v>-3638.8743678661349</v>
      </c>
      <c r="GR39" s="64">
        <f>IF($B39&lt;Analysis!$C$159,0,Analysis!$C$178)</f>
        <v>3.0000000000000001E-3</v>
      </c>
      <c r="GS39" s="1">
        <f t="shared" si="37"/>
        <v>-9097.1859196653368</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-3038.2408878689544</v>
      </c>
      <c r="HD39" s="1">
        <f t="shared" si="38"/>
        <v>-28034.301175400426</v>
      </c>
      <c r="HE39" s="1">
        <f>MIN(0,-(GN39+HD39)*Analysis!$C$28)-GE39*Analysis!$C$28</f>
        <v>-5527.9283147098522</v>
      </c>
      <c r="HF39" s="1">
        <f>-Analysis!$C$176*GP39/12</f>
        <v>-4009.0627393987938</v>
      </c>
      <c r="HG39" s="38"/>
      <c r="HH39" s="1">
        <f>IF($B39&lt;Analysis!$C$159,0,-$HI39*$FW39)</f>
        <v>-154652.16063431074</v>
      </c>
      <c r="HI39" s="64">
        <f>IF($B39&lt;Analysis!$C$159,0,IF($B39=Analysis!$C$159,Analysis!$C$31,HI38))</f>
        <v>0.1275</v>
      </c>
      <c r="HJ39" s="1">
        <f>IF($B39&lt;Analysis!$C$159,0,$FW39+HH39)</f>
        <v>1058305.9619877343</v>
      </c>
      <c r="HK39" s="1">
        <f>IF($B39-Analysis!$C$159&gt;10,0,IF($FW39&gt;LOOKUP(Analysis!$C$159,$B:$B, FW:FW),$V39*(LOOKUP(Analysis!$C$159,$B:$B, FW:FW)-FW39),0))</f>
        <v>0</v>
      </c>
      <c r="HL39" s="1">
        <f t="shared" si="39"/>
        <v>1058305.9619877343</v>
      </c>
      <c r="HM39" s="38"/>
      <c r="HN39" s="1">
        <f t="shared" si="40"/>
        <v>-127528.29623513123</v>
      </c>
      <c r="HO39" s="1">
        <f t="shared" si="8"/>
        <v>111239.64961322219</v>
      </c>
      <c r="HP39" s="1">
        <f t="shared" si="41"/>
        <v>-16288.646621909036</v>
      </c>
      <c r="HQ39" s="1">
        <f>IF(HP39 &lt; 0,
    IF(HQ38 + HP39 &gt; 0,
        HQ38 + HP39, IF(HV38-ABS(HQ38 + HP39)*(1+$V39) &gt;= HQ38 + HP39,
        0, HQ38 + HP39)),
    MIN(HQ38 + HP39, Analysis!$C$7))+IF(HQ38&lt;0, HQ38*Analysis!$C$9,0)</f>
        <v>0</v>
      </c>
      <c r="HR39" s="38"/>
      <c r="HS39" s="1">
        <f t="shared" si="54"/>
        <v>27910.899554920568</v>
      </c>
      <c r="HT39" s="1">
        <f>IF($B39=Analysis!$C$159,0,IF(HP39 &gt;= 0,
    MAX(0, HQ38 + HP39 - Analysis!$C$7),
    0))</f>
        <v>0</v>
      </c>
      <c r="HU39" s="1">
        <f>IF($B39=Analysis!$C$159,0,MAX(0, HU38 + HT39 - IF(HP39 &lt; 0, MIN(ABS(HP39), HU38 + HT39), 0)))</f>
        <v>900081.08661852696</v>
      </c>
      <c r="HV39" s="1">
        <f>IF($B39=Analysis!$C$159,0,IF(HP39 &lt; 0,
    IF(HP39 + HQ38 &lt; 0,
        MAX(0, HV38 - (ABS(HP39 + HQ38) * (1+$V38))),
        HV38 + HS39),
    HV38 + HT39 + HS39))</f>
        <v>1402871.1001325164</v>
      </c>
      <c r="HW39" s="1">
        <f t="shared" si="58"/>
        <v>1270260.2340682016</v>
      </c>
      <c r="HX39" s="36"/>
    </row>
    <row r="40" spans="1:232" x14ac:dyDescent="0.35">
      <c r="A40">
        <f t="shared" si="0"/>
        <v>73</v>
      </c>
      <c r="B40">
        <v>2063</v>
      </c>
      <c r="C40" s="1">
        <f>IF($B40&lt;Analysis!C$66,0,$AN40)+$AT40+$AW40+$BC40+$CF40+$CA40</f>
        <v>1700017.0232232665</v>
      </c>
      <c r="D40" s="1">
        <f>IF($B40&lt;Analysis!C$66, 0, BV40)+AT40+AW40+BC40+CG40+CA40</f>
        <v>1435321.7943558954</v>
      </c>
      <c r="E40" s="1">
        <f t="shared" si="1"/>
        <v>1800511.6720266491</v>
      </c>
      <c r="F40" s="1">
        <f t="shared" si="9"/>
        <v>1581765.606315871</v>
      </c>
      <c r="G40" s="1">
        <f>IF(AND($B40&gt;=Analysis!$C$100, $B40&lt;Analysis!$C$101),$CK40,0)+IF($B40&gt;=Analysis!$C$130,EB40,0)+CQ40+CT40+CZ40+EH40+EK40+EQ40+$FO40+$FT40</f>
        <v>1979503.5572763071</v>
      </c>
      <c r="H40" s="1">
        <f t="shared" si="10"/>
        <v>1669203.1547412481</v>
      </c>
      <c r="I40" s="1">
        <f>IF($B40&lt;Analysis!$C$159,0,$FW40)+$GC40+$GF40+$GL40+$HQ40+$HV40</f>
        <v>2628113.7521449914</v>
      </c>
      <c r="J40" s="1">
        <f t="shared" si="59"/>
        <v>2337589.6915593622</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IF($B40=$B$2,((1+Analysis!$B$16)/(1+$S40))-1,IF(B40&lt;Analysis!$C$13,U39-((Analysis!$B$16-Analysis!$C$17)/(Analysis!$C$13-$B$2)),((1+Analysis!$C$17)/(1+$S39))-1))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36239.583182092676</v>
      </c>
      <c r="AI40" s="1">
        <f>IF(AE40 &gt;= 0,
    MAX(0, AF39 + AE40 - Analysis!$C$7),
    0)</f>
        <v>0</v>
      </c>
      <c r="AJ40" s="1">
        <f t="shared" si="44"/>
        <v>971142.70250711101</v>
      </c>
      <c r="AK40" s="1">
        <f t="shared" si="20"/>
        <v>1800511.6720266491</v>
      </c>
      <c r="AL40" s="1">
        <f t="shared" si="5"/>
        <v>1581765.606315871</v>
      </c>
      <c r="AM40" s="36"/>
      <c r="AN40" s="1">
        <f t="shared" si="45"/>
        <v>2076041.0107244791</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-6228.1230321734374</v>
      </c>
      <c r="BF40" s="64">
        <f>IF($B40&lt;Analysis!$C$66,0,Analysis!$C$78)</f>
        <v>3.0000000000000001E-3</v>
      </c>
      <c r="BG40" s="1">
        <f>IF($B40&lt;Analysis!$C$66,0,-BH40*AN40)</f>
        <v>-15570.307580433593</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-264695.2288673711</v>
      </c>
      <c r="BS40" s="64">
        <f>IF($B40&lt;Analysis!C$66,0,Analysis!C$31)</f>
        <v>0.1275</v>
      </c>
      <c r="BT40" s="1">
        <f>IF($B40&lt;Analysis!$C$66,0,AN40+BR40)</f>
        <v>1811345.781857108</v>
      </c>
      <c r="BU40" s="1">
        <f>IF($B40-Analysis!$C$66&gt;3,0,IF($AN40&gt;LOOKUP(Analysis!$C$66,$B:$B, AN:AN),$V40*(LOOKUP(Analysis!$C$66,$B:$B, AN:AN)-AN40),0))</f>
        <v>0</v>
      </c>
      <c r="BV40" s="1">
        <f t="shared" si="23"/>
        <v>1811345.781857108</v>
      </c>
      <c r="BW40" s="42"/>
      <c r="BX40" s="1">
        <f>IF($B40&lt;Analysis!$C$66,$P40+$N40+$X40+$Z40,$P40+$N40+AS40+AV40+BB40+BE40+BG40+MAX(BI40,SUM(BJ40:BN40))+BP40)</f>
        <v>-73758.43061260703</v>
      </c>
      <c r="BY40" s="1">
        <f t="shared" si="24"/>
        <v>61868.278805627939</v>
      </c>
      <c r="BZ40" s="1">
        <f t="shared" si="46"/>
        <v>-11890.151806979091</v>
      </c>
      <c r="CA40" s="1">
        <f>IF(BZ40 &lt; 0,
    IF(CA39 + BZ40 &gt; 0,
        CA39 + BZ40, IF(CF39-ABS(CA39 + BZ40)*(1+$V40) &gt;= CA39 + BZ40,
        0, CA39 + BZ40)),
    MIN(CA39 + BZ40, Analysis!$C$7))+IF(CA39&lt;0, CA39*Analysis!$C$9,0)</f>
        <v>-376023.98750121269</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1248633.3615226934</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-85021.361918125651</v>
      </c>
      <c r="FM40" s="1">
        <f>$M40+$R40+DD40+IF(AND($B40&lt;&gt;Analysis!$C$130,$B40=Analysis!$C$101),DZ39+CQ39+CT39+CZ39,0)</f>
        <v>61868.278805627939</v>
      </c>
      <c r="FN40" s="1">
        <f t="shared" si="34"/>
        <v>-23153.083112497712</v>
      </c>
      <c r="FO40" s="1">
        <f>IF(FN40 &lt; 0,
    IF(FO39 + FN40 &gt; 0,
        FO39 + FN40, IF(FT39-ABS(FO39 + FN40)*(1+$V40) &gt;= FO39 + FN40,
        0, FO39 + FN40)),
    MIN(FO39 + FN40, Analysis!$C$7))+IF(FO39&lt;0, FO39*Analysis!$C$9,0)</f>
        <v>-60100.48077592739</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1248633.3615226934</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49407.245604338044</v>
      </c>
      <c r="GQ40" s="1">
        <f t="shared" si="36"/>
        <v>-3745.9000845680803</v>
      </c>
      <c r="GR40" s="64">
        <f>IF($B40&lt;Analysis!$C$159,0,Analysis!$C$178)</f>
        <v>3.0000000000000001E-3</v>
      </c>
      <c r="GS40" s="1">
        <f t="shared" si="37"/>
        <v>-9364.7502114201998</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-3127.6009139827474</v>
      </c>
      <c r="HD40" s="1">
        <f t="shared" si="38"/>
        <v>-28498.251209971026</v>
      </c>
      <c r="HE40" s="1">
        <f>MIN(0,-(GN40+HD40)*Analysis!$C$28)-GE40*Analysis!$C$28</f>
        <v>-5850.2910886719092</v>
      </c>
      <c r="HF40" s="1">
        <f>-Analysis!$C$176*GP40/12</f>
        <v>-4117.2704670281701</v>
      </c>
      <c r="HG40" s="38"/>
      <c r="HH40" s="1">
        <f>IF($B40&lt;Analysis!$C$159,0,-$HI40*$FW40)</f>
        <v>-159200.7535941434</v>
      </c>
      <c r="HI40" s="64">
        <f>IF($B40&lt;Analysis!$C$159,0,IF($B40=Analysis!$C$159,Analysis!$C$31,HI39))</f>
        <v>0.1275</v>
      </c>
      <c r="HJ40" s="1">
        <f>IF($B40&lt;Analysis!$C$159,0,$FW40+HH40)</f>
        <v>1089432.6079285501</v>
      </c>
      <c r="HK40" s="1">
        <f>IF($B40-Analysis!$C$159&gt;10,0,IF($FW40&gt;LOOKUP(Analysis!$C$159,$B:$B, FW:FW),$V40*(LOOKUP(Analysis!$C$159,$B:$B, FW:FW)-FW40),0))</f>
        <v>0</v>
      </c>
      <c r="HL40" s="1">
        <f t="shared" si="39"/>
        <v>1089432.6079285501</v>
      </c>
      <c r="HM40" s="38"/>
      <c r="HN40" s="1">
        <f t="shared" si="40"/>
        <v>-129784.49335969389</v>
      </c>
      <c r="HO40" s="1">
        <f t="shared" si="8"/>
        <v>111275.52440996599</v>
      </c>
      <c r="HP40" s="1">
        <f t="shared" si="41"/>
        <v>-18508.968949727903</v>
      </c>
      <c r="HQ40" s="1">
        <f>IF(HP40 &lt; 0,
    IF(HQ39 + HP40 &gt; 0,
        HQ39 + HP40, IF(HV39-ABS(HQ39 + HP40)*(1+$V40) &gt;= HQ39 + HP40,
        0, HQ39 + HP40)),
    MIN(HQ39 + HP40, Analysis!$C$7))+IF(HQ39&lt;0, HQ39*Analysis!$C$9,0)</f>
        <v>0</v>
      </c>
      <c r="HR40" s="38"/>
      <c r="HS40" s="1">
        <f t="shared" si="54"/>
        <v>27507.276473186499</v>
      </c>
      <c r="HT40" s="1">
        <f>IF($B40=Analysis!$C$159,0,IF(HP40 &gt;= 0,
    MAX(0, HQ39 + HP40 - Analysis!$C$7),
    0))</f>
        <v>0</v>
      </c>
      <c r="HU40" s="1">
        <f>IF($B40=Analysis!$C$159,0,MAX(0, HU39 + HT40 - IF(HP40 &lt; 0, MIN(ABS(HP40), HU39 + HT40), 0)))</f>
        <v>881572.11766879901</v>
      </c>
      <c r="HV40" s="1">
        <f>IF($B40=Analysis!$C$159,0,IF(HP40 &lt; 0,
    IF(HP40 + HQ39 &lt; 0,
        MAX(0, HV39 - (ABS(HP40 + HQ39) * (1+$V39))),
        HV39 + HS40),
    HV39 + HT40 + HS40))</f>
        <v>1379480.3906222978</v>
      </c>
      <c r="HW40" s="1">
        <f t="shared" si="58"/>
        <v>1248157.0836308124</v>
      </c>
      <c r="HX40" s="36"/>
    </row>
    <row r="41" spans="1:232" x14ac:dyDescent="0.35">
      <c r="A41">
        <f t="shared" si="0"/>
        <v>74</v>
      </c>
      <c r="B41">
        <v>2064</v>
      </c>
      <c r="C41" s="1">
        <f>IF($B41&lt;Analysis!C$66,0,$AN41)+$AT41+$AW41+$BC41+$CF41+$CA41</f>
        <v>1717226.4862551331</v>
      </c>
      <c r="D41" s="1">
        <f>IF($B41&lt;Analysis!C$66, 0, BV41)+AT41+AW41+BC41+CG41+CA41</f>
        <v>1444746.1035975451</v>
      </c>
      <c r="E41" s="1">
        <f t="shared" si="1"/>
        <v>1749469.4499138501</v>
      </c>
      <c r="F41" s="1">
        <f t="shared" si="9"/>
        <v>1533533.0414368552</v>
      </c>
      <c r="G41" s="1">
        <f>IF(AND($B41&gt;=Analysis!$C$100, $B41&lt;Analysis!$C$101),$CK41,0)+IF($B41&gt;=Analysis!$C$130,EB41,0)+CQ41+CT41+CZ41+EH41+EK41+EQ41+$FO41+$FT41</f>
        <v>2016644.1482450676</v>
      </c>
      <c r="H41" s="1">
        <f t="shared" si="10"/>
        <v>1744163.7655874796</v>
      </c>
      <c r="I41" s="1">
        <f>IF($B41&lt;Analysis!$C$159,0,$FW41)+$GC41+$GF41+$GL41+$HQ41+$HV41</f>
        <v>2638637.9365670593</v>
      </c>
      <c r="J41" s="1">
        <f t="shared" si="59"/>
        <v>2344873.7173980223</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IF($B41=$B$2,((1+Analysis!$B$16)/(1+$S41))-1,IF(B41&lt;Analysis!$C$13,U40-((Analysis!$B$16-Analysis!$C$17)/(Analysis!$C$13-$B$2)),((1+Analysis!$C$17)/(1+$S40))-1))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35304.150431894952</v>
      </c>
      <c r="AI41" s="1">
        <f>IF(AE41 &gt;= 0,
    MAX(0, AF40 + AE41 - Analysis!$C$7),
    0)</f>
        <v>0</v>
      </c>
      <c r="AJ41" s="1">
        <f t="shared" si="44"/>
        <v>930753.20924277941</v>
      </c>
      <c r="AK41" s="1">
        <f t="shared" si="20"/>
        <v>1749469.4499138501</v>
      </c>
      <c r="AL41" s="1">
        <f t="shared" si="5"/>
        <v>1533533.0414368552</v>
      </c>
      <c r="AM41" s="36"/>
      <c r="AN41" s="1">
        <f t="shared" si="45"/>
        <v>2137101.0404516701</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-6411.3031213550103</v>
      </c>
      <c r="BF41" s="64">
        <f>IF($B41&lt;Analysis!$C$66,0,Analysis!$C$78)</f>
        <v>3.0000000000000001E-3</v>
      </c>
      <c r="BG41" s="1">
        <f>IF($B41&lt;Analysis!$C$66,0,-BH41*AN41)</f>
        <v>-16028.257803387525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-272480.38265758794</v>
      </c>
      <c r="BS41" s="64">
        <f>IF($B41&lt;Analysis!C$66,0,Analysis!C$31)</f>
        <v>0.1275</v>
      </c>
      <c r="BT41" s="1">
        <f>IF($B41&lt;Analysis!$C$66,0,AN41+BR41)</f>
        <v>1864620.6577940821</v>
      </c>
      <c r="BU41" s="1">
        <f>IF($B41-Analysis!$C$66&gt;3,0,IF($AN41&gt;LOOKUP(Analysis!$C$66,$B:$B, AN:AN),$V41*(LOOKUP(Analysis!$C$66,$B:$B, AN:AN)-AN41),0))</f>
        <v>0</v>
      </c>
      <c r="BV41" s="1">
        <f t="shared" si="23"/>
        <v>1864620.6577940821</v>
      </c>
      <c r="BW41" s="42"/>
      <c r="BX41" s="1">
        <f>IF($B41&lt;Analysis!$C$66,$P41+$N41+$X41+$Z41,$P41+$N41+AS41+AV41+BB41+BE41+BG41+MAX(BI41,SUM(BJ41:BN41))+BP41)</f>
        <v>-74399.560924742545</v>
      </c>
      <c r="BY41" s="1">
        <f t="shared" si="24"/>
        <v>60630.913229515376</v>
      </c>
      <c r="BZ41" s="1">
        <f t="shared" si="46"/>
        <v>-13768.64769522717</v>
      </c>
      <c r="CA41" s="1">
        <f>IF(BZ41 &lt; 0,
    IF(CA40 + BZ41 &gt; 0,
        CA40 + BZ41, IF(CF40-ABS(CA40 + BZ41)*(1+$V41) &gt;= CA40 + BZ41,
        0, CA40 + BZ41)),
    MIN(CA40 + BZ41, Analysis!$C$7))+IF(CA40&lt;0, CA40*Analysis!$C$9,0)</f>
        <v>-419874.55419653689</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1285357.8721557138</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-85815.142304579145</v>
      </c>
      <c r="FM41" s="1">
        <f>$M41+$R41+DD41+IF(AND($B41&lt;&gt;Analysis!$C$130,$B41=Analysis!$C$101),DZ40+CQ40+CT40+CZ40,0)</f>
        <v>60630.913229515376</v>
      </c>
      <c r="FN41" s="1">
        <f t="shared" si="34"/>
        <v>-25184.229075063769</v>
      </c>
      <c r="FO41" s="1">
        <f>IF(FN41 &lt; 0,
    IF(FO40 + FN41 &gt; 0,
        FO40 + FN41, IF(FT40-ABS(FO40 + FN41)*(1+$V41) &gt;= FO40 + FN41,
        0, FO40 + FN41)),
    MIN(FO40 + FN41, Analysis!$C$7))+IF(FO40&lt;0, FO40*Analysis!$C$9,0)</f>
        <v>-90092.748313065356</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1285357.8721557138</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50743.929298583287</v>
      </c>
      <c r="GQ41" s="1">
        <f t="shared" si="36"/>
        <v>-3856.0736164671416</v>
      </c>
      <c r="GR41" s="64">
        <f>IF($B41&lt;Analysis!$C$159,0,Analysis!$C$178)</f>
        <v>3.0000000000000001E-3</v>
      </c>
      <c r="GS41" s="1">
        <f t="shared" si="37"/>
        <v>-9640.1840411678531</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-3219.5891761587109</v>
      </c>
      <c r="HD41" s="1">
        <f t="shared" si="38"/>
        <v>-28975.846833793708</v>
      </c>
      <c r="HE41" s="1">
        <f>MIN(0,-(GN41+HD41)*Analysis!$C$28)-GE41*Analysis!$C$28</f>
        <v>-6182.1351206916715</v>
      </c>
      <c r="HF41" s="1">
        <f>-Analysis!$C$176*GP41/12</f>
        <v>-4228.6607748819406</v>
      </c>
      <c r="HG41" s="38"/>
      <c r="HH41" s="1">
        <f>IF($B41&lt;Analysis!$C$159,0,-$HI41*$FW41)</f>
        <v>-163883.12869985352</v>
      </c>
      <c r="HI41" s="64">
        <f>IF($B41&lt;Analysis!$C$159,0,IF($B41=Analysis!$C$159,Analysis!$C$31,HI40))</f>
        <v>0.1275</v>
      </c>
      <c r="HJ41" s="1">
        <f>IF($B41&lt;Analysis!$C$159,0,$FW41+HH41)</f>
        <v>1121474.7434558603</v>
      </c>
      <c r="HK41" s="1">
        <f>IF($B41-Analysis!$C$159&gt;10,0,IF($FW41&gt;LOOKUP(Analysis!$C$159,$B:$B, FW:FW),$V41*(LOOKUP(Analysis!$C$159,$B:$B, FW:FW)-FW41),0))</f>
        <v>0</v>
      </c>
      <c r="HL41" s="1">
        <f t="shared" si="39"/>
        <v>1121474.7434558603</v>
      </c>
      <c r="HM41" s="38"/>
      <c r="HN41" s="1">
        <f t="shared" si="40"/>
        <v>-132107.04922321433</v>
      </c>
      <c r="HO41" s="1">
        <f t="shared" si="8"/>
        <v>111374.84252809867</v>
      </c>
      <c r="HP41" s="1">
        <f t="shared" si="41"/>
        <v>-20732.206695115659</v>
      </c>
      <c r="HQ41" s="1">
        <f>IF(HP41 &lt; 0,
    IF(HQ40 + HP41 &gt; 0,
        HQ40 + HP41, IF(HV40-ABS(HQ40 + HP41)*(1+$V41) &gt;= HQ40 + HP41,
        0, HQ40 + HP41)),
    MIN(HQ40 + HP41, Analysis!$C$7))+IF(HQ40&lt;0, HQ40*Analysis!$C$9,0)</f>
        <v>0</v>
      </c>
      <c r="HR41" s="38"/>
      <c r="HS41" s="1">
        <f t="shared" si="54"/>
        <v>27048.635110241037</v>
      </c>
      <c r="HT41" s="1">
        <f>IF($B41=Analysis!$C$159,0,IF(HP41 &gt;= 0,
    MAX(0, HQ40 + HP41 - Analysis!$C$7),
    0))</f>
        <v>0</v>
      </c>
      <c r="HU41" s="1">
        <f>IF($B41=Analysis!$C$159,0,MAX(0, HU40 + HT41 - IF(HP41 &lt; 0, MIN(ABS(HP41), HU40 + HT41), 0)))</f>
        <v>860839.91097368335</v>
      </c>
      <c r="HV41" s="1">
        <f>IF($B41=Analysis!$C$159,0,IF(HP41 &lt; 0,
    IF(HP41 + HQ40 &lt; 0,
        MAX(0, HV40 - (ABS(HP41 + HQ40) * (1+$V40))),
        HV40 + HS41),
    HV40 + HT41 + HS41))</f>
        <v>1353280.0644113454</v>
      </c>
      <c r="HW41" s="1">
        <f t="shared" si="58"/>
        <v>1223398.973942162</v>
      </c>
      <c r="HX41" s="36"/>
    </row>
    <row r="42" spans="1:232" x14ac:dyDescent="0.35">
      <c r="A42">
        <f t="shared" si="0"/>
        <v>75</v>
      </c>
      <c r="B42">
        <v>2065</v>
      </c>
      <c r="C42" s="1">
        <f>IF($B42&lt;Analysis!C$66,0,$AN42)+$AT42+$AW42+$BC42+$CF42+$CA42</f>
        <v>1730851.1818280322</v>
      </c>
      <c r="D42" s="1">
        <f>IF($B42&lt;Analysis!C$66, 0, BV42)+AT42+AW42+BC42+CG42+CA42</f>
        <v>1450356.6702687505</v>
      </c>
      <c r="E42" s="1">
        <f t="shared" si="1"/>
        <v>1695071.2494483925</v>
      </c>
      <c r="F42" s="1">
        <f t="shared" si="9"/>
        <v>1482129.2305397985</v>
      </c>
      <c r="G42" s="1">
        <f>IF(AND($B42&gt;=Analysis!$C$100, $B42&lt;Analysis!$C$101),$CK42,0)+IF($B42&gt;=Analysis!$C$130,EB42,0)+CQ42+CT42+CZ42+EH42+EK42+EQ42+$FO42+$FT42</f>
        <v>2051151.495905129</v>
      </c>
      <c r="H42" s="1">
        <f t="shared" si="10"/>
        <v>1770656.9843458473</v>
      </c>
      <c r="I42" s="1">
        <f>IF($B42&lt;Analysis!$C$159,0,$FW42)+$GC42+$GF42+$GL42+$HQ42+$HV42</f>
        <v>2647427.2673703623</v>
      </c>
      <c r="J42" s="1">
        <f t="shared" si="59"/>
        <v>2350440.1257252609</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IF($B42=$B$2,((1+Analysis!$B$16)/(1+$S42))-1,IF(B42&lt;Analysis!$C$13,U41-((Analysis!$B$16-Analysis!$C$17)/(Analysis!$C$13-$B$2)),((1+Analysis!$C$17)/(1+$S41))-1))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34303.322547330274</v>
      </c>
      <c r="AI42" s="1">
        <f>IF(AE42 &gt;= 0,
    MAX(0, AF41 + AE42 - Analysis!$C$7),
    0)</f>
        <v>0</v>
      </c>
      <c r="AJ42" s="1">
        <f t="shared" si="44"/>
        <v>887708.14458168554</v>
      </c>
      <c r="AK42" s="1">
        <f t="shared" si="20"/>
        <v>1695071.2494483925</v>
      </c>
      <c r="AL42" s="1">
        <f t="shared" si="5"/>
        <v>1482129.2305397985</v>
      </c>
      <c r="AM42" s="36"/>
      <c r="AN42" s="1">
        <f t="shared" si="45"/>
        <v>2199956.9534061314</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-6599.8708602183942</v>
      </c>
      <c r="BF42" s="64">
        <f>IF($B42&lt;Analysis!$C$66,0,Analysis!$C$78)</f>
        <v>3.0000000000000001E-3</v>
      </c>
      <c r="BG42" s="1">
        <f>IF($B42&lt;Analysis!$C$66,0,-BH42*AN42)</f>
        <v>-16499.677150545984</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-280494.51155928173</v>
      </c>
      <c r="BS42" s="64">
        <f>IF($B42&lt;Analysis!C$66,0,Analysis!C$31)</f>
        <v>0.1275</v>
      </c>
      <c r="BT42" s="1">
        <f>IF($B42&lt;Analysis!$C$66,0,AN42+BR42)</f>
        <v>1919462.4418468496</v>
      </c>
      <c r="BU42" s="1">
        <f>IF($B42-Analysis!$C$66&gt;3,0,IF($AN42&gt;LOOKUP(Analysis!$C$66,$B:$B, AN:AN),$V42*(LOOKUP(Analysis!$C$66,$B:$B, AN:AN)-AN42),0))</f>
        <v>0</v>
      </c>
      <c r="BV42" s="1">
        <f t="shared" si="23"/>
        <v>1919462.4418468496</v>
      </c>
      <c r="BW42" s="42"/>
      <c r="BX42" s="1">
        <f>IF($B42&lt;Analysis!$C$66,$P42+$N42+$X42+$Z42,$P42+$N42+AS42+AV42+BB42+BE42+BG42+MAX(BI42,SUM(BJ42:BN42))+BP42)</f>
        <v>-75059.548010764382</v>
      </c>
      <c r="BY42" s="1">
        <f t="shared" si="24"/>
        <v>59418.294964925066</v>
      </c>
      <c r="BZ42" s="1">
        <f t="shared" si="46"/>
        <v>-15641.253045839316</v>
      </c>
      <c r="CA42" s="1">
        <f>IF(BZ42 &lt; 0,
    IF(CA41 + BZ42 &gt; 0,
        CA41 + BZ42, IF(CF41-ABS(CA41 + BZ42)*(1+$V42) &gt;= CA41 + BZ42,
        0, CA41 + BZ42)),
    MIN(CA41 + BZ42, Analysis!$C$7))+IF(CA41&lt;0, CA41*Analysis!$C$9,0)</f>
        <v>-469105.77157809917</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1323162.5154544115</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-86632.269172987129</v>
      </c>
      <c r="FM42" s="1">
        <f>$M42+$R42+DD42+IF(AND($B42&lt;&gt;Analysis!$C$130,$B42=Analysis!$C$101),DZ41+CQ41+CT41+CZ41,0)</f>
        <v>59418.294964925066</v>
      </c>
      <c r="FN42" s="1">
        <f t="shared" si="34"/>
        <v>-27213.974208062064</v>
      </c>
      <c r="FO42" s="1">
        <f>IF(FN42 &lt; 0,
    IF(FO41 + FN42 &gt; 0,
        FO41 + FN42, IF(FT41-ABS(FO41 + FN42)*(1+$V42) &gt;= FO41 + FN42,
        0, FO41 + FN42)),
    MIN(FO41 + FN42, Analysis!$C$7))+IF(FO41&lt;0, FO41*Analysis!$C$9,0)</f>
        <v>-124514.14238617265</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1323162.5154544115</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52119.927219129859</v>
      </c>
      <c r="GQ42" s="1">
        <f t="shared" si="36"/>
        <v>-3969.4875463632347</v>
      </c>
      <c r="GR42" s="64">
        <f>IF($B42&lt;Analysis!$C$159,0,Analysis!$C$178)</f>
        <v>3.0000000000000001E-3</v>
      </c>
      <c r="GS42" s="1">
        <f t="shared" si="37"/>
        <v>-9923.7188659080857</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-3314.2829754574968</v>
      </c>
      <c r="HD42" s="1">
        <f t="shared" si="38"/>
        <v>-29467.489387728816</v>
      </c>
      <c r="HE42" s="1">
        <f>MIN(0,-(GN42+HD42)*Analysis!$C$28)-GE42*Analysis!$C$28</f>
        <v>-6523.7392713002519</v>
      </c>
      <c r="HF42" s="1">
        <f>-Analysis!$C$176*GP42/12</f>
        <v>-4343.3272682608213</v>
      </c>
      <c r="HG42" s="38"/>
      <c r="HH42" s="1">
        <f>IF($B42&lt;Analysis!$C$159,0,-$HI42*$FW42)</f>
        <v>-168703.22072043747</v>
      </c>
      <c r="HI42" s="64">
        <f>IF($B42&lt;Analysis!$C$159,0,IF($B42=Analysis!$C$159,Analysis!$C$31,HI41))</f>
        <v>0.1275</v>
      </c>
      <c r="HJ42" s="1">
        <f>IF($B42&lt;Analysis!$C$159,0,$FW42+HH42)</f>
        <v>1154459.2947339742</v>
      </c>
      <c r="HK42" s="1">
        <f>IF($B42-Analysis!$C$159&gt;10,0,IF($FW42&gt;LOOKUP(Analysis!$C$159,$B:$B, FW:FW),$V42*(LOOKUP(Analysis!$C$159,$B:$B, FW:FW)-FW42),0))</f>
        <v>0</v>
      </c>
      <c r="HL42" s="1">
        <f t="shared" si="39"/>
        <v>1154459.2947339742</v>
      </c>
      <c r="HM42" s="38"/>
      <c r="HN42" s="1">
        <f t="shared" si="40"/>
        <v>-134497.91555330885</v>
      </c>
      <c r="HO42" s="1">
        <f t="shared" si="8"/>
        <v>111538.22218405493</v>
      </c>
      <c r="HP42" s="1">
        <f t="shared" si="41"/>
        <v>-22959.693369253917</v>
      </c>
      <c r="HQ42" s="1">
        <f>IF(HP42 &lt; 0,
    IF(HQ41 + HP42 &gt; 0,
        HQ41 + HP42, IF(HV41-ABS(HQ41 + HP42)*(1+$V42) &gt;= HQ41 + HP42,
        0, HQ41 + HP42)),
    MIN(HQ41 + HP42, Analysis!$C$7))+IF(HQ41&lt;0, HQ41*Analysis!$C$9,0)</f>
        <v>0</v>
      </c>
      <c r="HR42" s="38"/>
      <c r="HS42" s="1">
        <f t="shared" si="54"/>
        <v>26534.903223751775</v>
      </c>
      <c r="HT42" s="1">
        <f>IF($B42=Analysis!$C$159,0,IF(HP42 &gt;= 0,
    MAX(0, HQ41 + HP42 - Analysis!$C$7),
    0))</f>
        <v>0</v>
      </c>
      <c r="HU42" s="1">
        <f>IF($B42=Analysis!$C$159,0,MAX(0, HU41 + HT42 - IF(HP42 &lt; 0, MIN(ABS(HP42), HU41 + HT42), 0)))</f>
        <v>837880.21760442946</v>
      </c>
      <c r="HV42" s="1">
        <f>IF($B42=Analysis!$C$159,0,IF(HP42 &lt; 0,
    IF(HP42 + HQ41 &lt; 0,
        MAX(0, HV41 - (ABS(HP42 + HQ41) * (1+$V41))),
        HV41 + HS42),
    HV41 + HT42 + HS42))</f>
        <v>1324264.7519159508</v>
      </c>
      <c r="HW42" s="1">
        <f t="shared" si="58"/>
        <v>1195980.830991287</v>
      </c>
      <c r="HX42" s="36"/>
    </row>
    <row r="43" spans="1:232" x14ac:dyDescent="0.35">
      <c r="A43">
        <f t="shared" si="0"/>
        <v>76</v>
      </c>
      <c r="B43">
        <v>2066</v>
      </c>
      <c r="C43" s="1">
        <f>IF($B43&lt;Analysis!C$66,0,$AN43)+$AT43+$AW43+$BC43+$CF43+$CA43</f>
        <v>1740518.3189623929</v>
      </c>
      <c r="D43" s="1">
        <f>IF($B43&lt;Analysis!C$66, 0, BV43)+AT43+AW43+BC43+CG43+CA43</f>
        <v>1451773.9688278381</v>
      </c>
      <c r="E43" s="1">
        <f t="shared" si="1"/>
        <v>1637294.0862621854</v>
      </c>
      <c r="F43" s="1">
        <f t="shared" si="9"/>
        <v>1427532.4544483158</v>
      </c>
      <c r="G43" s="1">
        <f>IF(AND($B43&gt;=Analysis!$C$100, $B43&lt;Analysis!$C$101),$CK43,0)+IF($B43&gt;=Analysis!$C$130,EB43,0)+CQ43+CT43+CZ43+EH43+EK43+EQ43+$FO43+$FT43</f>
        <v>2082724.3094506369</v>
      </c>
      <c r="H43" s="1">
        <f t="shared" si="10"/>
        <v>1793979.9593160821</v>
      </c>
      <c r="I43" s="1">
        <f>IF($B43&lt;Analysis!$C$159,0,$FW43)+$GC43+$GF43+$GL43+$HQ43+$HV43</f>
        <v>2654506.4403260406</v>
      </c>
      <c r="J43" s="1">
        <f t="shared" si="59"/>
        <v>2354309.9511442995</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IF($B43=$B$2,((1+Analysis!$B$16)/(1+$S43))-1,IF(B43&lt;Analysis!$C$13,U42-((Analysis!$B$16-Analysis!$C$17)/(Analysis!$C$13-$B$2)),((1+Analysis!$C$17)/(1+$S42))-1))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33236.691165654636</v>
      </c>
      <c r="AI43" s="1">
        <f>IF(AE43 &gt;= 0,
    MAX(0, AF42 + AE43 - Analysis!$C$7),
    0)</f>
        <v>0</v>
      </c>
      <c r="AJ43" s="1">
        <f t="shared" si="44"/>
        <v>841989.32109111606</v>
      </c>
      <c r="AK43" s="1">
        <f t="shared" si="20"/>
        <v>1637294.0862621854</v>
      </c>
      <c r="AL43" s="1">
        <f t="shared" si="5"/>
        <v>1427532.4544483158</v>
      </c>
      <c r="AM43" s="36"/>
      <c r="AN43" s="1">
        <f t="shared" si="45"/>
        <v>2264661.5696827825</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-6793.9847090483481</v>
      </c>
      <c r="BF43" s="64">
        <f>IF($B43&lt;Analysis!$C$66,0,Analysis!$C$78)</f>
        <v>3.0000000000000001E-3</v>
      </c>
      <c r="BG43" s="1">
        <f>IF($B43&lt;Analysis!$C$66,0,-BH43*AN43)</f>
        <v>-16984.961772620867</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-288744.35013455478</v>
      </c>
      <c r="BS43" s="64">
        <f>IF($B43&lt;Analysis!C$66,0,Analysis!C$31)</f>
        <v>0.1275</v>
      </c>
      <c r="BT43" s="1">
        <f>IF($B43&lt;Analysis!$C$66,0,AN43+BR43)</f>
        <v>1975917.2195482277</v>
      </c>
      <c r="BU43" s="1">
        <f>IF($B43-Analysis!$C$66&gt;3,0,IF($AN43&gt;LOOKUP(Analysis!$C$66,$B:$B, AN:AN),$V43*(LOOKUP(Analysis!$C$66,$B:$B, AN:AN)-AN43),0))</f>
        <v>0</v>
      </c>
      <c r="BV43" s="1">
        <f t="shared" si="23"/>
        <v>1975917.2195482277</v>
      </c>
      <c r="BW43" s="42"/>
      <c r="BX43" s="1">
        <f>IF($B43&lt;Analysis!$C$66,$P43+$N43+$X43+$Z43,$P43+$N43+AS43+AV43+BB43+BE43+BG43+MAX(BI43,SUM(BJ43:BN43))+BP43)</f>
        <v>-75738.946481669205</v>
      </c>
      <c r="BY43" s="1">
        <f t="shared" si="24"/>
        <v>58229.929065626566</v>
      </c>
      <c r="BZ43" s="1">
        <f t="shared" si="46"/>
        <v>-17509.01741604264</v>
      </c>
      <c r="CA43" s="1">
        <f>IF(BZ43 &lt; 0,
    IF(CA42 + BZ43 &gt; 0,
        CA42 + BZ43, IF(CF42-ABS(CA42 + BZ43)*(1+$V43) &gt;= CA42 + BZ43,
        0, CA42 + BZ43)),
    MIN(CA42 + BZ43, Analysis!$C$7))+IF(CA42&lt;0, CA42*Analysis!$C$9,0)</f>
        <v>-524143.25072038971</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1362079.0600266003</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-87473.429184583598</v>
      </c>
      <c r="FM43" s="1">
        <f>$M43+$R43+DD43+IF(AND($B43&lt;&gt;Analysis!$C$130,$B43=Analysis!$C$101),DZ42+CQ42+CT42+CZ42,0)</f>
        <v>58229.929065626566</v>
      </c>
      <c r="FN43" s="1">
        <f t="shared" si="34"/>
        <v>-29243.500118957032</v>
      </c>
      <c r="FO43" s="1">
        <f>IF(FN43 &lt; 0,
    IF(FO42 + FN43 &gt; 0,
        FO42 + FN43, IF(FT42-ABS(FO42 + FN43)*(1+$V43) &gt;= FO42 + FN43,
        0, FO42 + FN43)),
    MIN(FO42 + FN43, Analysis!$C$7))+IF(FO42&lt;0, FO42*Analysis!$C$9,0)</f>
        <v>-163718.77389602349</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1362079.0600266003</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53536.395666751327</v>
      </c>
      <c r="GQ43" s="1">
        <f t="shared" si="36"/>
        <v>-4086.237180079801</v>
      </c>
      <c r="GR43" s="64">
        <f>IF($B43&lt;Analysis!$C$159,0,Analysis!$C$178)</f>
        <v>3.0000000000000001E-3</v>
      </c>
      <c r="GS43" s="1">
        <f t="shared" si="37"/>
        <v>-10215.592950199502</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-3411.7618865003647</v>
      </c>
      <c r="HD43" s="1">
        <f t="shared" si="38"/>
        <v>-29973.592016779668</v>
      </c>
      <c r="HE43" s="1">
        <f>MIN(0,-(GN43+HD43)*Analysis!$C$28)-GE43*Analysis!$C$28</f>
        <v>-6875.3906028090814</v>
      </c>
      <c r="HF43" s="1">
        <f>-Analysis!$C$176*GP43/12</f>
        <v>-4461.3663055626103</v>
      </c>
      <c r="HG43" s="38"/>
      <c r="HH43" s="1">
        <f>IF($B43&lt;Analysis!$C$159,0,-$HI43*$FW43)</f>
        <v>-173665.08015339152</v>
      </c>
      <c r="HI43" s="64">
        <f>IF($B43&lt;Analysis!$C$159,0,IF($B43=Analysis!$C$159,Analysis!$C$31,HI42))</f>
        <v>0.1275</v>
      </c>
      <c r="HJ43" s="1">
        <f>IF($B43&lt;Analysis!$C$159,0,$FW43+HH43)</f>
        <v>1188413.9798732088</v>
      </c>
      <c r="HK43" s="1">
        <f>IF($B43-Analysis!$C$159&gt;10,0,IF($FW43&gt;LOOKUP(Analysis!$C$159,$B:$B, FW:FW),$V43*(LOOKUP(Analysis!$C$159,$B:$B, FW:FW)-FW43),0))</f>
        <v>0</v>
      </c>
      <c r="HL43" s="1">
        <f t="shared" si="39"/>
        <v>1188413.9798732088</v>
      </c>
      <c r="HM43" s="38"/>
      <c r="HN43" s="1">
        <f t="shared" si="40"/>
        <v>-136959.10148134734</v>
      </c>
      <c r="HO43" s="1">
        <f t="shared" si="8"/>
        <v>111766.32473237789</v>
      </c>
      <c r="HP43" s="1">
        <f t="shared" si="41"/>
        <v>-25192.776748969452</v>
      </c>
      <c r="HQ43" s="1">
        <f>IF(HP43 &lt; 0,
    IF(HQ42 + HP43 &gt; 0,
        HQ42 + HP43, IF(HV42-ABS(HQ42 + HP43)*(1+$V43) &gt;= HQ42 + HP43,
        0, HQ42 + HP43)),
    MIN(HQ42 + HP43, Analysis!$C$7))+IF(HQ42&lt;0, HQ42*Analysis!$C$9,0)</f>
        <v>0</v>
      </c>
      <c r="HR43" s="38"/>
      <c r="HS43" s="1">
        <f t="shared" si="54"/>
        <v>25965.97552776365</v>
      </c>
      <c r="HT43" s="1">
        <f>IF($B43=Analysis!$C$159,0,IF(HP43 &gt;= 0,
    MAX(0, HQ42 + HP43 - Analysis!$C$7),
    0))</f>
        <v>0</v>
      </c>
      <c r="HU43" s="1">
        <f>IF($B43=Analysis!$C$159,0,MAX(0, HU42 + HT43 - IF(HP43 &lt; 0, MIN(ABS(HP43), HU42 + HT43), 0)))</f>
        <v>812687.44085546001</v>
      </c>
      <c r="HV43" s="1">
        <f>IF($B43=Analysis!$C$159,0,IF(HP43 &lt; 0,
    IF(HP43 + HQ42 &lt; 0,
        MAX(0, HV42 - (ABS(HP43 + HQ42) * (1+$V42))),
        HV42 + HS43),
    HV42 + HT43 + HS43))</f>
        <v>1292427.3802994406</v>
      </c>
      <c r="HW43" s="1">
        <f t="shared" si="58"/>
        <v>1165895.9712710907</v>
      </c>
      <c r="HX43" s="36"/>
    </row>
    <row r="44" spans="1:232" x14ac:dyDescent="0.35">
      <c r="A44">
        <f t="shared" si="0"/>
        <v>77</v>
      </c>
      <c r="B44">
        <v>2067</v>
      </c>
      <c r="C44" s="1">
        <f>IF($B44&lt;Analysis!C$66,0,$AN44)+$AT44+$AW44+$BC44+$CF44+$CA44</f>
        <v>1745821.5553544983</v>
      </c>
      <c r="D44" s="1">
        <f>IF($B44&lt;Analysis!C$66, 0, BV44)+AT44+AW44+BC44+CG44+CA44</f>
        <v>1448584.7243336332</v>
      </c>
      <c r="E44" s="1">
        <f t="shared" si="1"/>
        <v>1576112.7855587595</v>
      </c>
      <c r="F44" s="1">
        <f t="shared" si="9"/>
        <v>1369718.9241314097</v>
      </c>
      <c r="G44" s="1">
        <f>IF(AND($B44&gt;=Analysis!$C$100, $B44&lt;Analysis!$C$101),$CK44,0)+IF($B44&gt;=Analysis!$C$130,EB44,0)+CQ44+CT44+CZ44+EH44+EK44+EQ44+$FO44+$FT44</f>
        <v>2111033.3308314197</v>
      </c>
      <c r="H44" s="1">
        <f t="shared" si="10"/>
        <v>1813796.4998105546</v>
      </c>
      <c r="I44" s="1">
        <f>IF($B44&lt;Analysis!$C$159,0,$FW44)+$GC44+$GF44+$GL44+$HQ44+$HV44</f>
        <v>2659899.3631338943</v>
      </c>
      <c r="J44" s="1">
        <f t="shared" si="59"/>
        <v>2356503.415867853</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IF($B44=$B$2,((1+Analysis!$B$16)/(1+$S44))-1,IF(B44&lt;Analysis!$C$13,U43-((Analysis!$B$16-Analysis!$C$17)/(Analysis!$C$13-$B$2)),((1+Analysis!$C$17)/(1+$S43))-1))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32103.805612983913</v>
      </c>
      <c r="AI44" s="1">
        <f>IF(AE44 &gt;= 0,
    MAX(0, AF43 + AE44 - Analysis!$C$7),
    0)</f>
        <v>0</v>
      </c>
      <c r="AJ44" s="1">
        <f t="shared" si="44"/>
        <v>793576.81806169893</v>
      </c>
      <c r="AK44" s="1">
        <f t="shared" si="20"/>
        <v>1576112.7855587595</v>
      </c>
      <c r="AL44" s="1">
        <f t="shared" si="5"/>
        <v>1369718.9241314097</v>
      </c>
      <c r="AM44" s="36"/>
      <c r="AN44" s="1">
        <f t="shared" si="45"/>
        <v>2331269.262908747</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-6993.8077887262407</v>
      </c>
      <c r="BF44" s="64">
        <f>IF($B44&lt;Analysis!$C$66,0,Analysis!$C$78)</f>
        <v>3.0000000000000001E-3</v>
      </c>
      <c r="BG44" s="1">
        <f>IF($B44&lt;Analysis!$C$66,0,-BH44*AN44)</f>
        <v>-17484.519471815602</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-297236.83102086524</v>
      </c>
      <c r="BS44" s="64">
        <f>IF($B44&lt;Analysis!C$66,0,Analysis!C$31)</f>
        <v>0.1275</v>
      </c>
      <c r="BT44" s="1">
        <f>IF($B44&lt;Analysis!$C$66,0,AN44+BR44)</f>
        <v>2034032.4318878818</v>
      </c>
      <c r="BU44" s="1">
        <f>IF($B44-Analysis!$C$66&gt;3,0,IF($AN44&gt;LOOKUP(Analysis!$C$66,$B:$B, AN:AN),$V44*(LOOKUP(Analysis!$C$66,$B:$B, AN:AN)-AN44),0))</f>
        <v>0</v>
      </c>
      <c r="BV44" s="1">
        <f t="shared" si="23"/>
        <v>2034032.4318878818</v>
      </c>
      <c r="BW44" s="42"/>
      <c r="BX44" s="1">
        <f>IF($B44&lt;Analysis!$C$66,$P44+$N44+$X44+$Z44,$P44+$N44+AS44+AV44+BB44+BE44+BG44+MAX(BI44,SUM(BJ44:BN44))+BP44)</f>
        <v>-76438.327260541846</v>
      </c>
      <c r="BY44" s="1">
        <f t="shared" si="24"/>
        <v>57065.330484314036</v>
      </c>
      <c r="BZ44" s="1">
        <f t="shared" si="46"/>
        <v>-19372.99677622781</v>
      </c>
      <c r="CA44" s="1">
        <f>IF(BZ44 &lt; 0,
    IF(CA43 + BZ44 &gt; 0,
        CA43 + BZ44, IF(CF43-ABS(CA43 + BZ44)*(1+$V44) &gt;= CA43 + BZ44,
        0, CA43 + BZ44)),
    MIN(CA43 + BZ44, Analysis!$C$7))+IF(CA43&lt;0, CA43*Analysis!$C$9,0)</f>
        <v>-585447.70755424863</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1402140.2088509123</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-88339.329196521139</v>
      </c>
      <c r="FM44" s="1">
        <f>$M44+$R44+DD44+IF(AND($B44&lt;&gt;Analysis!$C$130,$B44=Analysis!$C$101),DZ43+CQ43+CT43+CZ43,0)</f>
        <v>57065.330484314036</v>
      </c>
      <c r="FN44" s="1">
        <f t="shared" si="34"/>
        <v>-31273.998712207103</v>
      </c>
      <c r="FO44" s="1">
        <f>IF(FN44 &lt; 0,
    IF(FO43 + FN44 &gt; 0,
        FO43 + FN44, IF(FT43-ABS(FO43 + FN44)*(1+$V44) &gt;= FO43 + FN44,
        0, FO43 + FN44)),
    MIN(FO43 + FN44, Analysis!$C$7))+IF(FO43&lt;0, FO43*Analysis!$C$9,0)</f>
        <v>-208090.27451991246</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1402140.2088509123</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54994.524951067549</v>
      </c>
      <c r="GQ44" s="1">
        <f t="shared" si="36"/>
        <v>-4206.4206265527373</v>
      </c>
      <c r="GR44" s="64">
        <f>IF($B44&lt;Analysis!$C$159,0,Analysis!$C$178)</f>
        <v>3.0000000000000001E-3</v>
      </c>
      <c r="GS44" s="1">
        <f t="shared" si="37"/>
        <v>-10516.051566381842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-3512.1078243386105</v>
      </c>
      <c r="HD44" s="1">
        <f t="shared" si="38"/>
        <v>-30494.580017273191</v>
      </c>
      <c r="HE44" s="1">
        <f>MIN(0,-(GN44+HD44)*Analysis!$C$28)-GE44*Analysis!$C$28</f>
        <v>-7237.3846205387608</v>
      </c>
      <c r="HF44" s="1">
        <f>-Analysis!$C$176*GP44/12</f>
        <v>-4582.8770792556288</v>
      </c>
      <c r="HG44" s="38"/>
      <c r="HH44" s="1">
        <f>IF($B44&lt;Analysis!$C$159,0,-$HI44*$FW44)</f>
        <v>-178772.87662849133</v>
      </c>
      <c r="HI44" s="64">
        <f>IF($B44&lt;Analysis!$C$159,0,IF($B44=Analysis!$C$159,Analysis!$C$31,HI43))</f>
        <v>0.1275</v>
      </c>
      <c r="HJ44" s="1">
        <f>IF($B44&lt;Analysis!$C$159,0,$FW44+HH44)</f>
        <v>1223367.332222421</v>
      </c>
      <c r="HK44" s="1">
        <f>IF($B44-Analysis!$C$159&gt;10,0,IF($FW44&gt;LOOKUP(Analysis!$C$159,$B:$B, FW:FW),$V44*(LOOKUP(Analysis!$C$159,$B:$B, FW:FW)-FW44),0))</f>
        <v>0</v>
      </c>
      <c r="HL44" s="1">
        <f t="shared" si="39"/>
        <v>1223367.332222421</v>
      </c>
      <c r="HM44" s="38"/>
      <c r="HN44" s="1">
        <f t="shared" si="40"/>
        <v>-139492.67523079875</v>
      </c>
      <c r="HO44" s="1">
        <f t="shared" si="8"/>
        <v>112059.85543538159</v>
      </c>
      <c r="HP44" s="1">
        <f t="shared" si="41"/>
        <v>-27432.819795417163</v>
      </c>
      <c r="HQ44" s="1">
        <f>IF(HP44 &lt; 0,
    IF(HQ43 + HP44 &gt; 0,
        HQ43 + HP44, IF(HV43-ABS(HQ43 + HP44)*(1+$V44) &gt;= HQ43 + HP44,
        0, HQ43 + HP44)),
    MIN(HQ43 + HP44, Analysis!$C$7))+IF(HQ43&lt;0, HQ43*Analysis!$C$9,0)</f>
        <v>0</v>
      </c>
      <c r="HR44" s="38"/>
      <c r="HS44" s="1">
        <f t="shared" si="54"/>
        <v>25341.713339204627</v>
      </c>
      <c r="HT44" s="1">
        <f>IF($B44=Analysis!$C$159,0,IF(HP44 &gt;= 0,
    MAX(0, HQ43 + HP44 - Analysis!$C$7),
    0))</f>
        <v>0</v>
      </c>
      <c r="HU44" s="1">
        <f>IF($B44=Analysis!$C$159,0,MAX(0, HU43 + HT44 - IF(HP44 &lt; 0, MIN(ABS(HP44), HU43 + HT44), 0)))</f>
        <v>785254.62106004287</v>
      </c>
      <c r="HV44" s="1">
        <f>IF($B44=Analysis!$C$159,0,IF(HP44 &lt; 0,
    IF(HP44 + HQ43 &lt; 0,
        MAX(0, HV43 - (ABS(HP44 + HQ43) * (1+$V43))),
        HV43 + HS44),
    HV43 + HT44 + HS44))</f>
        <v>1257759.1542829822</v>
      </c>
      <c r="HW44" s="1">
        <f t="shared" si="58"/>
        <v>1133136.083645432</v>
      </c>
      <c r="HX44" s="36"/>
    </row>
    <row r="45" spans="1:232" x14ac:dyDescent="0.35">
      <c r="A45">
        <f t="shared" si="0"/>
        <v>78</v>
      </c>
      <c r="B45">
        <v>2068</v>
      </c>
      <c r="C45" s="1">
        <f>IF($B45&lt;Analysis!C$66,0,$AN45)+$AT45+$AW45+$BC45+$CF45+$CA45</f>
        <v>1746318.2275891919</v>
      </c>
      <c r="D45" s="1">
        <f>IF($B45&lt;Analysis!C$66, 0, BV45)+AT45+AW45+BC45+CG45+CA45</f>
        <v>1440339.1368324189</v>
      </c>
      <c r="E45" s="1">
        <f t="shared" si="1"/>
        <v>1511499.9479772549</v>
      </c>
      <c r="F45" s="1">
        <f t="shared" si="9"/>
        <v>1308662.7484465004</v>
      </c>
      <c r="G45" s="1">
        <f>IF(AND($B45&gt;=Analysis!$C$100, $B45&lt;Analysis!$C$101),$CK45,0)+IF($B45&gt;=Analysis!$C$130,EB45,0)+CQ45+CT45+CZ45+EH45+EK45+EQ45+$FO45+$FT45</f>
        <v>2135719.0076940213</v>
      </c>
      <c r="H45" s="1">
        <f t="shared" si="10"/>
        <v>1829739.9169372485</v>
      </c>
      <c r="I45" s="1">
        <f>IF($B45&lt;Analysis!$C$159,0,$FW45)+$GC45+$GF45+$GL45+$HQ45+$HV45</f>
        <v>2663629.1625321629</v>
      </c>
      <c r="J45" s="1">
        <f t="shared" si="59"/>
        <v>2357039.9344453989</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IF($B45=$B$2,((1+Analysis!$B$16)/(1+$S45))-1,IF(B45&lt;Analysis!$C$13,U44-((Analysis!$B$16-Analysis!$C$17)/(Analysis!$C$13-$B$2)),((1+Analysis!$C$17)/(1+$S44))-1))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30904.17226585792</v>
      </c>
      <c r="AI45" s="1">
        <f>IF(AE45 &gt;= 0,
    MAX(0, AF44 + AE45 - Analysis!$C$7),
    0)</f>
        <v>0</v>
      </c>
      <c r="AJ45" s="1">
        <f t="shared" si="44"/>
        <v>742448.95449572103</v>
      </c>
      <c r="AK45" s="1">
        <f t="shared" si="20"/>
        <v>1511499.9479772549</v>
      </c>
      <c r="AL45" s="1">
        <f t="shared" si="5"/>
        <v>1308662.7484465004</v>
      </c>
      <c r="AM45" s="36"/>
      <c r="AN45" s="1">
        <f t="shared" si="45"/>
        <v>2399836.0059354752</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-7199.5080178064254</v>
      </c>
      <c r="BF45" s="64">
        <f>IF($B45&lt;Analysis!$C$66,0,Analysis!$C$78)</f>
        <v>3.0000000000000001E-3</v>
      </c>
      <c r="BG45" s="1">
        <f>IF($B45&lt;Analysis!$C$66,0,-BH45*AN45)</f>
        <v>-17998.770044516063</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-305979.09075677308</v>
      </c>
      <c r="BS45" s="64">
        <f>IF($B45&lt;Analysis!C$66,0,Analysis!C$31)</f>
        <v>0.1275</v>
      </c>
      <c r="BT45" s="1">
        <f>IF($B45&lt;Analysis!$C$66,0,AN45+BR45)</f>
        <v>2093856.9151787022</v>
      </c>
      <c r="BU45" s="1">
        <f>IF($B45-Analysis!$C$66&gt;3,0,IF($AN45&gt;LOOKUP(Analysis!$C$66,$B:$B, AN:AN),$V45*(LOOKUP(Analysis!$C$66,$B:$B, AN:AN)-AN45),0))</f>
        <v>0</v>
      </c>
      <c r="BV45" s="1">
        <f t="shared" si="23"/>
        <v>2093856.9151787022</v>
      </c>
      <c r="BW45" s="42"/>
      <c r="BX45" s="1">
        <f>IF($B45&lt;Analysis!$C$66,$P45+$N45+$X45+$Z45,$P45+$N45+AS45+AV45+BB45+BE45+BG45+MAX(BI45,SUM(BJ45:BN45))+BP45)</f>
        <v>-77158.278062322483</v>
      </c>
      <c r="BY45" s="1">
        <f t="shared" si="24"/>
        <v>55924.023874627754</v>
      </c>
      <c r="BZ45" s="1">
        <f t="shared" si="46"/>
        <v>-21234.254187694729</v>
      </c>
      <c r="CA45" s="1">
        <f>IF(BZ45 &lt; 0,
    IF(CA44 + BZ45 &gt; 0,
        CA44 + BZ45, IF(CF44-ABS(CA44 + BZ45)*(1+$V45) &gt;= CA44 + BZ45,
        0, CA44 + BZ45)),
    MIN(CA44 + BZ45, Analysis!$C$7))+IF(CA44&lt;0, CA44*Analysis!$C$9,0)</f>
        <v>-653517.77834628324</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1443379.6267582923</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-89230.696855868591</v>
      </c>
      <c r="FM45" s="1">
        <f>$M45+$R45+DD45+IF(AND($B45&lt;&gt;Analysis!$C$130,$B45=Analysis!$C$101),DZ44+CQ44+CT44+CZ44,0)</f>
        <v>55924.023874627754</v>
      </c>
      <c r="FN45" s="1">
        <f t="shared" si="34"/>
        <v>-33306.672981240838</v>
      </c>
      <c r="FO45" s="1">
        <f>IF(FN45 &lt; 0,
    IF(FO44 + FN45 &gt; 0,
        FO44 + FN45, IF(FT44-ABS(FO44 + FN45)*(1+$V45) &gt;= FO44 + FN45,
        0, FO44 + FN45)),
    MIN(FO44 + FN45, Analysis!$C$7))+IF(FO44&lt;0, FO44*Analysis!$C$9,0)</f>
        <v>-258044.1694627463</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1443379.6267582923</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56495.540390804832</v>
      </c>
      <c r="GQ45" s="1">
        <f t="shared" si="36"/>
        <v>-4330.138880274877</v>
      </c>
      <c r="GR45" s="64">
        <f>IF($B45&lt;Analysis!$C$159,0,Analysis!$C$178)</f>
        <v>3.0000000000000001E-3</v>
      </c>
      <c r="GS45" s="1">
        <f t="shared" si="37"/>
        <v>-10825.347200687193</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-3615.4051132897466</v>
      </c>
      <c r="HD45" s="1">
        <f t="shared" si="38"/>
        <v>-31030.891194251817</v>
      </c>
      <c r="HE45" s="1">
        <f>MIN(0,-(GN45+HD45)*Analysis!$C$28)-GE45*Analysis!$C$28</f>
        <v>-7610.0255211428421</v>
      </c>
      <c r="HF45" s="1">
        <f>-Analysis!$C$176*GP45/12</f>
        <v>-4707.961699233736</v>
      </c>
      <c r="HG45" s="38"/>
      <c r="HH45" s="1">
        <f>IF($B45&lt;Analysis!$C$159,0,-$HI45*$FW45)</f>
        <v>-184030.90241168227</v>
      </c>
      <c r="HI45" s="64">
        <f>IF($B45&lt;Analysis!$C$159,0,IF($B45=Analysis!$C$159,Analysis!$C$31,HI44))</f>
        <v>0.1275</v>
      </c>
      <c r="HJ45" s="1">
        <f>IF($B45&lt;Analysis!$C$159,0,$FW45+HH45)</f>
        <v>1259348.72434661</v>
      </c>
      <c r="HK45" s="1">
        <f>IF($B45-Analysis!$C$159&gt;10,0,IF($FW45&gt;LOOKUP(Analysis!$C$159,$B:$B, FW:FW),$V45*(LOOKUP(Analysis!$C$159,$B:$B, FW:FW)-FW45),0))</f>
        <v>0</v>
      </c>
      <c r="HL45" s="1">
        <f t="shared" si="39"/>
        <v>1259348.72434661</v>
      </c>
      <c r="HM45" s="38"/>
      <c r="HN45" s="1">
        <f t="shared" si="40"/>
        <v>-142100.76585523403</v>
      </c>
      <c r="HO45" s="1">
        <f t="shared" si="8"/>
        <v>112419.56426543259</v>
      </c>
      <c r="HP45" s="1">
        <f t="shared" si="41"/>
        <v>-29681.201589801436</v>
      </c>
      <c r="HQ45" s="1">
        <f>IF(HP45 &lt; 0,
    IF(HQ44 + HP45 &gt; 0,
        HQ44 + HP45, IF(HV44-ABS(HQ44 + HP45)*(1+$V45) &gt;= HQ44 + HP45,
        0, HQ44 + HP45)),
    MIN(HQ44 + HP45, Analysis!$C$7))+IF(HQ44&lt;0, HQ44*Analysis!$C$9,0)</f>
        <v>0</v>
      </c>
      <c r="HR45" s="38"/>
      <c r="HS45" s="1">
        <f t="shared" si="54"/>
        <v>24661.944201627015</v>
      </c>
      <c r="HT45" s="1">
        <f>IF($B45=Analysis!$C$159,0,IF(HP45 &gt;= 0,
    MAX(0, HQ44 + HP45 - Analysis!$C$7),
    0))</f>
        <v>0</v>
      </c>
      <c r="HU45" s="1">
        <f>IF($B45=Analysis!$C$159,0,MAX(0, HU44 + HT45 - IF(HP45 &lt; 0, MIN(ABS(HP45), HU44 + HT45), 0)))</f>
        <v>755573.41947024141</v>
      </c>
      <c r="HV45" s="1">
        <f>IF($B45=Analysis!$C$159,0,IF(HP45 &lt; 0,
    IF(HP45 + HQ44 &lt; 0,
        MAX(0, HV44 - (ABS(HP45 + HQ44) * (1+$V44))),
        HV44 + HS45),
    HV44 + HT45 + HS45))</f>
        <v>1220249.5357738708</v>
      </c>
      <c r="HW45" s="1">
        <f t="shared" si="58"/>
        <v>1097691.2100987886</v>
      </c>
      <c r="HX45" s="36"/>
    </row>
    <row r="46" spans="1:232" x14ac:dyDescent="0.35">
      <c r="A46">
        <f t="shared" si="0"/>
        <v>79</v>
      </c>
      <c r="B46">
        <v>2069</v>
      </c>
      <c r="C46" s="1">
        <f>IF($B46&lt;Analysis!C$66,0,$AN46)+$AT46+$AW46+$BC46+$CF46+$CA46</f>
        <v>1741526.3567702188</v>
      </c>
      <c r="D46" s="1">
        <f>IF($B46&lt;Analysis!C$66, 0, BV46)+AT46+AW46+BC46+CG46+CA46</f>
        <v>1426547.8809911874</v>
      </c>
      <c r="E46" s="1">
        <f t="shared" si="1"/>
        <v>1443425.9138466406</v>
      </c>
      <c r="F46" s="1">
        <f t="shared" si="9"/>
        <v>1244335.9003612979</v>
      </c>
      <c r="G46" s="1">
        <f>IF(AND($B46&gt;=Analysis!$C$100, $B46&lt;Analysis!$C$101),$CK46,0)+IF($B46&gt;=Analysis!$C$130,EB46,0)+CQ46+CT46+CZ46+EH46+EK46+EQ46+$FO46+$FT46</f>
        <v>2156388.9770410443</v>
      </c>
      <c r="H46" s="1">
        <f t="shared" si="10"/>
        <v>1841410.5012620129</v>
      </c>
      <c r="I46" s="1">
        <f>IF($B46&lt;Analysis!$C$159,0,$FW46)+$GC46+$GF46+$GL46+$HQ46+$HV46</f>
        <v>2665718.191010653</v>
      </c>
      <c r="J46" s="1">
        <f t="shared" si="59"/>
        <v>2355938.1180570582</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IF($B46=$B$2,((1+Analysis!$B$16)/(1+$S46))-1,IF(B46&lt;Analysis!$C$13,U45-((Analysis!$B$16-Analysis!$C$17)/(Analysis!$C$13-$B$2)),((1+Analysis!$C$17)/(1+$S45))-1))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29637.253881906854</v>
      </c>
      <c r="AI46" s="1">
        <f>IF(AE46 &gt;= 0,
    MAX(0, AF45 + AE46 - Analysis!$C$7),
    0)</f>
        <v>0</v>
      </c>
      <c r="AJ46" s="1">
        <f t="shared" si="44"/>
        <v>688582.26082164457</v>
      </c>
      <c r="AK46" s="1">
        <f t="shared" si="20"/>
        <v>1443425.9138466406</v>
      </c>
      <c r="AL46" s="1">
        <f t="shared" si="5"/>
        <v>1244335.9003612979</v>
      </c>
      <c r="AM46" s="36"/>
      <c r="AN46" s="1">
        <f t="shared" si="45"/>
        <v>2470419.4178747544</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-7411.2582536242635</v>
      </c>
      <c r="BF46" s="64">
        <f>IF($B46&lt;Analysis!$C$66,0,Analysis!$C$78)</f>
        <v>3.0000000000000001E-3</v>
      </c>
      <c r="BG46" s="1">
        <f>IF($B46&lt;Analysis!$C$66,0,-BH46*AN46)</f>
        <v>-18528.145634060656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-314978.47577903117</v>
      </c>
      <c r="BS46" s="64">
        <f>IF($B46&lt;Analysis!C$66,0,Analysis!C$31)</f>
        <v>0.1275</v>
      </c>
      <c r="BT46" s="1">
        <f>IF($B46&lt;Analysis!$C$66,0,AN46+BR46)</f>
        <v>2155440.942095723</v>
      </c>
      <c r="BU46" s="1">
        <f>IF($B46-Analysis!$C$66&gt;3,0,IF($AN46&gt;LOOKUP(Analysis!$C$66,$B:$B, AN:AN),$V46*(LOOKUP(Analysis!$C$66,$B:$B, AN:AN)-AN46),0))</f>
        <v>0</v>
      </c>
      <c r="BV46" s="1">
        <f t="shared" si="23"/>
        <v>2155440.942095723</v>
      </c>
      <c r="BW46" s="42"/>
      <c r="BX46" s="1">
        <f>IF($B46&lt;Analysis!$C$66,$P46+$N46+$X46+$Z46,$P46+$N46+AS46+AV46+BB46+BE46+BG46+MAX(BI46,SUM(BJ46:BN46))+BP46)</f>
        <v>-77899.403887684923</v>
      </c>
      <c r="BY46" s="1">
        <f t="shared" si="24"/>
        <v>54805.543397135196</v>
      </c>
      <c r="BZ46" s="1">
        <f t="shared" si="46"/>
        <v>-23093.860490549727</v>
      </c>
      <c r="CA46" s="1">
        <f>IF(BZ46 &lt; 0,
    IF(CA45 + BZ46 &gt; 0,
        CA45 + BZ46, IF(CF45-ABS(CA45 + BZ46)*(1+$V46) &gt;= CA45 + BZ46,
        0, CA45 + BZ46)),
    MIN(CA45 + BZ46, Analysis!$C$7))+IF(CA45&lt;0, CA45*Analysis!$C$9,0)</f>
        <v>-728893.06110453559</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1485831.9687217716</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-90148.281211079229</v>
      </c>
      <c r="FM46" s="1">
        <f>$M46+$R46+DD46+IF(AND($B46&lt;&gt;Analysis!$C$130,$B46=Analysis!$C$101),DZ45+CQ45+CT45+CZ45,0)</f>
        <v>54805.543397135196</v>
      </c>
      <c r="FN46" s="1">
        <f t="shared" si="34"/>
        <v>-35342.737813944033</v>
      </c>
      <c r="FO46" s="1">
        <f>IF(FN46 &lt; 0,
    IF(FO45 + FN46 &gt; 0,
        FO45 + FN46, IF(FT45-ABS(FO45 + FN46)*(1+$V46) &gt;= FO45 + FN46,
        0, FO45 + FN46)),
    MIN(FO45 + FN46, Analysis!$C$7))+IF(FO45&lt;0, FO45*Analysis!$C$9,0)</f>
        <v>-314030.44083371008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1485831.9687217716</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58040.703343475565</v>
      </c>
      <c r="GQ46" s="1">
        <f t="shared" si="36"/>
        <v>-4457.4959061653153</v>
      </c>
      <c r="GR46" s="64">
        <f>IF($B46&lt;Analysis!$C$159,0,Analysis!$C$178)</f>
        <v>3.0000000000000001E-3</v>
      </c>
      <c r="GS46" s="1">
        <f t="shared" si="37"/>
        <v>-11143.739765413287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-3721.7405577982686</v>
      </c>
      <c r="HD46" s="1">
        <f t="shared" si="38"/>
        <v>-31582.976229376869</v>
      </c>
      <c r="HE46" s="1">
        <f>MIN(0,-(GN46+HD46)*Analysis!$C$28)-GE46*Analysis!$C$28</f>
        <v>-7993.6264482352808</v>
      </c>
      <c r="HF46" s="1">
        <f>-Analysis!$C$176*GP46/12</f>
        <v>-4836.7252786229637</v>
      </c>
      <c r="HG46" s="38"/>
      <c r="HH46" s="1">
        <f>IF($B46&lt;Analysis!$C$159,0,-$HI46*$FW46)</f>
        <v>-189443.57601202588</v>
      </c>
      <c r="HI46" s="64">
        <f>IF($B46&lt;Analysis!$C$159,0,IF($B46=Analysis!$C$159,Analysis!$C$31,HI45))</f>
        <v>0.1275</v>
      </c>
      <c r="HJ46" s="1">
        <f>IF($B46&lt;Analysis!$C$159,0,$FW46+HH46)</f>
        <v>1296388.3927097458</v>
      </c>
      <c r="HK46" s="1">
        <f>IF($B46-Analysis!$C$159&gt;10,0,IF($FW46&gt;LOOKUP(Analysis!$C$159,$B:$B, FW:FW),$V46*(LOOKUP(Analysis!$C$159,$B:$B, FW:FW)-FW46),0))</f>
        <v>0</v>
      </c>
      <c r="HL46" s="1">
        <f t="shared" si="39"/>
        <v>1296388.3927097458</v>
      </c>
      <c r="HM46" s="38"/>
      <c r="HN46" s="1">
        <f t="shared" si="40"/>
        <v>-144785.56502744684</v>
      </c>
      <c r="HO46" s="1">
        <f t="shared" si="8"/>
        <v>112846.24674061076</v>
      </c>
      <c r="HP46" s="1">
        <f t="shared" si="41"/>
        <v>-31939.318286836075</v>
      </c>
      <c r="HQ46" s="1">
        <f>IF(HP46 &lt; 0,
    IF(HQ45 + HP46 &gt; 0,
        HQ45 + HP46, IF(HV45-ABS(HQ45 + HP46)*(1+$V46) &gt;= HQ45 + HP46,
        0, HQ45 + HP46)),
    MIN(HQ45 + HP46, Analysis!$C$7))+IF(HQ45&lt;0, HQ45*Analysis!$C$9,0)</f>
        <v>0</v>
      </c>
      <c r="HR46" s="38"/>
      <c r="HS46" s="1">
        <f t="shared" si="54"/>
        <v>23926.461485762087</v>
      </c>
      <c r="HT46" s="1">
        <f>IF($B46=Analysis!$C$159,0,IF(HP46 &gt;= 0,
    MAX(0, HQ45 + HP46 - Analysis!$C$7),
    0))</f>
        <v>0</v>
      </c>
      <c r="HU46" s="1">
        <f>IF($B46=Analysis!$C$159,0,MAX(0, HU45 + HT46 - IF(HP46 &lt; 0, MIN(ABS(HP46), HU45 + HT46), 0)))</f>
        <v>723634.10118340538</v>
      </c>
      <c r="HV46" s="1">
        <f>IF($B46=Analysis!$C$159,0,IF(HP46 &lt; 0,
    IF(HP46 + HQ45 &lt; 0,
        MAX(0, HV45 - (ABS(HP46 + HQ45) * (1+$V45))),
        HV45 + HS46),
    HV45 + HT46 + HS46))</f>
        <v>1179886.2222888817</v>
      </c>
      <c r="HW46" s="1">
        <f t="shared" si="58"/>
        <v>1059549.7253473124</v>
      </c>
      <c r="HX46" s="36"/>
    </row>
    <row r="47" spans="1:232" x14ac:dyDescent="0.35">
      <c r="A47">
        <f t="shared" si="0"/>
        <v>80</v>
      </c>
      <c r="B47">
        <v>2070</v>
      </c>
      <c r="C47" s="1">
        <f>IF($B47&lt;Analysis!C$66,0,$AN47)+$AT47+$AW47+$BC47+$CF47+$CA47</f>
        <v>1730921.4115229836</v>
      </c>
      <c r="D47" s="1">
        <f>IF($B47&lt;Analysis!C$66, 0, BV47)+AT47+AW47+BC47+CG47+CA47</f>
        <v>1406678.8629269218</v>
      </c>
      <c r="E47" s="1">
        <f t="shared" si="1"/>
        <v>1371858.7257949361</v>
      </c>
      <c r="F47" s="1">
        <f t="shared" si="9"/>
        <v>1176708.1816212279</v>
      </c>
      <c r="G47" s="1">
        <f>IF(AND($B47&gt;=Analysis!$C$100, $B47&lt;Analysis!$C$101),$CK47,0)+IF($B47&gt;=Analysis!$C$130,EB47,0)+CQ47+CT47+CZ47+EH47+EK47+EQ47+$FO47+$FT47</f>
        <v>2172615.3443841799</v>
      </c>
      <c r="H47" s="1">
        <f t="shared" si="10"/>
        <v>1848372.7957881182</v>
      </c>
      <c r="I47" s="1">
        <f>IF($B47&lt;Analysis!$C$159,0,$FW47)+$GC47+$GF47+$GL47+$HQ47+$HV47</f>
        <v>2666188.033127659</v>
      </c>
      <c r="J47" s="1">
        <f t="shared" si="59"/>
        <v>2353215.7783727981</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IF($B47=$B$2,((1+Analysis!$B$16)/(1+$S47))-1,IF(B47&lt;Analysis!$C$13,U46-((Analysis!$B$16-Analysis!$C$17)/(Analysis!$C$13-$B$2)),((1+Analysis!$C$17)/(1+$S46))-1))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28302.468898953637</v>
      </c>
      <c r="AI47" s="1">
        <f>IF(AE47 &gt;= 0,
    MAX(0, AF46 + AE47 - Analysis!$C$7),
    0)</f>
        <v>0</v>
      </c>
      <c r="AJ47" s="1">
        <f t="shared" si="44"/>
        <v>631951.44930694264</v>
      </c>
      <c r="AK47" s="1">
        <f t="shared" si="20"/>
        <v>1371858.7257949361</v>
      </c>
      <c r="AL47" s="1">
        <f t="shared" si="5"/>
        <v>1176708.1816212279</v>
      </c>
      <c r="AM47" s="36"/>
      <c r="AN47" s="1">
        <f t="shared" si="45"/>
        <v>2543078.8125181301</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-7629.2364375543902</v>
      </c>
      <c r="BF47" s="64">
        <f>IF($B47&lt;Analysis!$C$66,0,Analysis!$C$78)</f>
        <v>3.0000000000000001E-3</v>
      </c>
      <c r="BG47" s="1">
        <f>IF($B47&lt;Analysis!$C$66,0,-BH47*AN47)</f>
        <v>-19073.091093885974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-324242.54859606159</v>
      </c>
      <c r="BS47" s="64">
        <f>IF($B47&lt;Analysis!C$66,0,Analysis!C$31)</f>
        <v>0.1275</v>
      </c>
      <c r="BT47" s="1">
        <f>IF($B47&lt;Analysis!$C$66,0,AN47+BR47)</f>
        <v>2218836.2639220683</v>
      </c>
      <c r="BU47" s="1">
        <f>IF($B47-Analysis!$C$66&gt;3,0,IF($AN47&gt;LOOKUP(Analysis!$C$66,$B:$B, AN:AN),$V47*(LOOKUP(Analysis!$C$66,$B:$B, AN:AN)-AN47),0))</f>
        <v>0</v>
      </c>
      <c r="BV47" s="1">
        <f t="shared" si="23"/>
        <v>2218836.2639220683</v>
      </c>
      <c r="BW47" s="42"/>
      <c r="BX47" s="1">
        <f>IF($B47&lt;Analysis!$C$66,$P47+$N47+$X47+$Z47,$P47+$N47+AS47+AV47+BB47+BE47+BG47+MAX(BI47,SUM(BJ47:BN47))+BP47)</f>
        <v>-78662.327531440358</v>
      </c>
      <c r="BY47" s="1">
        <f t="shared" si="24"/>
        <v>53709.432529192491</v>
      </c>
      <c r="BZ47" s="1">
        <f t="shared" si="46"/>
        <v>-24952.895002247868</v>
      </c>
      <c r="CA47" s="1">
        <f>IF(BZ47 &lt; 0,
    IF(CA46 + BZ47 &gt; 0,
        CA46 + BZ47, IF(CF46-ABS(CA46 + BZ47)*(1+$V47) &gt;= CA46 + BZ47,
        0, CA46 + BZ47)),
    MIN(CA46 + BZ47, Analysis!$C$7))+IF(CA46&lt;0, CA46*Analysis!$C$9,0)</f>
        <v>-812157.40099514637</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1529532.9089782946</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-370463.46813395008</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1529532.9089782946</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59631.312265342502</v>
      </c>
      <c r="GQ47" s="1">
        <f t="shared" si="36"/>
        <v>-4588.5987269348834</v>
      </c>
      <c r="GR47" s="64">
        <f>IF($B47&lt;Analysis!$C$159,0,Analysis!$C$178)</f>
        <v>3.0000000000000001E-3</v>
      </c>
      <c r="GS47" s="1">
        <f t="shared" si="37"/>
        <v>-11471.496817337209</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-3831.2035153805709</v>
      </c>
      <c r="HD47" s="1">
        <f t="shared" si="38"/>
        <v>-32151.299059652662</v>
      </c>
      <c r="HE47" s="1">
        <f>MIN(0,-(GN47+HD47)*Analysis!$C$28)-GE47*Analysis!$C$28</f>
        <v>-8388.5097555363191</v>
      </c>
      <c r="HF47" s="1">
        <f>-Analysis!$C$176*GP47/12</f>
        <v>-4969.2760221118751</v>
      </c>
      <c r="HG47" s="38"/>
      <c r="HH47" s="1">
        <f>IF($B47&lt;Analysis!$C$159,0,-$HI47*$FW47)</f>
        <v>-195015.44589473258</v>
      </c>
      <c r="HI47" s="64">
        <f>IF($B47&lt;Analysis!$C$159,0,IF($B47=Analysis!$C$159,Analysis!$C$31,HI46))</f>
        <v>0.1275</v>
      </c>
      <c r="HJ47" s="1">
        <f>IF($B47&lt;Analysis!$C$159,0,$FW47+HH47)</f>
        <v>1334517.463083562</v>
      </c>
      <c r="HK47" s="1">
        <f>IF($B47-Analysis!$C$159&gt;10,0,IF($FW47&gt;LOOKUP(Analysis!$C$159,$B:$B, FW:FW),$V47*(LOOKUP(Analysis!$C$159,$B:$B, FW:FW)-FW47),0))</f>
        <v>0</v>
      </c>
      <c r="HL47" s="1">
        <f t="shared" si="39"/>
        <v>1334517.463083562</v>
      </c>
      <c r="HM47" s="38"/>
      <c r="HN47" s="1">
        <f t="shared" si="40"/>
        <v>-147549.32888119528</v>
      </c>
      <c r="HO47" s="1">
        <f t="shared" si="8"/>
        <v>113340.74479453498</v>
      </c>
      <c r="HP47" s="1">
        <f t="shared" si="41"/>
        <v>-34208.584086660296</v>
      </c>
      <c r="HQ47" s="1">
        <f>IF(HP47 &lt; 0,
    IF(HQ46 + HP47 &gt; 0,
        HQ46 + HP47, IF(HV46-ABS(HQ46 + HP47)*(1+$V47) &gt;= HQ46 + HP47,
        0, HQ46 + HP47)),
    MIN(HQ46 + HP47, Analysis!$C$7))+IF(HQ46&lt;0, HQ46*Analysis!$C$9,0)</f>
        <v>0</v>
      </c>
      <c r="HR47" s="38"/>
      <c r="HS47" s="1">
        <f t="shared" si="54"/>
        <v>23135.023966448578</v>
      </c>
      <c r="HT47" s="1">
        <f>IF($B47=Analysis!$C$159,0,IF(HP47 &gt;= 0,
    MAX(0, HQ46 + HP47 - Analysis!$C$7),
    0))</f>
        <v>0</v>
      </c>
      <c r="HU47" s="1">
        <f>IF($B47=Analysis!$C$159,0,MAX(0, HU46 + HT47 - IF(HP47 &lt; 0, MIN(ABS(HP47), HU46 + HT47), 0)))</f>
        <v>689425.51709674508</v>
      </c>
      <c r="HV47" s="1">
        <f>IF($B47=Analysis!$C$159,0,IF(HP47 &lt; 0,
    IF(HP47 + HQ46 &lt; 0,
        MAX(0, HV46 - (ABS(HP47 + HQ46) * (1+$V46))),
        HV46 + HS47),
    HV46 + HT47 + HS47))</f>
        <v>1136655.1241493647</v>
      </c>
      <c r="HW47" s="1">
        <f t="shared" si="58"/>
        <v>1018698.3152892363</v>
      </c>
      <c r="HX47" s="36"/>
    </row>
    <row r="48" spans="1:232" x14ac:dyDescent="0.35">
      <c r="A48">
        <f t="shared" si="0"/>
        <v>81</v>
      </c>
      <c r="B48">
        <v>2071</v>
      </c>
      <c r="C48" s="1">
        <f>IF($B48&lt;Analysis!C$66,0,$AN48)+$AT48+$AW48+$BC48+$CF48+$CA48</f>
        <v>1713932.8088783845</v>
      </c>
      <c r="D48" s="1">
        <f>IF($B48&lt;Analysis!C$66, 0, BV48)+AT48+AW48+BC48+CG48+CA48</f>
        <v>1380153.7147353799</v>
      </c>
      <c r="E48" s="1">
        <f t="shared" si="1"/>
        <v>1296764.0896769247</v>
      </c>
      <c r="F48" s="1">
        <f t="shared" si="9"/>
        <v>1105747.1858279074</v>
      </c>
      <c r="G48" s="1">
        <f>IF(AND($B48&gt;=Analysis!$C$100, $B48&lt;Analysis!$C$101),$CK48,0)+IF($B48&gt;=Analysis!$C$130,EB48,0)+CQ48+CT48+CZ48+EH48+EK48+EQ48+$FO48+$FT48</f>
        <v>2184417.5682480256</v>
      </c>
      <c r="H48" s="1">
        <f t="shared" si="10"/>
        <v>1850638.474105021</v>
      </c>
      <c r="I48" s="1">
        <f>IF($B48&lt;Analysis!$C$159,0,$FW48)+$GC48+$GF48+$GL48+$HQ48+$HV48</f>
        <v>2665059.511430894</v>
      </c>
      <c r="J48" s="1">
        <f t="shared" si="59"/>
        <v>2348889.9309753822</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IF($B48=$B$2,((1+Analysis!$B$16)/(1+$S48))-1,IF(B48&lt;Analysis!$C$13,U47-((Analysis!$B$16-Analysis!$C$17)/(Analysis!$C$13-$B$2)),((1+Analysis!$C$17)/(1+$S47))-1))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26899.190701861397</v>
      </c>
      <c r="AI48" s="1">
        <f>IF(AE48 &gt;= 0,
    MAX(0, AF47 + AE48 - Analysis!$C$7),
    0)</f>
        <v>0</v>
      </c>
      <c r="AJ48" s="1">
        <f t="shared" si="44"/>
        <v>572529.38314036583</v>
      </c>
      <c r="AK48" s="1">
        <f t="shared" si="20"/>
        <v>1296764.0896769247</v>
      </c>
      <c r="AL48" s="1">
        <f t="shared" si="5"/>
        <v>1105747.1858279074</v>
      </c>
      <c r="AM48" s="36"/>
      <c r="AN48" s="1">
        <f t="shared" si="45"/>
        <v>2617875.2481804285</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-7853.6257445412857</v>
      </c>
      <c r="BF48" s="64">
        <f>IF($B48&lt;Analysis!$C$66,0,Analysis!$C$78)</f>
        <v>3.0000000000000001E-3</v>
      </c>
      <c r="BG48" s="1">
        <f>IF($B48&lt;Analysis!$C$66,0,-BH48*AN48)</f>
        <v>-19634.064361353212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-333779.09414300462</v>
      </c>
      <c r="BS48" s="64">
        <f>IF($B48&lt;Analysis!C$66,0,Analysis!C$31)</f>
        <v>0.1275</v>
      </c>
      <c r="BT48" s="1">
        <f>IF($B48&lt;Analysis!$C$66,0,AN48+BR48)</f>
        <v>2284096.1540374239</v>
      </c>
      <c r="BU48" s="1">
        <f>IF($B48-Analysis!$C$66&gt;3,0,IF($AN48&gt;LOOKUP(Analysis!$C$66,$B:$B, AN:AN),$V48*(LOOKUP(Analysis!$C$66,$B:$B, AN:AN)-AN48),0))</f>
        <v>0</v>
      </c>
      <c r="BV48" s="1">
        <f t="shared" si="23"/>
        <v>2284096.1540374239</v>
      </c>
      <c r="BW48" s="42"/>
      <c r="BX48" s="1">
        <f>IF($B48&lt;Analysis!$C$66,$P48+$N48+$X48+$Z48,$P48+$N48+AS48+AV48+BB48+BE48+BG48+MAX(BI48,SUM(BJ48:BN48))+BP48)</f>
        <v>-79447.690105894493</v>
      </c>
      <c r="BY48" s="1">
        <f t="shared" si="24"/>
        <v>52635.243878608642</v>
      </c>
      <c r="BZ48" s="1">
        <f t="shared" si="46"/>
        <v>-26812.446227285851</v>
      </c>
      <c r="CA48" s="1">
        <f>IF(BZ48 &lt; 0,
    IF(CA47 + BZ48 &gt; 0,
        CA47 + BZ48, IF(CF47-ABS(CA47 + BZ48)*(1+$V48) &gt;= CA47 + BZ48,
        0, CA47 + BZ48)),
    MIN(CA47 + BZ48, Analysis!$C$7))+IF(CA47&lt;0, CA47*Analysis!$C$9,0)</f>
        <v>-903942.43930204399</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1574519.1710070681</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-433457.67993240303</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1574519.1710070681</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61268.703802558462</v>
      </c>
      <c r="GQ48" s="1">
        <f t="shared" si="36"/>
        <v>-4723.5575130212046</v>
      </c>
      <c r="GR48" s="64">
        <f>IF($B48&lt;Analysis!$C$159,0,Analysis!$C$178)</f>
        <v>3.0000000000000001E-3</v>
      </c>
      <c r="GS48" s="1">
        <f t="shared" si="37"/>
        <v>-11808.89378255301</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-3943.8859717152945</v>
      </c>
      <c r="HD48" s="1">
        <f t="shared" si="38"/>
        <v>-32736.337267289509</v>
      </c>
      <c r="HE48" s="1">
        <f>MIN(0,-(GN48+HD48)*Analysis!$C$28)-GE48*Analysis!$C$28</f>
        <v>-8795.0072777579771</v>
      </c>
      <c r="HF48" s="1">
        <f>-Analysis!$C$176*GP48/12</f>
        <v>-5105.7253168798716</v>
      </c>
      <c r="HG48" s="38"/>
      <c r="HH48" s="1">
        <f>IF($B48&lt;Analysis!$C$159,0,-$HI48*$FW48)</f>
        <v>-200751.19430340119</v>
      </c>
      <c r="HI48" s="64">
        <f>IF($B48&lt;Analysis!$C$159,0,IF($B48=Analysis!$C$159,Analysis!$C$31,HI47))</f>
        <v>0.1275</v>
      </c>
      <c r="HJ48" s="1">
        <f>IF($B48&lt;Analysis!$C$159,0,$FW48+HH48)</f>
        <v>1373767.9767036668</v>
      </c>
      <c r="HK48" s="1">
        <f>IF($B48-Analysis!$C$159&gt;10,0,IF($FW48&gt;LOOKUP(Analysis!$C$159,$B:$B, FW:FW),$V48*(LOOKUP(Analysis!$C$159,$B:$B, FW:FW)-FW48),0))</f>
        <v>0</v>
      </c>
      <c r="HL48" s="1">
        <f t="shared" si="39"/>
        <v>1373767.9767036668</v>
      </c>
      <c r="HM48" s="38"/>
      <c r="HN48" s="1">
        <f t="shared" si="40"/>
        <v>-150394.37990711277</v>
      </c>
      <c r="HO48" s="1">
        <f t="shared" si="8"/>
        <v>113903.9476811671</v>
      </c>
      <c r="HP48" s="1">
        <f t="shared" si="41"/>
        <v>-36490.432225945668</v>
      </c>
      <c r="HQ48" s="1">
        <f>IF(HP48 &lt; 0,
    IF(HQ47 + HP48 &gt; 0,
        HQ47 + HP48, IF(HV47-ABS(HQ47 + HP48)*(1+$V48) &gt;= HQ47 + HP48,
        0, HQ47 + HP48)),
    MIN(HQ47 + HP48, Analysis!$C$7))+IF(HQ47&lt;0, HQ47*Analysis!$C$9,0)</f>
        <v>0</v>
      </c>
      <c r="HR48" s="38"/>
      <c r="HS48" s="1">
        <f t="shared" si="54"/>
        <v>22287.355375477659</v>
      </c>
      <c r="HT48" s="1">
        <f>IF($B48=Analysis!$C$159,0,IF(HP48 &gt;= 0,
    MAX(0, HQ47 + HP48 - Analysis!$C$7),
    0))</f>
        <v>0</v>
      </c>
      <c r="HU48" s="1">
        <f>IF($B48=Analysis!$C$159,0,MAX(0, HU47 + HT48 - IF(HP48 &lt; 0, MIN(ABS(HP48), HU47 + HT48), 0)))</f>
        <v>652935.08487079944</v>
      </c>
      <c r="HV48" s="1">
        <f>IF($B48=Analysis!$C$159,0,IF(HP48 &lt; 0,
    IF(HP48 + HQ47 &lt; 0,
        MAX(0, HV47 - (ABS(HP48 + HQ47) * (1+$V47))),
        HV47 + HS48),
    HV47 + HT48 + HS48))</f>
        <v>1090540.3404238259</v>
      </c>
      <c r="HW48" s="1">
        <f t="shared" si="58"/>
        <v>975121.95427171513</v>
      </c>
      <c r="HX48" s="36"/>
    </row>
    <row r="49" spans="1:232" x14ac:dyDescent="0.35">
      <c r="A49">
        <f t="shared" si="0"/>
        <v>82</v>
      </c>
      <c r="B49">
        <v>2072</v>
      </c>
      <c r="C49" s="1">
        <f>IF($B49&lt;Analysis!C$66,0,$AN49)+$AT49+$AW49+$BC49+$CF49+$CA49</f>
        <v>1689940.131984497</v>
      </c>
      <c r="D49" s="1">
        <f>IF($B49&lt;Analysis!C$66, 0, BV49)+AT49+AW49+BC49+CG49+CA49</f>
        <v>1346344.0056608156</v>
      </c>
      <c r="E49" s="1">
        <f t="shared" si="1"/>
        <v>1218105.3337825402</v>
      </c>
      <c r="F49" s="1">
        <f t="shared" si="9"/>
        <v>1031418.2598929366</v>
      </c>
      <c r="G49" s="1">
        <f>IF(AND($B49&gt;=Analysis!$C$100, $B49&lt;Analysis!$C$101),$CK49,0)+IF($B49&gt;=Analysis!$C$130,EB49,0)+CQ49+CT49+CZ49+EH49+EK49+EQ49+$FO49+$FT49</f>
        <v>2191326.4931561858</v>
      </c>
      <c r="H49" s="1">
        <f t="shared" si="10"/>
        <v>1847730.3668325045</v>
      </c>
      <c r="I49" s="1">
        <f>IF($B49&lt;Analysis!$C$159,0,$FW49)+$GC49+$GF49+$GL49+$HQ49+$HV49</f>
        <v>2662352.6919824248</v>
      </c>
      <c r="J49" s="1">
        <f t="shared" si="59"/>
        <v>2342976.7983452361</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IF($B49=$B$2,((1+Analysis!$B$16)/(1+$S49))-1,IF(B49&lt;Analysis!$C$13,U48-((Analysis!$B$16-Analysis!$C$17)/(Analysis!$C$13-$B$2)),((1+Analysis!$C$17)/(1+$S48))-1))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25426.746856410198</v>
      </c>
      <c r="AI49" s="1">
        <f>IF(AE49 &gt;= 0,
    MAX(0, AF48 + AE49 - Analysis!$C$7),
    0)</f>
        <v>0</v>
      </c>
      <c r="AJ49" s="1">
        <f t="shared" si="44"/>
        <v>510287.04415371141</v>
      </c>
      <c r="AK49" s="1">
        <f t="shared" si="20"/>
        <v>1218105.3337825402</v>
      </c>
      <c r="AL49" s="1">
        <f t="shared" si="5"/>
        <v>1031418.2598929366</v>
      </c>
      <c r="AM49" s="36"/>
      <c r="AN49" s="1">
        <f t="shared" si="45"/>
        <v>2694871.5790092652</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-8084.6147370277959</v>
      </c>
      <c r="BF49" s="64">
        <f>IF($B49&lt;Analysis!$C$66,0,Analysis!$C$78)</f>
        <v>3.0000000000000001E-3</v>
      </c>
      <c r="BG49" s="1">
        <f>IF($B49&lt;Analysis!$C$66,0,-BH49*AN49)</f>
        <v>-20211.536842569487</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-343596.12632368132</v>
      </c>
      <c r="BS49" s="64">
        <f>IF($B49&lt;Analysis!C$66,0,Analysis!C$31)</f>
        <v>0.1275</v>
      </c>
      <c r="BT49" s="1">
        <f>IF($B49&lt;Analysis!$C$66,0,AN49+BR49)</f>
        <v>2351275.4526855838</v>
      </c>
      <c r="BU49" s="1">
        <f>IF($B49-Analysis!$C$66&gt;3,0,IF($AN49&gt;LOOKUP(Analysis!$C$66,$B:$B, AN:AN),$V49*(LOOKUP(Analysis!$C$66,$B:$B, AN:AN)-AN49),0))</f>
        <v>0</v>
      </c>
      <c r="BV49" s="1">
        <f t="shared" si="23"/>
        <v>2351275.4526855838</v>
      </c>
      <c r="BW49" s="42"/>
      <c r="BX49" s="1">
        <f>IF($B49&lt;Analysis!$C$66,$P49+$N49+$X49+$Z49,$P49+$N49+AS49+AV49+BB49+BE49+BG49+MAX(BI49,SUM(BJ49:BN49))+BP49)</f>
        <v>-80256.151579597281</v>
      </c>
      <c r="BY49" s="1">
        <f t="shared" si="24"/>
        <v>51582.539001036472</v>
      </c>
      <c r="BZ49" s="1">
        <f t="shared" si="46"/>
        <v>-28673.612578560809</v>
      </c>
      <c r="CA49" s="1">
        <f>IF(BZ49 &lt; 0,
    IF(CA48 + BZ49 &gt; 0,
        CA48 + BZ49, IF(CF48-ABS(CA48 + BZ49)*(1+$V49) &gt;= CA48 + BZ49,
        0, CA48 + BZ49)),
    MIN(CA48 + BZ49, Analysis!$C$7))+IF(CA48&lt;0, CA48*Analysis!$C$9,0)</f>
        <v>-1004931.4470247683</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1620828.5583896292</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-503545.08585307922</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1620828.5583896292</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62954.253914398425</v>
      </c>
      <c r="GQ49" s="1">
        <f t="shared" si="36"/>
        <v>-4862.4856751688876</v>
      </c>
      <c r="GR49" s="64">
        <f>IF($B49&lt;Analysis!$C$159,0,Analysis!$C$178)</f>
        <v>3.0000000000000001E-3</v>
      </c>
      <c r="GS49" s="1">
        <f t="shared" si="37"/>
        <v>-12156.214187922218</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-4059.8826179422153</v>
      </c>
      <c r="HD49" s="1">
        <f t="shared" si="38"/>
        <v>-33338.582481033322</v>
      </c>
      <c r="HE49" s="1">
        <f>MIN(0,-(GN49+HD49)*Analysis!$C$28)-GE49*Analysis!$C$28</f>
        <v>-9213.4606094567425</v>
      </c>
      <c r="HF49" s="1">
        <f>-Analysis!$C$176*GP49/12</f>
        <v>-5246.1878261998691</v>
      </c>
      <c r="HG49" s="38"/>
      <c r="HH49" s="1">
        <f>IF($B49&lt;Analysis!$C$159,0,-$HI49*$FW49)</f>
        <v>-206655.64119467774</v>
      </c>
      <c r="HI49" s="64">
        <f>IF($B49&lt;Analysis!$C$159,0,IF($B49=Analysis!$C$159,Analysis!$C$31,HI48))</f>
        <v>0.1275</v>
      </c>
      <c r="HJ49" s="1">
        <f>IF($B49&lt;Analysis!$C$159,0,$FW49+HH49)</f>
        <v>1414172.9171949516</v>
      </c>
      <c r="HK49" s="1">
        <f>IF($B49-Analysis!$C$159&gt;10,0,IF($FW49&gt;LOOKUP(Analysis!$C$159,$B:$B, FW:FW),$V49*(LOOKUP(Analysis!$C$159,$B:$B, FW:FW)-FW49),0))</f>
        <v>0</v>
      </c>
      <c r="HL49" s="1">
        <f t="shared" si="39"/>
        <v>1414172.9171949516</v>
      </c>
      <c r="HM49" s="38"/>
      <c r="HN49" s="1">
        <f t="shared" si="40"/>
        <v>-153323.10890438082</v>
      </c>
      <c r="HO49" s="1">
        <f t="shared" si="8"/>
        <v>114536.7929154349</v>
      </c>
      <c r="HP49" s="1">
        <f t="shared" si="41"/>
        <v>-38786.31598894592</v>
      </c>
      <c r="HQ49" s="1">
        <f>IF(HP49 &lt; 0,
    IF(HQ48 + HP49 &gt; 0,
        HQ48 + HP49, IF(HV48-ABS(HQ48 + HP49)*(1+$V49) &gt;= HQ48 + HP49,
        0, HQ48 + HP49)),
    MIN(HQ48 + HP49, Analysis!$C$7))+IF(HQ48&lt;0, HQ48*Analysis!$C$9,0)</f>
        <v>0</v>
      </c>
      <c r="HR49" s="38"/>
      <c r="HS49" s="1">
        <f t="shared" si="54"/>
        <v>21383.143929878865</v>
      </c>
      <c r="HT49" s="1">
        <f>IF($B49=Analysis!$C$159,0,IF(HP49 &gt;= 0,
    MAX(0, HQ48 + HP49 - Analysis!$C$7),
    0))</f>
        <v>0</v>
      </c>
      <c r="HU49" s="1">
        <f>IF($B49=Analysis!$C$159,0,MAX(0, HU48 + HT49 - IF(HP49 &lt; 0, MIN(ABS(HP49), HU48 + HT49), 0)))</f>
        <v>614148.76888185355</v>
      </c>
      <c r="HV49" s="1">
        <f>IF($B49=Analysis!$C$159,0,IF(HP49 &lt; 0,
    IF(HP49 + HQ48 &lt; 0,
        MAX(0, HV48 - (ABS(HP49 + HQ48) * (1+$V48))),
        HV48 + HS49),
    HV48 + HT49 + HS49))</f>
        <v>1041524.1335927955</v>
      </c>
      <c r="HW49" s="1">
        <f t="shared" si="58"/>
        <v>928803.88115028455</v>
      </c>
      <c r="HX49" s="36"/>
    </row>
    <row r="50" spans="1:232" x14ac:dyDescent="0.35">
      <c r="A50">
        <f t="shared" si="0"/>
        <v>83</v>
      </c>
      <c r="B50">
        <v>2073</v>
      </c>
      <c r="C50" s="1">
        <f>IF($B50&lt;Analysis!C$66,0,$AN50)+$AT50+$AW50+$BC50+$CF50+$CA50</f>
        <v>1658269.0419059834</v>
      </c>
      <c r="D50" s="1">
        <f>IF($B50&lt;Analysis!C$66, 0, BV50)+AT50+AW50+BC50+CG50+CA50</f>
        <v>1304567.1471610172</v>
      </c>
      <c r="E50" s="1">
        <f t="shared" si="1"/>
        <v>1135843.366286759</v>
      </c>
      <c r="F50" s="1">
        <f t="shared" si="9"/>
        <v>953684.46382999385</v>
      </c>
      <c r="G50" s="1">
        <f>IF(AND($B50&gt;=Analysis!$C$100, $B50&lt;Analysis!$C$101),$CK50,0)+IF($B50&gt;=Analysis!$C$130,EB50,0)+CQ50+CT50+CZ50+EH50+EK50+EQ50+$FO50+$FT50</f>
        <v>2192830.9807018982</v>
      </c>
      <c r="H50" s="1">
        <f t="shared" si="10"/>
        <v>1839129.085956932</v>
      </c>
      <c r="I50" s="1">
        <f>IF($B50&lt;Analysis!$C$159,0,$FW50)+$GC50+$GF50+$GL50+$HQ50+$HV50</f>
        <v>2658086.8894873653</v>
      </c>
      <c r="J50" s="1">
        <f t="shared" si="59"/>
        <v>2335491.8124051238</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IF($B50=$B$2,((1+Analysis!$B$16)/(1+$S50))-1,IF(B50&lt;Analysis!$C$13,U49-((Analysis!$B$16-Analysis!$C$17)/(Analysis!$C$13-$B$2)),((1+Analysis!$C$17)/(1+$S49))-1))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23884.418309461485</v>
      </c>
      <c r="AI50" s="1">
        <f>IF(AE50 &gt;= 0,
    MAX(0, AF49 + AE50 - Analysis!$C$7),
    0)</f>
        <v>0</v>
      </c>
      <c r="AJ50" s="1">
        <f t="shared" si="44"/>
        <v>445193.49915210414</v>
      </c>
      <c r="AK50" s="1">
        <f t="shared" si="20"/>
        <v>1135843.366286759</v>
      </c>
      <c r="AL50" s="1">
        <f t="shared" si="5"/>
        <v>953684.46382999385</v>
      </c>
      <c r="AM50" s="36"/>
      <c r="AN50" s="1">
        <f t="shared" si="45"/>
        <v>2774132.5078036557</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-8322.3975234109676</v>
      </c>
      <c r="BF50" s="64">
        <f>IF($B50&lt;Analysis!$C$66,0,Analysis!$C$78)</f>
        <v>3.0000000000000001E-3</v>
      </c>
      <c r="BG50" s="1">
        <f>IF($B50&lt;Analysis!$C$66,0,-BH50*AN50)</f>
        <v>-20805.993808527415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-353701.89474496612</v>
      </c>
      <c r="BS50" s="64">
        <f>IF($B50&lt;Analysis!C$66,0,Analysis!C$31)</f>
        <v>0.1275</v>
      </c>
      <c r="BT50" s="1">
        <f>IF($B50&lt;Analysis!$C$66,0,AN50+BR50)</f>
        <v>2420430.6130586895</v>
      </c>
      <c r="BU50" s="1">
        <f>IF($B50-Analysis!$C$66&gt;3,0,IF($AN50&gt;LOOKUP(Analysis!$C$66,$B:$B, AN:AN),$V50*(LOOKUP(Analysis!$C$66,$B:$B, AN:AN)-AN50),0))</f>
        <v>0</v>
      </c>
      <c r="BV50" s="1">
        <f t="shared" si="23"/>
        <v>2420430.6130586895</v>
      </c>
      <c r="BW50" s="42"/>
      <c r="BX50" s="1">
        <f>IF($B50&lt;Analysis!$C$66,$P50+$N50+$X50+$Z50,$P50+$N50+AS50+AV50+BB50+BE50+BG50+MAX(BI50,SUM(BJ50:BN50))+BP50)</f>
        <v>-81088.391331938386</v>
      </c>
      <c r="BY50" s="1">
        <f t="shared" si="24"/>
        <v>50550.888221015739</v>
      </c>
      <c r="BZ50" s="1">
        <f t="shared" si="46"/>
        <v>-30537.503110922647</v>
      </c>
      <c r="CA50" s="1">
        <f>IF(BZ50 &lt; 0,
    IF(CA49 + BZ50 &gt; 0,
        CA49 + BZ50, IF(CF49-ABS(CA49 + BZ50)*(1+$V50) &gt;= CA49 + BZ50,
        0, CA49 + BZ50)),
    MIN(CA49 + BZ50, Analysis!$C$7))+IF(CA49&lt;0, CA49*Analysis!$C$9,0)</f>
        <v>-1115863.4658976723</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1668499.9865775597</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-581301.52710175735</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1668499.9865775597</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64689.379029527801</v>
      </c>
      <c r="GQ50" s="1">
        <f t="shared" si="36"/>
        <v>-5005.4999597326796</v>
      </c>
      <c r="GR50" s="64">
        <f>IF($B50&lt;Analysis!$C$159,0,Analysis!$C$178)</f>
        <v>3.0000000000000001E-3</v>
      </c>
      <c r="GS50" s="1">
        <f t="shared" si="37"/>
        <v>-12513.749899331697</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-4179.2909302346334</v>
      </c>
      <c r="HD50" s="1">
        <f t="shared" si="38"/>
        <v>-33958.540789299012</v>
      </c>
      <c r="HE50" s="1">
        <f>MIN(0,-(GN50+HD50)*Analysis!$C$28)-GE50*Analysis!$C$28</f>
        <v>-9644.2213920878239</v>
      </c>
      <c r="HF50" s="1">
        <f>-Analysis!$C$176*GP50/12</f>
        <v>-5390.7815857939831</v>
      </c>
      <c r="HG50" s="38"/>
      <c r="HH50" s="1">
        <f>IF($B50&lt;Analysis!$C$159,0,-$HI50*$FW50)</f>
        <v>-212733.74828863886</v>
      </c>
      <c r="HI50" s="64">
        <f>IF($B50&lt;Analysis!$C$159,0,IF($B50=Analysis!$C$159,Analysis!$C$31,HI49))</f>
        <v>0.1275</v>
      </c>
      <c r="HJ50" s="1">
        <f>IF($B50&lt;Analysis!$C$159,0,$FW50+HH50)</f>
        <v>1455766.2382889208</v>
      </c>
      <c r="HK50" s="1">
        <f>IF($B50-Analysis!$C$159&gt;10,0,IF($FW50&gt;LOOKUP(Analysis!$C$159,$B:$B, FW:FW),$V50*(LOOKUP(Analysis!$C$159,$B:$B, FW:FW)-FW50),0))</f>
        <v>0</v>
      </c>
      <c r="HL50" s="1">
        <f t="shared" si="39"/>
        <v>1455766.2382889208</v>
      </c>
      <c r="HM50" s="38"/>
      <c r="HN50" s="1">
        <f t="shared" si="40"/>
        <v>-156337.97698980378</v>
      </c>
      <c r="HO50" s="1">
        <f t="shared" si="8"/>
        <v>115240.26725054355</v>
      </c>
      <c r="HP50" s="1">
        <f t="shared" si="41"/>
        <v>-41097.70973926023</v>
      </c>
      <c r="HQ50" s="1">
        <f>IF(HP50 &lt; 0,
    IF(HQ49 + HP50 &gt; 0,
        HQ49 + HP50, IF(HV49-ABS(HQ49 + HP50)*(1+$V50) &gt;= HQ49 + HP50,
        0, HQ49 + HP50)),
    MIN(HQ49 + HP50, Analysis!$C$7))+IF(HQ49&lt;0, HQ49*Analysis!$C$9,0)</f>
        <v>0</v>
      </c>
      <c r="HR50" s="38"/>
      <c r="HS50" s="1">
        <f t="shared" si="54"/>
        <v>20422.041835152781</v>
      </c>
      <c r="HT50" s="1">
        <f>IF($B50=Analysis!$C$159,0,IF(HP50 &gt;= 0,
    MAX(0, HQ49 + HP50 - Analysis!$C$7),
    0))</f>
        <v>0</v>
      </c>
      <c r="HU50" s="1">
        <f>IF($B50=Analysis!$C$159,0,MAX(0, HU49 + HT50 - IF(HP50 &lt; 0, MIN(ABS(HP50), HU49 + HT50), 0)))</f>
        <v>573051.05914259329</v>
      </c>
      <c r="HV50" s="1">
        <f>IF($B50=Analysis!$C$159,0,IF(HP50 &lt; 0,
    IF(HP50 + HQ49 &lt; 0,
        MAX(0, HV49 - (ABS(HP50 + HQ49) * (1+$V49))),
        HV49 + HS50),
    HV49 + HT50 + HS50))</f>
        <v>989586.9029098053</v>
      </c>
      <c r="HW50" s="1">
        <f t="shared" si="58"/>
        <v>879725.57411620312</v>
      </c>
      <c r="HX50" s="36"/>
    </row>
    <row r="51" spans="1:232" x14ac:dyDescent="0.35">
      <c r="A51">
        <f t="shared" si="0"/>
        <v>84</v>
      </c>
      <c r="B51">
        <v>2074</v>
      </c>
      <c r="C51" s="1">
        <f>IF($B51&lt;Analysis!C$66,0,$AN51)+$AT51+$AW51+$BC51+$CF51+$CA51</f>
        <v>1618186.8589491718</v>
      </c>
      <c r="D51" s="1">
        <f>IF($B51&lt;Analysis!C$66, 0, BV51)+AT51+AW51+BC51+CG51+CA51</f>
        <v>1254081.9672999419</v>
      </c>
      <c r="E51" s="1">
        <f t="shared" si="1"/>
        <v>1049936.6309004538</v>
      </c>
      <c r="F51" s="1">
        <f t="shared" si="9"/>
        <v>872506.52884692012</v>
      </c>
      <c r="G51" s="1">
        <f>IF(AND($B51&gt;=Analysis!$C$100, $B51&lt;Analysis!$C$101),$CK51,0)+IF($B51&gt;=Analysis!$C$130,EB51,0)+CQ51+CT51+CZ51+EH51+EK51+EQ51+$FO51+$FT51</f>
        <v>2188374.4412477948</v>
      </c>
      <c r="H51" s="1">
        <f t="shared" si="10"/>
        <v>1824269.5495985649</v>
      </c>
      <c r="I51" s="1">
        <f>IF($B51&lt;Analysis!$C$159,0,$FW51)+$GC51+$GF51+$GL51+$HQ51+$HV51</f>
        <v>2652280.6720258463</v>
      </c>
      <c r="J51" s="1">
        <f t="shared" si="59"/>
        <v>2326449.6166222403</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IF($B51=$B$2,((1+Analysis!$B$16)/(1+$S51))-1,IF(B51&lt;Analysis!$C$13,U50-((Analysis!$B$16-Analysis!$C$17)/(Analysis!$C$13-$B$2)),((1+Analysis!$C$17)/(1+$S50))-1))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22271.438554642256</v>
      </c>
      <c r="AI51" s="1">
        <f>IF(AE51 &gt;= 0,
    MAX(0, AF50 + AE51 - Analysis!$C$7),
    0)</f>
        <v>0</v>
      </c>
      <c r="AJ51" s="1">
        <f t="shared" si="44"/>
        <v>377215.86482070532</v>
      </c>
      <c r="AK51" s="1">
        <f t="shared" si="20"/>
        <v>1049936.6309004538</v>
      </c>
      <c r="AL51" s="1">
        <f t="shared" si="5"/>
        <v>872506.52884692012</v>
      </c>
      <c r="AM51" s="36"/>
      <c r="AN51" s="1">
        <f t="shared" si="45"/>
        <v>2855724.6403861167</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-8567.1739211583499</v>
      </c>
      <c r="BF51" s="64">
        <f>IF($B51&lt;Analysis!$C$66,0,Analysis!$C$78)</f>
        <v>3.0000000000000001E-3</v>
      </c>
      <c r="BG51" s="1">
        <f>IF($B51&lt;Analysis!$C$66,0,-BH51*AN51)</f>
        <v>-21417.934802895874</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-364104.89164922986</v>
      </c>
      <c r="BS51" s="64">
        <f>IF($B51&lt;Analysis!C$66,0,Analysis!C$31)</f>
        <v>0.1275</v>
      </c>
      <c r="BT51" s="1">
        <f>IF($B51&lt;Analysis!$C$66,0,AN51+BR51)</f>
        <v>2491619.7487368868</v>
      </c>
      <c r="BU51" s="1">
        <f>IF($B51-Analysis!$C$66&gt;3,0,IF($AN51&gt;LOOKUP(Analysis!$C$66,$B:$B, AN:AN),$V51*(LOOKUP(Analysis!$C$66,$B:$B, AN:AN)-AN51),0))</f>
        <v>0</v>
      </c>
      <c r="BV51" s="1">
        <f t="shared" si="23"/>
        <v>2491619.7487368868</v>
      </c>
      <c r="BW51" s="42"/>
      <c r="BX51" s="1">
        <f>IF($B51&lt;Analysis!$C$66,$P51+$N51+$X51+$Z51,$P51+$N51+AS51+AV51+BB51+BE51+BG51+MAX(BI51,SUM(BJ51:BN51))+BP51)</f>
        <v>-81945.108724054226</v>
      </c>
      <c r="BY51" s="1">
        <f t="shared" si="24"/>
        <v>49539.870456595425</v>
      </c>
      <c r="BZ51" s="1">
        <f t="shared" si="46"/>
        <v>-32405.238267458801</v>
      </c>
      <c r="CA51" s="1">
        <f>IF(BZ51 &lt; 0,
    IF(CA50 + BZ51 &gt; 0,
        CA50 + BZ51, IF(CF50-ABS(CA50 + BZ51)*(1+$V51) &gt;= CA50 + BZ51,
        0, CA50 + BZ51)),
    MIN(CA50 + BZ51, Analysis!$C$7))+IF(CA50&lt;0, CA50*Analysis!$C$9,0)</f>
        <v>-1237537.7814369448</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1717573.5155945469</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-667350.19913832203</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1717573.5155945469</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66475.537236278629</v>
      </c>
      <c r="GQ51" s="1">
        <f t="shared" si="36"/>
        <v>-5152.7205467836411</v>
      </c>
      <c r="GR51" s="64">
        <f>IF($B51&lt;Analysis!$C$159,0,Analysis!$C$178)</f>
        <v>3.0000000000000001E-3</v>
      </c>
      <c r="GS51" s="1">
        <f t="shared" si="37"/>
        <v>-12881.801366959102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-4302.2112517121232</v>
      </c>
      <c r="HD51" s="1">
        <f t="shared" si="38"/>
        <v>-34596.733165454862</v>
      </c>
      <c r="HE51" s="1">
        <f>MIN(0,-(GN51+HD51)*Analysis!$C$28)-GE51*Analysis!$C$28</f>
        <v>-10087.651609502176</v>
      </c>
      <c r="HF51" s="1">
        <f>-Analysis!$C$176*GP51/12</f>
        <v>-5539.6281030232194</v>
      </c>
      <c r="HG51" s="38"/>
      <c r="HH51" s="1">
        <f>IF($B51&lt;Analysis!$C$159,0,-$HI51*$FW51)</f>
        <v>-218990.62323830475</v>
      </c>
      <c r="HI51" s="64">
        <f>IF($B51&lt;Analysis!$C$159,0,IF($B51=Analysis!$C$159,Analysis!$C$31,HI50))</f>
        <v>0.1275</v>
      </c>
      <c r="HJ51" s="1">
        <f>IF($B51&lt;Analysis!$C$159,0,$FW51+HH51)</f>
        <v>1498582.8923562421</v>
      </c>
      <c r="HK51" s="1">
        <f>IF($B51-Analysis!$C$159&gt;10,0,IF($FW51&gt;LOOKUP(Analysis!$C$159,$B:$B, FW:FW),$V51*(LOOKUP(Analysis!$C$159,$B:$B, FW:FW)-FW51),0))</f>
        <v>0</v>
      </c>
      <c r="HL51" s="1">
        <f t="shared" si="39"/>
        <v>1498582.8923562421</v>
      </c>
      <c r="HM51" s="38"/>
      <c r="HN51" s="1">
        <f t="shared" si="40"/>
        <v>-159441.51766597453</v>
      </c>
      <c r="HO51" s="1">
        <f t="shared" si="8"/>
        <v>116015.40769287405</v>
      </c>
      <c r="HP51" s="1">
        <f t="shared" si="41"/>
        <v>-43426.10997310048</v>
      </c>
      <c r="HQ51" s="1">
        <f>IF(HP51 &lt; 0,
    IF(HQ50 + HP51 &gt; 0,
        HQ50 + HP51, IF(HV50-ABS(HQ50 + HP51)*(1+$V51) &gt;= HQ50 + HP51,
        0, HQ50 + HP51)),
    MIN(HQ50 + HP51, Analysis!$C$7))+IF(HQ50&lt;0, HQ50*Analysis!$C$9,0)</f>
        <v>0</v>
      </c>
      <c r="HR51" s="38"/>
      <c r="HS51" s="1">
        <f t="shared" si="54"/>
        <v>19403.664762937289</v>
      </c>
      <c r="HT51" s="1">
        <f>IF($B51=Analysis!$C$159,0,IF(HP51 &gt;= 0,
    MAX(0, HQ50 + HP51 - Analysis!$C$7),
    0))</f>
        <v>0</v>
      </c>
      <c r="HU51" s="1">
        <f>IF($B51=Analysis!$C$159,0,MAX(0, HU50 + HT51 - IF(HP51 &lt; 0, MIN(ABS(HP51), HU50 + HT51), 0)))</f>
        <v>529624.94916949281</v>
      </c>
      <c r="HV51" s="1">
        <f>IF($B51=Analysis!$C$159,0,IF(HP51 &lt; 0,
    IF(HP51 + HQ50 &lt; 0,
        MAX(0, HV50 - (ABS(HP51 + HQ50) * (1+$V50))),
        HV50 + HS51),
    HV50 + HT51 + HS51))</f>
        <v>934707.15643129952</v>
      </c>
      <c r="HW51" s="1">
        <f t="shared" si="58"/>
        <v>827866.724265998</v>
      </c>
      <c r="HX51" s="36"/>
    </row>
    <row r="52" spans="1:232" x14ac:dyDescent="0.35">
      <c r="A52">
        <f t="shared" si="0"/>
        <v>85</v>
      </c>
      <c r="B52">
        <v>2075</v>
      </c>
      <c r="C52" s="1">
        <f>IF($B52&lt;Analysis!C$66,0,$AN52)+$AT52+$AW52+$BC52+$CF52+$CA52</f>
        <v>1568897.7869829808</v>
      </c>
      <c r="D52" s="1">
        <f>IF($B52&lt;Analysis!C$66, 0, BV52)+AT52+AW52+BC52+CG52+CA52</f>
        <v>1194083.9279323032</v>
      </c>
      <c r="E52" s="1">
        <f t="shared" si="1"/>
        <v>960341.0606802454</v>
      </c>
      <c r="F52" s="1">
        <f t="shared" si="9"/>
        <v>787842.81369814335</v>
      </c>
      <c r="G52" s="1">
        <f>IF(AND($B52&gt;=Analysis!$C$100, $B52&lt;Analysis!$C$101),$CK52,0)+IF($B52&gt;=Analysis!$C$130,EB52,0)+CQ52+CT52+CZ52+EH52+EK52+EQ52+$FO52+$FT52</f>
        <v>2177351.0845115585</v>
      </c>
      <c r="H52" s="1">
        <f t="shared" si="10"/>
        <v>1802537.2254608809</v>
      </c>
      <c r="I52" s="1">
        <f>IF($B52&lt;Analysis!$C$159,0,$FW52)+$GC52+$GF52+$GL52+$HQ52+$HV52</f>
        <v>2644951.865387551</v>
      </c>
      <c r="J52" s="1">
        <f t="shared" si="59"/>
        <v>2315864.0676650526</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IF($B52=$B$2,((1+Analysis!$B$16)/(1+$S52))-1,IF(B52&lt;Analysis!$C$13,U51-((Analysis!$B$16-Analysis!$C$17)/(Analysis!$C$13-$B$2)),((1+Analysis!$C$17)/(1+$S51))-1))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20586.992762753922</v>
      </c>
      <c r="AI52" s="1">
        <f>IF(AE52 &gt;= 0,
    MAX(0, AF51 + AE52 - Analysis!$C$7),
    0)</f>
        <v>0</v>
      </c>
      <c r="AJ52" s="1">
        <f t="shared" si="44"/>
        <v>306319.27117464528</v>
      </c>
      <c r="AK52" s="1">
        <f t="shared" si="20"/>
        <v>960341.0606802454</v>
      </c>
      <c r="AL52" s="1">
        <f t="shared" si="5"/>
        <v>787842.81369814335</v>
      </c>
      <c r="AM52" s="36"/>
      <c r="AN52" s="1">
        <f t="shared" si="45"/>
        <v>2939716.541573944</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-8819.1496247218329</v>
      </c>
      <c r="BF52" s="64">
        <f>IF($B52&lt;Analysis!$C$66,0,Analysis!$C$78)</f>
        <v>3.0000000000000001E-3</v>
      </c>
      <c r="BG52" s="1">
        <f>IF($B52&lt;Analysis!$C$66,0,-BH52*AN52)</f>
        <v>-22047.874061804578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-374813.85905067786</v>
      </c>
      <c r="BS52" s="64">
        <f>IF($B52&lt;Analysis!C$66,0,Analysis!C$31)</f>
        <v>0.1275</v>
      </c>
      <c r="BT52" s="1">
        <f>IF($B52&lt;Analysis!$C$66,0,AN52+BR52)</f>
        <v>2564902.6825232664</v>
      </c>
      <c r="BU52" s="1">
        <f>IF($B52-Analysis!$C$66&gt;3,0,IF($AN52&gt;LOOKUP(Analysis!$C$66,$B:$B, AN:AN),$V52*(LOOKUP(Analysis!$C$66,$B:$B, AN:AN)-AN52),0))</f>
        <v>0</v>
      </c>
      <c r="BV52" s="1">
        <f t="shared" si="23"/>
        <v>2564902.6825232664</v>
      </c>
      <c r="BW52" s="42"/>
      <c r="BX52" s="1">
        <f>IF($B52&lt;Analysis!$C$66,$P52+$N52+$X52+$Z52,$P52+$N52+AS52+AV52+BB52+BE52+BG52+MAX(BI52,SUM(BJ52:BN52))+BP52)</f>
        <v>-82827.023686526401</v>
      </c>
      <c r="BY52" s="1">
        <f t="shared" si="24"/>
        <v>48549.073047463513</v>
      </c>
      <c r="BZ52" s="1">
        <f t="shared" si="46"/>
        <v>-34277.950639062889</v>
      </c>
      <c r="CA52" s="1">
        <f>IF(BZ52 &lt; 0,
    IF(CA51 + BZ52 &gt; 0,
        CA51 + BZ52, IF(CF51-ABS(CA51 + BZ52)*(1+$V52) &gt;= CA51 + BZ52,
        0, CA51 + BZ52)),
    MIN(CA51 + BZ52, Analysis!$C$7))+IF(CA51&lt;0, CA51*Analysis!$C$9,0)</f>
        <v>-1370818.7545909632</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1768090.383700269</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-762365.45706238551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1768090.383700269</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68314.22950793388</v>
      </c>
      <c r="GQ52" s="1">
        <f t="shared" si="36"/>
        <v>-5304.2711511008074</v>
      </c>
      <c r="GR52" s="64">
        <f>IF($B52&lt;Analysis!$C$159,0,Analysis!$C$178)</f>
        <v>3.0000000000000001E-3</v>
      </c>
      <c r="GS52" s="1">
        <f t="shared" si="37"/>
        <v>-13260.677877752018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-4428.7468767624805</v>
      </c>
      <c r="HD52" s="1">
        <f t="shared" si="38"/>
        <v>-35253.695905615306</v>
      </c>
      <c r="HE52" s="1">
        <f>MIN(0,-(GN52+HD52)*Analysis!$C$28)-GE52*Analysis!$C$28</f>
        <v>-10544.123892134594</v>
      </c>
      <c r="HF52" s="1">
        <f>-Analysis!$C$176*GP52/12</f>
        <v>-5692.85245899449</v>
      </c>
      <c r="HG52" s="38"/>
      <c r="HH52" s="1">
        <f>IF($B52&lt;Analysis!$C$159,0,-$HI52*$FW52)</f>
        <v>-225431.5239217843</v>
      </c>
      <c r="HI52" s="64">
        <f>IF($B52&lt;Analysis!$C$159,0,IF($B52=Analysis!$C$159,Analysis!$C$31,HI51))</f>
        <v>0.1275</v>
      </c>
      <c r="HJ52" s="1">
        <f>IF($B52&lt;Analysis!$C$159,0,$FW52+HH52)</f>
        <v>1542658.8597784848</v>
      </c>
      <c r="HK52" s="1">
        <f>IF($B52-Analysis!$C$159&gt;10,0,IF($FW52&gt;LOOKUP(Analysis!$C$159,$B:$B, FW:FW),$V52*(LOOKUP(Analysis!$C$159,$B:$B, FW:FW)-FW52),0))</f>
        <v>0</v>
      </c>
      <c r="HL52" s="1">
        <f t="shared" si="39"/>
        <v>1542658.8597784848</v>
      </c>
      <c r="HM52" s="38"/>
      <c r="HN52" s="1">
        <f t="shared" si="40"/>
        <v>-162636.33895026788</v>
      </c>
      <c r="HO52" s="1">
        <f t="shared" si="8"/>
        <v>116863.30255539739</v>
      </c>
      <c r="HP52" s="1">
        <f t="shared" si="41"/>
        <v>-45773.036394870491</v>
      </c>
      <c r="HQ52" s="1">
        <f>IF(HP52 &lt; 0,
    IF(HQ51 + HP52 &gt; 0,
        HQ51 + HP52, IF(HV51-ABS(HQ51 + HP52)*(1+$V52) &gt;= HQ51 + HP52,
        0, HQ51 + HP52)),
    MIN(HQ51 + HP52, Analysis!$C$7))+IF(HQ51&lt;0, HQ51*Analysis!$C$9,0)</f>
        <v>0</v>
      </c>
      <c r="HR52" s="38"/>
      <c r="HS52" s="1">
        <f t="shared" si="54"/>
        <v>18327.591302574434</v>
      </c>
      <c r="HT52" s="1">
        <f>IF($B52=Analysis!$C$159,0,IF(HP52 &gt;= 0,
    MAX(0, HQ51 + HP52 - Analysis!$C$7),
    0))</f>
        <v>0</v>
      </c>
      <c r="HU52" s="1">
        <f>IF($B52=Analysis!$C$159,0,MAX(0, HU51 + HT52 - IF(HP52 &lt; 0, MIN(ABS(HP52), HU51 + HT52), 0)))</f>
        <v>483851.91277462232</v>
      </c>
      <c r="HV52" s="1">
        <f>IF($B52=Analysis!$C$159,0,IF(HP52 &lt; 0,
    IF(HP52 + HQ51 &lt; 0,
        MAX(0, HV51 - (ABS(HP52 + HQ51) * (1+$V51))),
        HV51 + HS52),
    HV51 + HT52 + HS52))</f>
        <v>876861.48168728198</v>
      </c>
      <c r="HW52" s="1">
        <f t="shared" si="58"/>
        <v>773205.20788656804</v>
      </c>
      <c r="HX52" s="36"/>
    </row>
  </sheetData>
  <pageMargins left="0.7" right="0.7" top="0.75" bottom="0.75" header="0.3" footer="0.3"/>
  <headerFooter>
    <oddFooter>&amp;R_x000D_&amp;1#&amp;"Calibri"&amp;22&amp;KFF8939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E1949-EACA-40DB-8954-092CD7CE9780}">
  <dimension ref="A1:HX52"/>
  <sheetViews>
    <sheetView zoomScale="70" zoomScaleNormal="70" workbookViewId="0">
      <pane xSplit="2" ySplit="1" topLeftCell="DV2" activePane="bottomRight" state="frozen"/>
      <selection pane="topRight" activeCell="C1" sqref="C1"/>
      <selection pane="bottomLeft" activeCell="A2" sqref="A2"/>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-477273.913326359</v>
      </c>
      <c r="D2" s="1">
        <f>IF($B2&lt;Analysis!C$66, 0, BV2)+AT2+AW2+BC2+CG2+CA2</f>
        <v>-565248.913326359</v>
      </c>
      <c r="E2" s="1">
        <f t="shared" ref="E2:E52" si="1">AK2+AF2</f>
        <v>53449.01960784314</v>
      </c>
      <c r="F2" s="1">
        <f>AL2+AF2</f>
        <v>52776.715686274511</v>
      </c>
      <c r="G2" s="1">
        <f>IF(AND($B2&gt;=Analysis!$C$100, $B2&lt;Analysis!$C$101),$CK2,0)+IF($B2&gt;=Analysis!$C$130,EB2,0)+CQ2+CT2+CZ2+EH2+EK2+EQ2+$FO2+$FT2</f>
        <v>-242271.22383835033</v>
      </c>
      <c r="H2" s="1">
        <f>$DZ2+FJ2+CQ2+CT2+CZ2+EH2+EK2+EQ2+$FO2+$FU2</f>
        <v>-295183.72383835039</v>
      </c>
      <c r="I2" s="1">
        <f>IF($B2&lt;Analysis!$C$159,0,$FW2)+$GC2+$GF2+$GL2+$HQ2+$HV2</f>
        <v>-242271.22383835033</v>
      </c>
      <c r="J2" s="1">
        <f t="shared" ref="J2:J33" si="2">$HL2+$GC2+$GF2+$GL2+$HQ2+$HW2</f>
        <v>-295183.72383835039</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IF($B2=$B$2,((1+Analysis!$D$16)/(1+$S2))-1,IF(B2&lt;Analysis!$C$13,U1-((Analysis!$D$16-Analysis!$C$17)/(Analysis!$C$13-$B$2)),((1+Analysis!$C$17)/(1+$S1))-1))</f>
        <v>9.8039215686274606E-2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2549.01960784314</v>
      </c>
      <c r="AI2" s="1">
        <f>IF(AE2 &gt;= 0,
    MAX(0, AE2 - Analysis!$C$7),
    0)</f>
        <v>0</v>
      </c>
      <c r="AJ2" s="1">
        <f>Analysis!$C$6-Analysis!$C$7+AE2</f>
        <v>26900</v>
      </c>
      <c r="AK2" s="1">
        <f>AJ2+AI2+AH2</f>
        <v>29449.01960784314</v>
      </c>
      <c r="AL2" s="1">
        <f t="shared" ref="AL2:AL52" si="5">IF(AK2-AJ2&gt;0, AK2-$V2*(AK2-AJ2),AK2)</f>
        <v>28776.715686274511</v>
      </c>
      <c r="AM2" s="36"/>
      <c r="AN2" s="1">
        <f>Analysis!$C65</f>
        <v>690000</v>
      </c>
      <c r="AO2" s="64">
        <f>((1+Analysis!$C$75)/(1+$S2))-1</f>
        <v>2.941176470588247E-2</v>
      </c>
      <c r="AP2" s="1">
        <f>IF($B2=Analysis!$C$66,(AN2*(1+Analysis!$C$23+Analysis!$C$24+Analysis!$C$25))-IF($B2=$B$2,(Analysis!$C$6-Analysis!$C$7+Analysis!$C$68), ($CG1-Analysis!$C$7+AY2)),0)</f>
        <v>693833.00000000012</v>
      </c>
      <c r="AQ2" s="65">
        <f>IF($B2=Analysis!$C$66,NPER(AU2,-AX2,-AP2),0)</f>
        <v>28.826407404605138</v>
      </c>
      <c r="AR2" s="64">
        <f>IF($B2=Analysis!$C$66,Analysis!$C$73,0)</f>
        <v>0.02</v>
      </c>
      <c r="AS2" s="1">
        <f>IF($B2&lt;Analysis!$C$66,0,IF($B2=Analysis!$C$66,-AP2*AR2,IF(AX2&gt;=0,0,AX2-AV2)))</f>
        <v>-13876.660000000003</v>
      </c>
      <c r="AT2" s="1">
        <f>IF($B2&lt;Analysis!$C$66,0,IF($B2=Analysis!$C$66,-AP2-AS2,MIN(0,AT1-AS2)))</f>
        <v>-679956.34000000008</v>
      </c>
      <c r="AU2" s="64">
        <f>IF($B2&lt;Analysis!$C$66,0,IF($B2=Analysis!$C$66,Analysis!$C$72,IF(($B2-Analysis!$C$66)&lt;LOOKUP(Analysis!$C$66,$B:$B,AQ:AQ),AU1,0)))</f>
        <v>3.6999999999999998E-2</v>
      </c>
      <c r="AV2" s="1">
        <f>IF($B2&lt;Analysis!$C$66,0,IF($B2=Analysis!$C$66,-AU2*AP2,AU1*AT1))</f>
        <v>-25671.821000000004</v>
      </c>
      <c r="AW2" s="1">
        <f>IF($B2&lt;Analysis!$C$66,0,IF($B2=Analysis!$C$66,PMT(AU2,AQ2,AP2)*AQ2-AX2-AT2,IF(($B2-Analysis!$C$66+1)&lt;LOOKUP(Analysis!$C$66,$B:$B,AQ:AQ),IF(AW1-AV2&lt;0, AW1-AV2,0),0)))</f>
        <v>-420535.80453928467</v>
      </c>
      <c r="AX2" s="1">
        <f>IF($B2&lt;Analysis!$C$66,0,IF($B2=Analysis!$C$66,AS2+AV2,IF(AT1&lt;0,IF(AT1&gt;LOOKUP(Analysis!$C$66,$B:$B,AX:AX), AT1*(1+AU1),AX1),0)))</f>
        <v>-39548.481000000007</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-82926.309778707422</v>
      </c>
      <c r="BY2" s="1">
        <f>$M2+$R2</f>
        <v>46800</v>
      </c>
      <c r="BZ2" s="1">
        <f>BY2+BX2</f>
        <v>-36126.309778707422</v>
      </c>
      <c r="CA2" s="1">
        <f>IF(BZ2&lt;0,Analysis!$C$7+BZ2,Analysis!$C$7)</f>
        <v>-12126.309778707422</v>
      </c>
      <c r="CB2" s="42"/>
      <c r="CC2" s="1">
        <f>IF(Analysis!$C$6-Analysis!$C$7&gt;0,(Analysis!$C$6-Analysis!$C$7)*$U2,0)</f>
        <v>2549.01960784314</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((1+Analysis!$C$112)/(1+$S2))-1</f>
        <v>2.941176470588247E-2</v>
      </c>
      <c r="CM2" s="1">
        <f>IF($B2=Analysis!$C$100,(CK2*(1+Analysis!$C$23+Analysis!$C$24+Analysis!$C$25))-IF($B2=$B$2,(Analysis!$C$6-Analysis!$C$7+Analysis!$C$105), (FU1-Analysis!$C$7+CV2)),0)</f>
        <v>387015.50000000006</v>
      </c>
      <c r="CN2" s="65">
        <f>IF($B2=Analysis!$C$100,NPER(CR2,-CU2,-CM2),0)</f>
        <v>28.826407404605146</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$B2&gt;=Analysis!$C$101),0,IF($B2=Analysis!$C$100,Analysis!$C$102,IF(($B2-Analysis!$C$100)&lt;LOOKUP(Analysis!$C$100,$B:$B,CN:CN),CR1,0)))</f>
        <v>3.6999999999999998E-2</v>
      </c>
      <c r="CS2" s="1">
        <f>IF(OR($B2&lt;Analysis!$C$100, $B2&gt;=Analysis!$C$101),0,IF($B2=Analysis!$C$100,-CR2*CM2,CR1*CQ1))</f>
        <v>-14319.573500000002</v>
      </c>
      <c r="CT2" s="1">
        <f>IF(OR($B2&lt;Analysis!$C$100, $B2&gt;=Analysis!$C$101),0,IF($B2=Analysis!$C$100,PMT(CR2,CN2,CM2)*CN2-CU2-CQ2,IF(($B2-Analysis!$C$100+1)&lt;LOOKUP(Analysis!$C$100,$B:$B,CN:CN),IF(CT1-CS2&lt;0, CT1-CS2,0),0)))</f>
        <v>-234572.11556912609</v>
      </c>
      <c r="CU2" s="1">
        <f>IF(OR($B2&lt;Analysis!$C$100, $B2&gt;=Analysis!$C$101),0,IF($B2=Analysis!$C$100,CP2+CS2,IF(CQ1&lt;0,IF(CQ1&gt;LOOKUP(Analysis!$C$100,$B:$B,CU:CU), CQ1*(1+CR1),CU1),0)))</f>
        <v>-22059.883500000004</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6345.0030178500001</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-78633.459260857417</v>
      </c>
      <c r="FM2" s="1">
        <f>$M2+$R2+DD2+IF(AND($B2&lt;&gt;Analysis!$C$130,$B2=Analysis!$C$101),DZ1+CQ1+CT1+CZ1,0)</f>
        <v>65865</v>
      </c>
      <c r="FN2" s="1">
        <f>FM2+FL2</f>
        <v>-12768.459260857417</v>
      </c>
      <c r="FO2" s="1">
        <f>IF(FN2&lt;0,Analysis!$C$7+FN2,Analysis!$C$7)</f>
        <v>11231.540739142583</v>
      </c>
      <c r="FP2" s="53"/>
      <c r="FQ2" s="1">
        <f>IF(Analysis!$C$6-Analysis!$C$7&gt;0,(Analysis!$C$6-Analysis!$C$7)*$U2,0)</f>
        <v>2549.01960784314</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((1+Analysis!$C$172)/(1+$S2))-1</f>
        <v>2.941176470588247E-2</v>
      </c>
      <c r="FY2" s="1">
        <f>IF($B2=Analysis!$C$159,(FW2*(1+Analysis!$C$23+Analysis!$C$24+Analysis!$C$25))-IF($B2=$B$2,(Analysis!$C$6-Analysis!$C$7+Analysis!$C$165), (HW1-Analysis!$C$7+GH2)),0)</f>
        <v>387015.50000000006</v>
      </c>
      <c r="FZ2" s="65">
        <f>IF($B2=Analysis!$C$159,NPER(GD2,-GG2,-FY2),0)</f>
        <v>28.826407404605146</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IF($B2&lt;Analysis!$C$159,0,IF($B2=Analysis!$C$159,Analysis!$C$160,IF(($B2-Analysis!$C$159)&lt;LOOKUP(Analysis!$C$159,$B:$B,FZ:FZ),GD1,0)))</f>
        <v>3.6999999999999998E-2</v>
      </c>
      <c r="GE2" s="1">
        <f>IF($B2&lt;Analysis!$C$159,0,IF($B2=Analysis!$C$159,-GD2*FY2,GD1*GC1))</f>
        <v>-14319.573500000002</v>
      </c>
      <c r="GF2" s="1">
        <f>IF($B2&lt;Analysis!$C$159,0,IF($B2=Analysis!$C$159,PMT(GD2,FZ2,FY2)*FZ2-GG2-GC2,IF(($B2-Analysis!$C$159+1)&lt;LOOKUP(Analysis!$C$159,$B:$B,FZ:FZ),IF(GF1-GE2&lt;0, GF1-GE2,0),0)))</f>
        <v>-234572.11556912609</v>
      </c>
      <c r="GG2" s="1">
        <f>IF($B2&lt;Analysis!$C$159,0,IF($B2=Analysis!$C$159,GB2+GE2,IF(GC1&lt;0,IF(GC1&gt;LOOKUP(Analysis!$C$159,$B:$B,GG:GG), GC1*(1+GD1),GG1),0)))</f>
        <v>-22059.883500000004</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IF($B2&lt;Analysis!$C$159,0,((1+Analysis!$C$174)/(1+$S2))-1)</f>
        <v>2.941176470588247E-2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6345.0030178500001</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-78633.459260857417</v>
      </c>
      <c r="HO2" s="1">
        <f t="shared" ref="HO2:HO52" si="8">$M2+$R2+$GP2</f>
        <v>65865</v>
      </c>
      <c r="HP2" s="1">
        <f>HO2+HN2</f>
        <v>-12768.459260857417</v>
      </c>
      <c r="HQ2" s="1">
        <f>IF(HP2&lt;0,Analysis!$C$7+HP2,Analysis!$C$7)</f>
        <v>11231.540739142583</v>
      </c>
      <c r="HR2" s="38"/>
      <c r="HS2" s="1">
        <f>IF(Analysis!$C$6-Analysis!$C$7&gt;0,(Analysis!$C$6-Analysis!$C$7)*$U2,0)</f>
        <v>2549.01960784314</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-423573.87104983191</v>
      </c>
      <c r="D3" s="1">
        <f>IF($B3&lt;Analysis!C$66, 0, BV3)+AT3+AW3+BC3+CG3+CA3</f>
        <v>-519488.94457924372</v>
      </c>
      <c r="E3" s="1">
        <f t="shared" si="1"/>
        <v>81797.10164222552</v>
      </c>
      <c r="F3" s="1">
        <f t="shared" ref="F3:F52" si="9">AL3+AF3</f>
        <v>80381.063142912055</v>
      </c>
      <c r="G3" s="1">
        <f>IF(AND($B3&gt;=Analysis!$C$100, $B3&lt;Analysis!$C$101),$CK3,0)+IF($B3&gt;=Analysis!$C$130,EB3,0)+CQ3+CT3+CZ3+EH3+EK3+EQ3+$FO3+$FT3</f>
        <v>-189951.24588085728</v>
      </c>
      <c r="H3" s="1">
        <f t="shared" ref="H3:H52" si="10">$DZ3+FJ3+CQ3+CT3+CZ3+EH3+EK3+EQ3+$FO3+$FU3</f>
        <v>-247639.29735144554</v>
      </c>
      <c r="I3" s="1">
        <f>IF($B3&lt;Analysis!$C$159,0,$FW3)+$GC3+$GF3+$GL3+$HQ3+$HV3</f>
        <v>-189951.24588085728</v>
      </c>
      <c r="J3" s="1">
        <f t="shared" si="2"/>
        <v>-247639.29735144554</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IF($B3=$B$2,((1+Analysis!$D$16)/(1+$S3))-1,IF(B3&lt;Analysis!$C$13,U2-((Analysis!$D$16-Analysis!$C$17)/(Analysis!$C$13-$B$2)),((1+Analysis!$C$17)/(1+$S2))-1))</f>
        <v>9.5753501400560326E-2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2819.8467402647366</v>
      </c>
      <c r="AI3" s="1">
        <f>IF(AE3 &gt;= 0,
    MAX(0, AF2 + AE3 - Analysis!$C$7),
    0)</f>
        <v>25528.235294117636</v>
      </c>
      <c r="AJ3" s="1">
        <f>MAX(0, AJ2 + AI3 - IF(AE3 &lt; 0, MIN(ABS(AE3), AJ2 + AI3), 0))</f>
        <v>52428.235294117636</v>
      </c>
      <c r="AK3" s="1">
        <f t="shared" ref="AK3:AK52" si="20">IF(AE3 &lt; 0,
    IF(AE3 + AF2 &lt; 0,
        MAX(0, AK2 - (ABS(AE3 + AF2) * (1+$V2))),
        AK2 + AH3),
    AK2 + AI3 + AH3)</f>
        <v>57797.101642225512</v>
      </c>
      <c r="AL3" s="1">
        <f t="shared" si="5"/>
        <v>56381.063142912062</v>
      </c>
      <c r="AM3" s="36"/>
      <c r="AN3" s="1">
        <f>AN2*(1+AO2)</f>
        <v>710294.11764705891</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-14390.096420000005</v>
      </c>
      <c r="AT3" s="1">
        <f>IF($B3&lt;Analysis!$C$66,0,IF($B3=Analysis!$C$66,-AP3-AS3,MIN(0,AT2-AS3)))</f>
        <v>-665566.24358000013</v>
      </c>
      <c r="AU3" s="64">
        <f>IF($B3&lt;Analysis!$C$66,0,IF($B3=Analysis!$C$66,Analysis!$C$72,IF(($B3-Analysis!$C$66)&lt;LOOKUP(Analysis!$C$66,$B:$B,AQ:AQ),AU2,0)))</f>
        <v>3.6999999999999998E-2</v>
      </c>
      <c r="AV3" s="1">
        <f>IF($B3&lt;Analysis!$C$66,0,IF($B3=Analysis!$C$66,-AU3*AP3,AU2*AT2))</f>
        <v>-25158.384580000002</v>
      </c>
      <c r="AW3" s="1">
        <f>IF($B3&lt;Analysis!$C$66,0,IF($B3=Analysis!$C$66,PMT(AU3,AQ3,AP3)*AQ3-AX3-AT3,IF(($B3-Analysis!$C$66+1)&lt;LOOKUP(Analysis!$C$66,$B:$B,AQ:AQ),IF(AW2-AV3&lt;0, AW2-AV3,0),0)))</f>
        <v>-395377.41995928466</v>
      </c>
      <c r="AX3" s="1">
        <f>IF($B3&lt;Analysis!$C$66,0,IF($B3=Analysis!$C$66,AS3+AV3,IF(AT2&lt;0,IF(AT2&gt;LOOKUP(Analysis!$C$66,$B:$B,AX:AX), AT2*(1+AU2),AX2),0)))</f>
        <v>-39548.481000000007</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-2130.8823529411766</v>
      </c>
      <c r="BF3" s="64">
        <f>IF($B3&lt;Analysis!$C$66,0,Analysis!$C$78)</f>
        <v>3.0000000000000001E-3</v>
      </c>
      <c r="BG3" s="1">
        <f>IF($B3&lt;Analysis!$C$66,0,-BH3*AN3)</f>
        <v>-5327.2058823529414</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-90562.500000000015</v>
      </c>
      <c r="BS3" s="64">
        <f>IF($B3&lt;Analysis!C$66,0,Analysis!C$31)</f>
        <v>0.1275</v>
      </c>
      <c r="BT3" s="1">
        <f>IF($B3&lt;Analysis!$C$66,0,AN3+BR3)</f>
        <v>619731.61764705891</v>
      </c>
      <c r="BU3" s="1">
        <f>IF($B3-Analysis!$C$66&gt;3,0,IF($AN3&gt;LOOKUP(Analysis!$C$66,$B:$B, AN:AN),$V3*(LOOKUP(Analysis!$C$66,$B:$B, AN:AN)-AN3),0))</f>
        <v>-5352.5735294117876</v>
      </c>
      <c r="BV3" s="1">
        <f t="shared" ref="BV3:BV52" si="23">BT3+BU3</f>
        <v>614379.04411764711</v>
      </c>
      <c r="BW3" s="42"/>
      <c r="BX3" s="1">
        <f>IF($B3&lt;Analysis!$C$66,$P3+$N3+$X3+$Z3,$P3+$N3+AS3+AV3+BB3+BE3+BG3+MAX(BI3,SUM(BJ3:BN3))+BP3)</f>
        <v>-107139.39801400153</v>
      </c>
      <c r="BY3" s="1">
        <f t="shared" ref="BY3:BY52" si="24">$M3+$R3</f>
        <v>95894.117647058811</v>
      </c>
      <c r="BZ3" s="1">
        <f>BY3+BX3</f>
        <v>-11245.280366942723</v>
      </c>
      <c r="CA3" s="1">
        <f>IF(BZ3 &lt; 0,
    IF(CA2 + BZ3 &gt; 0,
        CA2 + BZ3, IF(CF2-ABS(CA2 + BZ3)*(1+$V3) &gt;= CA2 + BZ3,
        0, CA2 + BZ3)),
    MIN(CA2 + BZ3, Analysis!$C$7))+IF(CA2&lt;0, CA2*Analysis!$C$9,0)</f>
        <v>-24341.694927946737</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427205.8823529412</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-8026.7014700000018</v>
      </c>
      <c r="CQ3" s="1">
        <f>IF(OR($B3&lt;Analysis!$C$100, $B3&gt;=Analysis!$C$101),0,IF($B3=Analysis!$C$100,-CM3-CP3,MIN(0,CQ2-CP3)))</f>
        <v>-371248.48853000003</v>
      </c>
      <c r="CR3" s="64">
        <f>IF(OR($B3&lt;Analysis!$C$100, $B3&gt;=Analysis!$C$101),0,IF($B3=Analysis!$C$100,Analysis!$C$102,IF(($B3-Analysis!$C$100)&lt;LOOKUP(Analysis!$C$100,$B:$B,CN:CN),CR2,0)))</f>
        <v>3.6999999999999998E-2</v>
      </c>
      <c r="CS3" s="1">
        <f>IF(OR($B3&lt;Analysis!$C$100, $B3&gt;=Analysis!$C$101),0,IF($B3=Analysis!$C$100,-CR3*CM3,CR2*CQ2))</f>
        <v>-14033.182030000002</v>
      </c>
      <c r="CT3" s="1">
        <f>IF(OR($B3&lt;Analysis!$C$100, $B3&gt;=Analysis!$C$101),0,IF($B3=Analysis!$C$100,PMT(CR3,CN3,CM3)*CN3-CU3-CQ3,IF(($B3-Analysis!$C$100+1)&lt;LOOKUP(Analysis!$C$100,$B:$B,CN:CN),IF(CT2-CS3&lt;0, CT2-CS3,0),0)))</f>
        <v>-220538.9335391261</v>
      </c>
      <c r="CU3" s="1">
        <f>IF(OR($B3&lt;Analysis!$C$100, $B3&gt;=Analysis!$C$101),0,IF($B3=Analysis!$C$100,CP3+CS3,IF(CQ2&lt;0,IF(CQ2&gt;LOOKUP(Analysis!$C$100,$B:$B,CU:CU), CQ2*(1+CR2),CU2),0)))</f>
        <v>-22059.883500000004</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14267.647058823532</v>
      </c>
      <c r="DC3" s="64">
        <f>IF(OR($B3&lt;Analysis!$C$100, $B3&gt;=Analysis!$C$101),0,((1+Analysis!$C$114)/(1+$S3))-1)</f>
        <v>2.941176470588247E-2</v>
      </c>
      <c r="DD3" s="1">
        <f t="shared" si="6"/>
        <v>19509.264705882357</v>
      </c>
      <c r="DE3" s="1">
        <f t="shared" ref="DE3:DE52" si="27">-DF3*CK3</f>
        <v>-1281.6176470588236</v>
      </c>
      <c r="DF3" s="64">
        <f>IF(OR($B3&lt;Analysis!$C$100, $B3&gt;=Analysis!$C$101),0,Analysis!$C$118)</f>
        <v>3.0000000000000001E-3</v>
      </c>
      <c r="DG3" s="1">
        <f t="shared" ref="DG3:DG52" si="28">-DH3*CK3</f>
        <v>-3204.044117647059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-1070.0735294117649</v>
      </c>
      <c r="DR3" s="1">
        <f t="shared" ref="DR3:DR52" si="29">DE3+DG3+MIN(DI3,SUM(DJ3:DN3))+DP3+DQ3</f>
        <v>-17815.735294117647</v>
      </c>
      <c r="DS3" s="1">
        <f>MIN(0,-(DB3+DR3)*Analysis!$C$28)-CS3*Analysis!$C$28</f>
        <v>6218.1029574929998</v>
      </c>
      <c r="DT3" s="1">
        <f>-Analysis!$C$116*DD3/12</f>
        <v>-1625.7720588235297</v>
      </c>
      <c r="DU3" s="53"/>
      <c r="DV3" s="1">
        <f t="shared" ref="DV3:DV52" si="30">-DW3*CK3</f>
        <v>-54468.750000000007</v>
      </c>
      <c r="DW3" s="64">
        <f>IF(OR($B3&lt;Analysis!$C$100, $B3&gt;=Analysis!$C$101),0,IF($B3=Analysis!$C$100,Analysis!$C$31,DW2))</f>
        <v>0.1275</v>
      </c>
      <c r="DX3" s="1">
        <f>IF(OR($B3&lt;Analysis!$C$100, $B3&gt;=Analysis!$C$101),0,CK3+DV3)</f>
        <v>372737.1323529412</v>
      </c>
      <c r="DY3" s="1">
        <f>IF(OR($B3&lt;Analysis!$C$100, $B3&gt;=Analysis!$C$101),0,IF($B3-Analysis!$C$100&gt;3,0,IF(CK3&gt;LOOKUP(Analysis!$C$100,$B:$B, CK:CK),$V3*(LOOKUP(Analysis!$C$100,$B:$B, CK:CK)-CK3),0)))</f>
        <v>-3219.3014705882424</v>
      </c>
      <c r="DZ3" s="1">
        <f>DX3+DY3</f>
        <v>369517.83088235295</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-103421.99902709677</v>
      </c>
      <c r="FM3" s="1">
        <f>$M3+$R3+DD3+IF(AND($B3&lt;&gt;Analysis!$C$130,$B3=Analysis!$C$101),DZ2+CQ2+CT2+CZ2,0)</f>
        <v>115403.38235294117</v>
      </c>
      <c r="FN3" s="1">
        <f t="shared" ref="FN3:FN52" si="34">FM3+FL3</f>
        <v>11981.383325844406</v>
      </c>
      <c r="FO3" s="1">
        <f>IF(FN3 &lt; 0,
    IF(FO2 + FN3 &gt; 0,
        FO2 + FN3, IF(FT2-ABS(FO2 + FN3)*(1+$V3) &gt;= FO2 + FN3,
        0, FO2 + FN3)),
    MIN(FO2 + FN3, Analysis!$C$7))+IF(FO2&lt;0, FO2*Analysis!$C$9,0)</f>
        <v>23212.92406498699</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427205.8823529412</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-8026.7014700000018</v>
      </c>
      <c r="GC3" s="1">
        <f>IF($B3&lt;Analysis!$C$159,0,IF($B3=Analysis!$C$159,-FY3-GB3,MIN(0,GC2-GB3)))</f>
        <v>-371248.48853000003</v>
      </c>
      <c r="GD3" s="64">
        <f>IF($B3&lt;Analysis!$C$159,0,IF($B3=Analysis!$C$159,Analysis!$C$160,IF(($B3-Analysis!$C$159)&lt;LOOKUP(Analysis!$C$159,$B:$B,FZ:FZ),GD2,0)))</f>
        <v>3.6999999999999998E-2</v>
      </c>
      <c r="GE3" s="1">
        <f>IF($B3&lt;Analysis!$C$159,0,IF($B3=Analysis!$C$159,-GD3*FY3,GD2*GC2))</f>
        <v>-14033.182030000002</v>
      </c>
      <c r="GF3" s="1">
        <f>IF($B3&lt;Analysis!$C$159,0,IF($B3=Analysis!$C$159,PMT(GD3,FZ3,FY3)*FZ3-GG3-GC3,IF(($B3-Analysis!$C$159+1)&lt;LOOKUP(Analysis!$C$159,$B:$B,FZ:FZ),IF(GF2-GE3&lt;0, GF2-GE3,0),0)))</f>
        <v>-220538.9335391261</v>
      </c>
      <c r="GG3" s="1">
        <f>IF($B3&lt;Analysis!$C$159,0,IF($B3=Analysis!$C$159,GB3+GE3,IF(GC2&lt;0,IF(GC2&gt;LOOKUP(Analysis!$C$159,$B:$B,GG:GG), GC2*(1+GD2),GG2),0)))</f>
        <v>-22059.883500000004</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14267.647058823532</v>
      </c>
      <c r="GO3" s="64">
        <f>IF($B3&lt;Analysis!$C$159,0,((1+Analysis!$C$174)/(1+$S3))-1)</f>
        <v>2.941176470588247E-2</v>
      </c>
      <c r="GP3" s="1">
        <f t="shared" si="7"/>
        <v>19509.264705882357</v>
      </c>
      <c r="GQ3" s="1">
        <f t="shared" ref="GQ3:GQ52" si="36">-GR3*FW3</f>
        <v>-1281.6176470588236</v>
      </c>
      <c r="GR3" s="64">
        <f>IF($B3&lt;Analysis!$C$159,0,Analysis!$C$178)</f>
        <v>3.0000000000000001E-3</v>
      </c>
      <c r="GS3" s="1">
        <f t="shared" ref="GS3:GS52" si="37">-GT3*FW3</f>
        <v>-3204.044117647059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-1070.0735294117649</v>
      </c>
      <c r="HD3" s="1">
        <f t="shared" ref="HD3:HD52" si="38">GQ3+GS3+MIN(GU3,SUM(GV3:GZ3))+HB3+HC3</f>
        <v>-17815.735294117647</v>
      </c>
      <c r="HE3" s="1">
        <f>MIN(0,-(GN3+HD3)*Analysis!$C$28)-GE3*Analysis!$C$28</f>
        <v>6218.1029574929998</v>
      </c>
      <c r="HF3" s="1">
        <f>-Analysis!$C$176*GP3/12</f>
        <v>-1625.7720588235297</v>
      </c>
      <c r="HG3" s="38"/>
      <c r="HH3" s="1">
        <f>IF($B3&lt;Analysis!$C$159,0,-$HI3*$FW3)</f>
        <v>-54468.750000000007</v>
      </c>
      <c r="HI3" s="64">
        <f>IF($B3&lt;Analysis!$C$159,0,IF($B3=Analysis!$C$159,Analysis!$C$31,HI2))</f>
        <v>0.1275</v>
      </c>
      <c r="HJ3" s="1">
        <f>IF($B3&lt;Analysis!$C$159,0,$FW3+HH3)</f>
        <v>372737.1323529412</v>
      </c>
      <c r="HK3" s="1">
        <f>IF($B3-Analysis!$C$159&gt;10,0,IF($FW3&gt;LOOKUP(Analysis!$C$159,$B:$B, FW:FW),$V3*(LOOKUP(Analysis!$C$159,$B:$B, FW:FW)-FW3),0))</f>
        <v>-3219.3014705882424</v>
      </c>
      <c r="HL3" s="1">
        <f t="shared" ref="HL3:HL52" si="39">HJ3+HK3</f>
        <v>369517.83088235295</v>
      </c>
      <c r="HM3" s="38"/>
      <c r="HN3" s="1">
        <f t="shared" ref="HN3:HN52" si="40">$P3+$N3+$X3+$Z3+GB3+GE3+GK3+GQ3+GS3+MIN(GU3,SUM(GV3:GZ3))+HC3+HE3+HF3</f>
        <v>-103421.99902709677</v>
      </c>
      <c r="HO3" s="1">
        <f t="shared" si="8"/>
        <v>115403.38235294117</v>
      </c>
      <c r="HP3" s="1">
        <f t="shared" ref="HP3:HP52" si="41">HO3+HN3</f>
        <v>11981.383325844406</v>
      </c>
      <c r="HQ3" s="1">
        <f>IF(HP3 &lt; 0,
    IF(HQ2 + HP3 &gt; 0,
        HQ2 + HP3, IF(HV2-ABS(HQ2 + HP3)*(1+$V3) &gt;= HQ2 + HP3,
        0, HQ2 + HP3)),
    MIN(HQ2 + HP3, Analysis!$C$7))+IF(HQ2&lt;0, HQ2*Analysis!$C$9,0)</f>
        <v>23212.92406498699</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-396520.58813195693</v>
      </c>
      <c r="D4" s="1">
        <f>IF($B4&lt;Analysis!C$66, 0, BV4)+AT4+AW4+BC4+CG4+CA4</f>
        <v>-500609.26676517498</v>
      </c>
      <c r="E4" s="1">
        <f t="shared" si="1"/>
        <v>86200.860529877886</v>
      </c>
      <c r="F4" s="1">
        <f t="shared" si="9"/>
        <v>83096.670243323286</v>
      </c>
      <c r="G4" s="1">
        <f>IF(AND($B4&gt;=Analysis!$C$100, $B4&lt;Analysis!$C$101),$CK4,0)+IF($B4&gt;=Analysis!$C$130,EB4,0)+CQ4+CT4+CZ4+EH4+EK4+EQ4+$FO4+$FT4</f>
        <v>-163674.69395204441</v>
      </c>
      <c r="H4" s="1">
        <f t="shared" si="10"/>
        <v>-226278.75428941468</v>
      </c>
      <c r="I4" s="1">
        <f>IF($B4&lt;Analysis!$C$159,0,$FW4)+$GC4+$GF4+$GL4+$HQ4+$HV4</f>
        <v>-163674.69395204441</v>
      </c>
      <c r="J4" s="1">
        <f t="shared" si="2"/>
        <v>-226278.75428941468</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IF($B4=$B$2,((1+Analysis!$D$16)/(1+$S4))-1,IF(B4&lt;Analysis!$C$13,U3-((Analysis!$D$16-Analysis!$C$17)/(Analysis!$C$13-$B$2)),((1+Analysis!$C$17)/(1+$S3))-1))</f>
        <v>9.3467787114846046E-2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5402.1671921506531</v>
      </c>
      <c r="AI4" s="1">
        <f>IF(AE4 &gt;= 0,
    MAX(0, AF3 + AE4 - Analysis!$C$7),
    0)</f>
        <v>0</v>
      </c>
      <c r="AJ4" s="1">
        <f t="shared" ref="AJ4:AJ52" si="44">MAX(0, AJ3 + AI4 - IF(AE4 &lt; 0, MIN(ABS(AE4), AJ3 + AI4), 0))</f>
        <v>51429.82698961936</v>
      </c>
      <c r="AK4" s="1">
        <f t="shared" si="20"/>
        <v>63199.268834376169</v>
      </c>
      <c r="AL4" s="1">
        <f t="shared" si="5"/>
        <v>60095.078547821562</v>
      </c>
      <c r="AM4" s="36"/>
      <c r="AN4" s="1">
        <f t="shared" ref="AN4:AN52" si="45">AN3*(1+AO3)</f>
        <v>731185.12110726663</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-14922.529987540005</v>
      </c>
      <c r="AT4" s="1">
        <f>IF($B4&lt;Analysis!$C$66,0,IF($B4=Analysis!$C$66,-AP4-AS4,MIN(0,AT3-AS4)))</f>
        <v>-650643.71359246015</v>
      </c>
      <c r="AU4" s="64">
        <f>IF($B4&lt;Analysis!$C$66,0,IF($B4=Analysis!$C$66,Analysis!$C$72,IF(($B4-Analysis!$C$66)&lt;LOOKUP(Analysis!$C$66,$B:$B,AQ:AQ),AU3,0)))</f>
        <v>3.6999999999999998E-2</v>
      </c>
      <c r="AV4" s="1">
        <f>IF($B4&lt;Analysis!$C$66,0,IF($B4=Analysis!$C$66,-AU4*AP4,AU3*AT3))</f>
        <v>-24625.951012460002</v>
      </c>
      <c r="AW4" s="1">
        <f>IF($B4&lt;Analysis!$C$66,0,IF($B4=Analysis!$C$66,PMT(AU4,AQ4,AP4)*AQ4-AX4-AT4,IF(($B4-Analysis!$C$66+1)&lt;LOOKUP(Analysis!$C$66,$B:$B,AQ:AQ),IF(AW3-AV4&lt;0, AW3-AV4,0),0)))</f>
        <v>-370751.46894682467</v>
      </c>
      <c r="AX4" s="1">
        <f>IF($B4&lt;Analysis!$C$66,0,IF($B4=Analysis!$C$66,AS4+AV4,IF(AT3&lt;0,IF(AT3&gt;LOOKUP(Analysis!$C$66,$B:$B,AX:AX), AT3*(1+AU3),AX3),0)))</f>
        <v>-39548.481000000007</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-2193.5553633218001</v>
      </c>
      <c r="BF4" s="64">
        <f>IF($B4&lt;Analysis!$C$66,0,Analysis!$C$78)</f>
        <v>3.0000000000000001E-3</v>
      </c>
      <c r="BG4" s="1">
        <f>IF($B4&lt;Analysis!$C$66,0,-BH4*AN4)</f>
        <v>-5483.8884083044995</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-93226.10294117649</v>
      </c>
      <c r="BS4" s="64">
        <f>IF($B4&lt;Analysis!C$66,0,Analysis!C$31)</f>
        <v>0.1275</v>
      </c>
      <c r="BT4" s="1">
        <f>IF($B4&lt;Analysis!$C$66,0,AN4+BR4)</f>
        <v>637959.01816609013</v>
      </c>
      <c r="BU4" s="1">
        <f>IF($B4-Analysis!$C$66&gt;3,0,IF($AN4&gt;LOOKUP(Analysis!$C$66,$B:$B, AN:AN),$V4*(LOOKUP(Analysis!$C$66,$B:$B, AN:AN)-AN4),0))</f>
        <v>-10862.575692041573</v>
      </c>
      <c r="BV4" s="1">
        <f>BT4+BU4</f>
        <v>627096.44247404858</v>
      </c>
      <c r="BW4" s="42"/>
      <c r="BX4" s="1">
        <f>IF($B4&lt;Analysis!$C$66,$P4+$N4+$X4+$Z4,$P4+$N4+AS4+AV4+BB4+BE4+BG4+MAX(BI4,SUM(BJ4:BN4))+BP4)</f>
        <v>-85458.753550333728</v>
      </c>
      <c r="BY4" s="1">
        <f t="shared" si="24"/>
        <v>47947.058823529405</v>
      </c>
      <c r="BZ4" s="1">
        <f t="shared" ref="BZ4:BZ52" si="46">BY4+BX4</f>
        <v>-37511.694726804322</v>
      </c>
      <c r="CA4" s="1">
        <f>IF(BZ4 &lt; 0,
    IF(CA3 + BZ4 &gt; 0,
        CA3 + BZ4, IF(CF3-ABS(CA3 + BZ4)*(1+$V4) &gt;= CA3 + BZ4,
        0, CA3 + BZ4)),
    MIN(CA3 + BZ4, Analysis!$C$7))+IF(CA3&lt;0, CA3*Analysis!$C$9,0)</f>
        <v>-63800.725248986797</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439770.7612456748</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-8323.6894243900024</v>
      </c>
      <c r="CQ4" s="1">
        <f>IF(OR($B4&lt;Analysis!$C$100, $B4&gt;=Analysis!$C$101),0,IF($B4=Analysis!$C$100,-CM4-CP4,MIN(0,CQ3-CP4)))</f>
        <v>-362924.79910561</v>
      </c>
      <c r="CR4" s="64">
        <f>IF(OR($B4&lt;Analysis!$C$100, $B4&gt;=Analysis!$C$101),0,IF($B4=Analysis!$C$100,Analysis!$C$102,IF(($B4-Analysis!$C$100)&lt;LOOKUP(Analysis!$C$100,$B:$B,CN:CN),CR3,0)))</f>
        <v>3.6999999999999998E-2</v>
      </c>
      <c r="CS4" s="1">
        <f>IF(OR($B4&lt;Analysis!$C$100, $B4&gt;=Analysis!$C$101),0,IF($B4=Analysis!$C$100,-CR4*CM4,CR3*CQ3))</f>
        <v>-13736.194075610001</v>
      </c>
      <c r="CT4" s="1">
        <f>IF(OR($B4&lt;Analysis!$C$100, $B4&gt;=Analysis!$C$101),0,IF($B4=Analysis!$C$100,PMT(CR4,CN4,CM4)*CN4-CU4-CQ4,IF(($B4-Analysis!$C$100+1)&lt;LOOKUP(Analysis!$C$100,$B:$B,CN:CN),IF(CT3-CS4&lt;0, CT3-CS4,0),0)))</f>
        <v>-206802.7394635161</v>
      </c>
      <c r="CU4" s="1">
        <f>IF(OR($B4&lt;Analysis!$C$100, $B4&gt;=Analysis!$C$101),0,IF($B4=Analysis!$C$100,CP4+CS4,IF(CQ3&lt;0,IF(CQ3&gt;LOOKUP(Analysis!$C$100,$B:$B,CU:CU), CQ3*(1+CR3),CU3),0)))</f>
        <v>-22059.883500000004</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14687.283737024225</v>
      </c>
      <c r="DC4" s="64">
        <f>IF(OR($B4&lt;Analysis!$C$100, $B4&gt;=Analysis!$C$101),0,((1+Analysis!$C$114)/(1+$S4))-1)</f>
        <v>2.941176470588247E-2</v>
      </c>
      <c r="DD4" s="1">
        <f t="shared" si="6"/>
        <v>19966.596020761252</v>
      </c>
      <c r="DE4" s="1">
        <f t="shared" si="27"/>
        <v>-1319.3122837370245</v>
      </c>
      <c r="DF4" s="64">
        <f>IF(OR($B4&lt;Analysis!$C$100, $B4&gt;=Analysis!$C$101),0,Analysis!$C$118)</f>
        <v>3.0000000000000001E-3</v>
      </c>
      <c r="DG4" s="1">
        <f t="shared" si="28"/>
        <v>-3298.2807093425608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-1101.5462802768168</v>
      </c>
      <c r="DR4" s="1">
        <f t="shared" si="29"/>
        <v>-17979.139273356403</v>
      </c>
      <c r="DS4" s="1">
        <f>MIN(0,-(DB4+DR4)*Analysis!$C$28)-CS4*Analysis!$C$28</f>
        <v>6086.5075949027905</v>
      </c>
      <c r="DT4" s="1">
        <f>-Analysis!$C$116*DD4/12</f>
        <v>-1663.8830017301043</v>
      </c>
      <c r="DU4" s="53"/>
      <c r="DV4" s="1">
        <f t="shared" si="30"/>
        <v>-56070.772058823539</v>
      </c>
      <c r="DW4" s="64">
        <f>IF(OR($B4&lt;Analysis!$C$100, $B4&gt;=Analysis!$C$101),0,IF($B4=Analysis!$C$100,Analysis!$C$31,DW3))</f>
        <v>0.1275</v>
      </c>
      <c r="DX4" s="1">
        <f>IF(OR($B4&lt;Analysis!$C$100, $B4&gt;=Analysis!$C$101),0,CK4+DV4)</f>
        <v>383699.98918685125</v>
      </c>
      <c r="DY4" s="1">
        <f>IF(OR($B4&lt;Analysis!$C$100, $B4&gt;=Analysis!$C$101),0,IF($B4-Analysis!$C$100&gt;3,0,IF(CK4&gt;LOOKUP(Analysis!$C$100,$B:$B, CK:CK),$V4*(LOOKUP(Analysis!$C$100,$B:$B, CK:CK)-CK4),0)))</f>
        <v>-6533.2882785467291</v>
      </c>
      <c r="DZ4" s="1">
        <f t="shared" ref="DZ4:DZ52" si="49">DX4+DY4</f>
        <v>377166.70090830454</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-82334.694086918826</v>
      </c>
      <c r="FM4" s="1">
        <f>$M4+$R4+DD4+IF(AND($B4&lt;&gt;Analysis!$C$130,$B4=Analysis!$C$101),DZ3+CQ3+CT3+CZ3,0)</f>
        <v>67913.654844290664</v>
      </c>
      <c r="FN4" s="1">
        <f t="shared" si="34"/>
        <v>-14421.039242628161</v>
      </c>
      <c r="FO4" s="1">
        <f>IF(FN4 &lt; 0,
    IF(FO3 + FN4 &gt; 0,
        FO3 + FN4, IF(FT3-ABS(FO3 + FN4)*(1+$V4) &gt;= FO3 + FN4,
        0, FO3 + FN4)),
    MIN(FO3 + FN4, Analysis!$C$7))+IF(FO3&lt;0, FO3*Analysis!$C$9,0)</f>
        <v>8791.8848223588284</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439770.7612456748</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-8323.6894243900024</v>
      </c>
      <c r="GC4" s="1">
        <f>IF($B4&lt;Analysis!$C$159,0,IF($B4=Analysis!$C$159,-FY4-GB4,MIN(0,GC3-GB4)))</f>
        <v>-362924.79910561</v>
      </c>
      <c r="GD4" s="64">
        <f>IF($B4&lt;Analysis!$C$159,0,IF($B4=Analysis!$C$159,Analysis!$C$160,IF(($B4-Analysis!$C$159)&lt;LOOKUP(Analysis!$C$159,$B:$B,FZ:FZ),GD3,0)))</f>
        <v>3.6999999999999998E-2</v>
      </c>
      <c r="GE4" s="1">
        <f>IF($B4&lt;Analysis!$C$159,0,IF($B4=Analysis!$C$159,-GD4*FY4,GD3*GC3))</f>
        <v>-13736.194075610001</v>
      </c>
      <c r="GF4" s="1">
        <f>IF($B4&lt;Analysis!$C$159,0,IF($B4=Analysis!$C$159,PMT(GD4,FZ4,FY4)*FZ4-GG4-GC4,IF(($B4-Analysis!$C$159+1)&lt;LOOKUP(Analysis!$C$159,$B:$B,FZ:FZ),IF(GF3-GE4&lt;0, GF3-GE4,0),0)))</f>
        <v>-206802.7394635161</v>
      </c>
      <c r="GG4" s="1">
        <f>IF($B4&lt;Analysis!$C$159,0,IF($B4=Analysis!$C$159,GB4+GE4,IF(GC3&lt;0,IF(GC3&gt;LOOKUP(Analysis!$C$159,$B:$B,GG:GG), GC3*(1+GD3),GG3),0)))</f>
        <v>-22059.883500000004</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14687.283737024225</v>
      </c>
      <c r="GO4" s="64">
        <f>IF($B4&lt;Analysis!$C$159,0,((1+Analysis!$C$174)/(1+$S4))-1)</f>
        <v>2.941176470588247E-2</v>
      </c>
      <c r="GP4" s="1">
        <f t="shared" si="7"/>
        <v>19966.596020761252</v>
      </c>
      <c r="GQ4" s="1">
        <f t="shared" si="36"/>
        <v>-1319.3122837370245</v>
      </c>
      <c r="GR4" s="64">
        <f>IF($B4&lt;Analysis!$C$159,0,Analysis!$C$178)</f>
        <v>3.0000000000000001E-3</v>
      </c>
      <c r="GS4" s="1">
        <f t="shared" si="37"/>
        <v>-3298.2807093425608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-1101.5462802768168</v>
      </c>
      <c r="HD4" s="1">
        <f t="shared" si="38"/>
        <v>-17979.139273356403</v>
      </c>
      <c r="HE4" s="1">
        <f>MIN(0,-(GN4+HD4)*Analysis!$C$28)-GE4*Analysis!$C$28</f>
        <v>6086.5075949027905</v>
      </c>
      <c r="HF4" s="1">
        <f>-Analysis!$C$176*GP4/12</f>
        <v>-1663.8830017301043</v>
      </c>
      <c r="HG4" s="38"/>
      <c r="HH4" s="1">
        <f>IF($B4&lt;Analysis!$C$159,0,-$HI4*$FW4)</f>
        <v>-56070.772058823539</v>
      </c>
      <c r="HI4" s="64">
        <f>IF($B4&lt;Analysis!$C$159,0,IF($B4=Analysis!$C$159,Analysis!$C$31,HI3))</f>
        <v>0.1275</v>
      </c>
      <c r="HJ4" s="1">
        <f>IF($B4&lt;Analysis!$C$159,0,$FW4+HH4)</f>
        <v>383699.98918685125</v>
      </c>
      <c r="HK4" s="1">
        <f>IF($B4-Analysis!$C$159&gt;10,0,IF($FW4&gt;LOOKUP(Analysis!$C$159,$B:$B, FW:FW),$V4*(LOOKUP(Analysis!$C$159,$B:$B, FW:FW)-FW4),0))</f>
        <v>-6533.2882785467291</v>
      </c>
      <c r="HL4" s="1">
        <f t="shared" si="39"/>
        <v>377166.70090830454</v>
      </c>
      <c r="HM4" s="38"/>
      <c r="HN4" s="1">
        <f t="shared" si="40"/>
        <v>-82334.694086918826</v>
      </c>
      <c r="HO4" s="1">
        <f t="shared" si="8"/>
        <v>67913.654844290664</v>
      </c>
      <c r="HP4" s="1">
        <f t="shared" si="41"/>
        <v>-14421.039242628161</v>
      </c>
      <c r="HQ4" s="1">
        <f>IF(HP4 &lt; 0,
    IF(HQ3 + HP4 &gt; 0,
        HQ3 + HP4, IF(HV3-ABS(HQ3 + HP4)*(1+$V4) &gt;= HQ3 + HP4,
        0, HQ3 + HP4)),
    MIN(HQ3 + HP4, Analysis!$C$7))+IF(HQ3&lt;0, HQ3*Analysis!$C$9,0)</f>
        <v>8791.8848223588284</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-343530.03614610882</v>
      </c>
      <c r="D5" s="1">
        <f>IF($B5&lt;Analysis!C$66, 0, BV5)+AT5+AW5+BC5+CG5+CA5</f>
        <v>-456032.7200332451</v>
      </c>
      <c r="E5" s="1">
        <f t="shared" si="1"/>
        <v>119176.75973450429</v>
      </c>
      <c r="F5" s="1">
        <f t="shared" si="9"/>
        <v>114552.67305996163</v>
      </c>
      <c r="G5" s="1">
        <f>IF(AND($B5&gt;=Analysis!$C$100, $B5&lt;Analysis!$C$101),$CK5,0)+IF($B5&gt;=Analysis!$C$130,EB5,0)+CQ5+CT5+CZ5+EH5+EK5+EQ5+$FO5+$FT5</f>
        <v>-108690.04357288136</v>
      </c>
      <c r="H5" s="1">
        <f t="shared" si="10"/>
        <v>-176354.70127311553</v>
      </c>
      <c r="I5" s="1">
        <f>IF($B5&lt;Analysis!$C$159,0,$FW5)+$GC5+$GF5+$GL5+$HQ5+$HV5</f>
        <v>-108690.04357288136</v>
      </c>
      <c r="J5" s="1">
        <f t="shared" si="2"/>
        <v>-176354.70127311553</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IF($B5=$B$2,((1+Analysis!$D$16)/(1+$S5))-1,IF(B5&lt;Analysis!$C$13,U4-((Analysis!$D$16-Analysis!$C$17)/(Analysis!$C$13-$B$2)),((1+Analysis!$C$17)/(1+$S4))-1))</f>
        <v>9.1182072829131766E-2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5762.6403336039657</v>
      </c>
      <c r="AI5" s="1">
        <f>IF(AE5 &gt;= 0,
    MAX(0, AF4 + AE5 - Analysis!$C$7),
    0)</f>
        <v>26214.850566524146</v>
      </c>
      <c r="AJ5" s="1">
        <f t="shared" si="44"/>
        <v>77644.677556143506</v>
      </c>
      <c r="AK5" s="1">
        <f t="shared" si="20"/>
        <v>95176.759734504289</v>
      </c>
      <c r="AL5" s="1">
        <f t="shared" si="5"/>
        <v>90552.673059961628</v>
      </c>
      <c r="AM5" s="36"/>
      <c r="AN5" s="1">
        <f t="shared" si="45"/>
        <v>752690.5658457157</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-15474.663597078983</v>
      </c>
      <c r="AT5" s="1">
        <f>IF($B5&lt;Analysis!$C$66,0,IF($B5=Analysis!$C$66,-AP5-AS5,MIN(0,AT4-AS5)))</f>
        <v>-635169.04999538115</v>
      </c>
      <c r="AU5" s="64">
        <f>IF($B5&lt;Analysis!$C$66,0,IF($B5=Analysis!$C$66,Analysis!$C$72,IF(($B5-Analysis!$C$66)&lt;LOOKUP(Analysis!$C$66,$B:$B,AQ:AQ),AU4,0)))</f>
        <v>3.6999999999999998E-2</v>
      </c>
      <c r="AV5" s="1">
        <f>IF($B5&lt;Analysis!$C$66,0,IF($B5=Analysis!$C$66,-AU5*AP5,AU4*AT4))</f>
        <v>-24073.817402921024</v>
      </c>
      <c r="AW5" s="1">
        <f>IF($B5&lt;Analysis!$C$66,0,IF($B5=Analysis!$C$66,PMT(AU5,AQ5,AP5)*AQ5-AX5-AT5,IF(($B5-Analysis!$C$66+1)&lt;LOOKUP(Analysis!$C$66,$B:$B,AQ:AQ),IF(AW4-AV5&lt;0, AW4-AV5,0),0)))</f>
        <v>-346677.65154390363</v>
      </c>
      <c r="AX5" s="1">
        <f>IF($B5&lt;Analysis!$C$66,0,IF($B5=Analysis!$C$66,AS5+AV5,IF(AT4&lt;0,IF(AT4&gt;LOOKUP(Analysis!$C$66,$B:$B,AX:AX), AT4*(1+AU4),AX4),0)))</f>
        <v>-39548.481000000007</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-2258.071697537147</v>
      </c>
      <c r="BF5" s="64">
        <f>IF($B5&lt;Analysis!$C$66,0,Analysis!$C$78)</f>
        <v>3.0000000000000001E-3</v>
      </c>
      <c r="BG5" s="1">
        <f>IF($B5&lt;Analysis!$C$66,0,-BH5*AN5)</f>
        <v>-5645.1792438428674</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-95968.047145328746</v>
      </c>
      <c r="BS5" s="64">
        <f>IF($B5&lt;Analysis!C$66,0,Analysis!C$31)</f>
        <v>0.1275</v>
      </c>
      <c r="BT5" s="1">
        <f>IF($B5&lt;Analysis!$C$66,0,AN5+BR5)</f>
        <v>656722.51870038698</v>
      </c>
      <c r="BU5" s="1">
        <f>IF($B5-Analysis!$C$66&gt;3,0,IF($AN5&gt;LOOKUP(Analysis!$C$66,$B:$B, AN:AN),$V5*(LOOKUP(Analysis!$C$66,$B:$B, AN:AN)-AN5),0))</f>
        <v>-16534.636741807513</v>
      </c>
      <c r="BV5" s="1">
        <f t="shared" si="23"/>
        <v>640187.88195857941</v>
      </c>
      <c r="BW5" s="42"/>
      <c r="BX5" s="1">
        <f>IF($B5&lt;Analysis!$C$66,$P5+$N5+$X5+$Z5,$P5+$N5+AS5+AV5+BB5+BE5+BG5+MAX(BI5,SUM(BJ5:BN5))+BP5)</f>
        <v>-109684.56072008744</v>
      </c>
      <c r="BY5" s="1">
        <f t="shared" si="24"/>
        <v>100652.41620869798</v>
      </c>
      <c r="BZ5" s="1">
        <f t="shared" si="46"/>
        <v>-9032.1445113894588</v>
      </c>
      <c r="CA5" s="1">
        <f>IF(BZ5 &lt; 0,
    IF(CA4 + BZ5 &gt; 0,
        CA4 + BZ5, IF(CF4-ABS(CA4 + BZ5)*(1+$V5) &gt;= CA4 + BZ5,
        0, CA4 + BZ5)),
    MIN(CA4 + BZ5, Analysis!$C$7))+IF(CA4&lt;0, CA4*Analysis!$C$9,0)</f>
        <v>-77936.927780295198</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452705.1953999594</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-8631.665933092434</v>
      </c>
      <c r="CQ5" s="1">
        <f>IF(OR($B5&lt;Analysis!$C$100, $B5&gt;=Analysis!$C$101),0,IF($B5=Analysis!$C$100,-CM5-CP5,MIN(0,CQ4-CP5)))</f>
        <v>-354293.13317251758</v>
      </c>
      <c r="CR5" s="64">
        <f>IF(OR($B5&lt;Analysis!$C$100, $B5&gt;=Analysis!$C$101),0,IF($B5=Analysis!$C$100,Analysis!$C$102,IF(($B5-Analysis!$C$100)&lt;LOOKUP(Analysis!$C$100,$B:$B,CN:CN),CR4,0)))</f>
        <v>3.6999999999999998E-2</v>
      </c>
      <c r="CS5" s="1">
        <f>IF(OR($B5&lt;Analysis!$C$100, $B5&gt;=Analysis!$C$101),0,IF($B5=Analysis!$C$100,-CR5*CM5,CR4*CQ4))</f>
        <v>-13428.21756690757</v>
      </c>
      <c r="CT5" s="1">
        <f>IF(OR($B5&lt;Analysis!$C$100, $B5&gt;=Analysis!$C$101),0,IF($B5=Analysis!$C$100,PMT(CR5,CN5,CM5)*CN5-CU5-CQ5,IF(($B5-Analysis!$C$100+1)&lt;LOOKUP(Analysis!$C$100,$B:$B,CN:CN),IF(CT4-CS5&lt;0, CT4-CS5,0),0)))</f>
        <v>-193374.52189660852</v>
      </c>
      <c r="CU5" s="1">
        <f>IF(OR($B5&lt;Analysis!$C$100, $B5&gt;=Analysis!$C$101),0,IF($B5=Analysis!$C$100,CP5+CS5,IF(CQ4&lt;0,IF(CQ4&gt;LOOKUP(Analysis!$C$100,$B:$B,CU:CU), CQ4*(1+CR4),CU4),0)))</f>
        <v>-22059.883500000004</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15119.262670466116</v>
      </c>
      <c r="DC5" s="64">
        <f>IF(OR($B5&lt;Analysis!$C$100, $B5&gt;=Analysis!$C$101),0,((1+Analysis!$C$114)/(1+$S5))-1)</f>
        <v>2.941176470588247E-2</v>
      </c>
      <c r="DD5" s="1">
        <f t="shared" si="6"/>
        <v>20437.378256665994</v>
      </c>
      <c r="DE5" s="1">
        <f t="shared" si="27"/>
        <v>-1358.1155861998782</v>
      </c>
      <c r="DF5" s="64">
        <f>IF(OR($B5&lt;Analysis!$C$100, $B5&gt;=Analysis!$C$101),0,Analysis!$C$118)</f>
        <v>3.0000000000000001E-3</v>
      </c>
      <c r="DG5" s="1">
        <f t="shared" si="28"/>
        <v>-3395.2889654996952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-1133.9447002849586</v>
      </c>
      <c r="DR5" s="1">
        <f t="shared" si="29"/>
        <v>-18147.349251984535</v>
      </c>
      <c r="DS5" s="1">
        <f>MIN(0,-(DB5+DR5)*Analysis!$C$28)-CS5*Analysis!$C$28</f>
        <v>5950.0432038967429</v>
      </c>
      <c r="DT5" s="1">
        <f>-Analysis!$C$116*DD5/12</f>
        <v>-1703.1148547221662</v>
      </c>
      <c r="DU5" s="53"/>
      <c r="DV5" s="1">
        <f t="shared" si="30"/>
        <v>-57719.912413494822</v>
      </c>
      <c r="DW5" s="64">
        <f>IF(OR($B5&lt;Analysis!$C$100, $B5&gt;=Analysis!$C$101),0,IF($B5=Analysis!$C$100,Analysis!$C$31,DW4))</f>
        <v>0.1275</v>
      </c>
      <c r="DX5" s="1">
        <f>IF(OR($B5&lt;Analysis!$C$100, $B5&gt;=Analysis!$C$101),0,CK5+DV5)</f>
        <v>394985.28298646456</v>
      </c>
      <c r="DY5" s="1">
        <f>IF(OR($B5&lt;Analysis!$C$100, $B5&gt;=Analysis!$C$101),0,IF($B5-Analysis!$C$100&gt;3,0,IF(CK5&gt;LOOKUP(Analysis!$C$100,$B:$B, CK:CK),$V5*(LOOKUP(Analysis!$C$100,$B:$B, CK:CK)-CK5),0)))</f>
        <v>-9944.7452867392913</v>
      </c>
      <c r="DZ5" s="1">
        <f t="shared" si="49"/>
        <v>385040.53769972525</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-107172.29051919295</v>
      </c>
      <c r="FM5" s="1">
        <f>$M5+$R5+DD5+IF(AND($B5&lt;&gt;Analysis!$C$130,$B5=Analysis!$C$101),DZ4+CQ4+CT4+CZ4,0)</f>
        <v>121089.79446536397</v>
      </c>
      <c r="FN5" s="1">
        <f t="shared" si="34"/>
        <v>13917.503946171026</v>
      </c>
      <c r="FO5" s="1">
        <f>IF(FN5 &lt; 0,
    IF(FO4 + FN5 &gt; 0,
        FO4 + FN5, IF(FT4-ABS(FO4 + FN5)*(1+$V5) &gt;= FO4 + FN5,
        0, FO4 + FN5)),
    MIN(FO4 + FN5, Analysis!$C$7))+IF(FO4&lt;0, FO4*Analysis!$C$9,0)</f>
        <v>22709.388768529854</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452705.1953999594</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-8631.665933092434</v>
      </c>
      <c r="GC5" s="1">
        <f>IF($B5&lt;Analysis!$C$159,0,IF($B5=Analysis!$C$159,-FY5-GB5,MIN(0,GC4-GB5)))</f>
        <v>-354293.13317251758</v>
      </c>
      <c r="GD5" s="64">
        <f>IF($B5&lt;Analysis!$C$159,0,IF($B5=Analysis!$C$159,Analysis!$C$160,IF(($B5-Analysis!$C$159)&lt;LOOKUP(Analysis!$C$159,$B:$B,FZ:FZ),GD4,0)))</f>
        <v>3.6999999999999998E-2</v>
      </c>
      <c r="GE5" s="1">
        <f>IF($B5&lt;Analysis!$C$159,0,IF($B5=Analysis!$C$159,-GD5*FY5,GD4*GC4))</f>
        <v>-13428.21756690757</v>
      </c>
      <c r="GF5" s="1">
        <f>IF($B5&lt;Analysis!$C$159,0,IF($B5=Analysis!$C$159,PMT(GD5,FZ5,FY5)*FZ5-GG5-GC5,IF(($B5-Analysis!$C$159+1)&lt;LOOKUP(Analysis!$C$159,$B:$B,FZ:FZ),IF(GF4-GE5&lt;0, GF4-GE5,0),0)))</f>
        <v>-193374.52189660852</v>
      </c>
      <c r="GG5" s="1">
        <f>IF($B5&lt;Analysis!$C$159,0,IF($B5=Analysis!$C$159,GB5+GE5,IF(GC4&lt;0,IF(GC4&gt;LOOKUP(Analysis!$C$159,$B:$B,GG:GG), GC4*(1+GD4),GG4),0)))</f>
        <v>-22059.883500000004</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15119.262670466116</v>
      </c>
      <c r="GO5" s="64">
        <f>IF($B5&lt;Analysis!$C$159,0,((1+Analysis!$C$174)/(1+$S5))-1)</f>
        <v>2.941176470588247E-2</v>
      </c>
      <c r="GP5" s="1">
        <f t="shared" si="7"/>
        <v>20437.378256665994</v>
      </c>
      <c r="GQ5" s="1">
        <f t="shared" si="36"/>
        <v>-1358.1155861998782</v>
      </c>
      <c r="GR5" s="64">
        <f>IF($B5&lt;Analysis!$C$159,0,Analysis!$C$178)</f>
        <v>3.0000000000000001E-3</v>
      </c>
      <c r="GS5" s="1">
        <f t="shared" si="37"/>
        <v>-3395.2889654996952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-1133.9447002849586</v>
      </c>
      <c r="HD5" s="1">
        <f t="shared" si="38"/>
        <v>-18147.349251984535</v>
      </c>
      <c r="HE5" s="1">
        <f>MIN(0,-(GN5+HD5)*Analysis!$C$28)-GE5*Analysis!$C$28</f>
        <v>5950.0432038967429</v>
      </c>
      <c r="HF5" s="1">
        <f>-Analysis!$C$176*GP5/12</f>
        <v>-1703.1148547221662</v>
      </c>
      <c r="HG5" s="38"/>
      <c r="HH5" s="1">
        <f>IF($B5&lt;Analysis!$C$159,0,-$HI5*$FW5)</f>
        <v>-57719.912413494822</v>
      </c>
      <c r="HI5" s="64">
        <f>IF($B5&lt;Analysis!$C$159,0,IF($B5=Analysis!$C$159,Analysis!$C$31,HI4))</f>
        <v>0.1275</v>
      </c>
      <c r="HJ5" s="1">
        <f>IF($B5&lt;Analysis!$C$159,0,$FW5+HH5)</f>
        <v>394985.28298646456</v>
      </c>
      <c r="HK5" s="1">
        <f>IF($B5-Analysis!$C$159&gt;10,0,IF($FW5&gt;LOOKUP(Analysis!$C$159,$B:$B, FW:FW),$V5*(LOOKUP(Analysis!$C$159,$B:$B, FW:FW)-FW5),0))</f>
        <v>-9944.7452867392913</v>
      </c>
      <c r="HL5" s="1">
        <f t="shared" si="39"/>
        <v>385040.53769972525</v>
      </c>
      <c r="HM5" s="38"/>
      <c r="HN5" s="1">
        <f t="shared" si="40"/>
        <v>-107172.29051919295</v>
      </c>
      <c r="HO5" s="1">
        <f t="shared" si="8"/>
        <v>121089.79446536397</v>
      </c>
      <c r="HP5" s="1">
        <f t="shared" si="41"/>
        <v>13917.503946171026</v>
      </c>
      <c r="HQ5" s="1">
        <f>IF(HP5 &lt; 0,
    IF(HQ4 + HP5 &gt; 0,
        HQ4 + HP5, IF(HV4-ABS(HQ4 + HP5)*(1+$V5) &gt;= HQ4 + HP5,
        0, HQ4 + HP5)),
    MIN(HQ4 + HP5, Analysis!$C$7))+IF(HQ4&lt;0, HQ4*Analysis!$C$9,0)</f>
        <v>22709.388768529854</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-291903.34485381481</v>
      </c>
      <c r="D6" s="1">
        <f>IF($B6&lt;Analysis!C$66, 0, BV6)+AT6+AW6+BC6+CG6+CA6</f>
        <v>-390693.98162106494</v>
      </c>
      <c r="E6" s="1">
        <f t="shared" si="1"/>
        <v>153709.64643946156</v>
      </c>
      <c r="F6" s="1">
        <f t="shared" si="9"/>
        <v>146854.00599915168</v>
      </c>
      <c r="G6" s="1">
        <f>IF(AND($B6&gt;=Analysis!$C$100, $B6&lt;Analysis!$C$101),$CK6,0)+IF($B6&gt;=Analysis!$C$130,EB6,0)+CQ6+CT6+CZ6+EH6+EK6+EQ6+$FO6+$FT6</f>
        <v>-54336.636047373438</v>
      </c>
      <c r="H6" s="1">
        <f t="shared" si="10"/>
        <v>-113754.19294361814</v>
      </c>
      <c r="I6" s="1">
        <f>IF($B6&lt;Analysis!$C$159,0,$FW6)+$GC6+$GF6+$GL6+$HQ6+$HV6</f>
        <v>-54336.636047373438</v>
      </c>
      <c r="J6" s="1">
        <f t="shared" si="2"/>
        <v>-127210.73220937917</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IF($B6=$B$2,((1+Analysis!$D$16)/(1+$S6))-1,IF(B6&lt;Analysis!$C$13,U5-((Analysis!$D$16-Analysis!$C$17)/(Analysis!$C$13-$B$2)),((1+Analysis!$C$17)/(1+$S5))-1))</f>
        <v>8.8896358543417486E-2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8460.8673583591935</v>
      </c>
      <c r="AI6" s="1">
        <f>IF(AE6 &gt;= 0,
    MAX(0, AF5 + AE6 - Analysis!$C$7),
    0)</f>
        <v>26072.019346598085</v>
      </c>
      <c r="AJ6" s="1">
        <f t="shared" si="44"/>
        <v>103716.69690274159</v>
      </c>
      <c r="AK6" s="1">
        <f t="shared" si="20"/>
        <v>129709.64643946156</v>
      </c>
      <c r="AL6" s="1">
        <f t="shared" si="5"/>
        <v>122854.00599915168</v>
      </c>
      <c r="AM6" s="36"/>
      <c r="AN6" s="1">
        <f t="shared" si="45"/>
        <v>774828.52366470743</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-16047.226150170907</v>
      </c>
      <c r="AT6" s="1">
        <f>IF($B6&lt;Analysis!$C$66,0,IF($B6=Analysis!$C$66,-AP6-AS6,MIN(0,AT5-AS6)))</f>
        <v>-619121.82384521025</v>
      </c>
      <c r="AU6" s="64">
        <f>IF($B6&lt;Analysis!$C$66,0,IF($B6=Analysis!$C$66,Analysis!$C$72,IF(($B6-Analysis!$C$66)&lt;LOOKUP(Analysis!$C$66,$B:$B,AQ:AQ),AU5,0)))</f>
        <v>3.6999999999999998E-2</v>
      </c>
      <c r="AV6" s="1">
        <f>IF($B6&lt;Analysis!$C$66,0,IF($B6=Analysis!$C$66,-AU6*AP6,AU5*AT5))</f>
        <v>-23501.2548498291</v>
      </c>
      <c r="AW6" s="1">
        <f>IF($B6&lt;Analysis!$C$66,0,IF($B6=Analysis!$C$66,PMT(AU6,AQ6,AP6)*AQ6-AX6-AT6,IF(($B6-Analysis!$C$66+1)&lt;LOOKUP(Analysis!$C$66,$B:$B,AQ:AQ),IF(AW5-AV6&lt;0, AW5-AV6,0),0)))</f>
        <v>-323176.3966940745</v>
      </c>
      <c r="AX6" s="1">
        <f>IF($B6&lt;Analysis!$C$66,0,IF($B6=Analysis!$C$66,AS6+AV6,IF(AT5&lt;0,IF(AT5&gt;LOOKUP(Analysis!$C$66,$B:$B,AX:AX), AT5*(1+AU5),AX5),0)))</f>
        <v>-39548.481000000007</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-2324.4855709941226</v>
      </c>
      <c r="BF6" s="64">
        <f>IF($B6&lt;Analysis!$C$66,0,Analysis!$C$78)</f>
        <v>3.0000000000000001E-3</v>
      </c>
      <c r="BG6" s="1">
        <f>IF($B6&lt;Analysis!$C$66,0,-BH6*AN6)</f>
        <v>-5811.2139274853052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-98790.636767250195</v>
      </c>
      <c r="BS6" s="64">
        <f>IF($B6&lt;Analysis!C$66,0,Analysis!C$31)</f>
        <v>0.1275</v>
      </c>
      <c r="BT6" s="1">
        <f>IF($B6&lt;Analysis!$C$66,0,AN6+BR6)</f>
        <v>676037.8868974573</v>
      </c>
      <c r="BU6" s="1">
        <f>IF($B6-Analysis!$C$66&gt;3,0,IF($AN6&gt;LOOKUP(Analysis!$C$66,$B:$B, AN:AN),$V6*(LOOKUP(Analysis!$C$66,$B:$B, AN:AN)-AN6),0))</f>
        <v>0</v>
      </c>
      <c r="BV6" s="1">
        <f t="shared" si="23"/>
        <v>676037.8868974573</v>
      </c>
      <c r="BW6" s="42"/>
      <c r="BX6" s="1">
        <f>IF($B6&lt;Analysis!$C$66,$P6+$N6+$X6+$Z6,$P6+$N6+AS6+AV6+BB6+BE6+BG6+MAX(BI6,SUM(BJ6:BN6))+BP6)</f>
        <v>-113017.00927718685</v>
      </c>
      <c r="BY6" s="1">
        <f t="shared" si="24"/>
        <v>103119.38719420528</v>
      </c>
      <c r="BZ6" s="1">
        <f t="shared" si="46"/>
        <v>-9897.622082981572</v>
      </c>
      <c r="CA6" s="1">
        <f>IF(BZ6 &lt; 0,
    IF(CA5 + BZ6 &gt; 0,
        CA5 + BZ6, IF(CF5-ABS(CA5 + BZ6)*(1+$V6) &gt;= CA5 + BZ6,
        0, CA5 + BZ6)),
    MIN(CA5 + BZ6, Analysis!$C$7))+IF(CA5&lt;0, CA5*Analysis!$C$9,0)</f>
        <v>-94069.504085700391</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466020.05408819357</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-8951.0375726168531</v>
      </c>
      <c r="CQ6" s="1">
        <f>IF(OR($B6&lt;Analysis!$C$100, $B6&gt;=Analysis!$C$101),0,IF($B6=Analysis!$C$100,-CM6-CP6,MIN(0,CQ5-CP6)))</f>
        <v>-345342.09559990076</v>
      </c>
      <c r="CR6" s="64">
        <f>IF(OR($B6&lt;Analysis!$C$100, $B6&gt;=Analysis!$C$101),0,IF($B6=Analysis!$C$100,Analysis!$C$102,IF(($B6-Analysis!$C$100)&lt;LOOKUP(Analysis!$C$100,$B:$B,CN:CN),CR5,0)))</f>
        <v>3.6999999999999998E-2</v>
      </c>
      <c r="CS6" s="1">
        <f>IF(OR($B6&lt;Analysis!$C$100, $B6&gt;=Analysis!$C$101),0,IF($B6=Analysis!$C$100,-CR6*CM6,CR5*CQ5))</f>
        <v>-13108.84592738315</v>
      </c>
      <c r="CT6" s="1">
        <f>IF(OR($B6&lt;Analysis!$C$100, $B6&gt;=Analysis!$C$101),0,IF($B6=Analysis!$C$100,PMT(CR6,CN6,CM6)*CN6-CU6-CQ6,IF(($B6-Analysis!$C$100+1)&lt;LOOKUP(Analysis!$C$100,$B:$B,CN:CN),IF(CT5-CS6&lt;0, CT5-CS6,0),0)))</f>
        <v>-180265.67596922538</v>
      </c>
      <c r="CU6" s="1">
        <f>IF(OR($B6&lt;Analysis!$C$100, $B6&gt;=Analysis!$C$101),0,IF($B6=Analysis!$C$100,CP6+CS6,IF(CQ5&lt;0,IF(CQ5&gt;LOOKUP(Analysis!$C$100,$B:$B,CU:CU), CQ5*(1+CR5),CU5),0)))</f>
        <v>-22059.883500000004</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15563.946866656297</v>
      </c>
      <c r="DC6" s="64">
        <f>IF(OR($B6&lt;Analysis!$C$100, $B6&gt;=Analysis!$C$101),0,((1+Analysis!$C$114)/(1+$S6))-1)</f>
        <v>2.941176470588247E-2</v>
      </c>
      <c r="DD6" s="1">
        <f t="shared" si="6"/>
        <v>20922.007028920878</v>
      </c>
      <c r="DE6" s="1">
        <f t="shared" si="27"/>
        <v>-1398.0601622645806</v>
      </c>
      <c r="DF6" s="64">
        <f>IF(OR($B6&lt;Analysis!$C$100, $B6&gt;=Analysis!$C$101),0,Analysis!$C$118)</f>
        <v>3.0000000000000001E-3</v>
      </c>
      <c r="DG6" s="1">
        <f t="shared" si="28"/>
        <v>-3495.1504056614517</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-1167.2960149992223</v>
      </c>
      <c r="DR6" s="1">
        <f t="shared" si="29"/>
        <v>-18320.506582925253</v>
      </c>
      <c r="DS6" s="1">
        <f>MIN(0,-(DB6+DR6)*Analysis!$C$28)-CS6*Analysis!$C$28</f>
        <v>5808.5296304234735</v>
      </c>
      <c r="DT6" s="1">
        <f>-Analysis!$C$116*DD6/12</f>
        <v>-1743.5005857434064</v>
      </c>
      <c r="DU6" s="53"/>
      <c r="DV6" s="1">
        <f t="shared" si="30"/>
        <v>-59417.556896244685</v>
      </c>
      <c r="DW6" s="64">
        <f>IF(OR($B6&lt;Analysis!$C$100, $B6&gt;=Analysis!$C$101),0,IF($B6=Analysis!$C$100,Analysis!$C$31,DW5))</f>
        <v>0.1275</v>
      </c>
      <c r="DX6" s="1">
        <f>IF(OR($B6&lt;Analysis!$C$100, $B6&gt;=Analysis!$C$101),0,CK6+DV6)</f>
        <v>406602.49719194887</v>
      </c>
      <c r="DY6" s="1">
        <f>IF(OR($B6&lt;Analysis!$C$100, $B6&gt;=Analysis!$C$101),0,IF($B6-Analysis!$C$100&gt;3,0,IF(CK6&gt;LOOKUP(Analysis!$C$100,$B:$B, CK:CK),$V6*(LOOKUP(Analysis!$C$100,$B:$B, CK:CK)-CK6),0)))</f>
        <v>0</v>
      </c>
      <c r="DZ6" s="1">
        <f t="shared" si="49"/>
        <v>406602.49719194887</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-111135.5576645598</v>
      </c>
      <c r="FM6" s="1">
        <f>$M6+$R6+DD6+IF(AND($B6&lt;&gt;Analysis!$C$130,$B6=Analysis!$C$101),DZ5+CQ5+CT5+CZ5,0)</f>
        <v>124041.39422312616</v>
      </c>
      <c r="FN6" s="1">
        <f t="shared" si="34"/>
        <v>12905.836558566356</v>
      </c>
      <c r="FO6" s="1">
        <f>IF(FN6 &lt; 0,
    IF(FO5 + FN6 &gt; 0,
        FO5 + FN6, IF(FT5-ABS(FO5 + FN6)*(1+$V6) &gt;= FO5 + FN6,
        0, FO5 + FN6)),
    MIN(FO5 + FN6, Analysis!$C$7))+IF(FO5&lt;0, FO5*Analysis!$C$9,0)</f>
        <v>24000</v>
      </c>
      <c r="FP6" s="53"/>
      <c r="FQ6" s="1">
        <f t="shared" si="51"/>
        <v>0</v>
      </c>
      <c r="FR6" s="1">
        <f>IF(OR($B6=Analysis!$C$100, $B6=Analysis!$C$130),0,IF(FN6 &gt;= 0,
    MAX(0, FO5 + FN6 - Analysis!$C$7),
    0))</f>
        <v>11615.22532709621</v>
      </c>
      <c r="FS6" s="1">
        <f>IF(OR($B6=Analysis!$C$100, $B6=Analysis!$C$130),0,MAX(0, FS5 + FR6 - IF(FN6 &lt; 0, MIN(ABS(FN6), FS5 + FR6), 0)))</f>
        <v>11615.22532709621</v>
      </c>
      <c r="FT6" s="1">
        <f>IF(OR($B6=Analysis!$C$100, $B6=Analysis!$C$130),0,IF(FN6 &lt; 0,
    IF(FN6 + FO5 &lt; 0,
        MAX(0, FT5 - (ABS(FN6 + FO5) * (1+$V5))),
        FT5 + FQ6),
    FT5 + FR6 + FQ6))</f>
        <v>11615.22532709621</v>
      </c>
      <c r="FU6" s="1">
        <f t="shared" si="35"/>
        <v>11615.22532709621</v>
      </c>
      <c r="FV6" s="36"/>
      <c r="FW6" s="1">
        <f t="shared" si="52"/>
        <v>466020.05408819357</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-8951.0375726168531</v>
      </c>
      <c r="GC6" s="1">
        <f>IF($B6&lt;Analysis!$C$159,0,IF($B6=Analysis!$C$159,-FY6-GB6,MIN(0,GC5-GB6)))</f>
        <v>-345342.09559990076</v>
      </c>
      <c r="GD6" s="64">
        <f>IF($B6&lt;Analysis!$C$159,0,IF($B6=Analysis!$C$159,Analysis!$C$160,IF(($B6-Analysis!$C$159)&lt;LOOKUP(Analysis!$C$159,$B:$B,FZ:FZ),GD5,0)))</f>
        <v>3.6999999999999998E-2</v>
      </c>
      <c r="GE6" s="1">
        <f>IF($B6&lt;Analysis!$C$159,0,IF($B6=Analysis!$C$159,-GD6*FY6,GD5*GC5))</f>
        <v>-13108.84592738315</v>
      </c>
      <c r="GF6" s="1">
        <f>IF($B6&lt;Analysis!$C$159,0,IF($B6=Analysis!$C$159,PMT(GD6,FZ6,FY6)*FZ6-GG6-GC6,IF(($B6-Analysis!$C$159+1)&lt;LOOKUP(Analysis!$C$159,$B:$B,FZ:FZ),IF(GF5-GE6&lt;0, GF5-GE6,0),0)))</f>
        <v>-180265.67596922538</v>
      </c>
      <c r="GG6" s="1">
        <f>IF($B6&lt;Analysis!$C$159,0,IF($B6=Analysis!$C$159,GB6+GE6,IF(GC5&lt;0,IF(GC5&gt;LOOKUP(Analysis!$C$159,$B:$B,GG:GG), GC5*(1+GD5),GG5),0)))</f>
        <v>-22059.883500000004</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15563.946866656297</v>
      </c>
      <c r="GO6" s="64">
        <f>IF($B6&lt;Analysis!$C$159,0,((1+Analysis!$C$174)/(1+$S6))-1)</f>
        <v>2.941176470588247E-2</v>
      </c>
      <c r="GP6" s="1">
        <f t="shared" si="7"/>
        <v>20922.007028920878</v>
      </c>
      <c r="GQ6" s="1">
        <f t="shared" si="36"/>
        <v>-1398.0601622645806</v>
      </c>
      <c r="GR6" s="64">
        <f>IF($B6&lt;Analysis!$C$159,0,Analysis!$C$178)</f>
        <v>3.0000000000000001E-3</v>
      </c>
      <c r="GS6" s="1">
        <f t="shared" si="37"/>
        <v>-3495.1504056614517</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-1167.2960149992223</v>
      </c>
      <c r="HD6" s="1">
        <f t="shared" si="38"/>
        <v>-18320.506582925253</v>
      </c>
      <c r="HE6" s="1">
        <f>MIN(0,-(GN6+HD6)*Analysis!$C$28)-GE6*Analysis!$C$28</f>
        <v>5808.5296304234735</v>
      </c>
      <c r="HF6" s="1">
        <f>-Analysis!$C$176*GP6/12</f>
        <v>-1743.5005857434064</v>
      </c>
      <c r="HG6" s="38"/>
      <c r="HH6" s="1">
        <f>IF($B6&lt;Analysis!$C$159,0,-$HI6*$FW6)</f>
        <v>-59417.556896244685</v>
      </c>
      <c r="HI6" s="64">
        <f>IF($B6&lt;Analysis!$C$159,0,IF($B6=Analysis!$C$159,Analysis!$C$31,HI5))</f>
        <v>0.1275</v>
      </c>
      <c r="HJ6" s="1">
        <f>IF($B6&lt;Analysis!$C$159,0,$FW6+HH6)</f>
        <v>406602.49719194887</v>
      </c>
      <c r="HK6" s="1">
        <f>IF($B6-Analysis!$C$159&gt;10,0,IF($FW6&gt;LOOKUP(Analysis!$C$159,$B:$B, FW:FW),$V6*(LOOKUP(Analysis!$C$159,$B:$B, FW:FW)-FW6),0))</f>
        <v>-13456.539265761054</v>
      </c>
      <c r="HL6" s="1">
        <f t="shared" si="39"/>
        <v>393145.95792618784</v>
      </c>
      <c r="HM6" s="38"/>
      <c r="HN6" s="1">
        <f t="shared" si="40"/>
        <v>-111135.5576645598</v>
      </c>
      <c r="HO6" s="1">
        <f t="shared" si="8"/>
        <v>124041.39422312616</v>
      </c>
      <c r="HP6" s="1">
        <f t="shared" si="41"/>
        <v>12905.836558566356</v>
      </c>
      <c r="HQ6" s="1">
        <f>IF(HP6 &lt; 0,
    IF(HQ5 + HP6 &gt; 0,
        HQ5 + HP6, IF(HV5-ABS(HQ5 + HP6)*(1+$V6) &gt;= HQ5 + HP6,
        0, HQ5 + HP6)),
    MIN(HQ5 + HP6, Analysis!$C$7))+IF(HQ5&lt;0, HQ5*Analysis!$C$9,0)</f>
        <v>24000</v>
      </c>
      <c r="HR6" s="38"/>
      <c r="HS6" s="1">
        <f t="shared" si="54"/>
        <v>0</v>
      </c>
      <c r="HT6" s="1">
        <f>IF($B6=Analysis!$C$159,0,IF(HP6 &gt;= 0,
    MAX(0, HQ5 + HP6 - Analysis!$C$7),
    0))</f>
        <v>11615.22532709621</v>
      </c>
      <c r="HU6" s="1">
        <f>IF($B6=Analysis!$C$159,0,MAX(0, HU5 + HT6 - IF(HP6 &lt; 0, MIN(ABS(HP6), HU5 + HT6), 0)))</f>
        <v>11615.22532709621</v>
      </c>
      <c r="HV6" s="1">
        <f>IF($B6=Analysis!$C$159,0,IF(HP6 &lt; 0,
    IF(HP6 + HQ5 &lt; 0,
        MAX(0, HV5 - (ABS(HP6 + HQ5) * (1+$V5))),
        HV5 + HS6),
    HV5 + HT6 + HS6))</f>
        <v>11615.22532709621</v>
      </c>
      <c r="HW6" s="1">
        <f t="shared" si="42"/>
        <v>11615.22532709621</v>
      </c>
      <c r="HX6" s="36"/>
    </row>
    <row r="7" spans="1:232" x14ac:dyDescent="0.35">
      <c r="A7">
        <f t="shared" si="0"/>
        <v>40</v>
      </c>
      <c r="B7">
        <v>2030</v>
      </c>
      <c r="C7" s="1">
        <f>IF($B7&lt;Analysis!C$66,0,$AN7)+$AT7+$AW7+$BC7+$CF7+$CA7</f>
        <v>-238627.99257823703</v>
      </c>
      <c r="D7" s="1">
        <f>IF($B7&lt;Analysis!C$66, 0, BV7)+AT7+AW7+BC7+CG7+CA7</f>
        <v>-340324.23630922992</v>
      </c>
      <c r="E7" s="1">
        <f t="shared" si="1"/>
        <v>193020.1799133918</v>
      </c>
      <c r="F7" s="1">
        <f t="shared" si="9"/>
        <v>183201.50971632902</v>
      </c>
      <c r="G7" s="1">
        <f>IF(AND($B7&gt;=Analysis!$C$100, $B7&lt;Analysis!$C$101),$CK7,0)+IF($B7&gt;=Analysis!$C$130,EB7,0)+CQ7+CT7+CZ7+EH7+EK7+EQ7+$FO7+$FT7</f>
        <v>3550.9744442420124</v>
      </c>
      <c r="H7" s="1">
        <f t="shared" si="10"/>
        <v>-57879.490721573646</v>
      </c>
      <c r="I7" s="1">
        <f>IF($B7&lt;Analysis!$C$159,0,$FW7)+$GC7+$GF7+$GL7+$HQ7+$HV7</f>
        <v>3550.9744442420124</v>
      </c>
      <c r="J7" s="1">
        <f t="shared" si="2"/>
        <v>-74951.112024562957</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IF($B7=$B$2,((1+Analysis!$D$16)/(1+$S7))-1,IF(B7&lt;Analysis!$C$13,U6-((Analysis!$D$16-Analysis!$C$17)/(Analysis!$C$13-$B$2)),((1+Analysis!$C$17)/(1+$S6))-1))</f>
        <v>8.6610644257703207E-2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11234.236044560665</v>
      </c>
      <c r="AI7" s="1">
        <f>IF(AE7 &gt;= 0,
    MAX(0, AF6 + AE7 - Analysis!$C$7),
    0)</f>
        <v>28076.297429369559</v>
      </c>
      <c r="AJ7" s="1">
        <f t="shared" si="44"/>
        <v>131792.99433211115</v>
      </c>
      <c r="AK7" s="1">
        <f t="shared" si="20"/>
        <v>169020.1799133918</v>
      </c>
      <c r="AL7" s="1">
        <f t="shared" si="5"/>
        <v>159201.50971632902</v>
      </c>
      <c r="AM7" s="36"/>
      <c r="AN7" s="1">
        <f t="shared" si="45"/>
        <v>797617.59789014014</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-16640.973517727231</v>
      </c>
      <c r="AT7" s="1">
        <f>IF($B7&lt;Analysis!$C$66,0,IF($B7=Analysis!$C$66,-AP7-AS7,MIN(0,AT6-AS7)))</f>
        <v>-602480.85032748303</v>
      </c>
      <c r="AU7" s="64">
        <f>IF($B7&lt;Analysis!$C$66,0,IF($B7=Analysis!$C$66,Analysis!$C$72,IF(($B7-Analysis!$C$66)&lt;LOOKUP(Analysis!$C$66,$B:$B,AQ:AQ),AU6,0)))</f>
        <v>3.6999999999999998E-2</v>
      </c>
      <c r="AV7" s="1">
        <f>IF($B7&lt;Analysis!$C$66,0,IF($B7=Analysis!$C$66,-AU7*AP7,AU6*AT6))</f>
        <v>-22907.507482272777</v>
      </c>
      <c r="AW7" s="1">
        <f>IF($B7&lt;Analysis!$C$66,0,IF($B7=Analysis!$C$66,PMT(AU7,AQ7,AP7)*AQ7-AX7-AT7,IF(($B7-Analysis!$C$66+1)&lt;LOOKUP(Analysis!$C$66,$B:$B,AQ:AQ),IF(AW6-AV7&lt;0, AW6-AV7,0),0)))</f>
        <v>-300268.8892118017</v>
      </c>
      <c r="AX7" s="1">
        <f>IF($B7&lt;Analysis!$C$66,0,IF($B7=Analysis!$C$66,AS7+AV7,IF(AT6&lt;0,IF(AT6&gt;LOOKUP(Analysis!$C$66,$B:$B,AX:AX), AT6*(1+AU6),AX6),0)))</f>
        <v>-39548.481000000007</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-2392.8527936704204</v>
      </c>
      <c r="BF7" s="64">
        <f>IF($B7&lt;Analysis!$C$66,0,Analysis!$C$78)</f>
        <v>3.0000000000000001E-3</v>
      </c>
      <c r="BG7" s="1">
        <f>IF($B7&lt;Analysis!$C$66,0,-BH7*AN7)</f>
        <v>-5982.1319841760505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-101696.24373099286</v>
      </c>
      <c r="BS7" s="64">
        <f>IF($B7&lt;Analysis!C$66,0,Analysis!C$31)</f>
        <v>0.1275</v>
      </c>
      <c r="BT7" s="1">
        <f>IF($B7&lt;Analysis!$C$66,0,AN7+BR7)</f>
        <v>695921.35415914725</v>
      </c>
      <c r="BU7" s="1">
        <f>IF($B7-Analysis!$C$66&gt;3,0,IF($AN7&gt;LOOKUP(Analysis!$C$66,$B:$B, AN:AN),$V7*(LOOKUP(Analysis!$C$66,$B:$B, AN:AN)-AN7),0))</f>
        <v>0</v>
      </c>
      <c r="BV7" s="1">
        <f t="shared" si="23"/>
        <v>695921.35415914725</v>
      </c>
      <c r="BW7" s="42"/>
      <c r="BX7" s="1">
        <f>IF($B7&lt;Analysis!$C$66,$P7+$N7+$X7+$Z7,$P7+$N7+AS7+AV7+BB7+BE7+BG7+MAX(BI7,SUM(BJ7:BN7))+BP7)</f>
        <v>-113256.2945565539</v>
      </c>
      <c r="BY7" s="1">
        <f t="shared" si="24"/>
        <v>105646.82315484756</v>
      </c>
      <c r="BZ7" s="1">
        <f t="shared" si="46"/>
        <v>-7609.4714017063379</v>
      </c>
      <c r="CA7" s="1">
        <f>IF(BZ7 &lt; 0,
    IF(CA6 + BZ7 &gt; 0,
        CA6 + BZ7, IF(CF6-ABS(CA6 + BZ7)*(1+$V7) &gt;= CA6 + BZ7,
        0, CA6 + BZ7)),
    MIN(CA6 + BZ7, Analysis!$C$7))+IF(CA6&lt;0, CA6*Analysis!$C$9,0)</f>
        <v>-109204.53581426277</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479726.52626725816</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-9282.2259628036754</v>
      </c>
      <c r="CQ7" s="1">
        <f>IF(OR($B7&lt;Analysis!$C$100, $B7&gt;=Analysis!$C$101),0,IF($B7=Analysis!$C$100,-CM7-CP7,MIN(0,CQ6-CP7)))</f>
        <v>-336059.86963709706</v>
      </c>
      <c r="CR7" s="64">
        <f>IF(OR($B7&lt;Analysis!$C$100, $B7&gt;=Analysis!$C$101),0,IF($B7=Analysis!$C$100,Analysis!$C$102,IF(($B7-Analysis!$C$100)&lt;LOOKUP(Analysis!$C$100,$B:$B,CN:CN),CR6,0)))</f>
        <v>3.6999999999999998E-2</v>
      </c>
      <c r="CS7" s="1">
        <f>IF(OR($B7&lt;Analysis!$C$100, $B7&gt;=Analysis!$C$101),0,IF($B7=Analysis!$C$100,-CR7*CM7,CR6*CQ6))</f>
        <v>-12777.657537196328</v>
      </c>
      <c r="CT7" s="1">
        <f>IF(OR($B7&lt;Analysis!$C$100, $B7&gt;=Analysis!$C$101),0,IF($B7=Analysis!$C$100,PMT(CR7,CN7,CM7)*CN7-CU7-CQ7,IF(($B7-Analysis!$C$100+1)&lt;LOOKUP(Analysis!$C$100,$B:$B,CN:CN),IF(CT6-CS7&lt;0, CT6-CS7,0),0)))</f>
        <v>-167488.01843202906</v>
      </c>
      <c r="CU7" s="1">
        <f>IF(OR($B7&lt;Analysis!$C$100, $B7&gt;=Analysis!$C$101),0,IF($B7=Analysis!$C$100,CP7+CS7,IF(CQ6&lt;0,IF(CQ6&gt;LOOKUP(Analysis!$C$100,$B:$B,CU:CU), CQ6*(1+CR6),CU6),0)))</f>
        <v>-22059.883500000004</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16021.710009793249</v>
      </c>
      <c r="DC7" s="64">
        <f>IF(OR($B7&lt;Analysis!$C$100, $B7&gt;=Analysis!$C$101),0,((1+Analysis!$C$114)/(1+$S7))-1)</f>
        <v>2.941176470588247E-2</v>
      </c>
      <c r="DD7" s="1">
        <f t="shared" si="6"/>
        <v>21420.889588595022</v>
      </c>
      <c r="DE7" s="1">
        <f t="shared" si="27"/>
        <v>-1439.1795788017746</v>
      </c>
      <c r="DF7" s="64">
        <f>IF(OR($B7&lt;Analysis!$C$100, $B7&gt;=Analysis!$C$101),0,Analysis!$C$118)</f>
        <v>3.0000000000000001E-3</v>
      </c>
      <c r="DG7" s="1">
        <f t="shared" si="28"/>
        <v>-3597.9489470044359</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-1201.6282507344936</v>
      </c>
      <c r="DR7" s="1">
        <f t="shared" si="29"/>
        <v>-18498.756776540708</v>
      </c>
      <c r="DS7" s="1">
        <f>MIN(0,-(DB7+DR7)*Analysis!$C$28)-CS7*Analysis!$C$28</f>
        <v>5661.780054731692</v>
      </c>
      <c r="DT7" s="1">
        <f>-Analysis!$C$116*DD7/12</f>
        <v>-1785.0741323829186</v>
      </c>
      <c r="DU7" s="53"/>
      <c r="DV7" s="1">
        <f t="shared" si="30"/>
        <v>-61165.132099075417</v>
      </c>
      <c r="DW7" s="64">
        <f>IF(OR($B7&lt;Analysis!$C$100, $B7&gt;=Analysis!$C$101),0,IF($B7=Analysis!$C$100,Analysis!$C$31,DW6))</f>
        <v>0.1275</v>
      </c>
      <c r="DX7" s="1">
        <f>IF(OR($B7&lt;Analysis!$C$100, $B7&gt;=Analysis!$C$101),0,CK7+DV7)</f>
        <v>418561.39416818274</v>
      </c>
      <c r="DY7" s="1">
        <f>IF(OR($B7&lt;Analysis!$C$100, $B7&gt;=Analysis!$C$101),0,IF($B7-Analysis!$C$100&gt;3,0,IF(CK7&gt;LOOKUP(Analysis!$C$100,$B:$B, CK:CK),$V7*(LOOKUP(Analysis!$C$100,$B:$B, CK:CK)-CK7),0)))</f>
        <v>0</v>
      </c>
      <c r="DZ7" s="1">
        <f t="shared" si="49"/>
        <v>418561.39416818274</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-112025.28885837735</v>
      </c>
      <c r="FM7" s="1">
        <f>$M7+$R7+DD7+IF(AND($B7&lt;&gt;Analysis!$C$130,$B7=Analysis!$C$101),DZ6+CQ6+CT6+CZ6,0)</f>
        <v>127067.71274344258</v>
      </c>
      <c r="FN7" s="1">
        <f t="shared" si="34"/>
        <v>15042.423885065233</v>
      </c>
      <c r="FO7" s="1">
        <f>IF(FN7 &lt; 0,
    IF(FO6 + FN7 &gt; 0,
        FO6 + FN7, IF(FT6-ABS(FO6 + FN7)*(1+$V7) &gt;= FO6 + FN7,
        0, FO6 + FN7)),
    MIN(FO6 + FN7, Analysis!$C$7))+IF(FO6&lt;0, FO6*Analysis!$C$9,0)</f>
        <v>24000</v>
      </c>
      <c r="FP7" s="53"/>
      <c r="FQ7" s="1">
        <f t="shared" si="51"/>
        <v>1006.0021487781942</v>
      </c>
      <c r="FR7" s="1">
        <f>IF(OR($B7=Analysis!$C$100, $B7=Analysis!$C$130),0,IF(FN7 &gt;= 0,
    MAX(0, FO6 + FN7 - Analysis!$C$7),
    0))</f>
        <v>15042.423885065233</v>
      </c>
      <c r="FS7" s="1">
        <f>IF(OR($B7=Analysis!$C$100, $B7=Analysis!$C$130),0,MAX(0, FS6 + FR7 - IF(FN7 &lt; 0, MIN(ABS(FN7), FS6 + FR7), 0)))</f>
        <v>26657.649212161443</v>
      </c>
      <c r="FT7" s="1">
        <f>IF(OR($B7=Analysis!$C$100, $B7=Analysis!$C$130),0,IF(FN7 &lt; 0,
    IF(FN7 + FO6 &lt; 0,
        MAX(0, FT6 - (ABS(FN7 + FO6) * (1+$V6))),
        FT6 + FQ7),
    FT6 + FR7 + FQ7))</f>
        <v>27663.651360939635</v>
      </c>
      <c r="FU7" s="1">
        <f t="shared" si="35"/>
        <v>27398.318294199387</v>
      </c>
      <c r="FV7" s="36"/>
      <c r="FW7" s="1">
        <f t="shared" si="52"/>
        <v>479726.52626725816</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-9282.2259628036754</v>
      </c>
      <c r="GC7" s="1">
        <f>IF($B7&lt;Analysis!$C$159,0,IF($B7=Analysis!$C$159,-FY7-GB7,MIN(0,GC6-GB7)))</f>
        <v>-336059.86963709706</v>
      </c>
      <c r="GD7" s="64">
        <f>IF($B7&lt;Analysis!$C$159,0,IF($B7=Analysis!$C$159,Analysis!$C$160,IF(($B7-Analysis!$C$159)&lt;LOOKUP(Analysis!$C$159,$B:$B,FZ:FZ),GD6,0)))</f>
        <v>3.6999999999999998E-2</v>
      </c>
      <c r="GE7" s="1">
        <f>IF($B7&lt;Analysis!$C$159,0,IF($B7=Analysis!$C$159,-GD7*FY7,GD6*GC6))</f>
        <v>-12777.657537196328</v>
      </c>
      <c r="GF7" s="1">
        <f>IF($B7&lt;Analysis!$C$159,0,IF($B7=Analysis!$C$159,PMT(GD7,FZ7,FY7)*FZ7-GG7-GC7,IF(($B7-Analysis!$C$159+1)&lt;LOOKUP(Analysis!$C$159,$B:$B,FZ:FZ),IF(GF6-GE7&lt;0, GF6-GE7,0),0)))</f>
        <v>-167488.01843202906</v>
      </c>
      <c r="GG7" s="1">
        <f>IF($B7&lt;Analysis!$C$159,0,IF($B7=Analysis!$C$159,GB7+GE7,IF(GC6&lt;0,IF(GC6&gt;LOOKUP(Analysis!$C$159,$B:$B,GG:GG), GC6*(1+GD6),GG6),0)))</f>
        <v>-22059.883500000004</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16021.710009793249</v>
      </c>
      <c r="GO7" s="64">
        <f>IF($B7&lt;Analysis!$C$159,0,((1+Analysis!$C$174)/(1+$S7))-1)</f>
        <v>2.941176470588247E-2</v>
      </c>
      <c r="GP7" s="1">
        <f t="shared" si="7"/>
        <v>21420.889588595022</v>
      </c>
      <c r="GQ7" s="1">
        <f t="shared" si="36"/>
        <v>-1439.1795788017746</v>
      </c>
      <c r="GR7" s="64">
        <f>IF($B7&lt;Analysis!$C$159,0,Analysis!$C$178)</f>
        <v>3.0000000000000001E-3</v>
      </c>
      <c r="GS7" s="1">
        <f t="shared" si="37"/>
        <v>-3597.9489470044359</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-1201.6282507344936</v>
      </c>
      <c r="HD7" s="1">
        <f t="shared" si="38"/>
        <v>-18498.756776540708</v>
      </c>
      <c r="HE7" s="1">
        <f>MIN(0,-(GN7+HD7)*Analysis!$C$28)-GE7*Analysis!$C$28</f>
        <v>5661.780054731692</v>
      </c>
      <c r="HF7" s="1">
        <f>-Analysis!$C$176*GP7/12</f>
        <v>-1785.0741323829186</v>
      </c>
      <c r="HG7" s="38"/>
      <c r="HH7" s="1">
        <f>IF($B7&lt;Analysis!$C$159,0,-$HI7*$FW7)</f>
        <v>-61165.132099075417</v>
      </c>
      <c r="HI7" s="64">
        <f>IF($B7&lt;Analysis!$C$159,0,IF($B7=Analysis!$C$159,Analysis!$C$31,HI6))</f>
        <v>0.1275</v>
      </c>
      <c r="HJ7" s="1">
        <f>IF($B7&lt;Analysis!$C$159,0,$FW7+HH7)</f>
        <v>418561.39416818274</v>
      </c>
      <c r="HK7" s="1">
        <f>IF($B7-Analysis!$C$159&gt;10,0,IF($FW7&gt;LOOKUP(Analysis!$C$159,$B:$B, FW:FW),$V7*(LOOKUP(Analysis!$C$159,$B:$B, FW:FW)-FW7),0))</f>
        <v>-17071.621302989337</v>
      </c>
      <c r="HL7" s="1">
        <f t="shared" si="39"/>
        <v>401489.77286519343</v>
      </c>
      <c r="HM7" s="38"/>
      <c r="HN7" s="1">
        <f t="shared" si="40"/>
        <v>-112025.28885837735</v>
      </c>
      <c r="HO7" s="1">
        <f t="shared" si="8"/>
        <v>127067.71274344258</v>
      </c>
      <c r="HP7" s="1">
        <f t="shared" si="41"/>
        <v>15042.423885065233</v>
      </c>
      <c r="HQ7" s="1">
        <f>IF(HP7 &lt; 0,
    IF(HQ6 + HP7 &gt; 0,
        HQ6 + HP7, IF(HV6-ABS(HQ6 + HP7)*(1+$V7) &gt;= HQ6 + HP7,
        0, HQ6 + HP7)),
    MIN(HQ6 + HP7, Analysis!$C$7))+IF(HQ6&lt;0, HQ6*Analysis!$C$9,0)</f>
        <v>24000</v>
      </c>
      <c r="HR7" s="38"/>
      <c r="HS7" s="1">
        <f t="shared" si="54"/>
        <v>1006.0021487781942</v>
      </c>
      <c r="HT7" s="1">
        <f>IF($B7=Analysis!$C$159,0,IF(HP7 &gt;= 0,
    MAX(0, HQ6 + HP7 - Analysis!$C$7),
    0))</f>
        <v>15042.423885065233</v>
      </c>
      <c r="HU7" s="1">
        <f>IF($B7=Analysis!$C$159,0,MAX(0, HU6 + HT7 - IF(HP7 &lt; 0, MIN(ABS(HP7), HU6 + HT7), 0)))</f>
        <v>26657.649212161443</v>
      </c>
      <c r="HV7" s="1">
        <f>IF($B7=Analysis!$C$159,0,IF(HP7 &lt; 0,
    IF(HP7 + HQ6 &lt; 0,
        MAX(0, HV6 - (ABS(HP7 + HQ6) * (1+$V6))),
        HV6 + HS7),
    HV6 + HT7 + HS7))</f>
        <v>27663.651360939635</v>
      </c>
      <c r="HW7" s="1">
        <f t="shared" si="42"/>
        <v>27398.318294199387</v>
      </c>
      <c r="HX7" s="36"/>
    </row>
    <row r="8" spans="1:232" x14ac:dyDescent="0.35">
      <c r="A8">
        <f t="shared" si="0"/>
        <v>41</v>
      </c>
      <c r="B8">
        <v>2031</v>
      </c>
      <c r="C8" s="1">
        <f>IF($B8&lt;Analysis!C$66,0,$AN8)+$AT8+$AW8+$BC8+$CF8+$CA8</f>
        <v>-186650.11611320038</v>
      </c>
      <c r="D8" s="1">
        <f>IF($B8&lt;Analysis!C$66, 0, BV8)+AT8+AW8+BC8+CG8+CA8</f>
        <v>-291337.42583628127</v>
      </c>
      <c r="E8" s="1">
        <f t="shared" si="1"/>
        <v>234299.93022399425</v>
      </c>
      <c r="F8" s="1">
        <f t="shared" si="9"/>
        <v>220722.13286418712</v>
      </c>
      <c r="G8" s="1">
        <f>IF(AND($B8&gt;=Analysis!$C$100, $B8&lt;Analysis!$C$101),$CK8,0)+IF($B8&gt;=Analysis!$C$130,EB8,0)+CQ8+CT8+CZ8+EH8+EK8+EQ8+$FO8+$FT8</f>
        <v>62254.374953484221</v>
      </c>
      <c r="H8" s="1">
        <f t="shared" si="10"/>
        <v>-1590.3236644058779</v>
      </c>
      <c r="I8" s="1">
        <f>IF($B8&lt;Analysis!$C$159,0,$FW8)+$GC8+$GF8+$GL8+$HQ8+$HV8</f>
        <v>62254.374953484221</v>
      </c>
      <c r="J8" s="1">
        <f t="shared" si="2"/>
        <v>-22383.352946894913</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IF($B8=$B$2,((1+Analysis!$D$16)/(1+$S8))-1,IF(B8&lt;Analysis!$C$13,U7-((Analysis!$D$16-Analysis!$C$17)/(Analysis!$C$13-$B$2)),((1+Analysis!$C$17)/(1+$S7))-1))</f>
        <v>8.4324929971988927E-2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14252.614835049733</v>
      </c>
      <c r="AI8" s="1">
        <f>IF(AE8 &gt;= 0,
    MAX(0, AF7 + AE8 - Analysis!$C$7),
    0)</f>
        <v>27027.135475552743</v>
      </c>
      <c r="AJ8" s="1">
        <f t="shared" si="44"/>
        <v>158820.12980766391</v>
      </c>
      <c r="AK8" s="1">
        <f t="shared" si="20"/>
        <v>210299.93022399425</v>
      </c>
      <c r="AL8" s="1">
        <f t="shared" si="5"/>
        <v>196722.13286418712</v>
      </c>
      <c r="AM8" s="36"/>
      <c r="AN8" s="1">
        <f t="shared" si="45"/>
        <v>821076.93900455616</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-17256.689537883136</v>
      </c>
      <c r="AT8" s="1">
        <f>IF($B8&lt;Analysis!$C$66,0,IF($B8=Analysis!$C$66,-AP8-AS8,MIN(0,AT7-AS8)))</f>
        <v>-585224.16078959987</v>
      </c>
      <c r="AU8" s="64">
        <f>IF($B8&lt;Analysis!$C$66,0,IF($B8=Analysis!$C$66,Analysis!$C$72,IF(($B8-Analysis!$C$66)&lt;LOOKUP(Analysis!$C$66,$B:$B,AQ:AQ),AU7,0)))</f>
        <v>3.6999999999999998E-2</v>
      </c>
      <c r="AV8" s="1">
        <f>IF($B8&lt;Analysis!$C$66,0,IF($B8=Analysis!$C$66,-AU8*AP8,AU7*AT7))</f>
        <v>-22291.791462116871</v>
      </c>
      <c r="AW8" s="1">
        <f>IF($B8&lt;Analysis!$C$66,0,IF($B8=Analysis!$C$66,PMT(AU8,AQ8,AP8)*AQ8-AX8-AT8,IF(($B8-Analysis!$C$66+1)&lt;LOOKUP(Analysis!$C$66,$B:$B,AQ:AQ),IF(AW7-AV8&lt;0, AW7-AV8,0),0)))</f>
        <v>-277977.09774968482</v>
      </c>
      <c r="AX8" s="1">
        <f>IF($B8&lt;Analysis!$C$66,0,IF($B8=Analysis!$C$66,AS8+AV8,IF(AT7&lt;0,IF(AT7&gt;LOOKUP(Analysis!$C$66,$B:$B,AX:AX), AT7*(1+AU7),AX7),0)))</f>
        <v>-39548.481000000007</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-2463.2308170136685</v>
      </c>
      <c r="BF8" s="64">
        <f>IF($B8&lt;Analysis!$C$66,0,Analysis!$C$78)</f>
        <v>3.0000000000000001E-3</v>
      </c>
      <c r="BG8" s="1">
        <f>IF($B8&lt;Analysis!$C$66,0,-BH8*AN8)</f>
        <v>-6158.0770425341707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-104687.30972308091</v>
      </c>
      <c r="BS8" s="64">
        <f>IF($B8&lt;Analysis!C$66,0,Analysis!C$31)</f>
        <v>0.1275</v>
      </c>
      <c r="BT8" s="1">
        <f>IF($B8&lt;Analysis!$C$66,0,AN8+BR8)</f>
        <v>716389.62928147521</v>
      </c>
      <c r="BU8" s="1">
        <f>IF($B8-Analysis!$C$66&gt;3,0,IF($AN8&gt;LOOKUP(Analysis!$C$66,$B:$B, AN:AN),$V8*(LOOKUP(Analysis!$C$66,$B:$B, AN:AN)-AN8),0))</f>
        <v>0</v>
      </c>
      <c r="BV8" s="1">
        <f t="shared" si="23"/>
        <v>716389.62928147521</v>
      </c>
      <c r="BW8" s="42"/>
      <c r="BX8" s="1">
        <f>IF($B8&lt;Analysis!$C$66,$P8+$N8+$X8+$Z8,$P8+$N8+AS8+AV8+BB8+BE8+BG8+MAX(BI8,SUM(BJ8:BN8))+BP8)</f>
        <v>-116602.61763825528</v>
      </c>
      <c r="BY8" s="1">
        <f t="shared" si="24"/>
        <v>108236.2060753095</v>
      </c>
      <c r="BZ8" s="1">
        <f t="shared" si="46"/>
        <v>-8366.411562945781</v>
      </c>
      <c r="CA8" s="1">
        <f>IF(BZ8 &lt; 0,
    IF(CA7 + BZ8 &gt; 0,
        CA7 + BZ8, IF(CF7-ABS(CA7 + BZ8)*(1+$V8) &gt;= CA7 + BZ8,
        0, CA7 + BZ8)),
    MIN(CA7 + BZ8, Analysis!$C$7))+IF(CA7&lt;0, CA7*Analysis!$C$9,0)</f>
        <v>-126307.31024234957</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493836.12998100108</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-9625.6683234274133</v>
      </c>
      <c r="CQ8" s="1">
        <f>IF(OR($B8&lt;Analysis!$C$100, $B8&gt;=Analysis!$C$101),0,IF($B8=Analysis!$C$100,-CM8-CP8,MIN(0,CQ7-CP8)))</f>
        <v>-326434.20131366962</v>
      </c>
      <c r="CR8" s="64">
        <f>IF(OR($B8&lt;Analysis!$C$100, $B8&gt;=Analysis!$C$101),0,IF($B8=Analysis!$C$100,Analysis!$C$102,IF(($B8-Analysis!$C$100)&lt;LOOKUP(Analysis!$C$100,$B:$B,CN:CN),CR7,0)))</f>
        <v>3.6999999999999998E-2</v>
      </c>
      <c r="CS8" s="1">
        <f>IF(OR($B8&lt;Analysis!$C$100, $B8&gt;=Analysis!$C$101),0,IF($B8=Analysis!$C$100,-CR8*CM8,CR7*CQ7))</f>
        <v>-12434.21517657259</v>
      </c>
      <c r="CT8" s="1">
        <f>IF(OR($B8&lt;Analysis!$C$100, $B8&gt;=Analysis!$C$101),0,IF($B8=Analysis!$C$100,PMT(CR8,CN8,CM8)*CN8-CU8-CQ8,IF(($B8-Analysis!$C$100+1)&lt;LOOKUP(Analysis!$C$100,$B:$B,CN:CN),IF(CT7-CS8&lt;0, CT7-CS8,0),0)))</f>
        <v>-155053.80325545647</v>
      </c>
      <c r="CU8" s="1">
        <f>IF(OR($B8&lt;Analysis!$C$100, $B8&gt;=Analysis!$C$101),0,IF($B8=Analysis!$C$100,CP8+CS8,IF(CQ7&lt;0,IF(CQ7&gt;LOOKUP(Analysis!$C$100,$B:$B,CU:CU), CQ7*(1+CR7),CU7),0)))</f>
        <v>-22059.883500000004</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16492.936774787169</v>
      </c>
      <c r="DC8" s="64">
        <f>IF(OR($B8&lt;Analysis!$C$100, $B8&gt;=Analysis!$C$101),0,((1+Analysis!$C$114)/(1+$S8))-1)</f>
        <v>2.941176470588247E-2</v>
      </c>
      <c r="DD8" s="1">
        <f t="shared" si="6"/>
        <v>21934.445164730172</v>
      </c>
      <c r="DE8" s="1">
        <f t="shared" si="27"/>
        <v>-1481.5083899430033</v>
      </c>
      <c r="DF8" s="64">
        <f>IF(OR($B8&lt;Analysis!$C$100, $B8&gt;=Analysis!$C$101),0,Analysis!$C$118)</f>
        <v>3.0000000000000001E-3</v>
      </c>
      <c r="DG8" s="1">
        <f t="shared" si="28"/>
        <v>-3703.770974857508</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-1236.9702581090376</v>
      </c>
      <c r="DR8" s="1">
        <f t="shared" si="29"/>
        <v>-18682.249622909549</v>
      </c>
      <c r="DS8" s="1">
        <f>MIN(0,-(DB8+DR8)*Analysis!$C$28)-CS8*Analysis!$C$28</f>
        <v>5509.600744739314</v>
      </c>
      <c r="DT8" s="1">
        <f>-Analysis!$C$116*DD8/12</f>
        <v>-1827.8704303941811</v>
      </c>
      <c r="DU8" s="53"/>
      <c r="DV8" s="1">
        <f t="shared" si="30"/>
        <v>-62964.106572577643</v>
      </c>
      <c r="DW8" s="64">
        <f>IF(OR($B8&lt;Analysis!$C$100, $B8&gt;=Analysis!$C$101),0,IF($B8=Analysis!$C$100,Analysis!$C$31,DW7))</f>
        <v>0.1275</v>
      </c>
      <c r="DX8" s="1">
        <f>IF(OR($B8&lt;Analysis!$C$100, $B8&gt;=Analysis!$C$101),0,CK8+DV8)</f>
        <v>430872.02340842341</v>
      </c>
      <c r="DY8" s="1">
        <f>IF(OR($B8&lt;Analysis!$C$100, $B8&gt;=Analysis!$C$101),0,IF($B8-Analysis!$C$100&gt;3,0,IF(CK8&gt;LOOKUP(Analysis!$C$100,$B:$B, CK:CK),$V8*(LOOKUP(Analysis!$C$100,$B:$B, CK:CK)-CK8),0)))</f>
        <v>0</v>
      </c>
      <c r="DZ8" s="1">
        <f t="shared" si="49"/>
        <v>430872.02340842341</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-116042.30218702859</v>
      </c>
      <c r="FM8" s="1">
        <f>$M8+$R8+DD8+IF(AND($B8&lt;&gt;Analysis!$C$130,$B8=Analysis!$C$101),DZ7+CQ7+CT7+CZ7,0)</f>
        <v>130170.65124003968</v>
      </c>
      <c r="FN8" s="1">
        <f t="shared" si="34"/>
        <v>14128.349053011087</v>
      </c>
      <c r="FO8" s="1">
        <f>IF(FN8 &lt; 0,
    IF(FO7 + FN8 &gt; 0,
        FO7 + FN8, IF(FT7-ABS(FO7 + FN8)*(1+$V8) &gt;= FO7 + FN8,
        0, FO7 + FN8)),
    MIN(FO7 + FN8, Analysis!$C$7))+IF(FO7&lt;0, FO7*Analysis!$C$9,0)</f>
        <v>24000</v>
      </c>
      <c r="FP8" s="53"/>
      <c r="FQ8" s="1">
        <f t="shared" si="51"/>
        <v>2332.7354637807507</v>
      </c>
      <c r="FR8" s="1">
        <f>IF(OR($B8=Analysis!$C$100, $B8=Analysis!$C$130),0,IF(FN8 &gt;= 0,
    MAX(0, FO7 + FN8 - Analysis!$C$7),
    0))</f>
        <v>14128.349053011087</v>
      </c>
      <c r="FS8" s="1">
        <f>IF(OR($B8=Analysis!$C$100, $B8=Analysis!$C$130),0,MAX(0, FS7 + FR8 - IF(FN8 &lt; 0, MIN(ABS(FN8), FS7 + FR8), 0)))</f>
        <v>40785.998265172529</v>
      </c>
      <c r="FT8" s="1">
        <f>IF(OR($B8=Analysis!$C$100, $B8=Analysis!$C$130),0,IF(FN8 &lt; 0,
    IF(FN8 + FO7 &lt; 0,
        MAX(0, FT7 - (ABS(FN8 + FO7) * (1+$V7))),
        FT7 + FQ8),
    FT7 + FR8 + FQ8))</f>
        <v>44124.735877731473</v>
      </c>
      <c r="FU8" s="1">
        <f t="shared" si="35"/>
        <v>43244.143832419053</v>
      </c>
      <c r="FV8" s="36"/>
      <c r="FW8" s="1">
        <f t="shared" si="52"/>
        <v>493836.12998100108</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-9625.6683234274133</v>
      </c>
      <c r="GC8" s="1">
        <f>IF($B8&lt;Analysis!$C$159,0,IF($B8=Analysis!$C$159,-FY8-GB8,MIN(0,GC7-GB8)))</f>
        <v>-326434.20131366962</v>
      </c>
      <c r="GD8" s="64">
        <f>IF($B8&lt;Analysis!$C$159,0,IF($B8=Analysis!$C$159,Analysis!$C$160,IF(($B8-Analysis!$C$159)&lt;LOOKUP(Analysis!$C$159,$B:$B,FZ:FZ),GD7,0)))</f>
        <v>3.6999999999999998E-2</v>
      </c>
      <c r="GE8" s="1">
        <f>IF($B8&lt;Analysis!$C$159,0,IF($B8=Analysis!$C$159,-GD8*FY8,GD7*GC7))</f>
        <v>-12434.21517657259</v>
      </c>
      <c r="GF8" s="1">
        <f>IF($B8&lt;Analysis!$C$159,0,IF($B8=Analysis!$C$159,PMT(GD8,FZ8,FY8)*FZ8-GG8-GC8,IF(($B8-Analysis!$C$159+1)&lt;LOOKUP(Analysis!$C$159,$B:$B,FZ:FZ),IF(GF7-GE8&lt;0, GF7-GE8,0),0)))</f>
        <v>-155053.80325545647</v>
      </c>
      <c r="GG8" s="1">
        <f>IF($B8&lt;Analysis!$C$159,0,IF($B8=Analysis!$C$159,GB8+GE8,IF(GC7&lt;0,IF(GC7&gt;LOOKUP(Analysis!$C$159,$B:$B,GG:GG), GC7*(1+GD7),GG7),0)))</f>
        <v>-22059.883500000004</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16492.936774787169</v>
      </c>
      <c r="GO8" s="64">
        <f>IF($B8&lt;Analysis!$C$159,0,((1+Analysis!$C$174)/(1+$S8))-1)</f>
        <v>2.941176470588247E-2</v>
      </c>
      <c r="GP8" s="1">
        <f t="shared" si="7"/>
        <v>21934.445164730172</v>
      </c>
      <c r="GQ8" s="1">
        <f t="shared" si="36"/>
        <v>-1481.5083899430033</v>
      </c>
      <c r="GR8" s="64">
        <f>IF($B8&lt;Analysis!$C$159,0,Analysis!$C$178)</f>
        <v>3.0000000000000001E-3</v>
      </c>
      <c r="GS8" s="1">
        <f t="shared" si="37"/>
        <v>-3703.770974857508</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-1236.9702581090376</v>
      </c>
      <c r="HD8" s="1">
        <f t="shared" si="38"/>
        <v>-18682.249622909549</v>
      </c>
      <c r="HE8" s="1">
        <f>MIN(0,-(GN8+HD8)*Analysis!$C$28)-GE8*Analysis!$C$28</f>
        <v>5509.600744739314</v>
      </c>
      <c r="HF8" s="1">
        <f>-Analysis!$C$176*GP8/12</f>
        <v>-1827.8704303941811</v>
      </c>
      <c r="HG8" s="38"/>
      <c r="HH8" s="1">
        <f>IF($B8&lt;Analysis!$C$159,0,-$HI8*$FW8)</f>
        <v>-62964.106572577643</v>
      </c>
      <c r="HI8" s="64">
        <f>IF($B8&lt;Analysis!$C$159,0,IF($B8=Analysis!$C$159,Analysis!$C$31,HI7))</f>
        <v>0.1275</v>
      </c>
      <c r="HJ8" s="1">
        <f>IF($B8&lt;Analysis!$C$159,0,$FW8+HH8)</f>
        <v>430872.02340842341</v>
      </c>
      <c r="HK8" s="1">
        <f>IF($B8-Analysis!$C$159&gt;10,0,IF($FW8&gt;LOOKUP(Analysis!$C$159,$B:$B, FW:FW),$V8*(LOOKUP(Analysis!$C$159,$B:$B, FW:FW)-FW8),0))</f>
        <v>-20793.029282489035</v>
      </c>
      <c r="HL8" s="1">
        <f t="shared" si="39"/>
        <v>410078.99412593438</v>
      </c>
      <c r="HM8" s="38"/>
      <c r="HN8" s="1">
        <f t="shared" si="40"/>
        <v>-116042.30218702859</v>
      </c>
      <c r="HO8" s="1">
        <f t="shared" si="8"/>
        <v>130170.65124003968</v>
      </c>
      <c r="HP8" s="1">
        <f t="shared" si="41"/>
        <v>14128.349053011087</v>
      </c>
      <c r="HQ8" s="1">
        <f>IF(HP8 &lt; 0,
    IF(HQ7 + HP8 &gt; 0,
        HQ7 + HP8, IF(HV7-ABS(HQ7 + HP8)*(1+$V8) &gt;= HQ7 + HP8,
        0, HQ7 + HP8)),
    MIN(HQ7 + HP8, Analysis!$C$7))+IF(HQ7&lt;0, HQ7*Analysis!$C$9,0)</f>
        <v>24000</v>
      </c>
      <c r="HR8" s="38"/>
      <c r="HS8" s="1">
        <f t="shared" si="54"/>
        <v>2332.7354637807507</v>
      </c>
      <c r="HT8" s="1">
        <f>IF($B8=Analysis!$C$159,0,IF(HP8 &gt;= 0,
    MAX(0, HQ7 + HP8 - Analysis!$C$7),
    0))</f>
        <v>14128.349053011087</v>
      </c>
      <c r="HU8" s="1">
        <f>IF($B8=Analysis!$C$159,0,MAX(0, HU7 + HT8 - IF(HP8 &lt; 0, MIN(ABS(HP8), HU7 + HT8), 0)))</f>
        <v>40785.998265172529</v>
      </c>
      <c r="HV8" s="1">
        <f>IF($B8=Analysis!$C$159,0,IF(HP8 &lt; 0,
    IF(HP8 + HQ7 &lt; 0,
        MAX(0, HV7 - (ABS(HP8 + HQ7) * (1+$V7))),
        HV7 + HS8),
    HV7 + HT8 + HS8))</f>
        <v>44124.735877731473</v>
      </c>
      <c r="HW8" s="1">
        <f t="shared" si="42"/>
        <v>43244.143832419053</v>
      </c>
      <c r="HX8" s="36"/>
    </row>
    <row r="9" spans="1:232" x14ac:dyDescent="0.35">
      <c r="A9">
        <f t="shared" si="0"/>
        <v>42</v>
      </c>
      <c r="B9">
        <v>2032</v>
      </c>
      <c r="C9" s="1">
        <f>IF($B9&lt;Analysis!C$66,0,$AN9)+$AT9+$AW9+$BC9+$CF9+$CA9</f>
        <v>-132951.20067150012</v>
      </c>
      <c r="D9" s="1">
        <f>IF($B9&lt;Analysis!C$66, 0, BV9)+AT9+AW9+BC9+CG9+CA9</f>
        <v>-240717.54891584808</v>
      </c>
      <c r="E9" s="1">
        <f t="shared" si="1"/>
        <v>280678.37079271744</v>
      </c>
      <c r="F9" s="1">
        <f t="shared" si="9"/>
        <v>262550.13653094787</v>
      </c>
      <c r="G9" s="1">
        <f>IF(AND($B9&gt;=Analysis!$C$100, $B9&lt;Analysis!$C$101),$CK9,0)+IF($B9&gt;=Analysis!$C$130,EB9,0)+CQ9+CT9+CZ9+EH9+EK9+EQ9+$FO9+$FT9</f>
        <v>124896.35632594794</v>
      </c>
      <c r="H9" s="1">
        <f t="shared" si="10"/>
        <v>58245.008107233938</v>
      </c>
      <c r="I9" s="1">
        <f>IF($B9&lt;Analysis!$C$159,0,$FW9)+$GC9+$GF9+$GL9+$HQ9+$HV9</f>
        <v>124896.35632594794</v>
      </c>
      <c r="J9" s="1">
        <f t="shared" si="2"/>
        <v>33621.117669377563</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IF($B9=$B$2,((1+Analysis!$D$16)/(1+$S9))-1,IF(B9&lt;Analysis!$C$13,U8-((Analysis!$D$16-Analysis!$C$17)/(Analysis!$C$13-$B$2)),((1+Analysis!$C$17)/(1+$S8))-1))</f>
        <v>8.2039215686274647E-2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17252.841334454773</v>
      </c>
      <c r="AI9" s="1">
        <f>IF(AE9 &gt;= 0,
    MAX(0, AF8 + AE9 - Analysis!$C$7),
    0)</f>
        <v>29125.599234268433</v>
      </c>
      <c r="AJ9" s="1">
        <f t="shared" si="44"/>
        <v>187945.72904193233</v>
      </c>
      <c r="AK9" s="1">
        <f t="shared" si="20"/>
        <v>256678.37079271744</v>
      </c>
      <c r="AL9" s="1">
        <f t="shared" si="5"/>
        <v>238550.13653094787</v>
      </c>
      <c r="AM9" s="36"/>
      <c r="AN9" s="1">
        <f t="shared" si="45"/>
        <v>845226.26073998434</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-17895.187050784814</v>
      </c>
      <c r="AT9" s="1">
        <f>IF($B9&lt;Analysis!$C$66,0,IF($B9=Analysis!$C$66,-AP9-AS9,MIN(0,AT8-AS9)))</f>
        <v>-567328.97373881505</v>
      </c>
      <c r="AU9" s="64">
        <f>IF($B9&lt;Analysis!$C$66,0,IF($B9=Analysis!$C$66,Analysis!$C$72,IF(($B9-Analysis!$C$66)&lt;LOOKUP(Analysis!$C$66,$B:$B,AQ:AQ),AU8,0)))</f>
        <v>3.6999999999999998E-2</v>
      </c>
      <c r="AV9" s="1">
        <f>IF($B9&lt;Analysis!$C$66,0,IF($B9=Analysis!$C$66,-AU9*AP9,AU8*AT8))</f>
        <v>-21653.293949215193</v>
      </c>
      <c r="AW9" s="1">
        <f>IF($B9&lt;Analysis!$C$66,0,IF($B9=Analysis!$C$66,PMT(AU9,AQ9,AP9)*AQ9-AX9-AT9,IF(($B9-Analysis!$C$66+1)&lt;LOOKUP(Analysis!$C$66,$B:$B,AQ:AQ),IF(AW8-AV9&lt;0, AW8-AV9,0),0)))</f>
        <v>-256323.80380046961</v>
      </c>
      <c r="AX9" s="1">
        <f>IF($B9&lt;Analysis!$C$66,0,IF($B9=Analysis!$C$66,AS9+AV9,IF(AT8&lt;0,IF(AT8&gt;LOOKUP(Analysis!$C$66,$B:$B,AX:AX), AT8*(1+AU8),AX8),0)))</f>
        <v>-39548.481000000007</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-2535.6787822199531</v>
      </c>
      <c r="BF9" s="64">
        <f>IF($B9&lt;Analysis!$C$66,0,Analysis!$C$78)</f>
        <v>3.0000000000000001E-3</v>
      </c>
      <c r="BG9" s="1">
        <f>IF($B9&lt;Analysis!$C$66,0,-BH9*AN9)</f>
        <v>-6339.1969555498827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-107766.348244348</v>
      </c>
      <c r="BS9" s="64">
        <f>IF($B9&lt;Analysis!C$66,0,Analysis!C$31)</f>
        <v>0.1275</v>
      </c>
      <c r="BT9" s="1">
        <f>IF($B9&lt;Analysis!$C$66,0,AN9+BR9)</f>
        <v>737459.91249563638</v>
      </c>
      <c r="BU9" s="1">
        <f>IF($B9-Analysis!$C$66&gt;3,0,IF($AN9&gt;LOOKUP(Analysis!$C$66,$B:$B, AN:AN),$V9*(LOOKUP(Analysis!$C$66,$B:$B, AN:AN)-AN9),0))</f>
        <v>0</v>
      </c>
      <c r="BV9" s="1">
        <f>BT9+BU9</f>
        <v>737459.91249563638</v>
      </c>
      <c r="BW9" s="42"/>
      <c r="BX9" s="1">
        <f>IF($B9&lt;Analysis!$C$66,$P9+$N9+$X9+$Z9,$P9+$N9+AS9+AV9+BB9+BE9+BG9+MAX(BI9,SUM(BJ9:BN9))+BP9)</f>
        <v>-116856.18551647727</v>
      </c>
      <c r="BY9" s="1">
        <f t="shared" si="24"/>
        <v>110889.05426342982</v>
      </c>
      <c r="BZ9" s="1">
        <f t="shared" si="46"/>
        <v>-5967.1312530474534</v>
      </c>
      <c r="CA9" s="1">
        <f>IF(BZ9 &lt; 0,
    IF(CA8 + BZ9 &gt; 0,
        CA8 + BZ9, IF(CF8-ABS(CA8 + BZ9)*(1+$V9) &gt;= CA8 + BZ9,
        0, CA8 + BZ9)),
    MIN(CA8 + BZ9, Analysis!$C$7))+IF(CA8&lt;0, CA8*Analysis!$C$9,0)</f>
        <v>-142379.02631478498</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508360.72203926585</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-9981.818051394228</v>
      </c>
      <c r="CQ9" s="1">
        <f>IF(OR($B9&lt;Analysis!$C$100, $B9&gt;=Analysis!$C$101),0,IF($B9=Analysis!$C$100,-CM9-CP9,MIN(0,CQ8-CP9)))</f>
        <v>-316452.38326227537</v>
      </c>
      <c r="CR9" s="64">
        <f>IF(OR($B9&lt;Analysis!$C$100, $B9&gt;=Analysis!$C$101),0,IF($B9=Analysis!$C$100,Analysis!$C$102,IF(($B9-Analysis!$C$100)&lt;LOOKUP(Analysis!$C$100,$B:$B,CN:CN),CR8,0)))</f>
        <v>3.6999999999999998E-2</v>
      </c>
      <c r="CS9" s="1">
        <f>IF(OR($B9&lt;Analysis!$C$100, $B9&gt;=Analysis!$C$101),0,IF($B9=Analysis!$C$100,-CR9*CM9,CR8*CQ8))</f>
        <v>-12078.065448605776</v>
      </c>
      <c r="CT9" s="1">
        <f>IF(OR($B9&lt;Analysis!$C$100, $B9&gt;=Analysis!$C$101),0,IF($B9=Analysis!$C$100,PMT(CR9,CN9,CM9)*CN9-CU9-CQ9,IF(($B9-Analysis!$C$100+1)&lt;LOOKUP(Analysis!$C$100,$B:$B,CN:CN),IF(CT8-CS9&lt;0, CT8-CS9,0),0)))</f>
        <v>-142975.7378068507</v>
      </c>
      <c r="CU9" s="1">
        <f>IF(OR($B9&lt;Analysis!$C$100, $B9&gt;=Analysis!$C$101),0,IF($B9=Analysis!$C$100,CP9+CS9,IF(CQ8&lt;0,IF(CQ8&gt;LOOKUP(Analysis!$C$100,$B:$B,CU:CU), CQ8*(1+CR8),CU8),0)))</f>
        <v>-22059.883500000004</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16978.023150516205</v>
      </c>
      <c r="DC9" s="64">
        <f>IF(OR($B9&lt;Analysis!$C$100, $B9&gt;=Analysis!$C$101),0,((1+Analysis!$C$114)/(1+$S9))-1)</f>
        <v>2.941176470588247E-2</v>
      </c>
      <c r="DD9" s="1">
        <f t="shared" si="6"/>
        <v>22463.105316634003</v>
      </c>
      <c r="DE9" s="1">
        <f t="shared" si="27"/>
        <v>-1525.0821661177977</v>
      </c>
      <c r="DF9" s="64">
        <f>IF(OR($B9&lt;Analysis!$C$100, $B9&gt;=Analysis!$C$101),0,Analysis!$C$118)</f>
        <v>3.0000000000000001E-3</v>
      </c>
      <c r="DG9" s="1">
        <f t="shared" si="28"/>
        <v>-3812.7054152944938</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-1273.3517362887153</v>
      </c>
      <c r="DR9" s="1">
        <f t="shared" si="29"/>
        <v>-18871.139317701007</v>
      </c>
      <c r="DS9" s="1">
        <f>MIN(0,-(DB9+DR9)*Analysis!$C$28)-CS9*Analysis!$C$28</f>
        <v>5351.7908002772183</v>
      </c>
      <c r="DT9" s="1">
        <f>-Analysis!$C$116*DD9/12</f>
        <v>-1871.9254430528335</v>
      </c>
      <c r="DU9" s="53"/>
      <c r="DV9" s="1">
        <f t="shared" si="30"/>
        <v>-64815.9920600064</v>
      </c>
      <c r="DW9" s="64">
        <f>IF(OR($B9&lt;Analysis!$C$100, $B9&gt;=Analysis!$C$101),0,IF($B9=Analysis!$C$100,Analysis!$C$31,DW8))</f>
        <v>0.1275</v>
      </c>
      <c r="DX9" s="1">
        <f>IF(OR($B9&lt;Analysis!$C$100, $B9&gt;=Analysis!$C$101),0,CK9+DV9)</f>
        <v>443544.72997925943</v>
      </c>
      <c r="DY9" s="1">
        <f>IF(OR($B9&lt;Analysis!$C$100, $B9&gt;=Analysis!$C$101),0,IF($B9-Analysis!$C$100&gt;3,0,IF(CK9&gt;LOOKUP(Analysis!$C$100,$B:$B, CK:CK),$V9*(LOOKUP(Analysis!$C$100,$B:$B, CK:CK)-CK9),0)))</f>
        <v>0</v>
      </c>
      <c r="DZ9" s="1">
        <f t="shared" si="49"/>
        <v>443544.72997925943</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-116987.44126834543</v>
      </c>
      <c r="FM9" s="1">
        <f>$M9+$R9+DD9+IF(AND($B9&lt;&gt;Analysis!$C$130,$B9=Analysis!$C$101),DZ8+CQ8+CT8+CZ8,0)</f>
        <v>133352.15958006383</v>
      </c>
      <c r="FN9" s="1">
        <f t="shared" si="34"/>
        <v>16364.718311718403</v>
      </c>
      <c r="FO9" s="1">
        <f>IF(FN9 &lt; 0,
    IF(FO8 + FN9 &gt; 0,
        FO8 + FN9, IF(FT8-ABS(FO8 + FN9)*(1+$V9) &gt;= FO8 + FN9,
        0, FO8 + FN9)),
    MIN(FO8 + FN9, Analysis!$C$7))+IF(FO8&lt;0, FO8*Analysis!$C$9,0)</f>
        <v>24000</v>
      </c>
      <c r="FP9" s="53"/>
      <c r="FQ9" s="1">
        <f t="shared" si="51"/>
        <v>3619.9587237731134</v>
      </c>
      <c r="FR9" s="1">
        <f>IF(OR($B9=Analysis!$C$100, $B9=Analysis!$C$130),0,IF(FN9 &gt;= 0,
    MAX(0, FO8 + FN9 - Analysis!$C$7),
    0))</f>
        <v>16364.718311718403</v>
      </c>
      <c r="FS9" s="1">
        <f>IF(OR($B9=Analysis!$C$100, $B9=Analysis!$C$130),0,MAX(0, FS8 + FR9 - IF(FN9 &lt; 0, MIN(ABS(FN9), FS8 + FR9), 0)))</f>
        <v>57150.716576890933</v>
      </c>
      <c r="FT9" s="1">
        <f>IF(OR($B9=Analysis!$C$100, $B9=Analysis!$C$130),0,IF(FN9 &lt; 0,
    IF(FN9 + FO8 &lt; 0,
        MAX(0, FT8 - (ABS(FN9 + FO8) * (1+$V8))),
        FT8 + FQ9),
    FT8 + FR9 + FQ9))</f>
        <v>64109.412913222986</v>
      </c>
      <c r="FU9" s="1">
        <f t="shared" si="35"/>
        <v>62274.056754515404</v>
      </c>
      <c r="FV9" s="36"/>
      <c r="FW9" s="1">
        <f t="shared" si="52"/>
        <v>508360.72203926585</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-9981.818051394228</v>
      </c>
      <c r="GC9" s="1">
        <f>IF($B9&lt;Analysis!$C$159,0,IF($B9=Analysis!$C$159,-FY9-GB9,MIN(0,GC8-GB9)))</f>
        <v>-316452.38326227537</v>
      </c>
      <c r="GD9" s="64">
        <f>IF($B9&lt;Analysis!$C$159,0,IF($B9=Analysis!$C$159,Analysis!$C$160,IF(($B9-Analysis!$C$159)&lt;LOOKUP(Analysis!$C$159,$B:$B,FZ:FZ),GD8,0)))</f>
        <v>3.6999999999999998E-2</v>
      </c>
      <c r="GE9" s="1">
        <f>IF($B9&lt;Analysis!$C$159,0,IF($B9=Analysis!$C$159,-GD9*FY9,GD8*GC8))</f>
        <v>-12078.065448605776</v>
      </c>
      <c r="GF9" s="1">
        <f>IF($B9&lt;Analysis!$C$159,0,IF($B9=Analysis!$C$159,PMT(GD9,FZ9,FY9)*FZ9-GG9-GC9,IF(($B9-Analysis!$C$159+1)&lt;LOOKUP(Analysis!$C$159,$B:$B,FZ:FZ),IF(GF8-GE9&lt;0, GF8-GE9,0),0)))</f>
        <v>-142975.7378068507</v>
      </c>
      <c r="GG9" s="1">
        <f>IF($B9&lt;Analysis!$C$159,0,IF($B9=Analysis!$C$159,GB9+GE9,IF(GC8&lt;0,IF(GC8&gt;LOOKUP(Analysis!$C$159,$B:$B,GG:GG), GC8*(1+GD8),GG8),0)))</f>
        <v>-22059.883500000004</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16978.023150516205</v>
      </c>
      <c r="GO9" s="64">
        <f>IF($B9&lt;Analysis!$C$159,0,((1+Analysis!$C$174)/(1+$S9))-1)</f>
        <v>2.941176470588247E-2</v>
      </c>
      <c r="GP9" s="1">
        <f t="shared" si="7"/>
        <v>22463.105316634003</v>
      </c>
      <c r="GQ9" s="1">
        <f t="shared" si="36"/>
        <v>-1525.0821661177977</v>
      </c>
      <c r="GR9" s="64">
        <f>IF($B9&lt;Analysis!$C$159,0,Analysis!$C$178)</f>
        <v>3.0000000000000001E-3</v>
      </c>
      <c r="GS9" s="1">
        <f t="shared" si="37"/>
        <v>-3812.7054152944938</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-1273.3517362887153</v>
      </c>
      <c r="HD9" s="1">
        <f t="shared" si="38"/>
        <v>-18871.139317701007</v>
      </c>
      <c r="HE9" s="1">
        <f>MIN(0,-(GN9+HD9)*Analysis!$C$28)-GE9*Analysis!$C$28</f>
        <v>5351.7908002772183</v>
      </c>
      <c r="HF9" s="1">
        <f>-Analysis!$C$176*GP9/12</f>
        <v>-1871.9254430528335</v>
      </c>
      <c r="HG9" s="38"/>
      <c r="HH9" s="1">
        <f>IF($B9&lt;Analysis!$C$159,0,-$HI9*$FW9)</f>
        <v>-64815.9920600064</v>
      </c>
      <c r="HI9" s="64">
        <f>IF($B9&lt;Analysis!$C$159,0,IF($B9=Analysis!$C$159,Analysis!$C$31,HI8))</f>
        <v>0.1275</v>
      </c>
      <c r="HJ9" s="1">
        <f>IF($B9&lt;Analysis!$C$159,0,$FW9+HH9)</f>
        <v>443544.72997925943</v>
      </c>
      <c r="HK9" s="1">
        <f>IF($B9-Analysis!$C$159&gt;10,0,IF($FW9&gt;LOOKUP(Analysis!$C$159,$B:$B, FW:FW),$V9*(LOOKUP(Analysis!$C$159,$B:$B, FW:FW)-FW9),0))</f>
        <v>-24623.890437856367</v>
      </c>
      <c r="HL9" s="1">
        <f t="shared" si="39"/>
        <v>418920.83954140305</v>
      </c>
      <c r="HM9" s="38"/>
      <c r="HN9" s="1">
        <f t="shared" si="40"/>
        <v>-116987.44126834543</v>
      </c>
      <c r="HO9" s="1">
        <f t="shared" si="8"/>
        <v>133352.15958006383</v>
      </c>
      <c r="HP9" s="1">
        <f t="shared" si="41"/>
        <v>16364.718311718403</v>
      </c>
      <c r="HQ9" s="1">
        <f>IF(HP9 &lt; 0,
    IF(HQ8 + HP9 &gt; 0,
        HQ8 + HP9, IF(HV8-ABS(HQ8 + HP9)*(1+$V9) &gt;= HQ8 + HP9,
        0, HQ8 + HP9)),
    MIN(HQ8 + HP9, Analysis!$C$7))+IF(HQ8&lt;0, HQ8*Analysis!$C$9,0)</f>
        <v>24000</v>
      </c>
      <c r="HR9" s="38"/>
      <c r="HS9" s="1">
        <f t="shared" si="54"/>
        <v>3619.9587237731134</v>
      </c>
      <c r="HT9" s="1">
        <f>IF($B9=Analysis!$C$159,0,IF(HP9 &gt;= 0,
    MAX(0, HQ8 + HP9 - Analysis!$C$7),
    0))</f>
        <v>16364.718311718403</v>
      </c>
      <c r="HU9" s="1">
        <f>IF($B9=Analysis!$C$159,0,MAX(0, HU8 + HT9 - IF(HP9 &lt; 0, MIN(ABS(HP9), HU8 + HT9), 0)))</f>
        <v>57150.716576890933</v>
      </c>
      <c r="HV9" s="1">
        <f>IF($B9=Analysis!$C$159,0,IF(HP9 &lt; 0,
    IF(HP9 + HQ8 &lt; 0,
        MAX(0, HV8 - (ABS(HP9 + HQ8) * (1+$V8))),
        HV8 + HS9),
    HV8 + HT9 + HS9))</f>
        <v>64109.412913222986</v>
      </c>
      <c r="HW9" s="1">
        <f t="shared" si="42"/>
        <v>62274.056754515404</v>
      </c>
      <c r="HX9" s="36"/>
    </row>
    <row r="10" spans="1:232" x14ac:dyDescent="0.35">
      <c r="A10">
        <f t="shared" si="0"/>
        <v>43</v>
      </c>
      <c r="B10">
        <v>2033</v>
      </c>
      <c r="C10" s="1">
        <f>IF($B10&lt;Analysis!C$66,0,$AN10)+$AT10+$AW10+$BC10+$CF10+$CA10</f>
        <v>-77370.905126854035</v>
      </c>
      <c r="D10" s="1">
        <f>IF($B10&lt;Analysis!C$66, 0, BV10)+AT10+AW10+BC10+CG10+CA10</f>
        <v>-188306.85184897701</v>
      </c>
      <c r="E10" s="1">
        <f t="shared" si="1"/>
        <v>332422.14795474242</v>
      </c>
      <c r="F10" s="1">
        <f t="shared" si="9"/>
        <v>308894.68775828317</v>
      </c>
      <c r="G10" s="1">
        <f>IF(AND($B10&gt;=Analysis!$C$100, $B10&lt;Analysis!$C$101),$CK10,0)+IF($B10&gt;=Analysis!$C$130,EB10,0)+CQ10+CT10+CZ10+EH10+EK10+EQ10+$FO10+$FT10</f>
        <v>191746.46617963369</v>
      </c>
      <c r="H10" s="1">
        <f t="shared" si="10"/>
        <v>121840.22465053372</v>
      </c>
      <c r="I10" s="1">
        <f>IF($B10&lt;Analysis!$C$159,0,$FW10)+$GC10+$GF10+$GL10+$HQ10+$HV10</f>
        <v>191746.46617963369</v>
      </c>
      <c r="J10" s="1">
        <f t="shared" si="2"/>
        <v>93272.800670387427</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IF($B10=$B$2,((1+Analysis!$D$16)/(1+$S10))-1,IF(B10&lt;Analysis!$C$13,U9-((Analysis!$D$16-Analysis!$C$17)/(Analysis!$C$13-$B$2)),((1+Analysis!$C$17)/(1+$S9))-1))</f>
        <v>7.9753501400560367E-2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20470.998804510542</v>
      </c>
      <c r="AI10" s="1">
        <f>IF(AE10 &gt;= 0,
    MAX(0, AF9 + AE10 - Analysis!$C$7),
    0)</f>
        <v>31272.778357514413</v>
      </c>
      <c r="AJ10" s="1">
        <f t="shared" si="44"/>
        <v>219218.50739944674</v>
      </c>
      <c r="AK10" s="1">
        <f t="shared" si="20"/>
        <v>308422.14795474242</v>
      </c>
      <c r="AL10" s="1">
        <f t="shared" si="5"/>
        <v>284894.68775828317</v>
      </c>
      <c r="AM10" s="36"/>
      <c r="AN10" s="1">
        <f t="shared" si="45"/>
        <v>870085.85664410167</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-18557.30897166385</v>
      </c>
      <c r="AT10" s="1">
        <f>IF($B10&lt;Analysis!$C$66,0,IF($B10=Analysis!$C$66,-AP10-AS10,MIN(0,AT9-AS10)))</f>
        <v>-548771.66476715123</v>
      </c>
      <c r="AU10" s="64">
        <f>IF($B10&lt;Analysis!$C$66,0,IF($B10=Analysis!$C$66,Analysis!$C$72,IF(($B10-Analysis!$C$66)&lt;LOOKUP(Analysis!$C$66,$B:$B,AQ:AQ),AU9,0)))</f>
        <v>3.6999999999999998E-2</v>
      </c>
      <c r="AV10" s="1">
        <f>IF($B10&lt;Analysis!$C$66,0,IF($B10=Analysis!$C$66,-AU10*AP10,AU9*AT9))</f>
        <v>-20991.172028336157</v>
      </c>
      <c r="AW10" s="1">
        <f>IF($B10&lt;Analysis!$C$66,0,IF($B10=Analysis!$C$66,PMT(AU10,AQ10,AP10)*AQ10-AX10-AT10,IF(($B10-Analysis!$C$66+1)&lt;LOOKUP(Analysis!$C$66,$B:$B,AQ:AQ),IF(AW9-AV10&lt;0, AW9-AV10,0),0)))</f>
        <v>-235332.63177213346</v>
      </c>
      <c r="AX10" s="1">
        <f>IF($B10&lt;Analysis!$C$66,0,IF($B10=Analysis!$C$66,AS10+AV10,IF(AT9&lt;0,IF(AT9&gt;LOOKUP(Analysis!$C$66,$B:$B,AX:AX), AT9*(1+AU9),AX9),0)))</f>
        <v>-39548.481000000007</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-2610.2575699323052</v>
      </c>
      <c r="BF10" s="64">
        <f>IF($B10&lt;Analysis!$C$66,0,Analysis!$C$78)</f>
        <v>3.0000000000000001E-3</v>
      </c>
      <c r="BG10" s="1">
        <f>IF($B10&lt;Analysis!$C$66,0,-BH10*AN10)</f>
        <v>-6525.6439248307624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-110935.94672212297</v>
      </c>
      <c r="BS10" s="64">
        <f>IF($B10&lt;Analysis!C$66,0,Analysis!C$31)</f>
        <v>0.1275</v>
      </c>
      <c r="BT10" s="1">
        <f>IF($B10&lt;Analysis!$C$66,0,AN10+BR10)</f>
        <v>759149.90992197872</v>
      </c>
      <c r="BU10" s="1">
        <f>IF($B10-Analysis!$C$66&gt;3,0,IF($AN10&gt;LOOKUP(Analysis!$C$66,$B:$B, AN:AN),$V10*(LOOKUP(Analysis!$C$66,$B:$B, AN:AN)-AN10),0))</f>
        <v>0</v>
      </c>
      <c r="BV10" s="1">
        <f t="shared" si="23"/>
        <v>759149.90992197872</v>
      </c>
      <c r="BW10" s="42"/>
      <c r="BX10" s="1">
        <f>IF($B10&lt;Analysis!$C$66,$P10+$N10+$X10+$Z10,$P10+$N10+AS10+AV10+BB10+BE10+BG10+MAX(BI10,SUM(BJ10:BN10))+BP10)</f>
        <v>-117117.21127347049</v>
      </c>
      <c r="BY10" s="1">
        <f t="shared" si="24"/>
        <v>113606.92324047466</v>
      </c>
      <c r="BZ10" s="1">
        <f t="shared" si="46"/>
        <v>-3510.288032995828</v>
      </c>
      <c r="CA10" s="1">
        <f>IF(BZ10 &lt; 0,
    IF(CA9 + BZ10 &gt; 0,
        CA9 + BZ10, IF(CF9-ABS(CA9 + BZ10)*(1+$V10) &gt;= CA9 + BZ10,
        0, CA9 + BZ10)),
    MIN(CA9 + BZ10, Analysis!$C$7))+IF(CA9&lt;0, CA9*Analysis!$C$9,0)</f>
        <v>-157279.6364529636</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-19974.144882960245</v>
      </c>
      <c r="CJ10" s="1">
        <f>IF(OR($B10&lt;Analysis!$C$100, $B10&gt;=Analysis!$C$130),0,Z10)</f>
        <v>-3960</v>
      </c>
      <c r="CK10" s="1">
        <f t="shared" si="26"/>
        <v>523312.50798159727</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-10351.145319295816</v>
      </c>
      <c r="CQ10" s="1">
        <f>IF(OR($B10&lt;Analysis!$C$100, $B10&gt;=Analysis!$C$101),0,IF($B10=Analysis!$C$100,-CM10-CP10,MIN(0,CQ9-CP10)))</f>
        <v>-306101.23794297955</v>
      </c>
      <c r="CR10" s="64">
        <f>IF(OR($B10&lt;Analysis!$C$100, $B10&gt;=Analysis!$C$101),0,IF($B10=Analysis!$C$100,Analysis!$C$102,IF(($B10-Analysis!$C$100)&lt;LOOKUP(Analysis!$C$100,$B:$B,CN:CN),CR9,0)))</f>
        <v>3.6999999999999998E-2</v>
      </c>
      <c r="CS10" s="1">
        <f>IF(OR($B10&lt;Analysis!$C$100, $B10&gt;=Analysis!$C$101),0,IF($B10=Analysis!$C$100,-CR10*CM10,CR9*CQ9))</f>
        <v>-11708.738180704187</v>
      </c>
      <c r="CT10" s="1">
        <f>IF(OR($B10&lt;Analysis!$C$100, $B10&gt;=Analysis!$C$101),0,IF($B10=Analysis!$C$100,PMT(CR10,CN10,CM10)*CN10-CU10-CQ10,IF(($B10-Analysis!$C$100+1)&lt;LOOKUP(Analysis!$C$100,$B:$B,CN:CN),IF(CT9-CS10&lt;0, CT9-CS10,0),0)))</f>
        <v>-131266.99962614651</v>
      </c>
      <c r="CU10" s="1">
        <f>IF(OR($B10&lt;Analysis!$C$100, $B10&gt;=Analysis!$C$101),0,IF($B10=Analysis!$C$100,CP10+CS10,IF(CQ9&lt;0,IF(CQ9&gt;LOOKUP(Analysis!$C$100,$B:$B,CU:CU), CQ9*(1+CR9),CU9),0)))</f>
        <v>-22059.883500000004</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23007.314296535005</v>
      </c>
      <c r="DE10" s="1">
        <f t="shared" si="27"/>
        <v>-1569.9375239447918</v>
      </c>
      <c r="DF10" s="64">
        <f>IF(OR($B10&lt;Analysis!$C$100, $B10&gt;=Analysis!$C$101),0,Analysis!$C$118)</f>
        <v>3.0000000000000001E-3</v>
      </c>
      <c r="DG10" s="1">
        <f t="shared" si="28"/>
        <v>-3924.8438098619795</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-1310.8032579442661</v>
      </c>
      <c r="DR10" s="1">
        <f t="shared" si="29"/>
        <v>-19065.584591751038</v>
      </c>
      <c r="DS10" s="1">
        <f>MIN(0,-(DB10+DR10)*Analysis!$C$28)-CS10*Analysis!$C$28</f>
        <v>5188.1418878700251</v>
      </c>
      <c r="DT10" s="1">
        <f>-Analysis!$C$116*DD10/12</f>
        <v>-1917.276191377917</v>
      </c>
      <c r="DU10" s="53"/>
      <c r="DV10" s="1">
        <f t="shared" si="30"/>
        <v>-66722.34476765366</v>
      </c>
      <c r="DW10" s="64">
        <f>IF(OR($B10&lt;Analysis!$C$100, $B10&gt;=Analysis!$C$101),0,IF($B10=Analysis!$C$100,Analysis!$C$31,DW9))</f>
        <v>0.1275</v>
      </c>
      <c r="DX10" s="1">
        <f>IF(OR($B10&lt;Analysis!$C$100, $B10&gt;=Analysis!$C$101),0,CK10+DV10)</f>
        <v>456590.1632139436</v>
      </c>
      <c r="DY10" s="1">
        <f>IF(OR($B10&lt;Analysis!$C$100, $B10&gt;=Analysis!$C$101),0,IF($B10-Analysis!$C$100&gt;3,0,IF(CK10&gt;LOOKUP(Analysis!$C$100,$B:$B, CK:CK),$V10*(LOOKUP(Analysis!$C$100,$B:$B, CK:CK)-CK10),0)))</f>
        <v>0</v>
      </c>
      <c r="DZ10" s="1">
        <f t="shared" si="49"/>
        <v>456590.1632139436</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-117961.5760569266</v>
      </c>
      <c r="FM10" s="1">
        <f>$M10+$R10+DD10+IF(AND($B10&lt;&gt;Analysis!$C$130,$B10=Analysis!$C$101),DZ9+CQ9+CT9+CZ9,0)</f>
        <v>136614.23753700967</v>
      </c>
      <c r="FN10" s="1">
        <f t="shared" si="34"/>
        <v>18652.661480083072</v>
      </c>
      <c r="FO10" s="1">
        <f>IF(FN10 &lt; 0,
    IF(FO9 + FN10 &gt; 0,
        FO9 + FN10, IF(FT9-ABS(FO9 + FN10)*(1+$V10) &gt;= FO9 + FN10,
        0, FO9 + FN10)),
    MIN(FO9 + FN10, Analysis!$C$7))+IF(FO9&lt;0, FO9*Analysis!$C$9,0)</f>
        <v>24000</v>
      </c>
      <c r="FP10" s="53"/>
      <c r="FQ10" s="1">
        <f t="shared" si="51"/>
        <v>5112.9501525638325</v>
      </c>
      <c r="FR10" s="1">
        <f>IF(OR($B10=Analysis!$C$100, $B10=Analysis!$C$130),0,IF(FN10 &gt;= 0,
    MAX(0, FO9 + FN10 - Analysis!$C$7),
    0))</f>
        <v>18652.661480083072</v>
      </c>
      <c r="FS10" s="1">
        <f>IF(OR($B10=Analysis!$C$100, $B10=Analysis!$C$130),0,MAX(0, FS9 + FR10 - IF(FN10 &lt; 0, MIN(ABS(FN10), FS9 + FR10), 0)))</f>
        <v>75803.378056974005</v>
      </c>
      <c r="FT10" s="1">
        <f>IF(OR($B10=Analysis!$C$100, $B10=Analysis!$C$130),0,IF(FN10 &lt; 0,
    IF(FN10 + FO9 &lt; 0,
        MAX(0, FT9 - (ABS(FN10 + FO9) * (1+$V9))),
        FT9 + FQ10),
    FT9 + FR10 + FQ10))</f>
        <v>87875.024545869892</v>
      </c>
      <c r="FU10" s="1">
        <f t="shared" si="35"/>
        <v>84691.127784423603</v>
      </c>
      <c r="FV10" s="36"/>
      <c r="FW10" s="1">
        <f t="shared" si="52"/>
        <v>523312.50798159727</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-10351.145319295816</v>
      </c>
      <c r="GC10" s="1">
        <f>IF($B10&lt;Analysis!$C$159,0,IF($B10=Analysis!$C$159,-FY10-GB10,MIN(0,GC9-GB10)))</f>
        <v>-306101.23794297955</v>
      </c>
      <c r="GD10" s="64">
        <f>IF($B10&lt;Analysis!$C$159,0,IF($B10=Analysis!$C$159,Analysis!$C$160,IF(($B10-Analysis!$C$159)&lt;LOOKUP(Analysis!$C$159,$B:$B,FZ:FZ),GD9,0)))</f>
        <v>3.6999999999999998E-2</v>
      </c>
      <c r="GE10" s="1">
        <f>IF($B10&lt;Analysis!$C$159,0,IF($B10=Analysis!$C$159,-GD10*FY10,GD9*GC9))</f>
        <v>-11708.738180704187</v>
      </c>
      <c r="GF10" s="1">
        <f>IF($B10&lt;Analysis!$C$159,0,IF($B10=Analysis!$C$159,PMT(GD10,FZ10,FY10)*FZ10-GG10-GC10,IF(($B10-Analysis!$C$159+1)&lt;LOOKUP(Analysis!$C$159,$B:$B,FZ:FZ),IF(GF9-GE10&lt;0, GF9-GE10,0),0)))</f>
        <v>-131266.99962614651</v>
      </c>
      <c r="GG10" s="1">
        <f>IF($B10&lt;Analysis!$C$159,0,IF($B10=Analysis!$C$159,GB10+GE10,IF(GC9&lt;0,IF(GC9&gt;LOOKUP(Analysis!$C$159,$B:$B,GG:GG), GC9*(1+GD9),GG9),0)))</f>
        <v>-22059.883500000004</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17477.376772590214</v>
      </c>
      <c r="GO10" s="64">
        <f>IF($B10&lt;Analysis!$C$159,0,((1+Analysis!$C$174)/(1+$S10))-1)</f>
        <v>2.941176470588247E-2</v>
      </c>
      <c r="GP10" s="1">
        <f t="shared" si="7"/>
        <v>23007.314296535005</v>
      </c>
      <c r="GQ10" s="1">
        <f t="shared" si="36"/>
        <v>-1569.9375239447918</v>
      </c>
      <c r="GR10" s="64">
        <f>IF($B10&lt;Analysis!$C$159,0,Analysis!$C$178)</f>
        <v>3.0000000000000001E-3</v>
      </c>
      <c r="GS10" s="1">
        <f t="shared" si="37"/>
        <v>-3924.8438098619795</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-1310.8032579442661</v>
      </c>
      <c r="HD10" s="1">
        <f t="shared" si="38"/>
        <v>-19065.584591751038</v>
      </c>
      <c r="HE10" s="1">
        <f>MIN(0,-(GN10+HD10)*Analysis!$C$28)-GE10*Analysis!$C$28</f>
        <v>5188.1418878700251</v>
      </c>
      <c r="HF10" s="1">
        <f>-Analysis!$C$176*GP10/12</f>
        <v>-1917.276191377917</v>
      </c>
      <c r="HG10" s="38"/>
      <c r="HH10" s="1">
        <f>IF($B10&lt;Analysis!$C$159,0,-$HI10*$FW10)</f>
        <v>-66722.34476765366</v>
      </c>
      <c r="HI10" s="64">
        <f>IF($B10&lt;Analysis!$C$159,0,IF($B10=Analysis!$C$159,Analysis!$C$31,HI9))</f>
        <v>0.1275</v>
      </c>
      <c r="HJ10" s="1">
        <f>IF($B10&lt;Analysis!$C$159,0,$FW10+HH10)</f>
        <v>456590.1632139436</v>
      </c>
      <c r="HK10" s="1">
        <f>IF($B10-Analysis!$C$159&gt;10,0,IF($FW10&gt;LOOKUP(Analysis!$C$159,$B:$B, FW:FW),$V10*(LOOKUP(Analysis!$C$159,$B:$B, FW:FW)-FW10),0))</f>
        <v>-28567.423980146279</v>
      </c>
      <c r="HL10" s="1">
        <f t="shared" si="39"/>
        <v>428022.7392337973</v>
      </c>
      <c r="HM10" s="38"/>
      <c r="HN10" s="1">
        <f t="shared" si="40"/>
        <v>-117961.5760569266</v>
      </c>
      <c r="HO10" s="1">
        <f t="shared" si="8"/>
        <v>136614.23753700967</v>
      </c>
      <c r="HP10" s="1">
        <f t="shared" si="41"/>
        <v>18652.661480083072</v>
      </c>
      <c r="HQ10" s="1">
        <f>IF(HP10 &lt; 0,
    IF(HQ9 + HP10 &gt; 0,
        HQ9 + HP10, IF(HV9-ABS(HQ9 + HP10)*(1+$V10) &gt;= HQ9 + HP10,
        0, HQ9 + HP10)),
    MIN(HQ9 + HP10, Analysis!$C$7))+IF(HQ9&lt;0, HQ9*Analysis!$C$9,0)</f>
        <v>24000</v>
      </c>
      <c r="HR10" s="38"/>
      <c r="HS10" s="1">
        <f t="shared" si="54"/>
        <v>5112.9501525638325</v>
      </c>
      <c r="HT10" s="1">
        <f>IF($B10=Analysis!$C$159,0,IF(HP10 &gt;= 0,
    MAX(0, HQ9 + HP10 - Analysis!$C$7),
    0))</f>
        <v>18652.661480083072</v>
      </c>
      <c r="HU10" s="1">
        <f>IF($B10=Analysis!$C$159,0,MAX(0, HU9 + HT10 - IF(HP10 &lt; 0, MIN(ABS(HP10), HU9 + HT10), 0)))</f>
        <v>75803.378056974005</v>
      </c>
      <c r="HV10" s="1">
        <f>IF($B10=Analysis!$C$159,0,IF(HP10 &lt; 0,
    IF(HP10 + HQ9 &lt; 0,
        MAX(0, HV9 - (ABS(HP10 + HQ9) * (1+$V9))),
        HV9 + HS10),
    HV9 + HT10 + HS10))</f>
        <v>87875.024545869892</v>
      </c>
      <c r="HW10" s="1">
        <f t="shared" si="42"/>
        <v>84691.127784423603</v>
      </c>
      <c r="HX10" s="36"/>
    </row>
    <row r="11" spans="1:232" x14ac:dyDescent="0.35">
      <c r="A11">
        <f t="shared" si="0"/>
        <v>44</v>
      </c>
      <c r="B11">
        <v>2034</v>
      </c>
      <c r="C11" s="1">
        <f>IF($B11&lt;Analysis!C$66,0,$AN11)+$AT11+$AW11+$BC11+$CF11+$CA11</f>
        <v>-19735.713380230474</v>
      </c>
      <c r="D11" s="1">
        <f>IF($B11&lt;Analysis!C$66, 0, BV11)+AT11+AW11+BC11+CG11+CA11</f>
        <v>-133934.48206476879</v>
      </c>
      <c r="E11" s="1">
        <f t="shared" si="1"/>
        <v>389784.71617477626</v>
      </c>
      <c r="F11" s="1">
        <f t="shared" si="9"/>
        <v>359955.53491063678</v>
      </c>
      <c r="G11" s="1">
        <f>IF(AND($B11&gt;=Analysis!$C$100, $B11&lt;Analysis!$C$101),$CK11,0)+IF($B11&gt;=Analysis!$C$130,EB11,0)+CQ11+CT11+CZ11+EH11+EK11+EQ11+$FO11+$FT11</f>
        <v>263071.53890595317</v>
      </c>
      <c r="H11" s="1">
        <f t="shared" si="10"/>
        <v>189407.40164756871</v>
      </c>
      <c r="I11" s="1">
        <f>IF($B11&lt;Analysis!$C$159,0,$FW11)+$GC11+$GF11+$GL11+$HQ11+$HV11</f>
        <v>263071.53890595317</v>
      </c>
      <c r="J11" s="1">
        <f t="shared" si="2"/>
        <v>156780.45784447694</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IF($B11=$B$2,((1+Analysis!$D$16)/(1+$S11))-1,IF(B11&lt;Analysis!$C$13,U10-((Analysis!$D$16-Analysis!$C$17)/(Analysis!$C$13-$B$2)),((1+Analysis!$C$17)/(1+$S10))-1))</f>
        <v>7.7467787114846087E-2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23892.781299261547</v>
      </c>
      <c r="AI11" s="1">
        <f>IF(AE11 &gt;= 0,
    MAX(0, AF10 + AE11 - Analysis!$C$7),
    0)</f>
        <v>33469.786920772298</v>
      </c>
      <c r="AJ11" s="1">
        <f t="shared" si="44"/>
        <v>252688.29432021902</v>
      </c>
      <c r="AK11" s="1">
        <f t="shared" si="20"/>
        <v>365784.71617477626</v>
      </c>
      <c r="AL11" s="1">
        <f t="shared" si="5"/>
        <v>335955.53491063678</v>
      </c>
      <c r="AM11" s="36"/>
      <c r="AN11" s="1">
        <f t="shared" si="45"/>
        <v>895676.61713363416</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-19243.929403615413</v>
      </c>
      <c r="AT11" s="1">
        <f>IF($B11&lt;Analysis!$C$66,0,IF($B11=Analysis!$C$66,-AP11-AS11,MIN(0,AT10-AS11)))</f>
        <v>-529527.73536353582</v>
      </c>
      <c r="AU11" s="64">
        <f>IF($B11&lt;Analysis!$C$66,0,IF($B11=Analysis!$C$66,Analysis!$C$72,IF(($B11-Analysis!$C$66)&lt;LOOKUP(Analysis!$C$66,$B:$B,AQ:AQ),AU10,0)))</f>
        <v>3.6999999999999998E-2</v>
      </c>
      <c r="AV11" s="1">
        <f>IF($B11&lt;Analysis!$C$66,0,IF($B11=Analysis!$C$66,-AU11*AP11,AU10*AT10))</f>
        <v>-20304.551596384594</v>
      </c>
      <c r="AW11" s="1">
        <f>IF($B11&lt;Analysis!$C$66,0,IF($B11=Analysis!$C$66,PMT(AU11,AQ11,AP11)*AQ11-AX11-AT11,IF(($B11-Analysis!$C$66+1)&lt;LOOKUP(Analysis!$C$66,$B:$B,AQ:AQ),IF(AW10-AV11&lt;0, AW10-AV11,0),0)))</f>
        <v>-215028.08017574888</v>
      </c>
      <c r="AX11" s="1">
        <f>IF($B11&lt;Analysis!$C$66,0,IF($B11=Analysis!$C$66,AS11+AV11,IF(AT10&lt;0,IF(AT10&gt;LOOKUP(Analysis!$C$66,$B:$B,AX:AX), AT10*(1+AU10),AX10),0)))</f>
        <v>-39548.481000000007</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-2687.0298514009028</v>
      </c>
      <c r="BF11" s="64">
        <f>IF($B11&lt;Analysis!$C$66,0,Analysis!$C$78)</f>
        <v>3.0000000000000001E-3</v>
      </c>
      <c r="BG11" s="1">
        <f>IF($B11&lt;Analysis!$C$66,0,-BH11*AN11)</f>
        <v>-6717.574628502256</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-114198.76868453836</v>
      </c>
      <c r="BS11" s="64">
        <f>IF($B11&lt;Analysis!C$66,0,Analysis!C$31)</f>
        <v>0.1275</v>
      </c>
      <c r="BT11" s="1">
        <f>IF($B11&lt;Analysis!$C$66,0,AN11+BR11)</f>
        <v>781477.84844909585</v>
      </c>
      <c r="BU11" s="1">
        <f>IF($B11-Analysis!$C$66&gt;3,0,IF($AN11&gt;LOOKUP(Analysis!$C$66,$B:$B, AN:AN),$V11*(LOOKUP(Analysis!$C$66,$B:$B, AN:AN)-AN11),0))</f>
        <v>0</v>
      </c>
      <c r="BV11" s="1">
        <f t="shared" si="23"/>
        <v>781477.84844909585</v>
      </c>
      <c r="BW11" s="42"/>
      <c r="BX11" s="1">
        <f>IF($B11&lt;Analysis!$C$66,$P11+$N11+$X11+$Z11,$P11+$N11+AS11+AV11+BB11+BE11+BG11+MAX(BI11,SUM(BJ11:BN11))+BP11)</f>
        <v>-117385.9142586106</v>
      </c>
      <c r="BY11" s="1">
        <f t="shared" si="24"/>
        <v>116391.40665323137</v>
      </c>
      <c r="BZ11" s="1">
        <f t="shared" si="46"/>
        <v>-994.50760537922906</v>
      </c>
      <c r="CA11" s="1">
        <f>IF(BZ11 &lt; 0,
    IF(CA10 + BZ11 &gt; 0,
        CA10 + BZ11, IF(CF10-ABS(CA10 + BZ11)*(1+$V11) &gt;= CA10 + BZ11,
        0, CA10 + BZ11)),
    MIN(CA10 + BZ11, Analysis!$C$7))+IF(CA10&lt;0, CA10*Analysis!$C$9,0)</f>
        <v>-170856.51497457994</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-20561.619732459079</v>
      </c>
      <c r="CJ11" s="1">
        <f>IF(OR($B11&lt;Analysis!$C$100, $B11&gt;=Analysis!$C$130),0,Z11)</f>
        <v>-3960</v>
      </c>
      <c r="CK11" s="1">
        <f t="shared" si="26"/>
        <v>538704.05233399721</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-10734.137696109761</v>
      </c>
      <c r="CQ11" s="1">
        <f>IF(OR($B11&lt;Analysis!$C$100, $B11&gt;=Analysis!$C$101),0,IF($B11=Analysis!$C$100,-CM11-CP11,MIN(0,CQ10-CP11)))</f>
        <v>-295367.10024686978</v>
      </c>
      <c r="CR11" s="64">
        <f>IF(OR($B11&lt;Analysis!$C$100, $B11&gt;=Analysis!$C$101),0,IF($B11=Analysis!$C$100,Analysis!$C$102,IF(($B11-Analysis!$C$100)&lt;LOOKUP(Analysis!$C$100,$B:$B,CN:CN),CR10,0)))</f>
        <v>3.6999999999999998E-2</v>
      </c>
      <c r="CS11" s="1">
        <f>IF(OR($B11&lt;Analysis!$C$100, $B11&gt;=Analysis!$C$101),0,IF($B11=Analysis!$C$100,-CR11*CM11,CR10*CQ10))</f>
        <v>-11325.745803890242</v>
      </c>
      <c r="CT11" s="1">
        <f>IF(OR($B11&lt;Analysis!$C$100, $B11&gt;=Analysis!$C$101),0,IF($B11=Analysis!$C$100,PMT(CR11,CN11,CM11)*CN11-CU11-CQ11,IF(($B11-Analysis!$C$100+1)&lt;LOOKUP(Analysis!$C$100,$B:$B,CN:CN),IF(CT10-CS11&lt;0, CT10-CS11,0),0)))</f>
        <v>-119941.25382225627</v>
      </c>
      <c r="CU11" s="1">
        <f>IF(OR($B11&lt;Analysis!$C$100, $B11&gt;=Analysis!$C$101),0,IF($B11=Analysis!$C$100,CP11+CS11,IF(CQ10&lt;0,IF(CQ10&gt;LOOKUP(Analysis!$C$100,$B:$B,CU:CU), CQ10*(1+CR10),CU10),0)))</f>
        <v>-22059.883500000004</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23567.529422903688</v>
      </c>
      <c r="DE11" s="1">
        <f t="shared" si="27"/>
        <v>-1616.1121570019916</v>
      </c>
      <c r="DF11" s="64">
        <f>IF(OR($B11&lt;Analysis!$C$100, $B11&gt;=Analysis!$C$101),0,Analysis!$C$118)</f>
        <v>3.0000000000000001E-3</v>
      </c>
      <c r="DG11" s="1">
        <f t="shared" si="28"/>
        <v>-4040.2803925049789</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-1349.3562949426271</v>
      </c>
      <c r="DR11" s="1">
        <f t="shared" si="29"/>
        <v>-19265.748844449598</v>
      </c>
      <c r="DS11" s="1">
        <f>MIN(0,-(DB11+DR11)*Analysis!$C$28)-CS11*Analysis!$C$28</f>
        <v>5018.4379657037653</v>
      </c>
      <c r="DT11" s="1">
        <f>-Analysis!$C$116*DD11/12</f>
        <v>-1963.960785241974</v>
      </c>
      <c r="DU11" s="53"/>
      <c r="DV11" s="1">
        <f t="shared" si="30"/>
        <v>-68684.76667258465</v>
      </c>
      <c r="DW11" s="64">
        <f>IF(OR($B11&lt;Analysis!$C$100, $B11&gt;=Analysis!$C$101),0,IF($B11=Analysis!$C$100,Analysis!$C$31,DW10))</f>
        <v>0.1275</v>
      </c>
      <c r="DX11" s="1">
        <f>IF(OR($B11&lt;Analysis!$C$100, $B11&gt;=Analysis!$C$101),0,CK11+DV11)</f>
        <v>470019.28566141258</v>
      </c>
      <c r="DY11" s="1">
        <f>IF(OR($B11&lt;Analysis!$C$100, $B11&gt;=Analysis!$C$101),0,IF($B11-Analysis!$C$100&gt;3,0,IF(CK11&gt;LOOKUP(Analysis!$C$100,$B:$B, CK:CK),$V11*(LOOKUP(Analysis!$C$100,$B:$B, CK:CK)-CK11),0)))</f>
        <v>0</v>
      </c>
      <c r="DZ11" s="1">
        <f t="shared" si="49"/>
        <v>470019.28566141258</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-118965.6036751543</v>
      </c>
      <c r="FM11" s="1">
        <f>$M11+$R11+DD11+IF(AND($B11&lt;&gt;Analysis!$C$130,$B11=Analysis!$C$101),DZ10+CQ10+CT10+CZ10,0)</f>
        <v>139958.93607613505</v>
      </c>
      <c r="FN11" s="1">
        <f t="shared" si="34"/>
        <v>20993.332400980755</v>
      </c>
      <c r="FO11" s="1">
        <f>IF(FN11 &lt; 0,
    IF(FO10 + FN11 &gt; 0,
        FO10 + FN11, IF(FT10-ABS(FO10 + FN11)*(1+$V11) &gt;= FO10 + FN11,
        0, FO10 + FN11)),
    MIN(FO10 + FN11, Analysis!$C$7))+IF(FO10&lt;0, FO10*Analysis!$C$9,0)</f>
        <v>24000</v>
      </c>
      <c r="FP11" s="53"/>
      <c r="FQ11" s="1">
        <f t="shared" si="51"/>
        <v>6807.4836942313232</v>
      </c>
      <c r="FR11" s="1">
        <f>IF(OR($B11=Analysis!$C$100, $B11=Analysis!$C$130),0,IF(FN11 &gt;= 0,
    MAX(0, FO10 + FN11 - Analysis!$C$7),
    0))</f>
        <v>20993.332400980755</v>
      </c>
      <c r="FS11" s="1">
        <f>IF(OR($B11=Analysis!$C$100, $B11=Analysis!$C$130),0,MAX(0, FS10 + FR11 - IF(FN11 &lt; 0, MIN(ABS(FN11), FS10 + FR11), 0)))</f>
        <v>96796.710457954759</v>
      </c>
      <c r="FT11" s="1">
        <f>IF(OR($B11=Analysis!$C$100, $B11=Analysis!$C$130),0,IF(FN11 &lt; 0,
    IF(FN11 + FO10 &lt; 0,
        MAX(0, FT10 - (ABS(FN11 + FO10) * (1+$V10))),
        FT10 + FQ11),
    FT10 + FR11 + FQ11))</f>
        <v>115675.84064108197</v>
      </c>
      <c r="FU11" s="1">
        <f t="shared" si="35"/>
        <v>110696.47005528217</v>
      </c>
      <c r="FV11" s="36"/>
      <c r="FW11" s="1">
        <f t="shared" si="52"/>
        <v>538704.05233399721</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-10734.137696109761</v>
      </c>
      <c r="GC11" s="1">
        <f>IF($B11&lt;Analysis!$C$159,0,IF($B11=Analysis!$C$159,-FY11-GB11,MIN(0,GC10-GB11)))</f>
        <v>-295367.10024686978</v>
      </c>
      <c r="GD11" s="64">
        <f>IF($B11&lt;Analysis!$C$159,0,IF($B11=Analysis!$C$159,Analysis!$C$160,IF(($B11-Analysis!$C$159)&lt;LOOKUP(Analysis!$C$159,$B:$B,FZ:FZ),GD10,0)))</f>
        <v>3.6999999999999998E-2</v>
      </c>
      <c r="GE11" s="1">
        <f>IF($B11&lt;Analysis!$C$159,0,IF($B11=Analysis!$C$159,-GD11*FY11,GD10*GC10))</f>
        <v>-11325.745803890242</v>
      </c>
      <c r="GF11" s="1">
        <f>IF($B11&lt;Analysis!$C$159,0,IF($B11=Analysis!$C$159,PMT(GD11,FZ11,FY11)*FZ11-GG11-GC11,IF(($B11-Analysis!$C$159+1)&lt;LOOKUP(Analysis!$C$159,$B:$B,FZ:FZ),IF(GF10-GE11&lt;0, GF10-GE11,0),0)))</f>
        <v>-119941.25382225627</v>
      </c>
      <c r="GG11" s="1">
        <f>IF($B11&lt;Analysis!$C$159,0,IF($B11=Analysis!$C$159,GB11+GE11,IF(GC10&lt;0,IF(GC10&gt;LOOKUP(Analysis!$C$159,$B:$B,GG:GG), GC10*(1+GD10),GG10),0)))</f>
        <v>-22059.883500000004</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7"/>
        <v>23567.529422903688</v>
      </c>
      <c r="GQ11" s="1">
        <f t="shared" si="36"/>
        <v>-1616.1121570019916</v>
      </c>
      <c r="GR11" s="64">
        <f>IF($B11&lt;Analysis!$C$159,0,Analysis!$C$178)</f>
        <v>3.0000000000000001E-3</v>
      </c>
      <c r="GS11" s="1">
        <f t="shared" si="37"/>
        <v>-4040.2803925049789</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-1349.3562949426271</v>
      </c>
      <c r="HD11" s="1">
        <f t="shared" si="38"/>
        <v>-19265.748844449598</v>
      </c>
      <c r="HE11" s="1">
        <f>MIN(0,-(GN11+HD11)*Analysis!$C$28)-GE11*Analysis!$C$28</f>
        <v>5018.4379657037653</v>
      </c>
      <c r="HF11" s="1">
        <f>-Analysis!$C$176*GP11/12</f>
        <v>-1963.960785241974</v>
      </c>
      <c r="HG11" s="38"/>
      <c r="HH11" s="1">
        <f>IF($B11&lt;Analysis!$C$159,0,-$HI11*$FW11)</f>
        <v>-68684.76667258465</v>
      </c>
      <c r="HI11" s="64">
        <f>IF($B11&lt;Analysis!$C$159,0,IF($B11=Analysis!$C$159,Analysis!$C$31,HI10))</f>
        <v>0.1275</v>
      </c>
      <c r="HJ11" s="1">
        <f>IF($B11&lt;Analysis!$C$159,0,$FW11+HH11)</f>
        <v>470019.28566141258</v>
      </c>
      <c r="HK11" s="1">
        <f>IF($B11-Analysis!$C$159&gt;10,0,IF($FW11&gt;LOOKUP(Analysis!$C$159,$B:$B, FW:FW),$V11*(LOOKUP(Analysis!$C$159,$B:$B, FW:FW)-FW11),0))</f>
        <v>-32626.943803091763</v>
      </c>
      <c r="HL11" s="1">
        <f t="shared" si="39"/>
        <v>437392.34185832081</v>
      </c>
      <c r="HM11" s="38"/>
      <c r="HN11" s="1">
        <f t="shared" si="40"/>
        <v>-118965.6036751543</v>
      </c>
      <c r="HO11" s="1">
        <f t="shared" si="8"/>
        <v>139958.93607613505</v>
      </c>
      <c r="HP11" s="1">
        <f t="shared" si="41"/>
        <v>20993.332400980755</v>
      </c>
      <c r="HQ11" s="1">
        <f>IF(HP11 &lt; 0,
    IF(HQ10 + HP11 &gt; 0,
        HQ10 + HP11, IF(HV10-ABS(HQ10 + HP11)*(1+$V11) &gt;= HQ10 + HP11,
        0, HQ10 + HP11)),
    MIN(HQ10 + HP11, Analysis!$C$7))+IF(HQ10&lt;0, HQ10*Analysis!$C$9,0)</f>
        <v>24000</v>
      </c>
      <c r="HR11" s="38"/>
      <c r="HS11" s="1">
        <f t="shared" si="54"/>
        <v>6807.4836942313232</v>
      </c>
      <c r="HT11" s="1">
        <f>IF($B11=Analysis!$C$159,0,IF(HP11 &gt;= 0,
    MAX(0, HQ10 + HP11 - Analysis!$C$7),
    0))</f>
        <v>20993.332400980755</v>
      </c>
      <c r="HU11" s="1">
        <f>IF($B11=Analysis!$C$159,0,MAX(0, HU10 + HT11 - IF(HP11 &lt; 0, MIN(ABS(HP11), HU10 + HT11), 0)))</f>
        <v>96796.710457954759</v>
      </c>
      <c r="HV11" s="1">
        <f>IF($B11=Analysis!$C$159,0,IF(HP11 &lt; 0,
    IF(HP11 + HQ10 &lt; 0,
        MAX(0, HV10 - (ABS(HP11 + HQ10) * (1+$V10))),
        HV10 + HS11),
    HV10 + HT11 + HS11))</f>
        <v>115675.84064108197</v>
      </c>
      <c r="HW11" s="1">
        <f t="shared" si="42"/>
        <v>110696.47005528217</v>
      </c>
      <c r="HX11" s="36"/>
    </row>
    <row r="12" spans="1:232" x14ac:dyDescent="0.35">
      <c r="A12">
        <f t="shared" si="0"/>
        <v>45</v>
      </c>
      <c r="B12">
        <v>2035</v>
      </c>
      <c r="C12" s="1">
        <f>IF($B12&lt;Analysis!C$66,0,$AN12)+$AT12+$AW12+$BC12+$CF12+$CA12</f>
        <v>38715.756774324895</v>
      </c>
      <c r="D12" s="1">
        <f>IF($B12&lt;Analysis!C$66, 0, BV12)+AT12+AW12+BC12+CG12+CA12</f>
        <v>-78841.799224464601</v>
      </c>
      <c r="E12" s="1">
        <f t="shared" si="1"/>
        <v>451576.5680228541</v>
      </c>
      <c r="F12" s="1">
        <f t="shared" si="9"/>
        <v>414494.14223480131</v>
      </c>
      <c r="G12" s="1">
        <f>IF(AND($B12&gt;=Analysis!$C$100, $B12&lt;Analysis!$C$101),$CK12,0)+IF($B12&gt;=Analysis!$C$130,EB12,0)+CQ12+CT12+CZ12+EH12+EK12+EQ12+$FO12+$FT12</f>
        <v>337706.78161852143</v>
      </c>
      <c r="H12" s="1">
        <f t="shared" si="10"/>
        <v>259728.73648968211</v>
      </c>
      <c r="I12" s="1">
        <f>IF($B12&lt;Analysis!$C$159,0,$FW12)+$GC12+$GF12+$GL12+$HQ12+$HV12</f>
        <v>337706.78161852143</v>
      </c>
      <c r="J12" s="1">
        <f t="shared" si="2"/>
        <v>222922.87522179348</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IF($B12=$B$2,((1+Analysis!$D$16)/(1+$S12))-1,IF(B12&lt;Analysis!$C$13,U11-((Analysis!$D$16-Analysis!$C$17)/(Analysis!$C$13-$B$2)),((1+Analysis!$C$17)/(1+$S11))-1))</f>
        <v>7.5182072829131807E-2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27500.453171235335</v>
      </c>
      <c r="AI12" s="1">
        <f>IF(AE12 &gt;= 0,
    MAX(0, AF11 + AE12 - Analysis!$C$7),
    0)</f>
        <v>34291.398676842495</v>
      </c>
      <c r="AJ12" s="1">
        <f t="shared" si="44"/>
        <v>286979.69299706153</v>
      </c>
      <c r="AK12" s="1">
        <f t="shared" si="20"/>
        <v>427576.5680228541</v>
      </c>
      <c r="AL12" s="1">
        <f t="shared" si="5"/>
        <v>390494.14223480131</v>
      </c>
      <c r="AM12" s="36"/>
      <c r="AN12" s="1">
        <f t="shared" si="45"/>
        <v>922020.04704932938</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-19955.954791549182</v>
      </c>
      <c r="AT12" s="1">
        <f>IF($B12&lt;Analysis!$C$66,0,IF($B12=Analysis!$C$66,-AP12-AS12,MIN(0,AT11-AS12)))</f>
        <v>-509571.78057198663</v>
      </c>
      <c r="AU12" s="64">
        <f>IF($B12&lt;Analysis!$C$66,0,IF($B12=Analysis!$C$66,Analysis!$C$72,IF(($B12-Analysis!$C$66)&lt;LOOKUP(Analysis!$C$66,$B:$B,AQ:AQ),AU11,0)))</f>
        <v>3.6999999999999998E-2</v>
      </c>
      <c r="AV12" s="1">
        <f>IF($B12&lt;Analysis!$C$66,0,IF($B12=Analysis!$C$66,-AU12*AP12,AU11*AT11))</f>
        <v>-19592.526208450825</v>
      </c>
      <c r="AW12" s="1">
        <f>IF($B12&lt;Analysis!$C$66,0,IF($B12=Analysis!$C$66,PMT(AU12,AQ12,AP12)*AQ12-AX12-AT12,IF(($B12-Analysis!$C$66+1)&lt;LOOKUP(Analysis!$C$66,$B:$B,AQ:AQ),IF(AW11-AV12&lt;0, AW11-AV12,0),0)))</f>
        <v>-195435.55396729807</v>
      </c>
      <c r="AX12" s="1">
        <f>IF($B12&lt;Analysis!$C$66,0,IF($B12=Analysis!$C$66,AS12+AV12,IF(AT11&lt;0,IF(AT11&gt;LOOKUP(Analysis!$C$66,$B:$B,AX:AX), AT11*(1+AU11),AX11),0)))</f>
        <v>-39548.481000000007</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-2766.0601411479884</v>
      </c>
      <c r="BF12" s="64">
        <f>IF($B12&lt;Analysis!$C$66,0,Analysis!$C$78)</f>
        <v>3.0000000000000001E-3</v>
      </c>
      <c r="BG12" s="1">
        <f>IF($B12&lt;Analysis!$C$66,0,-BH12*AN12)</f>
        <v>-6915.1503528699704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-117557.5559987895</v>
      </c>
      <c r="BS12" s="64">
        <f>IF($B12&lt;Analysis!C$66,0,Analysis!C$31)</f>
        <v>0.1275</v>
      </c>
      <c r="BT12" s="1">
        <f>IF($B12&lt;Analysis!$C$66,0,AN12+BR12)</f>
        <v>804462.49105053989</v>
      </c>
      <c r="BU12" s="1">
        <f>IF($B12-Analysis!$C$66&gt;3,0,IF($AN12&gt;LOOKUP(Analysis!$C$66,$B:$B, AN:AN),$V12*(LOOKUP(Analysis!$C$66,$B:$B, AN:AN)-AN12),0))</f>
        <v>0</v>
      </c>
      <c r="BV12" s="1">
        <f t="shared" si="23"/>
        <v>804462.49105053989</v>
      </c>
      <c r="BW12" s="42"/>
      <c r="BX12" s="1">
        <f>IF($B12&lt;Analysis!$C$66,$P12+$N12+$X12+$Z12,$P12+$N12+AS12+AV12+BB12+BE12+BG12+MAX(BI12,SUM(BJ12:BN12))+BP12)</f>
        <v>-111589.69149401797</v>
      </c>
      <c r="BY12" s="1">
        <f t="shared" si="24"/>
        <v>117817.77193084449</v>
      </c>
      <c r="BZ12" s="1">
        <f t="shared" si="46"/>
        <v>6228.0804368265235</v>
      </c>
      <c r="CA12" s="1">
        <f>IF(BZ12 &lt; 0,
    IF(CA11 + BZ12 &gt; 0,
        CA11 + BZ12, IF(CF11-ABS(CA11 + BZ12)*(1+$V12) &gt;= CA11 + BZ12,
        0, CA11 + BZ12)),
    MIN(CA11 + BZ12, Analysis!$C$7))+IF(CA11&lt;0, CA11*Analysis!$C$9,0)</f>
        <v>-178296.95573571979</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26"/>
        <v>554548.28916735016</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-11131.300790865822</v>
      </c>
      <c r="CQ12" s="1">
        <f>IF(OR($B12&lt;Analysis!$C$100, $B12&gt;=Analysis!$C$101),0,IF($B12=Analysis!$C$100,-CM12-CP12,MIN(0,CQ11-CP12)))</f>
        <v>-284235.79945600394</v>
      </c>
      <c r="CR12" s="64">
        <f>IF(OR($B12&lt;Analysis!$C$100, $B12&gt;=Analysis!$C$101),0,IF($B12=Analysis!$C$100,Analysis!$C$102,IF(($B12-Analysis!$C$100)&lt;LOOKUP(Analysis!$C$100,$B:$B,CN:CN),CR11,0)))</f>
        <v>3.6999999999999998E-2</v>
      </c>
      <c r="CS12" s="1">
        <f>IF(OR($B12&lt;Analysis!$C$100, $B12&gt;=Analysis!$C$101),0,IF($B12=Analysis!$C$100,-CR12*CM12,CR11*CQ11))</f>
        <v>-10928.582709134182</v>
      </c>
      <c r="CT12" s="1">
        <f>IF(OR($B12&lt;Analysis!$C$100, $B12&gt;=Analysis!$C$101),0,IF($B12=Analysis!$C$100,PMT(CR12,CN12,CM12)*CN12-CU12-CQ12,IF(($B12-Analysis!$C$100+1)&lt;LOOKUP(Analysis!$C$100,$B:$B,CN:CN),IF(CT11-CS12&lt;0, CT11-CS12,0),0)))</f>
        <v>-109012.67111312209</v>
      </c>
      <c r="CU12" s="1">
        <f>IF(OR($B12&lt;Analysis!$C$100, $B12&gt;=Analysis!$C$101),0,IF($B12=Analysis!$C$100,CP12+CS12,IF(CQ11&lt;0,IF(CQ11&gt;LOOKUP(Analysis!$C$100,$B:$B,CU:CU), CQ11*(1+CR11),CU11),0)))</f>
        <v>-22059.883500000004</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24144.221464753799</v>
      </c>
      <c r="DE12" s="1">
        <f t="shared" si="27"/>
        <v>-1663.6448675020506</v>
      </c>
      <c r="DF12" s="64">
        <f>IF(OR($B12&lt;Analysis!$C$100, $B12&gt;=Analysis!$C$101),0,Analysis!$C$118)</f>
        <v>3.0000000000000001E-3</v>
      </c>
      <c r="DG12" s="1">
        <f t="shared" si="28"/>
        <v>-4159.1121687551258</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-1389.0432447938811</v>
      </c>
      <c r="DR12" s="1">
        <f t="shared" si="29"/>
        <v>-19471.800281051059</v>
      </c>
      <c r="DS12" s="1">
        <f>MIN(0,-(DB12+DR12)*Analysis!$C$28)-CS12*Analysis!$C$28</f>
        <v>4842.4549984173555</v>
      </c>
      <c r="DT12" s="1">
        <f>-Analysis!$C$116*DD12/12</f>
        <v>-2012.0184553961499</v>
      </c>
      <c r="DU12" s="53"/>
      <c r="DV12" s="1">
        <f t="shared" si="30"/>
        <v>-70704.906868837148</v>
      </c>
      <c r="DW12" s="64">
        <f>IF(OR($B12&lt;Analysis!$C$100, $B12&gt;=Analysis!$C$101),0,IF($B12=Analysis!$C$100,Analysis!$C$31,DW11))</f>
        <v>0.1275</v>
      </c>
      <c r="DX12" s="1">
        <f>IF(OR($B12&lt;Analysis!$C$100, $B12&gt;=Analysis!$C$101),0,CK12+DV12)</f>
        <v>483843.38229851302</v>
      </c>
      <c r="DY12" s="1">
        <f>IF(OR($B12&lt;Analysis!$C$100, $B12&gt;=Analysis!$C$101),0,IF($B12-Analysis!$C$100&gt;3,0,IF(CK12&gt;LOOKUP(Analysis!$C$100,$B:$B, CK:CK),$V12*(LOOKUP(Analysis!$C$100,$B:$B, CK:CK)-CK12),0)))</f>
        <v>0</v>
      </c>
      <c r="DZ12" s="1">
        <f t="shared" si="49"/>
        <v>483843.38229851302</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-113927.62049203184</v>
      </c>
      <c r="FM12" s="1">
        <f>$M12+$R12+DD12+IF(AND($B12&lt;&gt;Analysis!$C$130,$B12=Analysis!$C$101),DZ11+CQ11+CT11+CZ11,0)</f>
        <v>141961.99339559829</v>
      </c>
      <c r="FN12" s="1">
        <f t="shared" si="34"/>
        <v>28034.372903566444</v>
      </c>
      <c r="FO12" s="1">
        <f>IF(FN12 &lt; 0,
    IF(FO11 + FN12 &gt; 0,
        FO11 + FN12, IF(FT11-ABS(FO11 + FN12)*(1+$V12) &gt;= FO11 + FN12,
        0, FO11 + FN12)),
    MIN(FO11 + FN12, Analysis!$C$7))+IF(FO11&lt;0, FO11*Analysis!$C$9,0)</f>
        <v>24000</v>
      </c>
      <c r="FP12" s="53"/>
      <c r="FQ12" s="1">
        <f t="shared" si="51"/>
        <v>8696.7494756488704</v>
      </c>
      <c r="FR12" s="1">
        <f>IF(OR($B12=Analysis!$C$100, $B12=Analysis!$C$130),0,IF(FN12 &gt;= 0,
    MAX(0, FO11 + FN12 - Analysis!$C$7),
    0))</f>
        <v>28034.372903566444</v>
      </c>
      <c r="FS12" s="1">
        <f>IF(OR($B12=Analysis!$C$100, $B12=Analysis!$C$130),0,MAX(0, FS11 + FR12 - IF(FN12 &lt; 0, MIN(ABS(FN12), FS11 + FR12), 0)))</f>
        <v>124831.0833615212</v>
      </c>
      <c r="FT12" s="1">
        <f>IF(OR($B12=Analysis!$C$100, $B12=Analysis!$C$130),0,IF(FN12 &lt; 0,
    IF(FN12 + FO11 &lt; 0,
        MAX(0, FT11 - (ABS(FN12 + FO11) * (1+$V11))),
        FT11 + FQ12),
    FT11 + FR12 + FQ12))</f>
        <v>152406.96302029729</v>
      </c>
      <c r="FU12" s="1">
        <f>IF(FT12-FS12&gt;0, FT12-$V12*(FT12-FS12),FT12)</f>
        <v>145133.8247602951</v>
      </c>
      <c r="FV12" s="36"/>
      <c r="FW12" s="1">
        <f t="shared" si="52"/>
        <v>554548.28916735016</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-11131.300790865822</v>
      </c>
      <c r="GC12" s="1">
        <f>IF($B12&lt;Analysis!$C$159,0,IF($B12=Analysis!$C$159,-FY12-GB12,MIN(0,GC11-GB12)))</f>
        <v>-284235.79945600394</v>
      </c>
      <c r="GD12" s="64">
        <f>IF($B12&lt;Analysis!$C$159,0,IF($B12=Analysis!$C$159,Analysis!$C$160,IF(($B12-Analysis!$C$159)&lt;LOOKUP(Analysis!$C$159,$B:$B,FZ:FZ),GD11,0)))</f>
        <v>3.6999999999999998E-2</v>
      </c>
      <c r="GE12" s="1">
        <f>IF($B12&lt;Analysis!$C$159,0,IF($B12=Analysis!$C$159,-GD12*FY12,GD11*GC11))</f>
        <v>-10928.582709134182</v>
      </c>
      <c r="GF12" s="1">
        <f>IF($B12&lt;Analysis!$C$159,0,IF($B12=Analysis!$C$159,PMT(GD12,FZ12,FY12)*FZ12-GG12-GC12,IF(($B12-Analysis!$C$159+1)&lt;LOOKUP(Analysis!$C$159,$B:$B,FZ:FZ),IF(GF11-GE12&lt;0, GF11-GE12,0),0)))</f>
        <v>-109012.67111312209</v>
      </c>
      <c r="GG12" s="1">
        <f>IF($B12&lt;Analysis!$C$159,0,IF($B12=Analysis!$C$159,GB12+GE12,IF(GC11&lt;0,IF(GC11&gt;LOOKUP(Analysis!$C$159,$B:$B,GG:GG), GC11*(1+GD11),GG11),0)))</f>
        <v>-22059.883500000004</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24144.221464753799</v>
      </c>
      <c r="GQ12" s="1">
        <f t="shared" si="36"/>
        <v>-1663.6448675020506</v>
      </c>
      <c r="GR12" s="64">
        <f>IF($B12&lt;Analysis!$C$159,0,Analysis!$C$178)</f>
        <v>3.0000000000000001E-3</v>
      </c>
      <c r="GS12" s="1">
        <f t="shared" si="37"/>
        <v>-4159.1121687551258</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-1389.0432447938811</v>
      </c>
      <c r="HD12" s="1">
        <f t="shared" si="38"/>
        <v>-19471.800281051059</v>
      </c>
      <c r="HE12" s="1">
        <f>MIN(0,-(GN12+HD12)*Analysis!$C$28)-GE12*Analysis!$C$28</f>
        <v>4842.4549984173555</v>
      </c>
      <c r="HF12" s="1">
        <f>-Analysis!$C$176*GP12/12</f>
        <v>-2012.0184553961499</v>
      </c>
      <c r="HG12" s="38"/>
      <c r="HH12" s="1">
        <f>IF($B12&lt;Analysis!$C$159,0,-$HI12*$FW12)</f>
        <v>-70704.906868837148</v>
      </c>
      <c r="HI12" s="64">
        <f>IF($B12&lt;Analysis!$C$159,0,IF($B12=Analysis!$C$159,Analysis!$C$31,HI11))</f>
        <v>0.1275</v>
      </c>
      <c r="HJ12" s="1">
        <f>IF($B12&lt;Analysis!$C$159,0,$FW12+HH12)</f>
        <v>483843.38229851302</v>
      </c>
      <c r="HK12" s="1">
        <f>IF($B12-Analysis!$C$159&gt;10,0,IF($FW12&gt;LOOKUP(Analysis!$C$159,$B:$B, FW:FW),$V12*(LOOKUP(Analysis!$C$159,$B:$B, FW:FW)-FW12),0))</f>
        <v>-36805.861267888606</v>
      </c>
      <c r="HL12" s="1">
        <f t="shared" si="39"/>
        <v>447037.5210306244</v>
      </c>
      <c r="HM12" s="38"/>
      <c r="HN12" s="1">
        <f t="shared" si="40"/>
        <v>-113927.62049203184</v>
      </c>
      <c r="HO12" s="1">
        <f t="shared" si="8"/>
        <v>141961.99339559829</v>
      </c>
      <c r="HP12" s="1">
        <f t="shared" si="41"/>
        <v>28034.372903566444</v>
      </c>
      <c r="HQ12" s="1">
        <f>IF(HP12 &lt; 0,
    IF(HQ11 + HP12 &gt; 0,
        HQ11 + HP12, IF(HV11-ABS(HQ11 + HP12)*(1+$V12) &gt;= HQ11 + HP12,
        0, HQ11 + HP12)),
    MIN(HQ11 + HP12, Analysis!$C$7))+IF(HQ11&lt;0, HQ11*Analysis!$C$9,0)</f>
        <v>24000</v>
      </c>
      <c r="HR12" s="38"/>
      <c r="HS12" s="1">
        <f t="shared" si="54"/>
        <v>8696.7494756488704</v>
      </c>
      <c r="HT12" s="1">
        <f>IF($B12=Analysis!$C$159,0,IF(HP12 &gt;= 0,
    MAX(0, HQ11 + HP12 - Analysis!$C$7),
    0))</f>
        <v>28034.372903566444</v>
      </c>
      <c r="HU12" s="1">
        <f>IF($B12=Analysis!$C$159,0,MAX(0, HU11 + HT12 - IF(HP12 &lt; 0, MIN(ABS(HP12), HU11 + HT12), 0)))</f>
        <v>124831.0833615212</v>
      </c>
      <c r="HV12" s="1">
        <f>IF($B12=Analysis!$C$159,0,IF(HP12 &lt; 0,
    IF(HP12 + HQ11 &lt; 0,
        MAX(0, HV11 - (ABS(HP12 + HQ11) * (1+$V11))),
        HV11 + HS12),
    HV11 + HT12 + HS12))</f>
        <v>152406.96302029729</v>
      </c>
      <c r="HW12" s="1">
        <f>IF(HV12-HU12&gt;0, HV12-$V12*(HV12-HU12),HV12)</f>
        <v>145133.8247602951</v>
      </c>
      <c r="HX12" s="36"/>
    </row>
    <row r="13" spans="1:232" x14ac:dyDescent="0.35">
      <c r="A13">
        <f t="shared" si="0"/>
        <v>46</v>
      </c>
      <c r="B13">
        <v>2036</v>
      </c>
      <c r="C13" s="1">
        <f>IF($B13&lt;Analysis!C$66,0,$AN13)+$AT13+$AW13+$BC13+$CF13+$CA13</f>
        <v>94755.902189347777</v>
      </c>
      <c r="D13" s="1">
        <f>IF($B13&lt;Analysis!C$66, 0, BV13)+AT13+AW13+BC13+CG13+CA13</f>
        <v>-26259.228985876776</v>
      </c>
      <c r="E13" s="1">
        <f t="shared" si="1"/>
        <v>514108.04636148148</v>
      </c>
      <c r="F13" s="1">
        <f t="shared" si="9"/>
        <v>468804.85621798807</v>
      </c>
      <c r="G13" s="1">
        <f>IF(AND($B13&gt;=Analysis!$C$100, $B13&lt;Analysis!$C$101),$CK13,0)+IF($B13&gt;=Analysis!$C$130,EB13,0)+CQ13+CT13+CZ13+EH13+EK13+EQ13+$FO13+$FT13</f>
        <v>412442.07562779909</v>
      </c>
      <c r="H13" s="1">
        <f t="shared" si="10"/>
        <v>329454.23496083543</v>
      </c>
      <c r="I13" s="1">
        <f>IF($B13&lt;Analysis!$C$159,0,$FW13)+$GC13+$GF13+$GL13+$HQ13+$HV13</f>
        <v>412442.07562779909</v>
      </c>
      <c r="J13" s="1">
        <f t="shared" si="2"/>
        <v>329454.23496083543</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IF($B13=$B$2,((1+Analysis!$D$16)/(1+$S13))-1,IF(B13&lt;Analysis!$C$13,U12-((Analysis!$D$16-Analysis!$C$17)/(Analysis!$C$13-$B$2)),((1+Analysis!$C$17)/(1+$S12))-1))</f>
        <v>7.2896358543417528E-2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31168.774807357928</v>
      </c>
      <c r="AI13" s="1">
        <f>IF(AE13 &gt;= 0,
    MAX(0, AF12 + AE13 - Analysis!$C$7),
    0)</f>
        <v>31362.70353126945</v>
      </c>
      <c r="AJ13" s="1">
        <f t="shared" si="44"/>
        <v>318342.39652833098</v>
      </c>
      <c r="AK13" s="1">
        <f t="shared" si="20"/>
        <v>490108.04636148148</v>
      </c>
      <c r="AL13" s="1">
        <f t="shared" si="5"/>
        <v>444804.85621798807</v>
      </c>
      <c r="AM13" s="36"/>
      <c r="AN13" s="1">
        <f t="shared" si="45"/>
        <v>949138.28372725099</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-20694.325118836503</v>
      </c>
      <c r="AT13" s="1">
        <f>IF($B13&lt;Analysis!$C$66,0,IF($B13=Analysis!$C$66,-AP13-AS13,MIN(0,AT12-AS13)))</f>
        <v>-488877.45545315015</v>
      </c>
      <c r="AU13" s="64">
        <f>IF($B13&lt;Analysis!$C$66,0,IF($B13=Analysis!$C$66,Analysis!$C$72,IF(($B13-Analysis!$C$66)&lt;LOOKUP(Analysis!$C$66,$B:$B,AQ:AQ),AU12,0)))</f>
        <v>3.6999999999999998E-2</v>
      </c>
      <c r="AV13" s="1">
        <f>IF($B13&lt;Analysis!$C$66,0,IF($B13=Analysis!$C$66,-AU13*AP13,AU12*AT12))</f>
        <v>-18854.155881163504</v>
      </c>
      <c r="AW13" s="1">
        <f>IF($B13&lt;Analysis!$C$66,0,IF($B13=Analysis!$C$66,PMT(AU13,AQ13,AP13)*AQ13-AX13-AT13,IF(($B13-Analysis!$C$66+1)&lt;LOOKUP(Analysis!$C$66,$B:$B,AQ:AQ),IF(AW12-AV13&lt;0, AW12-AV13,0),0)))</f>
        <v>-176581.39808613458</v>
      </c>
      <c r="AX13" s="1">
        <f>IF($B13&lt;Analysis!$C$66,0,IF($B13=Analysis!$C$66,AS13+AV13,IF(AT12&lt;0,IF(AT12&gt;LOOKUP(Analysis!$C$66,$B:$B,AX:AX), AT12*(1+AU12),AX12),0)))</f>
        <v>-39548.481000000007</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-2847.414851181753</v>
      </c>
      <c r="BF13" s="64">
        <f>IF($B13&lt;Analysis!$C$66,0,Analysis!$C$78)</f>
        <v>3.0000000000000001E-3</v>
      </c>
      <c r="BG13" s="1">
        <f>IF($B13&lt;Analysis!$C$66,0,-BH13*AN13)</f>
        <v>-7118.5371279543824</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-121015.13117522451</v>
      </c>
      <c r="BS13" s="64">
        <f>IF($B13&lt;Analysis!C$66,0,Analysis!C$31)</f>
        <v>0.1275</v>
      </c>
      <c r="BT13" s="1">
        <f>IF($B13&lt;Analysis!$C$66,0,AN13+BR13)</f>
        <v>828123.15255202644</v>
      </c>
      <c r="BU13" s="1">
        <f>IF($B13-Analysis!$C$66&gt;3,0,IF($AN13&gt;LOOKUP(Analysis!$C$66,$B:$B, AN:AN),$V13*(LOOKUP(Analysis!$C$66,$B:$B, AN:AN)-AN13),0))</f>
        <v>0</v>
      </c>
      <c r="BV13" s="1">
        <f t="shared" si="23"/>
        <v>828123.15255202644</v>
      </c>
      <c r="BW13" s="42"/>
      <c r="BX13" s="1">
        <f>IF($B13&lt;Analysis!$C$66,$P13+$N13+$X13+$Z13,$P13+$N13+AS13+AV13+BB13+BE13+BG13+MAX(BI13,SUM(BJ13:BN13))+BP13)</f>
        <v>-115624.43297913614</v>
      </c>
      <c r="BY13" s="1">
        <f t="shared" si="24"/>
        <v>119261.61717509503</v>
      </c>
      <c r="BZ13" s="1">
        <f t="shared" si="46"/>
        <v>3637.1841959588928</v>
      </c>
      <c r="CA13" s="1">
        <f>IF(BZ13 &lt; 0,
    IF(CA12 + BZ13 &gt; 0,
        CA12 + BZ13, IF(CF12-ABS(CA12 + BZ13)*(1+$V13) &gt;= CA12 + BZ13,
        0, CA12 + BZ13)),
    MIN(CA12 + BZ13, Analysis!$C$7))+IF(CA12&lt;0, CA12*Analysis!$C$9,0)</f>
        <v>-188923.52799861849</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-21788.913643825585</v>
      </c>
      <c r="CJ13" s="1">
        <f>IF(OR($B13&lt;Analysis!$C$100, $B13&gt;=Analysis!$C$130),0,Z13)</f>
        <v>-3960</v>
      </c>
      <c r="CK13" s="1">
        <f t="shared" si="26"/>
        <v>570858.5329663899</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-11543.158920127858</v>
      </c>
      <c r="CQ13" s="1">
        <f>IF(OR($B13&lt;Analysis!$C$100, $B13&gt;=Analysis!$C$101),0,IF($B13=Analysis!$C$100,-CM13-CP13,MIN(0,CQ12-CP13)))</f>
        <v>-272692.6405358761</v>
      </c>
      <c r="CR13" s="64">
        <f>IF(OR($B13&lt;Analysis!$C$100, $B13&gt;=Analysis!$C$101),0,IF($B13=Analysis!$C$100,Analysis!$C$102,IF(($B13-Analysis!$C$100)&lt;LOOKUP(Analysis!$C$100,$B:$B,CN:CN),CR12,0)))</f>
        <v>3.6999999999999998E-2</v>
      </c>
      <c r="CS13" s="1">
        <f>IF(OR($B13&lt;Analysis!$C$100, $B13&gt;=Analysis!$C$101),0,IF($B13=Analysis!$C$100,-CR13*CM13,CR12*CQ12))</f>
        <v>-10516.724579872145</v>
      </c>
      <c r="CT13" s="1">
        <f>IF(OR($B13&lt;Analysis!$C$100, $B13&gt;=Analysis!$C$101),0,IF($B13=Analysis!$C$100,PMT(CR13,CN13,CM13)*CN13-CU13-CQ13,IF(($B13-Analysis!$C$100+1)&lt;LOOKUP(Analysis!$C$100,$B:$B,CN:CN),IF(CT12-CS13&lt;0, CT12-CS13,0),0)))</f>
        <v>-98495.946533249953</v>
      </c>
      <c r="CU13" s="1">
        <f>IF(OR($B13&lt;Analysis!$C$100, $B13&gt;=Analysis!$C$101),0,IF($B13=Analysis!$C$100,CP13+CS13,IF(CQ12&lt;0,IF(CQ12&gt;LOOKUP(Analysis!$C$100,$B:$B,CU:CU), CQ12*(1+CR12),CU12),0)))</f>
        <v>-22059.883500000004</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24737.875037246558</v>
      </c>
      <c r="DE13" s="1">
        <f t="shared" si="27"/>
        <v>-1712.5755988991698</v>
      </c>
      <c r="DF13" s="64">
        <f>IF(OR($B13&lt;Analysis!$C$100, $B13&gt;=Analysis!$C$101),0,Analysis!$C$118)</f>
        <v>3.0000000000000001E-3</v>
      </c>
      <c r="DG13" s="1">
        <f t="shared" si="28"/>
        <v>-4281.4389972479239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-1429.8974578760542</v>
      </c>
      <c r="DR13" s="1">
        <f t="shared" si="29"/>
        <v>-19683.912054023145</v>
      </c>
      <c r="DS13" s="1">
        <f>MIN(0,-(DB13+DR13)*Analysis!$C$28)-CS13*Analysis!$C$28</f>
        <v>4659.9606613413471</v>
      </c>
      <c r="DT13" s="1">
        <f>-Analysis!$C$116*DD13/12</f>
        <v>-2061.4895864372133</v>
      </c>
      <c r="DU13" s="53"/>
      <c r="DV13" s="1">
        <f t="shared" si="30"/>
        <v>-72784.462953214708</v>
      </c>
      <c r="DW13" s="64">
        <f>IF(OR($B13&lt;Analysis!$C$100, $B13&gt;=Analysis!$C$101),0,IF($B13=Analysis!$C$100,Analysis!$C$31,DW12))</f>
        <v>0.1275</v>
      </c>
      <c r="DX13" s="1">
        <f>IF(OR($B13&lt;Analysis!$C$100, $B13&gt;=Analysis!$C$101),0,CK13+DV13)</f>
        <v>498074.07001317519</v>
      </c>
      <c r="DY13" s="1">
        <f>IF(OR($B13&lt;Analysis!$C$100, $B13&gt;=Analysis!$C$101),0,IF($B13-Analysis!$C$100&gt;3,0,IF(CK13&gt;LOOKUP(Analysis!$C$100,$B:$B, CK:CK),$V13*(LOOKUP(Analysis!$C$100,$B:$B, CK:CK)-CK13),0)))</f>
        <v>0</v>
      </c>
      <c r="DZ13" s="1">
        <f t="shared" si="49"/>
        <v>498074.07001317519</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-118744.23812294459</v>
      </c>
      <c r="FM13" s="1">
        <f>$M13+$R13+DD13+IF(AND($B13&lt;&gt;Analysis!$C$130,$B13=Analysis!$C$101),DZ12+CQ12+CT12+CZ12,0)</f>
        <v>143999.49221234157</v>
      </c>
      <c r="FN13" s="1">
        <f t="shared" si="34"/>
        <v>25255.254089396985</v>
      </c>
      <c r="FO13" s="1">
        <f>IF(FN13 &lt; 0,
    IF(FO12 + FN13 &gt; 0,
        FO12 + FN13, IF(FT12-ABS(FO12 + FN13)*(1+$V13) &gt;= FO12 + FN13,
        0, FO12 + FN13)),
    MIN(FO12 + FN13, Analysis!$C$7))+IF(FO12&lt;0, FO12*Analysis!$C$9,0)</f>
        <v>24000</v>
      </c>
      <c r="FP13" s="53"/>
      <c r="FQ13" s="1">
        <f t="shared" si="51"/>
        <v>11109.912620840967</v>
      </c>
      <c r="FR13" s="1">
        <f>IF(OR($B13=Analysis!$C$100, $B13=Analysis!$C$130),0,IF(FN13 &gt;= 0,
    MAX(0, FO12 + FN13 - Analysis!$C$7),
    0))</f>
        <v>25255.254089396985</v>
      </c>
      <c r="FS13" s="1">
        <f>IF(OR($B13=Analysis!$C$100, $B13=Analysis!$C$130),0,MAX(0, FS12 + FR13 - IF(FN13 &lt; 0, MIN(ABS(FN13), FS12 + FR13), 0)))</f>
        <v>150086.33745091819</v>
      </c>
      <c r="FT13" s="1">
        <f>IF(OR($B13=Analysis!$C$100, $B13=Analysis!$C$130),0,IF(FN13 &lt; 0,
    IF(FN13 + FO12 &lt; 0,
        MAX(0, FT12 - (ABS(FN13 + FO12) * (1+$V12))),
        FT12 + FQ13),
    FT12 + FR13 + FQ13))</f>
        <v>188772.12973053523</v>
      </c>
      <c r="FU13" s="1">
        <f t="shared" ref="FU13:FU16" si="55">IF(FT13-FS13&gt;0, FT13-$V13*(FT13-FS13),FT13)</f>
        <v>178568.75201678625</v>
      </c>
      <c r="FV13" s="36"/>
      <c r="FW13" s="1">
        <f t="shared" si="52"/>
        <v>570858.5329663899</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-11543.158920127858</v>
      </c>
      <c r="GC13" s="1">
        <f>IF($B13&lt;Analysis!$C$159,0,IF($B13=Analysis!$C$159,-FY13-GB13,MIN(0,GC12-GB13)))</f>
        <v>-272692.6405358761</v>
      </c>
      <c r="GD13" s="64">
        <f>IF($B13&lt;Analysis!$C$159,0,IF($B13=Analysis!$C$159,Analysis!$C$160,IF(($B13-Analysis!$C$159)&lt;LOOKUP(Analysis!$C$159,$B:$B,FZ:FZ),GD12,0)))</f>
        <v>3.6999999999999998E-2</v>
      </c>
      <c r="GE13" s="1">
        <f>IF($B13&lt;Analysis!$C$159,0,IF($B13=Analysis!$C$159,-GD13*FY13,GD12*GC12))</f>
        <v>-10516.724579872145</v>
      </c>
      <c r="GF13" s="1">
        <f>IF($B13&lt;Analysis!$C$159,0,IF($B13=Analysis!$C$159,PMT(GD13,FZ13,FY13)*FZ13-GG13-GC13,IF(($B13-Analysis!$C$159+1)&lt;LOOKUP(Analysis!$C$159,$B:$B,FZ:FZ),IF(GF12-GE13&lt;0, GF12-GE13,0),0)))</f>
        <v>-98495.946533249953</v>
      </c>
      <c r="GG13" s="1">
        <f>IF($B13&lt;Analysis!$C$159,0,IF($B13=Analysis!$C$159,GB13+GE13,IF(GC12&lt;0,IF(GC12&gt;LOOKUP(Analysis!$C$159,$B:$B,GG:GG), GC12*(1+GD12),GG12),0)))</f>
        <v>-22059.883500000004</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24737.875037246558</v>
      </c>
      <c r="GQ13" s="1">
        <f t="shared" si="36"/>
        <v>-1712.5755988991698</v>
      </c>
      <c r="GR13" s="64">
        <f>IF($B13&lt;Analysis!$C$159,0,Analysis!$C$178)</f>
        <v>3.0000000000000001E-3</v>
      </c>
      <c r="GS13" s="1">
        <f t="shared" si="37"/>
        <v>-4281.4389972479239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-1429.8974578760542</v>
      </c>
      <c r="HD13" s="1">
        <f t="shared" si="38"/>
        <v>-19683.912054023145</v>
      </c>
      <c r="HE13" s="1">
        <f>MIN(0,-(GN13+HD13)*Analysis!$C$28)-GE13*Analysis!$C$28</f>
        <v>4659.9606613413471</v>
      </c>
      <c r="HF13" s="1">
        <f>-Analysis!$C$176*GP13/12</f>
        <v>-2061.4895864372133</v>
      </c>
      <c r="HG13" s="38"/>
      <c r="HH13" s="1">
        <f>IF($B13&lt;Analysis!$C$159,0,-$HI13*$FW13)</f>
        <v>-72784.462953214708</v>
      </c>
      <c r="HI13" s="64">
        <f>IF($B13&lt;Analysis!$C$159,0,IF($B13=Analysis!$C$159,Analysis!$C$31,HI12))</f>
        <v>0.1275</v>
      </c>
      <c r="HJ13" s="1">
        <f>IF($B13&lt;Analysis!$C$159,0,$FW13+HH13)</f>
        <v>498074.07001317519</v>
      </c>
      <c r="HK13" s="1">
        <f>IF($B13-Analysis!$C$159&gt;10,0,IF($FW13&gt;LOOKUP(Analysis!$C$159,$B:$B, FW:FW),$V13*(LOOKUP(Analysis!$C$159,$B:$B, FW:FW)-FW13),0))</f>
        <v>0</v>
      </c>
      <c r="HL13" s="1">
        <f t="shared" si="39"/>
        <v>498074.07001317519</v>
      </c>
      <c r="HM13" s="38"/>
      <c r="HN13" s="1">
        <f t="shared" si="40"/>
        <v>-118744.23812294459</v>
      </c>
      <c r="HO13" s="1">
        <f t="shared" si="8"/>
        <v>143999.49221234157</v>
      </c>
      <c r="HP13" s="1">
        <f t="shared" si="41"/>
        <v>25255.254089396985</v>
      </c>
      <c r="HQ13" s="1">
        <f>IF(HP13 &lt; 0,
    IF(HQ12 + HP13 &gt; 0,
        HQ12 + HP13, IF(HV12-ABS(HQ12 + HP13)*(1+$V13) &gt;= HQ12 + HP13,
        0, HQ12 + HP13)),
    MIN(HQ12 + HP13, Analysis!$C$7))+IF(HQ12&lt;0, HQ12*Analysis!$C$9,0)</f>
        <v>24000</v>
      </c>
      <c r="HR13" s="38"/>
      <c r="HS13" s="1">
        <f t="shared" si="54"/>
        <v>11109.912620840967</v>
      </c>
      <c r="HT13" s="1">
        <f>IF($B13=Analysis!$C$159,0,IF(HP13 &gt;= 0,
    MAX(0, HQ12 + HP13 - Analysis!$C$7),
    0))</f>
        <v>25255.254089396985</v>
      </c>
      <c r="HU13" s="1">
        <f>IF($B13=Analysis!$C$159,0,MAX(0, HU12 + HT13 - IF(HP13 &lt; 0, MIN(ABS(HP13), HU12 + HT13), 0)))</f>
        <v>150086.33745091819</v>
      </c>
      <c r="HV13" s="1">
        <f>IF($B13=Analysis!$C$159,0,IF(HP13 &lt; 0,
    IF(HP13 + HQ12 &lt; 0,
        MAX(0, HV12 - (ABS(HP13 + HQ12) * (1+$V12))),
        HV12 + HS13),
    HV12 + HT13 + HS13))</f>
        <v>188772.12973053523</v>
      </c>
      <c r="HW13" s="1">
        <f t="shared" ref="HW13:HW16" si="56">IF(HV13-HU13&gt;0, HV13-$V13*(HV13-HU13),HV13)</f>
        <v>178568.75201678625</v>
      </c>
      <c r="HX13" s="36"/>
    </row>
    <row r="14" spans="1:232" x14ac:dyDescent="0.35">
      <c r="A14">
        <f t="shared" si="0"/>
        <v>47</v>
      </c>
      <c r="B14">
        <v>2037</v>
      </c>
      <c r="C14" s="1">
        <f>IF($B14&lt;Analysis!C$66,0,$AN14)+$AT14+$AW14+$BC14+$CF14+$CA14</f>
        <v>151911.94021123304</v>
      </c>
      <c r="D14" s="1">
        <f>IF($B14&lt;Analysis!C$66, 0, BV14)+AT14+AW14+BC14+CG14+CA14</f>
        <v>27337.540472031425</v>
      </c>
      <c r="E14" s="1">
        <f t="shared" si="1"/>
        <v>580898.28382709587</v>
      </c>
      <c r="F14" s="1">
        <f t="shared" si="9"/>
        <v>526467.53833873011</v>
      </c>
      <c r="G14" s="1">
        <f>IF(AND($B14&gt;=Analysis!$C$100, $B14&lt;Analysis!$C$101),$CK14,0)+IF($B14&gt;=Analysis!$C$130,EB14,0)+CQ14+CT14+CZ14+EH14+EK14+EQ14+$FO14+$FT14</f>
        <v>490849.77161749592</v>
      </c>
      <c r="H14" s="1">
        <f t="shared" si="10"/>
        <v>402205.60285401542</v>
      </c>
      <c r="I14" s="1">
        <f>IF($B14&lt;Analysis!$C$159,0,$FW14)+$GC14+$GF14+$GL14+$HQ14+$HV14</f>
        <v>490849.77161749592</v>
      </c>
      <c r="J14" s="1">
        <f t="shared" si="2"/>
        <v>402205.60285401542</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IF($B14=$B$2,((1+Analysis!$D$16)/(1+$S14))-1,IF(B14&lt;Analysis!$C$13,U13-((Analysis!$D$16-Analysis!$C$17)/(Analysis!$C$13-$B$2)),((1+Analysis!$C$17)/(1+$S13))-1))</f>
        <v>7.0610644257703248E-2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34606.844909468498</v>
      </c>
      <c r="AI14" s="1">
        <f>IF(AE14 &gt;= 0,
    MAX(0, AF13 + AE14 - Analysis!$C$7),
    0)</f>
        <v>32183.392556145831</v>
      </c>
      <c r="AJ14" s="1">
        <f t="shared" si="44"/>
        <v>350525.78908447683</v>
      </c>
      <c r="AK14" s="1">
        <f t="shared" si="20"/>
        <v>556898.28382709587</v>
      </c>
      <c r="AL14" s="1">
        <f t="shared" si="5"/>
        <v>502467.53833873011</v>
      </c>
      <c r="AM14" s="36"/>
      <c r="AN14" s="1">
        <f t="shared" si="45"/>
        <v>977054.11560158199</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-21460.015148233451</v>
      </c>
      <c r="AT14" s="1">
        <f>IF($B14&lt;Analysis!$C$66,0,IF($B14=Analysis!$C$66,-AP14-AS14,MIN(0,AT13-AS14)))</f>
        <v>-467417.4403049167</v>
      </c>
      <c r="AU14" s="64">
        <f>IF($B14&lt;Analysis!$C$66,0,IF($B14=Analysis!$C$66,Analysis!$C$72,IF(($B14-Analysis!$C$66)&lt;LOOKUP(Analysis!$C$66,$B:$B,AQ:AQ),AU13,0)))</f>
        <v>3.6999999999999998E-2</v>
      </c>
      <c r="AV14" s="1">
        <f>IF($B14&lt;Analysis!$C$66,0,IF($B14=Analysis!$C$66,-AU14*AP14,AU13*AT13))</f>
        <v>-18088.465851766556</v>
      </c>
      <c r="AW14" s="1">
        <f>IF($B14&lt;Analysis!$C$66,0,IF($B14=Analysis!$C$66,PMT(AU14,AQ14,AP14)*AQ14-AX14-AT14,IF(($B14-Analysis!$C$66+1)&lt;LOOKUP(Analysis!$C$66,$B:$B,AQ:AQ),IF(AW13-AV14&lt;0, AW13-AV14,0),0)))</f>
        <v>-158492.93223436803</v>
      </c>
      <c r="AX14" s="1">
        <f>IF($B14&lt;Analysis!$C$66,0,IF($B14=Analysis!$C$66,AS14+AV14,IF(AT13&lt;0,IF(AT13&gt;LOOKUP(Analysis!$C$66,$B:$B,AX:AX), AT13*(1+AU13),AX13),0)))</f>
        <v>-39548.481000000007</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-2931.162346804746</v>
      </c>
      <c r="BF14" s="64">
        <f>IF($B14&lt;Analysis!$C$66,0,Analysis!$C$78)</f>
        <v>3.0000000000000001E-3</v>
      </c>
      <c r="BG14" s="1">
        <f>IF($B14&lt;Analysis!$C$66,0,-BH14*AN14)</f>
        <v>-7327.9058670118648</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-124574.3997392017</v>
      </c>
      <c r="BS14" s="64">
        <f>IF($B14&lt;Analysis!C$66,0,Analysis!C$31)</f>
        <v>0.1275</v>
      </c>
      <c r="BT14" s="1">
        <f>IF($B14&lt;Analysis!$C$66,0,AN14+BR14)</f>
        <v>852479.71586238034</v>
      </c>
      <c r="BU14" s="1">
        <f>IF($B14-Analysis!$C$66&gt;3,0,IF($AN14&gt;LOOKUP(Analysis!$C$66,$B:$B, AN:AN),$V14*(LOOKUP(Analysis!$C$66,$B:$B, AN:AN)-AN14),0))</f>
        <v>0</v>
      </c>
      <c r="BV14" s="1">
        <f t="shared" si="23"/>
        <v>852479.71586238034</v>
      </c>
      <c r="BW14" s="42"/>
      <c r="BX14" s="1">
        <f>IF($B14&lt;Analysis!$C$66,$P14+$N14+$X14+$Z14,$P14+$N14+AS14+AV14+BB14+BE14+BG14+MAX(BI14,SUM(BJ14:BN14))+BP14)</f>
        <v>-115917.54921381662</v>
      </c>
      <c r="BY14" s="1">
        <f t="shared" si="24"/>
        <v>120723.1566012604</v>
      </c>
      <c r="BZ14" s="1">
        <f t="shared" si="46"/>
        <v>4805.6073874437861</v>
      </c>
      <c r="CA14" s="1">
        <f>IF(BZ14 &lt; 0,
    IF(CA13 + BZ14 &gt; 0,
        CA13 + BZ14, IF(CF13-ABS(CA13 + BZ14)*(1+$V14) &gt;= CA13 + BZ14,
        0, CA13 + BZ14)),
    MIN(CA13 + BZ14, Analysis!$C$7))+IF(CA13&lt;0, CA13*Analysis!$C$9,0)</f>
        <v>-199231.80285106419</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-22429.764045114574</v>
      </c>
      <c r="CJ14" s="1">
        <f>IF(OR($B14&lt;Analysis!$C$100, $B14&gt;=Analysis!$C$130),0,Z14)</f>
        <v>-3960</v>
      </c>
      <c r="CK14" s="1">
        <f t="shared" si="26"/>
        <v>587648.48981834261</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-11970.255800172588</v>
      </c>
      <c r="CQ14" s="1">
        <f>IF(OR($B14&lt;Analysis!$C$100, $B14&gt;=Analysis!$C$101),0,IF($B14=Analysis!$C$100,-CM14-CP14,MIN(0,CQ13-CP14)))</f>
        <v>-260722.3847357035</v>
      </c>
      <c r="CR14" s="64">
        <f>IF(OR($B14&lt;Analysis!$C$100, $B14&gt;=Analysis!$C$101),0,IF($B14=Analysis!$C$100,Analysis!$C$102,IF(($B14-Analysis!$C$100)&lt;LOOKUP(Analysis!$C$100,$B:$B,CN:CN),CR13,0)))</f>
        <v>3.6999999999999998E-2</v>
      </c>
      <c r="CS14" s="1">
        <f>IF(OR($B14&lt;Analysis!$C$100, $B14&gt;=Analysis!$C$101),0,IF($B14=Analysis!$C$100,-CR14*CM14,CR13*CQ13))</f>
        <v>-10089.627699827415</v>
      </c>
      <c r="CT14" s="1">
        <f>IF(OR($B14&lt;Analysis!$C$100, $B14&gt;=Analysis!$C$101),0,IF($B14=Analysis!$C$100,PMT(CR14,CN14,CM14)*CN14-CU14-CQ14,IF(($B14-Analysis!$C$100+1)&lt;LOOKUP(Analysis!$C$100,$B:$B,CN:CN),IF(CT13-CS14&lt;0, CT13-CS14,0),0)))</f>
        <v>-88406.318833422542</v>
      </c>
      <c r="CU14" s="1">
        <f>IF(OR($B14&lt;Analysis!$C$100, $B14&gt;=Analysis!$C$101),0,IF($B14=Analysis!$C$100,CP14+CS14,IF(CQ13&lt;0,IF(CQ13&gt;LOOKUP(Analysis!$C$100,$B:$B,CU:CU), CQ13*(1+CR13),CU13),0)))</f>
        <v>-22059.883500000004</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25348.989008930286</v>
      </c>
      <c r="DE14" s="1">
        <f t="shared" si="27"/>
        <v>-1762.9454694550279</v>
      </c>
      <c r="DF14" s="64">
        <f>IF(OR($B14&lt;Analysis!$C$100, $B14&gt;=Analysis!$C$101),0,Analysis!$C$118)</f>
        <v>3.0000000000000001E-3</v>
      </c>
      <c r="DG14" s="1">
        <f t="shared" si="28"/>
        <v>-4407.3636736375693</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-1471.9532654606442</v>
      </c>
      <c r="DR14" s="1">
        <f t="shared" si="29"/>
        <v>-19902.262408553241</v>
      </c>
      <c r="DS14" s="1">
        <f>MIN(0,-(DB14+DR14)*Analysis!$C$28)-CS14*Analysis!$C$28</f>
        <v>4470.7140337935271</v>
      </c>
      <c r="DT14" s="1">
        <f>-Analysis!$C$116*DD14/12</f>
        <v>-2112.4157507441905</v>
      </c>
      <c r="DU14" s="53"/>
      <c r="DV14" s="1">
        <f t="shared" si="30"/>
        <v>-74925.182451838686</v>
      </c>
      <c r="DW14" s="64">
        <f>IF(OR($B14&lt;Analysis!$C$100, $B14&gt;=Analysis!$C$101),0,IF($B14=Analysis!$C$100,Analysis!$C$31,DW13))</f>
        <v>0.1275</v>
      </c>
      <c r="DX14" s="1">
        <f>IF(OR($B14&lt;Analysis!$C$100, $B14&gt;=Analysis!$C$101),0,CK14+DV14)</f>
        <v>512723.30736650393</v>
      </c>
      <c r="DY14" s="1">
        <f>IF(OR($B14&lt;Analysis!$C$100, $B14&gt;=Analysis!$C$101),0,IF($B14-Analysis!$C$100&gt;3,0,IF(CK14&gt;LOOKUP(Analysis!$C$100,$B:$B, CK:CK),$V14*(LOOKUP(Analysis!$C$100,$B:$B, CK:CK)-CK14),0)))</f>
        <v>0</v>
      </c>
      <c r="DZ14" s="1">
        <f t="shared" si="49"/>
        <v>512723.30736650393</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-119843.61167061845</v>
      </c>
      <c r="FM14" s="1">
        <f>$M14+$R14+DD14+IF(AND($B14&lt;&gt;Analysis!$C$130,$B14=Analysis!$C$101),DZ13+CQ13+CT13+CZ13,0)</f>
        <v>146072.1456101907</v>
      </c>
      <c r="FN14" s="1">
        <f t="shared" si="34"/>
        <v>26228.53393957224</v>
      </c>
      <c r="FO14" s="1">
        <f>IF(FN14 &lt; 0,
    IF(FO13 + FN14 &gt; 0,
        FO13 + FN14, IF(FT13-ABS(FO13 + FN14)*(1+$V14) &gt;= FO13 + FN14,
        0, FO13 + FN14)),
    MIN(FO13 + FN14, Analysis!$C$7))+IF(FO13&lt;0, FO13*Analysis!$C$9,0)</f>
        <v>24000</v>
      </c>
      <c r="FP14" s="53"/>
      <c r="FQ14" s="1">
        <f t="shared" si="51"/>
        <v>13329.321698171831</v>
      </c>
      <c r="FR14" s="1">
        <f>IF(OR($B14=Analysis!$C$100, $B14=Analysis!$C$130),0,IF(FN14 &gt;= 0,
    MAX(0, FO13 + FN14 - Analysis!$C$7),
    0))</f>
        <v>26228.53393957224</v>
      </c>
      <c r="FS14" s="1">
        <f>IF(OR($B14=Analysis!$C$100, $B14=Analysis!$C$130),0,MAX(0, FS13 + FR14 - IF(FN14 &lt; 0, MIN(ABS(FN14), FS13 + FR14), 0)))</f>
        <v>176314.87139049044</v>
      </c>
      <c r="FT14" s="1">
        <f>IF(OR($B14=Analysis!$C$100, $B14=Analysis!$C$130),0,IF(FN14 &lt; 0,
    IF(FN14 + FO13 &lt; 0,
        MAX(0, FT13 - (ABS(FN14 + FO13) * (1+$V13))),
        FT13 + FQ14),
    FT13 + FR14 + FQ14))</f>
        <v>228329.98536827933</v>
      </c>
      <c r="FU14" s="1">
        <f t="shared" si="55"/>
        <v>214610.99905663752</v>
      </c>
      <c r="FV14" s="36"/>
      <c r="FW14" s="1">
        <f t="shared" si="52"/>
        <v>587648.48981834261</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-11970.255800172588</v>
      </c>
      <c r="GC14" s="1">
        <f>IF($B14&lt;Analysis!$C$159,0,IF($B14=Analysis!$C$159,-FY14-GB14,MIN(0,GC13-GB14)))</f>
        <v>-260722.3847357035</v>
      </c>
      <c r="GD14" s="64">
        <f>IF($B14&lt;Analysis!$C$159,0,IF($B14=Analysis!$C$159,Analysis!$C$160,IF(($B14-Analysis!$C$159)&lt;LOOKUP(Analysis!$C$159,$B:$B,FZ:FZ),GD13,0)))</f>
        <v>3.6999999999999998E-2</v>
      </c>
      <c r="GE14" s="1">
        <f>IF($B14&lt;Analysis!$C$159,0,IF($B14=Analysis!$C$159,-GD14*FY14,GD13*GC13))</f>
        <v>-10089.627699827415</v>
      </c>
      <c r="GF14" s="1">
        <f>IF($B14&lt;Analysis!$C$159,0,IF($B14=Analysis!$C$159,PMT(GD14,FZ14,FY14)*FZ14-GG14-GC14,IF(($B14-Analysis!$C$159+1)&lt;LOOKUP(Analysis!$C$159,$B:$B,FZ:FZ),IF(GF13-GE14&lt;0, GF13-GE14,0),0)))</f>
        <v>-88406.318833422542</v>
      </c>
      <c r="GG14" s="1">
        <f>IF($B14&lt;Analysis!$C$159,0,IF($B14=Analysis!$C$159,GB14+GE14,IF(GC13&lt;0,IF(GC13&gt;LOOKUP(Analysis!$C$159,$B:$B,GG:GG), GC13*(1+GD13),GG13),0)))</f>
        <v>-22059.883500000004</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25348.989008930286</v>
      </c>
      <c r="GQ14" s="1">
        <f t="shared" si="36"/>
        <v>-1762.9454694550279</v>
      </c>
      <c r="GR14" s="64">
        <f>IF($B14&lt;Analysis!$C$159,0,Analysis!$C$178)</f>
        <v>3.0000000000000001E-3</v>
      </c>
      <c r="GS14" s="1">
        <f t="shared" si="37"/>
        <v>-4407.3636736375693</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-1471.9532654606442</v>
      </c>
      <c r="HD14" s="1">
        <f t="shared" si="38"/>
        <v>-19902.262408553241</v>
      </c>
      <c r="HE14" s="1">
        <f>MIN(0,-(GN14+HD14)*Analysis!$C$28)-GE14*Analysis!$C$28</f>
        <v>4470.7140337935271</v>
      </c>
      <c r="HF14" s="1">
        <f>-Analysis!$C$176*GP14/12</f>
        <v>-2112.4157507441905</v>
      </c>
      <c r="HG14" s="38"/>
      <c r="HH14" s="1">
        <f>IF($B14&lt;Analysis!$C$159,0,-$HI14*$FW14)</f>
        <v>-74925.182451838686</v>
      </c>
      <c r="HI14" s="64">
        <f>IF($B14&lt;Analysis!$C$159,0,IF($B14=Analysis!$C$159,Analysis!$C$31,HI13))</f>
        <v>0.1275</v>
      </c>
      <c r="HJ14" s="1">
        <f>IF($B14&lt;Analysis!$C$159,0,$FW14+HH14)</f>
        <v>512723.30736650393</v>
      </c>
      <c r="HK14" s="1">
        <f>IF($B14-Analysis!$C$159&gt;10,0,IF($FW14&gt;LOOKUP(Analysis!$C$159,$B:$B, FW:FW),$V14*(LOOKUP(Analysis!$C$159,$B:$B, FW:FW)-FW14),0))</f>
        <v>0</v>
      </c>
      <c r="HL14" s="1">
        <f t="shared" si="39"/>
        <v>512723.30736650393</v>
      </c>
      <c r="HM14" s="38"/>
      <c r="HN14" s="1">
        <f t="shared" si="40"/>
        <v>-119843.61167061845</v>
      </c>
      <c r="HO14" s="1">
        <f t="shared" si="8"/>
        <v>146072.1456101907</v>
      </c>
      <c r="HP14" s="1">
        <f t="shared" si="41"/>
        <v>26228.53393957224</v>
      </c>
      <c r="HQ14" s="1">
        <f>IF(HP14 &lt; 0,
    IF(HQ13 + HP14 &gt; 0,
        HQ13 + HP14, IF(HV13-ABS(HQ13 + HP14)*(1+$V14) &gt;= HQ13 + HP14,
        0, HQ13 + HP14)),
    MIN(HQ13 + HP14, Analysis!$C$7))+IF(HQ13&lt;0, HQ13*Analysis!$C$9,0)</f>
        <v>24000</v>
      </c>
      <c r="HR14" s="38"/>
      <c r="HS14" s="1">
        <f t="shared" si="54"/>
        <v>13329.321698171831</v>
      </c>
      <c r="HT14" s="1">
        <f>IF($B14=Analysis!$C$159,0,IF(HP14 &gt;= 0,
    MAX(0, HQ13 + HP14 - Analysis!$C$7),
    0))</f>
        <v>26228.53393957224</v>
      </c>
      <c r="HU14" s="1">
        <f>IF($B14=Analysis!$C$159,0,MAX(0, HU13 + HT14 - IF(HP14 &lt; 0, MIN(ABS(HP14), HU13 + HT14), 0)))</f>
        <v>176314.87139049044</v>
      </c>
      <c r="HV14" s="1">
        <f>IF($B14=Analysis!$C$159,0,IF(HP14 &lt; 0,
    IF(HP14 + HQ13 &lt; 0,
        MAX(0, HV13 - (ABS(HP14 + HQ13) * (1+$V13))),
        HV13 + HS14),
    HV13 + HT14 + HS14))</f>
        <v>228329.98536827933</v>
      </c>
      <c r="HW14" s="1">
        <f t="shared" si="56"/>
        <v>214610.99905663752</v>
      </c>
      <c r="HX14" s="36"/>
    </row>
    <row r="15" spans="1:232" x14ac:dyDescent="0.35">
      <c r="A15">
        <f t="shared" si="0"/>
        <v>48</v>
      </c>
      <c r="B15">
        <v>2038</v>
      </c>
      <c r="C15" s="1">
        <f>IF($B15&lt;Analysis!C$66,0,$AN15)+$AT15+$AW15+$BC15+$CF15+$CA15</f>
        <v>206492.083271718</v>
      </c>
      <c r="D15" s="1">
        <f>IF($B15&lt;Analysis!C$66, 0, BV15)+AT15+AW15+BC15+CG15+CA15</f>
        <v>78253.730599010363</v>
      </c>
      <c r="E15" s="1">
        <f t="shared" si="1"/>
        <v>648201.46413329034</v>
      </c>
      <c r="F15" s="1">
        <f t="shared" si="9"/>
        <v>583735.02158556774</v>
      </c>
      <c r="G15" s="1">
        <f>IF(AND($B15&gt;=Analysis!$C$100, $B15&lt;Analysis!$C$101),$CK15,0)+IF($B15&gt;=Analysis!$C$130,EB15,0)+CQ15+CT15+CZ15+EH15+EK15+EQ15+$FO15+$FT15</f>
        <v>569214.20839463756</v>
      </c>
      <c r="H15" s="1">
        <f t="shared" si="10"/>
        <v>474251.69156305416</v>
      </c>
      <c r="I15" s="1">
        <f>IF($B15&lt;Analysis!$C$159,0,$FW15)+$GC15+$GF15+$GL15+$HQ15+$HV15</f>
        <v>569214.20839463756</v>
      </c>
      <c r="J15" s="1">
        <f t="shared" si="2"/>
        <v>474251.69156305416</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IF($B15=$B$2,((1+Analysis!$D$16)/(1+$S15))-1,IF(B15&lt;Analysis!$C$13,U14-((Analysis!$D$16-Analysis!$C$17)/(Analysis!$C$13-$B$2)),((1+Analysis!$C$17)/(1+$S14))-1))</f>
        <v>6.8324929971988968E-2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38050.036244007162</v>
      </c>
      <c r="AI15" s="1">
        <f>IF(AE15 &gt;= 0,
    MAX(0, AF14 + AE15 - Analysis!$C$7),
    0)</f>
        <v>29253.144062187319</v>
      </c>
      <c r="AJ15" s="1">
        <f t="shared" si="44"/>
        <v>379778.93314666417</v>
      </c>
      <c r="AK15" s="1">
        <f t="shared" si="20"/>
        <v>624201.46413329034</v>
      </c>
      <c r="AL15" s="1">
        <f t="shared" si="5"/>
        <v>559735.02158556774</v>
      </c>
      <c r="AM15" s="36"/>
      <c r="AN15" s="1">
        <f t="shared" si="45"/>
        <v>1005791.0013545698</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-22254.035708718089</v>
      </c>
      <c r="AT15" s="1">
        <f>IF($B15&lt;Analysis!$C$66,0,IF($B15=Analysis!$C$66,-AP15-AS15,MIN(0,AT14-AS15)))</f>
        <v>-445163.40459619858</v>
      </c>
      <c r="AU15" s="64">
        <f>IF($B15&lt;Analysis!$C$66,0,IF($B15=Analysis!$C$66,Analysis!$C$72,IF(($B15-Analysis!$C$66)&lt;LOOKUP(Analysis!$C$66,$B:$B,AQ:AQ),AU14,0)))</f>
        <v>3.6999999999999998E-2</v>
      </c>
      <c r="AV15" s="1">
        <f>IF($B15&lt;Analysis!$C$66,0,IF($B15=Analysis!$C$66,-AU15*AP15,AU14*AT14))</f>
        <v>-17294.445291281918</v>
      </c>
      <c r="AW15" s="1">
        <f>IF($B15&lt;Analysis!$C$66,0,IF($B15=Analysis!$C$66,PMT(AU15,AQ15,AP15)*AQ15-AX15-AT15,IF(($B15-Analysis!$C$66+1)&lt;LOOKUP(Analysis!$C$66,$B:$B,AQ:AQ),IF(AW14-AV15&lt;0, AW14-AV15,0),0)))</f>
        <v>-141198.48694308611</v>
      </c>
      <c r="AX15" s="1">
        <f>IF($B15&lt;Analysis!$C$66,0,IF($B15=Analysis!$C$66,AS15+AV15,IF(AT14&lt;0,IF(AT14&gt;LOOKUP(Analysis!$C$66,$B:$B,AX:AX), AT14*(1+AU14),AX14),0)))</f>
        <v>-39548.481000000007</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-3017.3730040637097</v>
      </c>
      <c r="BF15" s="64">
        <f>IF($B15&lt;Analysis!$C$66,0,Analysis!$C$78)</f>
        <v>3.0000000000000001E-3</v>
      </c>
      <c r="BG15" s="1">
        <f>IF($B15&lt;Analysis!$C$66,0,-BH15*AN15)</f>
        <v>-7543.4325101592731</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-128238.35267270765</v>
      </c>
      <c r="BS15" s="64">
        <f>IF($B15&lt;Analysis!C$66,0,Analysis!C$31)</f>
        <v>0.1275</v>
      </c>
      <c r="BT15" s="1">
        <f>IF($B15&lt;Analysis!$C$66,0,AN15+BR15)</f>
        <v>877552.64868186216</v>
      </c>
      <c r="BU15" s="1">
        <f>IF($B15-Analysis!$C$66&gt;3,0,IF($AN15&gt;LOOKUP(Analysis!$C$66,$B:$B, AN:AN),$V15*(LOOKUP(Analysis!$C$66,$B:$B, AN:AN)-AN15),0))</f>
        <v>0</v>
      </c>
      <c r="BV15" s="1">
        <f t="shared" si="23"/>
        <v>877552.64868186216</v>
      </c>
      <c r="BW15" s="42"/>
      <c r="BX15" s="1">
        <f>IF($B15&lt;Analysis!$C$66,$P15+$N15+$X15+$Z15,$P15+$N15+AS15+AV15+BB15+BE15+BG15+MAX(BI15,SUM(BJ15:BN15))+BP15)</f>
        <v>-119969.28651422299</v>
      </c>
      <c r="BY15" s="1">
        <f t="shared" si="24"/>
        <v>122202.60704980526</v>
      </c>
      <c r="BZ15" s="1">
        <f t="shared" si="46"/>
        <v>2233.320535582272</v>
      </c>
      <c r="CA15" s="1">
        <f>IF(BZ15 &lt; 0,
    IF(CA14 + BZ15 &gt; 0,
        CA14 + BZ15, IF(CF14-ABS(CA14 + BZ15)*(1+$V15) &gt;= CA14 + BZ15,
        0, CA14 + BZ15)),
    MIN(CA14 + BZ15, Analysis!$C$7))+IF(CA14&lt;0, CA14*Analysis!$C$9,0)</f>
        <v>-212937.02654356707</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-23089.462987617946</v>
      </c>
      <c r="CJ15" s="1">
        <f>IF(OR($B15&lt;Analysis!$C$100, $B15&gt;=Analysis!$C$130),0,Z15)</f>
        <v>-3960</v>
      </c>
      <c r="CK15" s="1">
        <f t="shared" si="26"/>
        <v>604932.26893064682</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-12413.155264778974</v>
      </c>
      <c r="CQ15" s="1">
        <f>IF(OR($B15&lt;Analysis!$C$100, $B15&gt;=Analysis!$C$101),0,IF($B15=Analysis!$C$100,-CM15-CP15,MIN(0,CQ14-CP15)))</f>
        <v>-248309.22947092453</v>
      </c>
      <c r="CR15" s="64">
        <f>IF(OR($B15&lt;Analysis!$C$100, $B15&gt;=Analysis!$C$101),0,IF($B15=Analysis!$C$100,Analysis!$C$102,IF(($B15-Analysis!$C$100)&lt;LOOKUP(Analysis!$C$100,$B:$B,CN:CN),CR14,0)))</f>
        <v>3.6999999999999998E-2</v>
      </c>
      <c r="CS15" s="1">
        <f>IF(OR($B15&lt;Analysis!$C$100, $B15&gt;=Analysis!$C$101),0,IF($B15=Analysis!$C$100,-CR15*CM15,CR14*CQ14))</f>
        <v>-9646.7282352210295</v>
      </c>
      <c r="CT15" s="1">
        <f>IF(OR($B15&lt;Analysis!$C$100, $B15&gt;=Analysis!$C$101),0,IF($B15=Analysis!$C$100,PMT(CR15,CN15,CM15)*CN15-CU15-CQ15,IF(($B15-Analysis!$C$100+1)&lt;LOOKUP(Analysis!$C$100,$B:$B,CN:CN),IF(CT14-CS15&lt;0, CT14-CS15,0),0)))</f>
        <v>-78759.59059820151</v>
      </c>
      <c r="CU15" s="1">
        <f>IF(OR($B15&lt;Analysis!$C$100, $B15&gt;=Analysis!$C$101),0,IF($B15=Analysis!$C$100,CP15+CS15,IF(CQ14&lt;0,IF(CQ14&gt;LOOKUP(Analysis!$C$100,$B:$B,CU:CU), CQ14*(1+CR14),CU14),0)))</f>
        <v>-22059.883500000004</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25978.076920957647</v>
      </c>
      <c r="DE15" s="1">
        <f t="shared" si="27"/>
        <v>-1814.7968067919405</v>
      </c>
      <c r="DF15" s="64">
        <f>IF(OR($B15&lt;Analysis!$C$100, $B15&gt;=Analysis!$C$101),0,Analysis!$C$118)</f>
        <v>3.0000000000000001E-3</v>
      </c>
      <c r="DG15" s="1">
        <f t="shared" si="28"/>
        <v>-4536.9920169798506</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-1515.246008562428</v>
      </c>
      <c r="DR15" s="1">
        <f t="shared" si="29"/>
        <v>-20127.034832334219</v>
      </c>
      <c r="DS15" s="1">
        <f>MIN(0,-(DB15+DR15)*Analysis!$C$28)-CS15*Analysis!$C$28</f>
        <v>4240.6809966469054</v>
      </c>
      <c r="DT15" s="1">
        <f>-Analysis!$C$116*DD15/12</f>
        <v>-2164.8397434131371</v>
      </c>
      <c r="DU15" s="53"/>
      <c r="DV15" s="1">
        <f t="shared" si="30"/>
        <v>-77128.864288657467</v>
      </c>
      <c r="DW15" s="64">
        <f>IF(OR($B15&lt;Analysis!$C$100, $B15&gt;=Analysis!$C$101),0,IF($B15=Analysis!$C$100,Analysis!$C$31,DW14))</f>
        <v>0.1275</v>
      </c>
      <c r="DX15" s="1">
        <f>IF(OR($B15&lt;Analysis!$C$100, $B15&gt;=Analysis!$C$101),0,CK15+DV15)</f>
        <v>527803.40464198939</v>
      </c>
      <c r="DY15" s="1">
        <f>IF(OR($B15&lt;Analysis!$C$100, $B15&gt;=Analysis!$C$101),0,IF($B15-Analysis!$C$100&gt;3,0,IF(CK15&gt;LOOKUP(Analysis!$C$100,$B:$B, CK:CK),$V15*(LOOKUP(Analysis!$C$100,$B:$B, CK:CK)-CK15),0)))</f>
        <v>0</v>
      </c>
      <c r="DZ15" s="1">
        <f t="shared" si="49"/>
        <v>527803.40464198939</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-124760.54006671841</v>
      </c>
      <c r="FM15" s="1">
        <f>$M15+$R15+DD15+IF(AND($B15&lt;&gt;Analysis!$C$130,$B15=Analysis!$C$101),DZ14+CQ14+CT14+CZ14,0)</f>
        <v>148180.68397076291</v>
      </c>
      <c r="FN15" s="1">
        <f t="shared" si="34"/>
        <v>23420.143904044497</v>
      </c>
      <c r="FO15" s="1">
        <f>IF(FN15 &lt; 0,
    IF(FO14 + FN15 &gt; 0,
        FO14 + FN15, IF(FT14-ABS(FO14 + FN15)*(1+$V15) &gt;= FO14 + FN15,
        0, FO14 + FN15)),
    MIN(FO14 + FN15, Analysis!$C$7))+IF(FO14&lt;0, FO14*Analysis!$C$9,0)</f>
        <v>24000</v>
      </c>
      <c r="FP15" s="53"/>
      <c r="FQ15" s="1">
        <f t="shared" si="51"/>
        <v>15600.630260792952</v>
      </c>
      <c r="FR15" s="1">
        <f>IF(OR($B15=Analysis!$C$100, $B15=Analysis!$C$130),0,IF(FN15 &gt;= 0,
    MAX(0, FO14 + FN15 - Analysis!$C$7),
    0))</f>
        <v>23420.143904044497</v>
      </c>
      <c r="FS15" s="1">
        <f>IF(OR($B15=Analysis!$C$100, $B15=Analysis!$C$130),0,MAX(0, FS14 + FR15 - IF(FN15 &lt; 0, MIN(ABS(FN15), FS14 + FR15), 0)))</f>
        <v>199735.01529453494</v>
      </c>
      <c r="FT15" s="1">
        <f>IF(OR($B15=Analysis!$C$100, $B15=Analysis!$C$130),0,IF(FN15 &lt; 0,
    IF(FN15 + FO14 &lt; 0,
        MAX(0, FT14 - (ABS(FN15 + FO14) * (1+$V14))),
        FT14 + FQ15),
    FT14 + FR15 + FQ15))</f>
        <v>267350.75953311677</v>
      </c>
      <c r="FU15" s="1">
        <f t="shared" si="55"/>
        <v>249517.1069901908</v>
      </c>
      <c r="FV15" s="36"/>
      <c r="FW15" s="1">
        <f t="shared" si="52"/>
        <v>604932.26893064682</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-12413.155264778974</v>
      </c>
      <c r="GC15" s="1">
        <f>IF($B15&lt;Analysis!$C$159,0,IF($B15=Analysis!$C$159,-FY15-GB15,MIN(0,GC14-GB15)))</f>
        <v>-248309.22947092453</v>
      </c>
      <c r="GD15" s="64">
        <f>IF($B15&lt;Analysis!$C$159,0,IF($B15=Analysis!$C$159,Analysis!$C$160,IF(($B15-Analysis!$C$159)&lt;LOOKUP(Analysis!$C$159,$B:$B,FZ:FZ),GD14,0)))</f>
        <v>3.6999999999999998E-2</v>
      </c>
      <c r="GE15" s="1">
        <f>IF($B15&lt;Analysis!$C$159,0,IF($B15=Analysis!$C$159,-GD15*FY15,GD14*GC14))</f>
        <v>-9646.7282352210295</v>
      </c>
      <c r="GF15" s="1">
        <f>IF($B15&lt;Analysis!$C$159,0,IF($B15=Analysis!$C$159,PMT(GD15,FZ15,FY15)*FZ15-GG15-GC15,IF(($B15-Analysis!$C$159+1)&lt;LOOKUP(Analysis!$C$159,$B:$B,FZ:FZ),IF(GF14-GE15&lt;0, GF14-GE15,0),0)))</f>
        <v>-78759.59059820151</v>
      </c>
      <c r="GG15" s="1">
        <f>IF($B15&lt;Analysis!$C$159,0,IF($B15=Analysis!$C$159,GB15+GE15,IF(GC14&lt;0,IF(GC14&gt;LOOKUP(Analysis!$C$159,$B:$B,GG:GG), GC14*(1+GD14),GG14),0)))</f>
        <v>-22059.883500000004</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25978.076920957647</v>
      </c>
      <c r="GQ15" s="1">
        <f t="shared" si="36"/>
        <v>-1814.7968067919405</v>
      </c>
      <c r="GR15" s="64">
        <f>IF($B15&lt;Analysis!$C$159,0,Analysis!$C$178)</f>
        <v>3.0000000000000001E-3</v>
      </c>
      <c r="GS15" s="1">
        <f t="shared" si="37"/>
        <v>-4536.9920169798506</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-1515.246008562428</v>
      </c>
      <c r="HD15" s="1">
        <f t="shared" si="38"/>
        <v>-20127.034832334219</v>
      </c>
      <c r="HE15" s="1">
        <f>MIN(0,-(GN15+HD15)*Analysis!$C$28)-GE15*Analysis!$C$28</f>
        <v>4240.6809966469054</v>
      </c>
      <c r="HF15" s="1">
        <f>-Analysis!$C$176*GP15/12</f>
        <v>-2164.8397434131371</v>
      </c>
      <c r="HG15" s="38"/>
      <c r="HH15" s="1">
        <f>IF($B15&lt;Analysis!$C$159,0,-$HI15*$FW15)</f>
        <v>-77128.864288657467</v>
      </c>
      <c r="HI15" s="64">
        <f>IF($B15&lt;Analysis!$C$159,0,IF($B15=Analysis!$C$159,Analysis!$C$31,HI14))</f>
        <v>0.1275</v>
      </c>
      <c r="HJ15" s="1">
        <f>IF($B15&lt;Analysis!$C$159,0,$FW15+HH15)</f>
        <v>527803.40464198939</v>
      </c>
      <c r="HK15" s="1">
        <f>IF($B15-Analysis!$C$159&gt;10,0,IF($FW15&gt;LOOKUP(Analysis!$C$159,$B:$B, FW:FW),$V15*(LOOKUP(Analysis!$C$159,$B:$B, FW:FW)-FW15),0))</f>
        <v>0</v>
      </c>
      <c r="HL15" s="1">
        <f t="shared" si="39"/>
        <v>527803.40464198939</v>
      </c>
      <c r="HM15" s="38"/>
      <c r="HN15" s="1">
        <f t="shared" si="40"/>
        <v>-124760.54006671841</v>
      </c>
      <c r="HO15" s="1">
        <f t="shared" si="8"/>
        <v>148180.68397076291</v>
      </c>
      <c r="HP15" s="1">
        <f t="shared" si="41"/>
        <v>23420.143904044497</v>
      </c>
      <c r="HQ15" s="1">
        <f>IF(HP15 &lt; 0,
    IF(HQ14 + HP15 &gt; 0,
        HQ14 + HP15, IF(HV14-ABS(HQ14 + HP15)*(1+$V15) &gt;= HQ14 + HP15,
        0, HQ14 + HP15)),
    MIN(HQ14 + HP15, Analysis!$C$7))+IF(HQ14&lt;0, HQ14*Analysis!$C$9,0)</f>
        <v>24000</v>
      </c>
      <c r="HR15" s="38"/>
      <c r="HS15" s="1">
        <f t="shared" si="54"/>
        <v>15600.630260792952</v>
      </c>
      <c r="HT15" s="1">
        <f>IF($B15=Analysis!$C$159,0,IF(HP15 &gt;= 0,
    MAX(0, HQ14 + HP15 - Analysis!$C$7),
    0))</f>
        <v>23420.143904044497</v>
      </c>
      <c r="HU15" s="1">
        <f>IF($B15=Analysis!$C$159,0,MAX(0, HU14 + HT15 - IF(HP15 &lt; 0, MIN(ABS(HP15), HU14 + HT15), 0)))</f>
        <v>199735.01529453494</v>
      </c>
      <c r="HV15" s="1">
        <f>IF($B15=Analysis!$C$159,0,IF(HP15 &lt; 0,
    IF(HP15 + HQ14 &lt; 0,
        MAX(0, HV14 - (ABS(HP15 + HQ14) * (1+$V14))),
        HV14 + HS15),
    HV14 + HT15 + HS15))</f>
        <v>267350.75953311677</v>
      </c>
      <c r="HW15" s="1">
        <f t="shared" si="56"/>
        <v>249517.1069901908</v>
      </c>
      <c r="HX15" s="36"/>
    </row>
    <row r="16" spans="1:232" x14ac:dyDescent="0.35">
      <c r="A16">
        <f t="shared" si="0"/>
        <v>49</v>
      </c>
      <c r="B16">
        <v>2039</v>
      </c>
      <c r="C16" s="1">
        <f>IF($B16&lt;Analysis!C$66,0,$AN16)+$AT16+$AW16+$BC16+$CF16+$CA16</f>
        <v>262007.98000080817</v>
      </c>
      <c r="D16" s="1">
        <f>IF($B16&lt;Analysis!C$66, 0, BV16)+AT16+AW16+BC16+CG16+CA16</f>
        <v>129997.91107302092</v>
      </c>
      <c r="E16" s="1">
        <f t="shared" si="1"/>
        <v>719494.86243323516</v>
      </c>
      <c r="F16" s="1">
        <f t="shared" si="9"/>
        <v>644156.17669719399</v>
      </c>
      <c r="G16" s="1">
        <f>IF(AND($B16&gt;=Analysis!$C$100, $B16&lt;Analysis!$C$101),$CK16,0)+IF($B16&gt;=Analysis!$C$130,EB16,0)+CQ16+CT16+CZ16+EH16+EK16+EQ16+$FO16+$FT16</f>
        <v>650958.43593067932</v>
      </c>
      <c r="H16" s="1">
        <f t="shared" si="10"/>
        <v>549070.74949843227</v>
      </c>
      <c r="I16" s="1">
        <f>IF($B16&lt;Analysis!$C$159,0,$FW16)+$GC16+$GF16+$GL16+$HQ16+$HV16</f>
        <v>650958.43593067932</v>
      </c>
      <c r="J16" s="1">
        <f t="shared" si="2"/>
        <v>549070.74949843227</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IF($B16=$B$2,((1+Analysis!$D$16)/(1+$S16))-1,IF(B16&lt;Analysis!$C$13,U15-((Analysis!$D$16-Analysis!$C$17)/(Analysis!$C$13-$B$2)),((1+Analysis!$C$17)/(1+$S15))-1))</f>
        <v>6.6039215686274688E-2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41221.775121586812</v>
      </c>
      <c r="AI16" s="1">
        <f>IF(AE16 &gt;= 0,
    MAX(0, AF15 + AE16 - Analysis!$C$7),
    0)</f>
        <v>30071.623178357928</v>
      </c>
      <c r="AJ16" s="1">
        <f t="shared" si="44"/>
        <v>409850.55632502213</v>
      </c>
      <c r="AK16" s="1">
        <f t="shared" si="20"/>
        <v>695494.86243323516</v>
      </c>
      <c r="AL16" s="1">
        <f t="shared" si="5"/>
        <v>620156.17669719399</v>
      </c>
      <c r="AM16" s="36"/>
      <c r="AN16" s="1">
        <f t="shared" si="45"/>
        <v>1035373.0896297044</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-23077.435029940661</v>
      </c>
      <c r="AT16" s="1">
        <f>IF($B16&lt;Analysis!$C$66,0,IF($B16=Analysis!$C$66,-AP16-AS16,MIN(0,AT15-AS16)))</f>
        <v>-422085.9695662579</v>
      </c>
      <c r="AU16" s="64">
        <f>IF($B16&lt;Analysis!$C$66,0,IF($B16=Analysis!$C$66,Analysis!$C$72,IF(($B16-Analysis!$C$66)&lt;LOOKUP(Analysis!$C$66,$B:$B,AQ:AQ),AU15,0)))</f>
        <v>3.6999999999999998E-2</v>
      </c>
      <c r="AV16" s="1">
        <f>IF($B16&lt;Analysis!$C$66,0,IF($B16=Analysis!$C$66,-AU16*AP16,AU15*AT15))</f>
        <v>-16471.045970059346</v>
      </c>
      <c r="AW16" s="1">
        <f>IF($B16&lt;Analysis!$C$66,0,IF($B16=Analysis!$C$66,PMT(AU16,AQ16,AP16)*AQ16-AX16-AT16,IF(($B16-Analysis!$C$66+1)&lt;LOOKUP(Analysis!$C$66,$B:$B,AQ:AQ),IF(AW15-AV16&lt;0, AW15-AV16,0),0)))</f>
        <v>-124727.44097302677</v>
      </c>
      <c r="AX16" s="1">
        <f>IF($B16&lt;Analysis!$C$66,0,IF($B16=Analysis!$C$66,AS16+AV16,IF(AT15&lt;0,IF(AT15&gt;LOOKUP(Analysis!$C$66,$B:$B,AX:AX), AT15*(1+AU15),AX15),0)))</f>
        <v>-39548.481000000007</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-3106.1192688891133</v>
      </c>
      <c r="BF16" s="64">
        <f>IF($B16&lt;Analysis!$C$66,0,Analysis!$C$78)</f>
        <v>3.0000000000000001E-3</v>
      </c>
      <c r="BG16" s="1">
        <f>IF($B16&lt;Analysis!$C$66,0,-BH16*AN16)</f>
        <v>-7765.2981722227823</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-132010.0689277873</v>
      </c>
      <c r="BS16" s="64">
        <f>IF($B16&lt;Analysis!C$66,0,Analysis!C$31)</f>
        <v>0.1275</v>
      </c>
      <c r="BT16" s="1">
        <f>IF($B16&lt;Analysis!$C$66,0,AN16+BR16)</f>
        <v>903363.02070191712</v>
      </c>
      <c r="BU16" s="1">
        <f>IF($B16-Analysis!$C$66&gt;3,0,IF($AN16&gt;LOOKUP(Analysis!$C$66,$B:$B, AN:AN),$V16*(LOOKUP(Analysis!$C$66,$B:$B, AN:AN)-AN16),0))</f>
        <v>0</v>
      </c>
      <c r="BV16" s="1">
        <f t="shared" si="23"/>
        <v>903363.02070191712</v>
      </c>
      <c r="BW16" s="42"/>
      <c r="BX16" s="1">
        <f>IF($B16&lt;Analysis!$C$66,$P16+$N16+$X16+$Z16,$P16+$N16+AS16+AV16+BB16+BE16+BG16+MAX(BI16,SUM(BJ16:BN16))+BP16)</f>
        <v>-120279.89844111192</v>
      </c>
      <c r="BY16" s="1">
        <f t="shared" si="24"/>
        <v>123700.18801855287</v>
      </c>
      <c r="BZ16" s="1">
        <f t="shared" si="46"/>
        <v>3420.2895774409553</v>
      </c>
      <c r="CA16" s="1">
        <f>IF(BZ16 &lt; 0,
    IF(CA15 + BZ16 &gt; 0,
        CA15 + BZ16, IF(CF15-ABS(CA15 + BZ16)*(1+$V16) &gt;= CA15 + BZ16,
        0, CA15 + BZ16)),
    MIN(CA15 + BZ16, Analysis!$C$7))+IF(CA15&lt;0, CA15*Analysis!$C$9,0)</f>
        <v>-226551.6990896115</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-23768.564840194947</v>
      </c>
      <c r="CJ16" s="1">
        <f>IF(OR($B16&lt;Analysis!$C$100, $B16&gt;=Analysis!$C$130),0,Z16)</f>
        <v>-3960</v>
      </c>
      <c r="CK16" s="1">
        <f t="shared" si="26"/>
        <v>622724.39448743057</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-12872.442009575796</v>
      </c>
      <c r="CQ16" s="1">
        <f>IF(OR($B16&lt;Analysis!$C$100, $B16&gt;=Analysis!$C$101),0,IF($B16=Analysis!$C$100,-CM16-CP16,MIN(0,CQ15-CP16)))</f>
        <v>-235436.78746134875</v>
      </c>
      <c r="CR16" s="64">
        <f>IF(OR($B16&lt;Analysis!$C$100, $B16&gt;=Analysis!$C$101),0,IF($B16=Analysis!$C$100,Analysis!$C$102,IF(($B16-Analysis!$C$100)&lt;LOOKUP(Analysis!$C$100,$B:$B,CN:CN),CR15,0)))</f>
        <v>3.6999999999999998E-2</v>
      </c>
      <c r="CS16" s="1">
        <f>IF(OR($B16&lt;Analysis!$C$100, $B16&gt;=Analysis!$C$101),0,IF($B16=Analysis!$C$100,-CR16*CM16,CR15*CQ15))</f>
        <v>-9187.4414904242076</v>
      </c>
      <c r="CT16" s="1">
        <f>IF(OR($B16&lt;Analysis!$C$100, $B16&gt;=Analysis!$C$101),0,IF($B16=Analysis!$C$100,PMT(CR16,CN16,CM16)*CN16-CU16-CQ16,IF(($B16-Analysis!$C$100+1)&lt;LOOKUP(Analysis!$C$100,$B:$B,CN:CN),IF(CT15-CS16&lt;0, CT15-CS16,0),0)))</f>
        <v>-69572.14910777731</v>
      </c>
      <c r="CU16" s="1">
        <f>IF(OR($B16&lt;Analysis!$C$100, $B16&gt;=Analysis!$C$101),0,IF($B16=Analysis!$C$100,CP16+CS16,IF(CQ15&lt;0,IF(CQ15&gt;LOOKUP(Analysis!$C$100,$B:$B,CU:CU), CQ15*(1+CR15),CU15),0)))</f>
        <v>-22059.883500000004</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26625.667418632875</v>
      </c>
      <c r="DE16" s="1">
        <f t="shared" si="27"/>
        <v>-1868.1731834622917</v>
      </c>
      <c r="DF16" s="64">
        <f>IF(OR($B16&lt;Analysis!$C$100, $B16&gt;=Analysis!$C$101),0,Analysis!$C$118)</f>
        <v>3.0000000000000001E-3</v>
      </c>
      <c r="DG16" s="1">
        <f t="shared" si="28"/>
        <v>-4670.4329586557287</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-1559.8120676377937</v>
      </c>
      <c r="DR16" s="1">
        <f t="shared" si="29"/>
        <v>-20358.418209755815</v>
      </c>
      <c r="DS16" s="1">
        <f>MIN(0,-(DB16+DR16)*Analysis!$C$28)-CS16*Analysis!$C$28</f>
        <v>3876.4007375456822</v>
      </c>
      <c r="DT16" s="1">
        <f>-Analysis!$C$116*DD16/12</f>
        <v>-2218.8056182194064</v>
      </c>
      <c r="DU16" s="53"/>
      <c r="DV16" s="1">
        <f t="shared" si="30"/>
        <v>-79397.360297147403</v>
      </c>
      <c r="DW16" s="64">
        <f>IF(OR($B16&lt;Analysis!$C$100, $B16&gt;=Analysis!$C$101),0,IF($B16=Analysis!$C$100,Analysis!$C$31,DW15))</f>
        <v>0.1275</v>
      </c>
      <c r="DX16" s="1">
        <f>IF(OR($B16&lt;Analysis!$C$100, $B16&gt;=Analysis!$C$101),0,CK16+DV16)</f>
        <v>543327.03419028316</v>
      </c>
      <c r="DY16" s="1">
        <f>IF(OR($B16&lt;Analysis!$C$100, $B16&gt;=Analysis!$C$101),0,IF($B16-Analysis!$C$100&gt;3,0,IF(CK16&gt;LOOKUP(Analysis!$C$100,$B:$B, CK:CK),$V16*(LOOKUP(Analysis!$C$100,$B:$B, CK:CK)-CK16),0)))</f>
        <v>0</v>
      </c>
      <c r="DZ16" s="1">
        <f t="shared" si="49"/>
        <v>543327.03419028316</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-126089.27143062447</v>
      </c>
      <c r="FM16" s="1">
        <f>$M16+$R16+DD16+IF(AND($B16&lt;&gt;Analysis!$C$130,$B16=Analysis!$C$101),DZ15+CQ15+CT15+CZ15,0)</f>
        <v>150325.85543718573</v>
      </c>
      <c r="FN16" s="1">
        <f t="shared" si="34"/>
        <v>24236.584006561257</v>
      </c>
      <c r="FO16" s="1">
        <f>IF(FN16 &lt; 0,
    IF(FO15 + FN16 &gt; 0,
        FO15 + FN16, IF(FT15-ABS(FO15 + FN16)*(1+$V16) &gt;= FO15 + FN16,
        0, FO15 + FN16)),
    MIN(FO15 + FN16, Analysis!$C$7))+IF(FO15&lt;0, FO15*Analysis!$C$9,0)</f>
        <v>24000</v>
      </c>
      <c r="FP16" s="53"/>
      <c r="FQ16" s="1">
        <f t="shared" si="51"/>
        <v>17655.634472696856</v>
      </c>
      <c r="FR16" s="1">
        <f>IF(OR($B16=Analysis!$C$100, $B16=Analysis!$C$130),0,IF(FN16 &gt;= 0,
    MAX(0, FO15 + FN16 - Analysis!$C$7),
    0))</f>
        <v>24236.584006561257</v>
      </c>
      <c r="FS16" s="1">
        <f>IF(OR($B16=Analysis!$C$100, $B16=Analysis!$C$130),0,MAX(0, FS15 + FR16 - IF(FN16 &lt; 0, MIN(ABS(FN16), FS15 + FR16), 0)))</f>
        <v>223971.5993010962</v>
      </c>
      <c r="FT16" s="1">
        <f>IF(OR($B16=Analysis!$C$100, $B16=Analysis!$C$130),0,IF(FN16 &lt; 0,
    IF(FN16 + FO15 &lt; 0,
        MAX(0, FT15 - (ABS(FN16 + FO15) * (1+$V15))),
        FT15 + FQ16),
    FT15 + FR16 + FQ16))</f>
        <v>309242.97801237489</v>
      </c>
      <c r="FU16" s="1">
        <f t="shared" si="55"/>
        <v>286752.65187727514</v>
      </c>
      <c r="FV16" s="36"/>
      <c r="FW16" s="1">
        <f t="shared" si="52"/>
        <v>622724.39448743057</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-12872.442009575796</v>
      </c>
      <c r="GC16" s="1">
        <f>IF($B16&lt;Analysis!$C$159,0,IF($B16=Analysis!$C$159,-FY16-GB16,MIN(0,GC15-GB16)))</f>
        <v>-235436.78746134875</v>
      </c>
      <c r="GD16" s="64">
        <f>IF($B16&lt;Analysis!$C$159,0,IF($B16=Analysis!$C$159,Analysis!$C$160,IF(($B16-Analysis!$C$159)&lt;LOOKUP(Analysis!$C$159,$B:$B,FZ:FZ),GD15,0)))</f>
        <v>3.6999999999999998E-2</v>
      </c>
      <c r="GE16" s="1">
        <f>IF($B16&lt;Analysis!$C$159,0,IF($B16=Analysis!$C$159,-GD16*FY16,GD15*GC15))</f>
        <v>-9187.4414904242076</v>
      </c>
      <c r="GF16" s="1">
        <f>IF($B16&lt;Analysis!$C$159,0,IF($B16=Analysis!$C$159,PMT(GD16,FZ16,FY16)*FZ16-GG16-GC16,IF(($B16-Analysis!$C$159+1)&lt;LOOKUP(Analysis!$C$159,$B:$B,FZ:FZ),IF(GF15-GE16&lt;0, GF15-GE16,0),0)))</f>
        <v>-69572.14910777731</v>
      </c>
      <c r="GG16" s="1">
        <f>IF($B16&lt;Analysis!$C$159,0,IF($B16=Analysis!$C$159,GB16+GE16,IF(GC15&lt;0,IF(GC15&gt;LOOKUP(Analysis!$C$159,$B:$B,GG:GG), GC15*(1+GD15),GG15),0)))</f>
        <v>-22059.883500000004</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26625.667418632875</v>
      </c>
      <c r="GQ16" s="1">
        <f t="shared" si="36"/>
        <v>-1868.1731834622917</v>
      </c>
      <c r="GR16" s="64">
        <f>IF($B16&lt;Analysis!$C$159,0,Analysis!$C$178)</f>
        <v>3.0000000000000001E-3</v>
      </c>
      <c r="GS16" s="1">
        <f t="shared" si="37"/>
        <v>-4670.4329586557287</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-1559.8120676377937</v>
      </c>
      <c r="HD16" s="1">
        <f t="shared" si="38"/>
        <v>-20358.418209755815</v>
      </c>
      <c r="HE16" s="1">
        <f>MIN(0,-(GN16+HD16)*Analysis!$C$28)-GE16*Analysis!$C$28</f>
        <v>3876.4007375456822</v>
      </c>
      <c r="HF16" s="1">
        <f>-Analysis!$C$176*GP16/12</f>
        <v>-2218.8056182194064</v>
      </c>
      <c r="HG16" s="38"/>
      <c r="HH16" s="1">
        <f>IF($B16&lt;Analysis!$C$159,0,-$HI16*$FW16)</f>
        <v>-79397.360297147403</v>
      </c>
      <c r="HI16" s="64">
        <f>IF($B16&lt;Analysis!$C$159,0,IF($B16=Analysis!$C$159,Analysis!$C$31,HI15))</f>
        <v>0.1275</v>
      </c>
      <c r="HJ16" s="1">
        <f>IF($B16&lt;Analysis!$C$159,0,$FW16+HH16)</f>
        <v>543327.03419028316</v>
      </c>
      <c r="HK16" s="1">
        <f>IF($B16-Analysis!$C$159&gt;10,0,IF($FW16&gt;LOOKUP(Analysis!$C$159,$B:$B, FW:FW),$V16*(LOOKUP(Analysis!$C$159,$B:$B, FW:FW)-FW16),0))</f>
        <v>0</v>
      </c>
      <c r="HL16" s="1">
        <f t="shared" si="39"/>
        <v>543327.03419028316</v>
      </c>
      <c r="HM16" s="38"/>
      <c r="HN16" s="1">
        <f t="shared" si="40"/>
        <v>-126089.27143062447</v>
      </c>
      <c r="HO16" s="1">
        <f t="shared" si="8"/>
        <v>150325.85543718573</v>
      </c>
      <c r="HP16" s="1">
        <f t="shared" si="41"/>
        <v>24236.584006561257</v>
      </c>
      <c r="HQ16" s="1">
        <f>IF(HP16 &lt; 0,
    IF(HQ15 + HP16 &gt; 0,
        HQ15 + HP16, IF(HV15-ABS(HQ15 + HP16)*(1+$V16) &gt;= HQ15 + HP16,
        0, HQ15 + HP16)),
    MIN(HQ15 + HP16, Analysis!$C$7))+IF(HQ15&lt;0, HQ15*Analysis!$C$9,0)</f>
        <v>24000</v>
      </c>
      <c r="HR16" s="38"/>
      <c r="HS16" s="1">
        <f t="shared" si="54"/>
        <v>17655.634472696856</v>
      </c>
      <c r="HT16" s="1">
        <f>IF($B16=Analysis!$C$159,0,IF(HP16 &gt;= 0,
    MAX(0, HQ15 + HP16 - Analysis!$C$7),
    0))</f>
        <v>24236.584006561257</v>
      </c>
      <c r="HU16" s="1">
        <f>IF($B16=Analysis!$C$159,0,MAX(0, HU15 + HT16 - IF(HP16 &lt; 0, MIN(ABS(HP16), HU15 + HT16), 0)))</f>
        <v>223971.5993010962</v>
      </c>
      <c r="HV16" s="1">
        <f>IF($B16=Analysis!$C$159,0,IF(HP16 &lt; 0,
    IF(HP16 + HQ15 &lt; 0,
        MAX(0, HV15 - (ABS(HP16 + HQ15) * (1+$V15))),
        HV15 + HS16),
    HV15 + HT16 + HS16))</f>
        <v>309242.97801237489</v>
      </c>
      <c r="HW16" s="1">
        <f t="shared" si="56"/>
        <v>286752.65187727514</v>
      </c>
      <c r="HX16" s="36"/>
    </row>
    <row r="17" spans="1:232" x14ac:dyDescent="0.35">
      <c r="A17">
        <f t="shared" si="0"/>
        <v>50</v>
      </c>
      <c r="B17">
        <v>2040</v>
      </c>
      <c r="C17" s="1">
        <f>IF($B17&lt;Analysis!C$66,0,$AN17)+$AT17+$AW17+$BC17+$CF17+$CA17</f>
        <v>318500.9504509723</v>
      </c>
      <c r="D17" s="1">
        <f>IF($B17&lt;Analysis!C$66, 0, BV17)+AT17+AW17+BC17+CG17+CA17</f>
        <v>182608.23243707366</v>
      </c>
      <c r="E17" s="1">
        <f t="shared" si="1"/>
        <v>794723.5765380346</v>
      </c>
      <c r="F17" s="1">
        <f t="shared" si="9"/>
        <v>707690.15443100291</v>
      </c>
      <c r="G17" s="1">
        <f>IF(AND($B17&gt;=Analysis!$C$100, $B17&lt;Analysis!$C$101),$CK17,0)+IF($B17&gt;=Analysis!$C$130,EB17,0)+CQ17+CT17+CZ17+EH17+EK17+EQ17+$FO17+$FT17</f>
        <v>736098.86441048607</v>
      </c>
      <c r="H17" s="1">
        <f t="shared" si="10"/>
        <v>626676.04515476699</v>
      </c>
      <c r="I17" s="1">
        <f>IF($B17&lt;Analysis!$C$159,0,$FW17)+$GC17+$GF17+$GL17+$HQ17+$HV17</f>
        <v>736098.86441048607</v>
      </c>
      <c r="J17" s="1">
        <f t="shared" si="2"/>
        <v>626676.04515476699</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IF($B17=$B$2,((1+Analysis!$D$16)/(1+$S17))-1,IF(B17&lt;Analysis!$C$13,U16-((Analysis!$D$16-Analysis!$C$17)/(Analysis!$C$13-$B$2)),((1+Analysis!$C$17)/(1+$S16))-1))</f>
        <v>6.3753501400560408E-2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44340.232686219824</v>
      </c>
      <c r="AI17" s="1">
        <f>IF(AE17 &gt;= 0,
    MAX(0, AF16 + AE17 - Analysis!$C$7),
    0)</f>
        <v>30888.48141857954</v>
      </c>
      <c r="AJ17" s="1">
        <f t="shared" si="44"/>
        <v>440739.03774360166</v>
      </c>
      <c r="AK17" s="1">
        <f t="shared" si="20"/>
        <v>770723.5765380346</v>
      </c>
      <c r="AL17" s="1">
        <f t="shared" si="5"/>
        <v>683690.15443100291</v>
      </c>
      <c r="AM17" s="36"/>
      <c r="AN17" s="1">
        <f t="shared" si="45"/>
        <v>1065825.2393246959</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-23931.300126048467</v>
      </c>
      <c r="AT17" s="1">
        <f>IF($B17&lt;Analysis!$C$66,0,IF($B17=Analysis!$C$66,-AP17-AS17,MIN(0,AT16-AS17)))</f>
        <v>-398154.66944020946</v>
      </c>
      <c r="AU17" s="64">
        <f>IF($B17&lt;Analysis!$C$66,0,IF($B17=Analysis!$C$66,Analysis!$C$72,IF(($B17-Analysis!$C$66)&lt;LOOKUP(Analysis!$C$66,$B:$B,AQ:AQ),AU16,0)))</f>
        <v>3.6999999999999998E-2</v>
      </c>
      <c r="AV17" s="1">
        <f>IF($B17&lt;Analysis!$C$66,0,IF($B17=Analysis!$C$66,-AU17*AP17,AU16*AT16))</f>
        <v>-15617.180873951542</v>
      </c>
      <c r="AW17" s="1">
        <f>IF($B17&lt;Analysis!$C$66,0,IF($B17=Analysis!$C$66,PMT(AU17,AQ17,AP17)*AQ17-AX17-AT17,IF(($B17-Analysis!$C$66+1)&lt;LOOKUP(Analysis!$C$66,$B:$B,AQ:AQ),IF(AW16-AV17&lt;0, AW16-AV17,0),0)))</f>
        <v>-109110.26009907523</v>
      </c>
      <c r="AX17" s="1">
        <f>IF($B17&lt;Analysis!$C$66,0,IF($B17=Analysis!$C$66,AS17+AV17,IF(AT16&lt;0,IF(AT16&gt;LOOKUP(Analysis!$C$66,$B:$B,AX:AX), AT16*(1+AU16),AX16),0)))</f>
        <v>-39548.481000000007</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-3197.4757179740877</v>
      </c>
      <c r="BF17" s="64">
        <f>IF($B17&lt;Analysis!$C$66,0,Analysis!$C$78)</f>
        <v>3.0000000000000001E-3</v>
      </c>
      <c r="BG17" s="1">
        <f>IF($B17&lt;Analysis!$C$66,0,-BH17*AN17)</f>
        <v>-7993.6892949352186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-135892.71801389873</v>
      </c>
      <c r="BS17" s="64">
        <f>IF($B17&lt;Analysis!C$66,0,Analysis!C$31)</f>
        <v>0.1275</v>
      </c>
      <c r="BT17" s="1">
        <f>IF($B17&lt;Analysis!$C$66,0,AN17+BR17)</f>
        <v>929932.52131079719</v>
      </c>
      <c r="BU17" s="1">
        <f>IF($B17-Analysis!$C$66&gt;3,0,IF($AN17&gt;LOOKUP(Analysis!$C$66,$B:$B, AN:AN),$V17*(LOOKUP(Analysis!$C$66,$B:$B, AN:AN)-AN17),0))</f>
        <v>0</v>
      </c>
      <c r="BV17" s="1">
        <f t="shared" si="23"/>
        <v>929932.52131079719</v>
      </c>
      <c r="BW17" s="42"/>
      <c r="BX17" s="1">
        <f>IF($B17&lt;Analysis!$C$66,$P17+$N17+$X17+$Z17,$P17+$N17+AS17+AV17+BB17+BE17+BG17+MAX(BI17,SUM(BJ17:BN17))+BP17)</f>
        <v>-120599.64601290932</v>
      </c>
      <c r="BY17" s="1">
        <f t="shared" si="24"/>
        <v>125216.12169525081</v>
      </c>
      <c r="BZ17" s="1">
        <f t="shared" si="46"/>
        <v>4616.4756823414937</v>
      </c>
      <c r="CA17" s="1">
        <f>IF(BZ17 &lt; 0,
    IF(CA16 + BZ17 &gt; 0,
        CA16 + BZ17, IF(CF16-ABS(CA16 + BZ17)*(1+$V17) &gt;= CA16 + BZ17,
        0, CA16 + BZ17)),
    MIN(CA16 + BZ17, Analysis!$C$7))+IF(CA16&lt;0, CA16*Analysis!$C$9,0)</f>
        <v>-240059.35933443892</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26"/>
        <v>641039.81785470806</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-13348.722363930101</v>
      </c>
      <c r="CQ17" s="1">
        <f>IF(OR($B17&lt;Analysis!$C$100, $B17&gt;=Analysis!$C$101),0,IF($B17=Analysis!$C$100,-CM17-CP17,MIN(0,CQ16-CP17)))</f>
        <v>-222088.06509741864</v>
      </c>
      <c r="CR17" s="64">
        <f>IF(OR($B17&lt;Analysis!$C$100, $B17&gt;=Analysis!$C$101),0,IF($B17=Analysis!$C$100,Analysis!$C$102,IF(($B17-Analysis!$C$100)&lt;LOOKUP(Analysis!$C$100,$B:$B,CN:CN),CR16,0)))</f>
        <v>3.6999999999999998E-2</v>
      </c>
      <c r="CS17" s="1">
        <f>IF(OR($B17&lt;Analysis!$C$100, $B17&gt;=Analysis!$C$101),0,IF($B17=Analysis!$C$100,-CR17*CM17,CR16*CQ16))</f>
        <v>-8711.1611360699026</v>
      </c>
      <c r="CT17" s="1">
        <f>IF(OR($B17&lt;Analysis!$C$100, $B17&gt;=Analysis!$C$101),0,IF($B17=Analysis!$C$100,PMT(CR17,CN17,CM17)*CN17-CU17-CQ17,IF(($B17-Analysis!$C$100+1)&lt;LOOKUP(Analysis!$C$100,$B:$B,CN:CN),IF(CT16-CS17&lt;0, CT16-CS17,0),0)))</f>
        <v>-60860.987971707407</v>
      </c>
      <c r="CU17" s="1">
        <f>IF(OR($B17&lt;Analysis!$C$100, $B17&gt;=Analysis!$C$101),0,IF($B17=Analysis!$C$100,CP17+CS17,IF(CQ16&lt;0,IF(CQ16&gt;LOOKUP(Analysis!$C$100,$B:$B,CU:CU), CQ16*(1+CR16),CU16),0)))</f>
        <v>-22059.883500000004</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27292.304695651488</v>
      </c>
      <c r="DE17" s="1">
        <f t="shared" si="27"/>
        <v>-1923.1194535641241</v>
      </c>
      <c r="DF17" s="64">
        <f>IF(OR($B17&lt;Analysis!$C$100, $B17&gt;=Analysis!$C$101),0,Analysis!$C$118)</f>
        <v>3.0000000000000001E-3</v>
      </c>
      <c r="DG17" s="1">
        <f t="shared" si="28"/>
        <v>-4807.7986339103099</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-1605.6888931565525</v>
      </c>
      <c r="DR17" s="1">
        <f t="shared" si="29"/>
        <v>-20596.606980630986</v>
      </c>
      <c r="DS17" s="1">
        <f>MIN(0,-(DB17+DR17)*Analysis!$C$28)-CS17*Analysis!$C$28</f>
        <v>3499.8620717412514</v>
      </c>
      <c r="DT17" s="1">
        <f>-Analysis!$C$116*DD17/12</f>
        <v>-2274.3587246376242</v>
      </c>
      <c r="DU17" s="53"/>
      <c r="DV17" s="1">
        <f t="shared" si="30"/>
        <v>-81732.576776475282</v>
      </c>
      <c r="DW17" s="64">
        <f>IF(OR($B17&lt;Analysis!$C$100, $B17&gt;=Analysis!$C$101),0,IF($B17=Analysis!$C$100,Analysis!$C$31,DW16))</f>
        <v>0.1275</v>
      </c>
      <c r="DX17" s="1">
        <f>IF(OR($B17&lt;Analysis!$C$100, $B17&gt;=Analysis!$C$101),0,CK17+DV17)</f>
        <v>559307.24107823276</v>
      </c>
      <c r="DY17" s="1">
        <f>IF(OR($B17&lt;Analysis!$C$100, $B17&gt;=Analysis!$C$101),0,IF($B17-Analysis!$C$100&gt;3,0,IF(CK17&gt;LOOKUP(Analysis!$C$100,$B:$B, CK:CK),$V17*(LOOKUP(Analysis!$C$100,$B:$B, CK:CK)-CK17),0)))</f>
        <v>0</v>
      </c>
      <c r="DZ17" s="1">
        <f t="shared" si="49"/>
        <v>559307.24107823276</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-127458.62741019863</v>
      </c>
      <c r="FM17" s="1">
        <f>$M17+$R17+DD17+IF(AND($B17&lt;&gt;Analysis!$C$130,$B17=Analysis!$C$101),DZ16+CQ16+CT16+CZ16,0)</f>
        <v>152508.42639090231</v>
      </c>
      <c r="FN17" s="1">
        <f t="shared" si="34"/>
        <v>25049.798980703679</v>
      </c>
      <c r="FO17" s="1">
        <f>IF(FN17 &lt; 0,
    IF(FO16 + FN17 &gt; 0,
        FO16 + FN17, IF(FT16-ABS(FO16 + FN17)*(1+$V17) &gt;= FO16 + FN17,
        0, FO16 + FN17)),
    MIN(FO16 + FN17, Analysis!$C$7))+IF(FO16&lt;0, FO16*Analysis!$C$9,0)</f>
        <v>24000</v>
      </c>
      <c r="FP17" s="53"/>
      <c r="FQ17" s="1">
        <f t="shared" si="51"/>
        <v>19715.322631825413</v>
      </c>
      <c r="FR17" s="1">
        <f>IF(OR($B17=Analysis!$C$100, $B17=Analysis!$C$130),0,IF(FN17 &gt;= 0,
    MAX(0, FO16 + FN17 - Analysis!$C$7),
    0))</f>
        <v>25049.798980703679</v>
      </c>
      <c r="FS17" s="1">
        <f>IF(OR($B17=Analysis!$C$100, $B17=Analysis!$C$130),0,MAX(0, FS16 + FR17 - IF(FN17 &lt; 0, MIN(ABS(FN17), FS16 + FR17), 0)))</f>
        <v>249021.39828179986</v>
      </c>
      <c r="FT17" s="1">
        <f>IF(OR($B17=Analysis!$C$100, $B17=Analysis!$C$130),0,IF(FN17 &lt; 0,
    IF(FN17 + FO16 &lt; 0,
        MAX(0, FT16 - (ABS(FN17 + FO16) * (1+$V16))),
        FT16 + FQ17),
    FT16 + FR17 + FQ17))</f>
        <v>354008.09962490399</v>
      </c>
      <c r="FU17" s="1">
        <f>IF(FT17-FS17&gt;0, FT17-$V17*(FT17-FS17),FT17)</f>
        <v>326317.85714566027</v>
      </c>
      <c r="FV17" s="36"/>
      <c r="FW17" s="1">
        <f t="shared" si="52"/>
        <v>641039.81785470806</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-13348.722363930101</v>
      </c>
      <c r="GC17" s="1">
        <f>IF($B17&lt;Analysis!$C$159,0,IF($B17=Analysis!$C$159,-FY17-GB17,MIN(0,GC16-GB17)))</f>
        <v>-222088.06509741864</v>
      </c>
      <c r="GD17" s="64">
        <f>IF($B17&lt;Analysis!$C$159,0,IF($B17=Analysis!$C$159,Analysis!$C$160,IF(($B17-Analysis!$C$159)&lt;LOOKUP(Analysis!$C$159,$B:$B,FZ:FZ),GD16,0)))</f>
        <v>3.6999999999999998E-2</v>
      </c>
      <c r="GE17" s="1">
        <f>IF($B17&lt;Analysis!$C$159,0,IF($B17=Analysis!$C$159,-GD17*FY17,GD16*GC16))</f>
        <v>-8711.1611360699026</v>
      </c>
      <c r="GF17" s="1">
        <f>IF($B17&lt;Analysis!$C$159,0,IF($B17=Analysis!$C$159,PMT(GD17,FZ17,FY17)*FZ17-GG17-GC17,IF(($B17-Analysis!$C$159+1)&lt;LOOKUP(Analysis!$C$159,$B:$B,FZ:FZ),IF(GF16-GE17&lt;0, GF16-GE17,0),0)))</f>
        <v>-60860.987971707407</v>
      </c>
      <c r="GG17" s="1">
        <f>IF($B17&lt;Analysis!$C$159,0,IF($B17=Analysis!$C$159,GB17+GE17,IF(GC16&lt;0,IF(GC16&gt;LOOKUP(Analysis!$C$159,$B:$B,GG:GG), GC16*(1+GD16),GG16),0)))</f>
        <v>-22059.883500000004</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27292.304695651488</v>
      </c>
      <c r="GQ17" s="1">
        <f t="shared" si="36"/>
        <v>-1923.1194535641241</v>
      </c>
      <c r="GR17" s="64">
        <f>IF($B17&lt;Analysis!$C$159,0,Analysis!$C$178)</f>
        <v>3.0000000000000001E-3</v>
      </c>
      <c r="GS17" s="1">
        <f t="shared" si="37"/>
        <v>-4807.7986339103099</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-1605.6888931565525</v>
      </c>
      <c r="HD17" s="1">
        <f t="shared" si="38"/>
        <v>-20596.606980630986</v>
      </c>
      <c r="HE17" s="1">
        <f>MIN(0,-(GN17+HD17)*Analysis!$C$28)-GE17*Analysis!$C$28</f>
        <v>3499.8620717412514</v>
      </c>
      <c r="HF17" s="1">
        <f>-Analysis!$C$176*GP17/12</f>
        <v>-2274.3587246376242</v>
      </c>
      <c r="HG17" s="38"/>
      <c r="HH17" s="1">
        <f>IF($B17&lt;Analysis!$C$159,0,-$HI17*$FW17)</f>
        <v>-81732.576776475282</v>
      </c>
      <c r="HI17" s="64">
        <f>IF($B17&lt;Analysis!$C$159,0,IF($B17=Analysis!$C$159,Analysis!$C$31,HI16))</f>
        <v>0.1275</v>
      </c>
      <c r="HJ17" s="1">
        <f>IF($B17&lt;Analysis!$C$159,0,$FW17+HH17)</f>
        <v>559307.24107823276</v>
      </c>
      <c r="HK17" s="1">
        <f>IF($B17-Analysis!$C$159&gt;10,0,IF($FW17&gt;LOOKUP(Analysis!$C$159,$B:$B, FW:FW),$V17*(LOOKUP(Analysis!$C$159,$B:$B, FW:FW)-FW17),0))</f>
        <v>0</v>
      </c>
      <c r="HL17" s="1">
        <f t="shared" si="39"/>
        <v>559307.24107823276</v>
      </c>
      <c r="HM17" s="38"/>
      <c r="HN17" s="1">
        <f t="shared" si="40"/>
        <v>-127458.62741019863</v>
      </c>
      <c r="HO17" s="1">
        <f t="shared" si="8"/>
        <v>152508.42639090231</v>
      </c>
      <c r="HP17" s="1">
        <f t="shared" si="41"/>
        <v>25049.798980703679</v>
      </c>
      <c r="HQ17" s="1">
        <f>IF(HP17 &lt; 0,
    IF(HQ16 + HP17 &gt; 0,
        HQ16 + HP17, IF(HV16-ABS(HQ16 + HP17)*(1+$V17) &gt;= HQ16 + HP17,
        0, HQ16 + HP17)),
    MIN(HQ16 + HP17, Analysis!$C$7))+IF(HQ16&lt;0, HQ16*Analysis!$C$9,0)</f>
        <v>24000</v>
      </c>
      <c r="HR17" s="38"/>
      <c r="HS17" s="1">
        <f t="shared" si="54"/>
        <v>19715.322631825413</v>
      </c>
      <c r="HT17" s="1">
        <f>IF($B17=Analysis!$C$159,0,IF(HP17 &gt;= 0,
    MAX(0, HQ16 + HP17 - Analysis!$C$7),
    0))</f>
        <v>25049.798980703679</v>
      </c>
      <c r="HU17" s="1">
        <f>IF($B17=Analysis!$C$159,0,MAX(0, HU16 + HT17 - IF(HP17 &lt; 0, MIN(ABS(HP17), HU16 + HT17), 0)))</f>
        <v>249021.39828179986</v>
      </c>
      <c r="HV17" s="1">
        <f>IF($B17=Analysis!$C$159,0,IF(HP17 &lt; 0,
    IF(HP17 + HQ16 &lt; 0,
        MAX(0, HV16 - (ABS(HP17 + HQ16) * (1+$V16))),
        HV16 + HS17),
    HV16 + HT17 + HS17))</f>
        <v>354008.09962490399</v>
      </c>
      <c r="HW17" s="1">
        <f>IF(HV17-HU17&gt;0, HV17-$V17*(HV17-HU17),HV17)</f>
        <v>326317.85714566027</v>
      </c>
      <c r="HX17" s="36"/>
    </row>
    <row r="18" spans="1:232" x14ac:dyDescent="0.35">
      <c r="A18">
        <f t="shared" si="0"/>
        <v>51</v>
      </c>
      <c r="B18">
        <v>2041</v>
      </c>
      <c r="C18" s="1">
        <f>IF($B18&lt;Analysis!C$66,0,$AN18)+$AT18+$AW18+$BC18+$CF18+$CA18</f>
        <v>376014.31892630807</v>
      </c>
      <c r="D18" s="1">
        <f>IF($B18&lt;Analysis!C$66, 0, BV18)+AT18+AW18+BC18+CG18+CA18</f>
        <v>236124.75626494177</v>
      </c>
      <c r="E18" s="1">
        <f t="shared" si="1"/>
        <v>873801.60550020612</v>
      </c>
      <c r="F18" s="1">
        <f t="shared" si="9"/>
        <v>774273.11346141959</v>
      </c>
      <c r="G18" s="1">
        <f>IF(AND($B18&gt;=Analysis!$C$100, $B18&lt;Analysis!$C$101),$CK18,0)+IF($B18&gt;=Analysis!$C$130,EB18,0)+CQ18+CT18+CZ18+EH18+EK18+EQ18+$FO18+$FT18</f>
        <v>824632.27666145563</v>
      </c>
      <c r="H18" s="1">
        <f t="shared" si="10"/>
        <v>707066.33316317364</v>
      </c>
      <c r="I18" s="1">
        <f>IF($B18&lt;Analysis!$C$159,0,$FW18)+$GC18+$GF18+$GL18+$HQ18+$HV18</f>
        <v>824632.27666145563</v>
      </c>
      <c r="J18" s="1">
        <f t="shared" si="2"/>
        <v>707066.33316317364</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IF($B18=$B$2,((1+Analysis!$D$16)/(1+$S18))-1,IF(B18&lt;Analysis!$C$13,U17-((Analysis!$D$16-Analysis!$C$17)/(Analysis!$C$13-$B$2)),((1+Analysis!$C$17)/(1+$S17))-1))</f>
        <v>6.1467787114846122E-2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47374.672727032725</v>
      </c>
      <c r="AI18" s="1">
        <f>IF(AE18 &gt;= 0,
    MAX(0, AF17 + AE18 - Analysis!$C$7),
    0)</f>
        <v>31703.356235138839</v>
      </c>
      <c r="AJ18" s="1">
        <f t="shared" si="44"/>
        <v>472442.3939787405</v>
      </c>
      <c r="AK18" s="1">
        <f t="shared" si="20"/>
        <v>849801.60550020612</v>
      </c>
      <c r="AL18" s="1">
        <f t="shared" si="5"/>
        <v>750273.11346141959</v>
      </c>
      <c r="AM18" s="36"/>
      <c r="AN18" s="1">
        <f t="shared" si="45"/>
        <v>1097173.0404813047</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-24816.758230712258</v>
      </c>
      <c r="AT18" s="1">
        <f>IF($B18&lt;Analysis!$C$66,0,IF($B18=Analysis!$C$66,-AP18-AS18,MIN(0,AT17-AS18)))</f>
        <v>-373337.91120949719</v>
      </c>
      <c r="AU18" s="64">
        <f>IF($B18&lt;Analysis!$C$66,0,IF($B18=Analysis!$C$66,Analysis!$C$72,IF(($B18-Analysis!$C$66)&lt;LOOKUP(Analysis!$C$66,$B:$B,AQ:AQ),AU17,0)))</f>
        <v>3.6999999999999998E-2</v>
      </c>
      <c r="AV18" s="1">
        <f>IF($B18&lt;Analysis!$C$66,0,IF($B18=Analysis!$C$66,-AU18*AP18,AU17*AT17))</f>
        <v>-14731.72276928775</v>
      </c>
      <c r="AW18" s="1">
        <f>IF($B18&lt;Analysis!$C$66,0,IF($B18=Analysis!$C$66,PMT(AU18,AQ18,AP18)*AQ18-AX18-AT18,IF(($B18-Analysis!$C$66+1)&lt;LOOKUP(Analysis!$C$66,$B:$B,AQ:AQ),IF(AW17-AV18&lt;0, AW17-AV18,0),0)))</f>
        <v>-94378.537329787476</v>
      </c>
      <c r="AX18" s="1">
        <f>IF($B18&lt;Analysis!$C$66,0,IF($B18=Analysis!$C$66,AS18+AV18,IF(AT17&lt;0,IF(AT17&gt;LOOKUP(Analysis!$C$66,$B:$B,AX:AX), AT17*(1+AU17),AX17),0)))</f>
        <v>-39548.481000000007</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-3291.5191214439142</v>
      </c>
      <c r="BF18" s="64">
        <f>IF($B18&lt;Analysis!$C$66,0,Analysis!$C$78)</f>
        <v>3.0000000000000001E-3</v>
      </c>
      <c r="BG18" s="1">
        <f>IF($B18&lt;Analysis!$C$66,0,-BH18*AN18)</f>
        <v>-8228.7978036097848</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-139889.56266136636</v>
      </c>
      <c r="BS18" s="64">
        <f>IF($B18&lt;Analysis!C$66,0,Analysis!C$31)</f>
        <v>0.1275</v>
      </c>
      <c r="BT18" s="1">
        <f>IF($B18&lt;Analysis!$C$66,0,AN18+BR18)</f>
        <v>957283.47781993845</v>
      </c>
      <c r="BU18" s="1">
        <f>IF($B18-Analysis!$C$66&gt;3,0,IF($AN18&gt;LOOKUP(Analysis!$C$66,$B:$B, AN:AN),$V18*(LOOKUP(Analysis!$C$66,$B:$B, AN:AN)-AN18),0))</f>
        <v>0</v>
      </c>
      <c r="BV18" s="1">
        <f t="shared" si="23"/>
        <v>957283.47781993845</v>
      </c>
      <c r="BW18" s="42"/>
      <c r="BX18" s="1">
        <f>IF($B18&lt;Analysis!$C$66,$P18+$N18+$X18+$Z18,$P18+$N18+AS18+AV18+BB18+BE18+BG18+MAX(BI18,SUM(BJ18:BN18))+BP18)</f>
        <v>-120928.79792505372</v>
      </c>
      <c r="BY18" s="1">
        <f t="shared" si="24"/>
        <v>126750.63299053574</v>
      </c>
      <c r="BZ18" s="1">
        <f t="shared" si="46"/>
        <v>5821.8350654820242</v>
      </c>
      <c r="CA18" s="1">
        <f>IF(BZ18 &lt; 0,
    IF(CA17 + BZ18 &gt; 0,
        CA17 + BZ18, IF(CF17-ABS(CA17 + BZ18)*(1+$V18) &gt;= CA17 + BZ18,
        0, CA17 + BZ18)),
    MIN(CA17 + BZ18, Analysis!$C$7))+IF(CA17&lt;0, CA17*Analysis!$C$9,0)</f>
        <v>-253442.27301571204</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26"/>
        <v>659893.93014455249</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-13842.625091395514</v>
      </c>
      <c r="CQ18" s="1">
        <f>IF(OR($B18&lt;Analysis!$C$100, $B18&gt;=Analysis!$C$101),0,IF($B18=Analysis!$C$100,-CM18-CP18,MIN(0,CQ17-CP18)))</f>
        <v>-208245.44000602313</v>
      </c>
      <c r="CR18" s="64">
        <f>IF(OR($B18&lt;Analysis!$C$100, $B18&gt;=Analysis!$C$101),0,IF($B18=Analysis!$C$100,Analysis!$C$102,IF(($B18-Analysis!$C$100)&lt;LOOKUP(Analysis!$C$100,$B:$B,CN:CN),CR17,0)))</f>
        <v>3.6999999999999998E-2</v>
      </c>
      <c r="CS18" s="1">
        <f>IF(OR($B18&lt;Analysis!$C$100, $B18&gt;=Analysis!$C$101),0,IF($B18=Analysis!$C$100,-CR18*CM18,CR17*CQ17))</f>
        <v>-8217.2584086044899</v>
      </c>
      <c r="CT18" s="1">
        <f>IF(OR($B18&lt;Analysis!$C$100, $B18&gt;=Analysis!$C$101),0,IF($B18=Analysis!$C$100,PMT(CR18,CN18,CM18)*CN18-CU18-CQ18,IF(($B18-Analysis!$C$100+1)&lt;LOOKUP(Analysis!$C$100,$B:$B,CN:CN),IF(CT17-CS18&lt;0, CT17-CS18,0),0)))</f>
        <v>-52643.729563102919</v>
      </c>
      <c r="CU18" s="1">
        <f>IF(OR($B18&lt;Analysis!$C$100, $B18&gt;=Analysis!$C$101),0,IF($B18=Analysis!$C$100,CP18+CS18,IF(CQ17&lt;0,IF(CQ17&gt;LOOKUP(Analysis!$C$100,$B:$B,CU:CU), CQ17*(1+CR17),CU17),0)))</f>
        <v>-22059.883500000004</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27978.548951405948</v>
      </c>
      <c r="DE18" s="1">
        <f t="shared" si="27"/>
        <v>-1979.6817904336576</v>
      </c>
      <c r="DF18" s="64">
        <f>IF(OR($B18&lt;Analysis!$C$100, $B18&gt;=Analysis!$C$101),0,Analysis!$C$118)</f>
        <v>3.0000000000000001E-3</v>
      </c>
      <c r="DG18" s="1">
        <f t="shared" si="28"/>
        <v>-4949.2044760841436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-1652.9150370729219</v>
      </c>
      <c r="DR18" s="1">
        <f t="shared" si="29"/>
        <v>-20841.801303590724</v>
      </c>
      <c r="DS18" s="1">
        <f>MIN(0,-(DB18+DR18)*Analysis!$C$28)-CS18*Analysis!$C$28</f>
        <v>3110.6473194468767</v>
      </c>
      <c r="DT18" s="1">
        <f>-Analysis!$C$116*DD18/12</f>
        <v>-2331.5457459504955</v>
      </c>
      <c r="DU18" s="53"/>
      <c r="DV18" s="1">
        <f t="shared" si="30"/>
        <v>-84136.47609343045</v>
      </c>
      <c r="DW18" s="64">
        <f>IF(OR($B18&lt;Analysis!$C$100, $B18&gt;=Analysis!$C$101),0,IF($B18=Analysis!$C$100,Analysis!$C$31,DW17))</f>
        <v>0.1275</v>
      </c>
      <c r="DX18" s="1">
        <f>IF(OR($B18&lt;Analysis!$C$100, $B18&gt;=Analysis!$C$101),0,CK18+DV18)</f>
        <v>575757.45405112207</v>
      </c>
      <c r="DY18" s="1">
        <f>IF(OR($B18&lt;Analysis!$C$100, $B18&gt;=Analysis!$C$101),0,IF($B18-Analysis!$C$100&gt;3,0,IF(CK18&gt;LOOKUP(Analysis!$C$100,$B:$B, CK:CK),$V18*(LOOKUP(Analysis!$C$100,$B:$B, CK:CK)-CK18),0)))</f>
        <v>0</v>
      </c>
      <c r="DZ18" s="1">
        <f t="shared" si="49"/>
        <v>575757.45405112207</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-128869.85998549126</v>
      </c>
      <c r="FM18" s="1">
        <f>$M18+$R18+DD18+IF(AND($B18&lt;&gt;Analysis!$C$130,$B18=Analysis!$C$101),DZ17+CQ17+CT17+CZ17,0)</f>
        <v>154729.1819419417</v>
      </c>
      <c r="FN18" s="1">
        <f t="shared" si="34"/>
        <v>25859.32195645044</v>
      </c>
      <c r="FO18" s="1">
        <f>IF(FN18 &lt; 0,
    IF(FO17 + FN18 &gt; 0,
        FO17 + FN18, IF(FT17-ABS(FO17 + FN18)*(1+$V18) &gt;= FO17 + FN18,
        0, FO17 + FN18)),
    MIN(FO17 + FN18, Analysis!$C$7))+IF(FO17&lt;0, FO17*Analysis!$C$9,0)</f>
        <v>24000</v>
      </c>
      <c r="FP18" s="53"/>
      <c r="FQ18" s="1">
        <f t="shared" si="51"/>
        <v>21760.094504674835</v>
      </c>
      <c r="FR18" s="1">
        <f>IF(OR($B18=Analysis!$C$100, $B18=Analysis!$C$130),0,IF(FN18 &gt;= 0,
    MAX(0, FO17 + FN18 - Analysis!$C$7),
    0))</f>
        <v>25859.32195645044</v>
      </c>
      <c r="FS18" s="1">
        <f>IF(OR($B18=Analysis!$C$100, $B18=Analysis!$C$130),0,MAX(0, FS17 + FR18 - IF(FN18 &lt; 0, MIN(ABS(FN18), FS17 + FR18), 0)))</f>
        <v>274880.72023825033</v>
      </c>
      <c r="FT18" s="1">
        <f>IF(OR($B18=Analysis!$C$100, $B18=Analysis!$C$130),0,IF(FN18 &lt; 0,
    IF(FN18 + FO17 &lt; 0,
        MAX(0, FT17 - (ABS(FN18 + FO17) * (1+$V17))),
        FT17 + FQ18),
    FT17 + FR18 + FQ18))</f>
        <v>401627.5160860293</v>
      </c>
      <c r="FU18" s="1">
        <f>IF(FT18-FS18&gt;0, FT18-$V18*(FT18-FS18),FT18)</f>
        <v>368198.04868117761</v>
      </c>
      <c r="FV18" s="36"/>
      <c r="FW18" s="1">
        <f t="shared" si="52"/>
        <v>659893.93014455249</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-13842.625091395514</v>
      </c>
      <c r="GC18" s="1">
        <f>IF($B18&lt;Analysis!$C$159,0,IF($B18=Analysis!$C$159,-FY18-GB18,MIN(0,GC17-GB18)))</f>
        <v>-208245.44000602313</v>
      </c>
      <c r="GD18" s="64">
        <f>IF($B18&lt;Analysis!$C$159,0,IF($B18=Analysis!$C$159,Analysis!$C$160,IF(($B18-Analysis!$C$159)&lt;LOOKUP(Analysis!$C$159,$B:$B,FZ:FZ),GD17,0)))</f>
        <v>3.6999999999999998E-2</v>
      </c>
      <c r="GE18" s="1">
        <f>IF($B18&lt;Analysis!$C$159,0,IF($B18=Analysis!$C$159,-GD18*FY18,GD17*GC17))</f>
        <v>-8217.2584086044899</v>
      </c>
      <c r="GF18" s="1">
        <f>IF($B18&lt;Analysis!$C$159,0,IF($B18=Analysis!$C$159,PMT(GD18,FZ18,FY18)*FZ18-GG18-GC18,IF(($B18-Analysis!$C$159+1)&lt;LOOKUP(Analysis!$C$159,$B:$B,FZ:FZ),IF(GF17-GE18&lt;0, GF17-GE18,0),0)))</f>
        <v>-52643.729563102919</v>
      </c>
      <c r="GG18" s="1">
        <f>IF($B18&lt;Analysis!$C$159,0,IF($B18=Analysis!$C$159,GB18+GE18,IF(GC17&lt;0,IF(GC17&gt;LOOKUP(Analysis!$C$159,$B:$B,GG:GG), GC17*(1+GD17),GG17),0)))</f>
        <v>-22059.883500000004</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27978.548951405948</v>
      </c>
      <c r="GQ18" s="1">
        <f t="shared" si="36"/>
        <v>-1979.6817904336576</v>
      </c>
      <c r="GR18" s="64">
        <f>IF($B18&lt;Analysis!$C$159,0,Analysis!$C$178)</f>
        <v>3.0000000000000001E-3</v>
      </c>
      <c r="GS18" s="1">
        <f t="shared" si="37"/>
        <v>-4949.2044760841436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-1652.9150370729219</v>
      </c>
      <c r="HD18" s="1">
        <f t="shared" si="38"/>
        <v>-20841.801303590724</v>
      </c>
      <c r="HE18" s="1">
        <f>MIN(0,-(GN18+HD18)*Analysis!$C$28)-GE18*Analysis!$C$28</f>
        <v>3110.6473194468767</v>
      </c>
      <c r="HF18" s="1">
        <f>-Analysis!$C$176*GP18/12</f>
        <v>-2331.5457459504955</v>
      </c>
      <c r="HG18" s="38"/>
      <c r="HH18" s="1">
        <f>IF($B18&lt;Analysis!$C$159,0,-$HI18*$FW18)</f>
        <v>-84136.47609343045</v>
      </c>
      <c r="HI18" s="64">
        <f>IF($B18&lt;Analysis!$C$159,0,IF($B18=Analysis!$C$159,Analysis!$C$31,HI17))</f>
        <v>0.1275</v>
      </c>
      <c r="HJ18" s="1">
        <f>IF($B18&lt;Analysis!$C$159,0,$FW18+HH18)</f>
        <v>575757.45405112207</v>
      </c>
      <c r="HK18" s="1">
        <f>IF($B18-Analysis!$C$159&gt;10,0,IF($FW18&gt;LOOKUP(Analysis!$C$159,$B:$B, FW:FW),$V18*(LOOKUP(Analysis!$C$159,$B:$B, FW:FW)-FW18),0))</f>
        <v>0</v>
      </c>
      <c r="HL18" s="1">
        <f t="shared" si="39"/>
        <v>575757.45405112207</v>
      </c>
      <c r="HM18" s="38"/>
      <c r="HN18" s="1">
        <f t="shared" si="40"/>
        <v>-128869.85998549126</v>
      </c>
      <c r="HO18" s="1">
        <f t="shared" si="8"/>
        <v>154729.1819419417</v>
      </c>
      <c r="HP18" s="1">
        <f t="shared" si="41"/>
        <v>25859.32195645044</v>
      </c>
      <c r="HQ18" s="1">
        <f>IF(HP18 &lt; 0,
    IF(HQ17 + HP18 &gt; 0,
        HQ17 + HP18, IF(HV17-ABS(HQ17 + HP18)*(1+$V18) &gt;= HQ17 + HP18,
        0, HQ17 + HP18)),
    MIN(HQ17 + HP18, Analysis!$C$7))+IF(HQ17&lt;0, HQ17*Analysis!$C$9,0)</f>
        <v>24000</v>
      </c>
      <c r="HR18" s="38"/>
      <c r="HS18" s="1">
        <f t="shared" si="54"/>
        <v>21760.094504674835</v>
      </c>
      <c r="HT18" s="1">
        <f>IF($B18=Analysis!$C$159,0,IF(HP18 &gt;= 0,
    MAX(0, HQ17 + HP18 - Analysis!$C$7),
    0))</f>
        <v>25859.32195645044</v>
      </c>
      <c r="HU18" s="1">
        <f>IF($B18=Analysis!$C$159,0,MAX(0, HU17 + HT18 - IF(HP18 &lt; 0, MIN(ABS(HP18), HU17 + HT18), 0)))</f>
        <v>274880.72023825033</v>
      </c>
      <c r="HV18" s="1">
        <f>IF($B18=Analysis!$C$159,0,IF(HP18 &lt; 0,
    IF(HP18 + HQ17 &lt; 0,
        MAX(0, HV17 - (ABS(HP18 + HQ17) * (1+$V17))),
        HV17 + HS18),
    HV17 + HT18 + HS18))</f>
        <v>401627.5160860293</v>
      </c>
      <c r="HW18" s="1">
        <f>IF(HV18-HU18&gt;0, HV18-$V18*(HV18-HU18),HV18)</f>
        <v>368198.04868117761</v>
      </c>
      <c r="HX18" s="36"/>
    </row>
    <row r="19" spans="1:232" x14ac:dyDescent="0.35">
      <c r="A19">
        <f t="shared" si="0"/>
        <v>52</v>
      </c>
      <c r="B19">
        <v>2042</v>
      </c>
      <c r="C19" s="1">
        <f>IF($B19&lt;Analysis!C$66,0,$AN19)+$AT19+$AW19+$BC19+$CF19+$CA19</f>
        <v>434593.53218883643</v>
      </c>
      <c r="D19" s="1">
        <f>IF($B19&lt;Analysis!C$66, 0, BV19)+AT19+AW19+BC19+CG19+CA19</f>
        <v>290589.57062566507</v>
      </c>
      <c r="E19" s="1">
        <f t="shared" si="1"/>
        <v>956610.496565626</v>
      </c>
      <c r="F19" s="1">
        <f t="shared" si="9"/>
        <v>843817.22036811127</v>
      </c>
      <c r="G19" s="1">
        <f>IF(AND($B19&gt;=Analysis!$C$100, $B19&lt;Analysis!$C$101),$CK19,0)+IF($B19&gt;=Analysis!$C$130,EB19,0)+CQ19+CT19+CZ19+EH19+EK19+EQ19+$FO19+$FT19</f>
        <v>916534.62043232087</v>
      </c>
      <c r="H19" s="1">
        <f t="shared" si="10"/>
        <v>790224.96167172608</v>
      </c>
      <c r="I19" s="1">
        <f>IF($B19&lt;Analysis!$C$159,0,$FW19)+$GC19+$GF19+$GL19+$HQ19+$HV19</f>
        <v>916534.62043232087</v>
      </c>
      <c r="J19" s="1">
        <f t="shared" si="2"/>
        <v>790224.96167172608</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IF($B19=$B$2,((1+Analysis!$D$16)/(1+$S19))-1,IF(B19&lt;Analysis!$C$13,U18-((Analysis!$D$16-Analysis!$C$17)/(Analysis!$C$13-$B$2)),((1+Analysis!$C$17)/(1+$S18))-1))</f>
        <v>5.9182072829131835E-2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50293.020507026362</v>
      </c>
      <c r="AI19" s="1">
        <f>IF(AE19 &gt;= 0,
    MAX(0, AF18 + AE19 - Analysis!$C$7),
    0)</f>
        <v>32515.870558393523</v>
      </c>
      <c r="AJ19" s="1">
        <f t="shared" si="44"/>
        <v>504958.26453713403</v>
      </c>
      <c r="AK19" s="1">
        <f t="shared" si="20"/>
        <v>932610.496565626</v>
      </c>
      <c r="AL19" s="1">
        <f t="shared" si="5"/>
        <v>819817.22036811127</v>
      </c>
      <c r="AM19" s="36"/>
      <c r="AN19" s="1">
        <f t="shared" si="45"/>
        <v>1129442.8357895785</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-25734.97828524861</v>
      </c>
      <c r="AT19" s="1">
        <f>IF($B19&lt;Analysis!$C$66,0,IF($B19=Analysis!$C$66,-AP19-AS19,MIN(0,AT18-AS19)))</f>
        <v>-347602.93292424857</v>
      </c>
      <c r="AU19" s="64">
        <f>IF($B19&lt;Analysis!$C$66,0,IF($B19=Analysis!$C$66,Analysis!$C$72,IF(($B19-Analysis!$C$66)&lt;LOOKUP(Analysis!$C$66,$B:$B,AQ:AQ),AU18,0)))</f>
        <v>3.6999999999999998E-2</v>
      </c>
      <c r="AV19" s="1">
        <f>IF($B19&lt;Analysis!$C$66,0,IF($B19=Analysis!$C$66,-AU19*AP19,AU18*AT18))</f>
        <v>-13813.502714751396</v>
      </c>
      <c r="AW19" s="1">
        <f>IF($B19&lt;Analysis!$C$66,0,IF($B19=Analysis!$C$66,PMT(AU19,AQ19,AP19)*AQ19-AX19-AT19,IF(($B19-Analysis!$C$66+1)&lt;LOOKUP(Analysis!$C$66,$B:$B,AQ:AQ),IF(AW18-AV19&lt;0, AW18-AV19,0),0)))</f>
        <v>-80565.034615036086</v>
      </c>
      <c r="AX19" s="1">
        <f>IF($B19&lt;Analysis!$C$66,0,IF($B19=Analysis!$C$66,AS19+AV19,IF(AT18&lt;0,IF(AT18&gt;LOOKUP(Analysis!$C$66,$B:$B,AX:AX), AT18*(1+AU18),AX18),0)))</f>
        <v>-39548.481000000007</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-3388.3285073687357</v>
      </c>
      <c r="BF19" s="64">
        <f>IF($B19&lt;Analysis!$C$66,0,Analysis!$C$78)</f>
        <v>3.0000000000000001E-3</v>
      </c>
      <c r="BG19" s="1">
        <f>IF($B19&lt;Analysis!$C$66,0,-BH19*AN19)</f>
        <v>-8470.8212684218379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-144003.96156317127</v>
      </c>
      <c r="BS19" s="64">
        <f>IF($B19&lt;Analysis!C$66,0,Analysis!C$31)</f>
        <v>0.1275</v>
      </c>
      <c r="BT19" s="1">
        <f>IF($B19&lt;Analysis!$C$66,0,AN19+BR19)</f>
        <v>985438.87422640726</v>
      </c>
      <c r="BU19" s="1">
        <f>IF($B19-Analysis!$C$66&gt;3,0,IF($AN19&gt;LOOKUP(Analysis!$C$66,$B:$B, AN:AN),$V19*(LOOKUP(Analysis!$C$66,$B:$B, AN:AN)-AN19),0))</f>
        <v>0</v>
      </c>
      <c r="BV19" s="1">
        <f t="shared" si="23"/>
        <v>985438.87422640726</v>
      </c>
      <c r="BW19" s="42"/>
      <c r="BX19" s="1">
        <f>IF($B19&lt;Analysis!$C$66,$P19+$N19+$X19+$Z19,$P19+$N19+AS19+AV19+BB19+BE19+BG19+MAX(BI19,SUM(BJ19:BN19))+BP19)</f>
        <v>-121267.63077579057</v>
      </c>
      <c r="BY19" s="1">
        <f t="shared" si="24"/>
        <v>128303.9495713021</v>
      </c>
      <c r="BZ19" s="1">
        <f t="shared" si="46"/>
        <v>7036.3187955115282</v>
      </c>
      <c r="CA19" s="1">
        <f>IF(BZ19 &lt; 0,
    IF(CA18 + BZ19 &gt; 0,
        CA18 + BZ19, IF(CF18-ABS(CA18 + BZ19)*(1+$V19) &gt;= CA18 + BZ19,
        0, CA18 + BZ19)),
    MIN(CA18 + BZ19, Analysis!$C$7))+IF(CA18&lt;0, CA18*Analysis!$C$9,0)</f>
        <v>-266681.33606145746</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-25928.079012908576</v>
      </c>
      <c r="CJ19" s="1">
        <f>IF(OR($B19&lt;Analysis!$C$100, $B19&gt;=Analysis!$C$130),0,Z19)</f>
        <v>-3960</v>
      </c>
      <c r="CK19" s="1">
        <f t="shared" si="26"/>
        <v>679302.57514880411</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-14354.802219777148</v>
      </c>
      <c r="CQ19" s="1">
        <f>IF(OR($B19&lt;Analysis!$C$100, $B19&gt;=Analysis!$C$101),0,IF($B19=Analysis!$C$100,-CM19-CP19,MIN(0,CQ18-CP19)))</f>
        <v>-193890.63778624599</v>
      </c>
      <c r="CR19" s="64">
        <f>IF(OR($B19&lt;Analysis!$C$100, $B19&gt;=Analysis!$C$101),0,IF($B19=Analysis!$C$100,Analysis!$C$102,IF(($B19-Analysis!$C$100)&lt;LOOKUP(Analysis!$C$100,$B:$B,CN:CN),CR18,0)))</f>
        <v>3.6999999999999998E-2</v>
      </c>
      <c r="CS19" s="1">
        <f>IF(OR($B19&lt;Analysis!$C$100, $B19&gt;=Analysis!$C$101),0,IF($B19=Analysis!$C$100,-CR19*CM19,CR18*CQ18))</f>
        <v>-7705.0812802228556</v>
      </c>
      <c r="CT19" s="1">
        <f>IF(OR($B19&lt;Analysis!$C$100, $B19&gt;=Analysis!$C$101),0,IF($B19=Analysis!$C$100,PMT(CR19,CN19,CM19)*CN19-CU19-CQ19,IF(($B19-Analysis!$C$100+1)&lt;LOOKUP(Analysis!$C$100,$B:$B,CN:CN),IF(CT18-CS19&lt;0, CT18-CS19,0),0)))</f>
        <v>-44938.648282880065</v>
      </c>
      <c r="CU19" s="1">
        <f>IF(OR($B19&lt;Analysis!$C$100, $B19&gt;=Analysis!$C$101),0,IF($B19=Analysis!$C$100,CP19+CS19,IF(CQ18&lt;0,IF(CQ18&gt;LOOKUP(Analysis!$C$100,$B:$B,CU:CU), CQ18*(1+CR18),CU18),0)))</f>
        <v>-22059.883500000004</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28684.976861741423</v>
      </c>
      <c r="DE19" s="1">
        <f t="shared" si="27"/>
        <v>-2037.9077254464123</v>
      </c>
      <c r="DF19" s="64">
        <f>IF(OR($B19&lt;Analysis!$C$100, $B19&gt;=Analysis!$C$101),0,Analysis!$C$118)</f>
        <v>3.0000000000000001E-3</v>
      </c>
      <c r="DG19" s="1">
        <f t="shared" si="28"/>
        <v>-5094.7693136160306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-1701.5301852221257</v>
      </c>
      <c r="DR19" s="1">
        <f t="shared" si="29"/>
        <v>-21094.207224284572</v>
      </c>
      <c r="DS19" s="1">
        <f>MIN(0,-(DB19+DR19)*Analysis!$C$28)-CS19*Analysis!$C$28</f>
        <v>2708.3244020549218</v>
      </c>
      <c r="DT19" s="1">
        <f>-Analysis!$C$116*DD19/12</f>
        <v>-2390.4147384784519</v>
      </c>
      <c r="DU19" s="53"/>
      <c r="DV19" s="1">
        <f t="shared" si="30"/>
        <v>-86611.078331472527</v>
      </c>
      <c r="DW19" s="64">
        <f>IF(OR($B19&lt;Analysis!$C$100, $B19&gt;=Analysis!$C$101),0,IF($B19=Analysis!$C$100,Analysis!$C$31,DW18))</f>
        <v>0.1275</v>
      </c>
      <c r="DX19" s="1">
        <f>IF(OR($B19&lt;Analysis!$C$100, $B19&gt;=Analysis!$C$101),0,CK19+DV19)</f>
        <v>592691.49681733153</v>
      </c>
      <c r="DY19" s="1">
        <f>IF(OR($B19&lt;Analysis!$C$100, $B19&gt;=Analysis!$C$101),0,IF($B19-Analysis!$C$100&gt;3,0,IF(CK19&gt;LOOKUP(Analysis!$C$100,$B:$B, CK:CK),$V19*(LOOKUP(Analysis!$C$100,$B:$B, CK:CK)-CK19),0)))</f>
        <v>0</v>
      </c>
      <c r="DZ19" s="1">
        <f t="shared" si="49"/>
        <v>592691.49681733153</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-130324.26007361669</v>
      </c>
      <c r="FM19" s="1">
        <f>$M19+$R19+DD19+IF(AND($B19&lt;&gt;Analysis!$C$130,$B19=Analysis!$C$101),DZ18+CQ18+CT18+CZ18,0)</f>
        <v>156988.92643304353</v>
      </c>
      <c r="FN19" s="1">
        <f t="shared" si="34"/>
        <v>26664.666359426832</v>
      </c>
      <c r="FO19" s="1">
        <f>IF(FN19 &lt; 0,
    IF(FO18 + FN19 &gt; 0,
        FO18 + FN19, IF(FT18-ABS(FO18 + FN19)*(1+$V19) &gt;= FO18 + FN19,
        0, FO18 + FN19)),
    MIN(FO18 + FN19, Analysis!$C$7))+IF(FO18&lt;0, FO18*Analysis!$C$9,0)</f>
        <v>24000</v>
      </c>
      <c r="FP19" s="53"/>
      <c r="FQ19" s="1">
        <f t="shared" si="51"/>
        <v>23769.148907186704</v>
      </c>
      <c r="FR19" s="1">
        <f>IF(OR($B19=Analysis!$C$100, $B19=Analysis!$C$130),0,IF(FN19 &gt;= 0,
    MAX(0, FO18 + FN19 - Analysis!$C$7),
    0))</f>
        <v>26664.666359426832</v>
      </c>
      <c r="FS19" s="1">
        <f>IF(OR($B19=Analysis!$C$100, $B19=Analysis!$C$130),0,MAX(0, FS18 + FR19 - IF(FN19 &lt; 0, MIN(ABS(FN19), FS18 + FR19), 0)))</f>
        <v>301545.38659767713</v>
      </c>
      <c r="FT19" s="1">
        <f>IF(OR($B19=Analysis!$C$100, $B19=Analysis!$C$130),0,IF(FN19 &lt; 0,
    IF(FN19 + FO18 &lt; 0,
        MAX(0, FT18 - (ABS(FN19 + FO18) * (1+$V18))),
        FT18 + FQ19),
    FT18 + FR19 + FQ19))</f>
        <v>452061.33135264285</v>
      </c>
      <c r="FU19" s="1">
        <f t="shared" ref="FU19:FU52" si="57">IF(FT19-FS19&gt;0, FT19-$V19*(FT19-FS19),FT19)</f>
        <v>412362.75092352065</v>
      </c>
      <c r="FV19" s="36"/>
      <c r="FW19" s="1">
        <f t="shared" si="52"/>
        <v>679302.57514880411</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-14354.802219777148</v>
      </c>
      <c r="GC19" s="1">
        <f>IF($B19&lt;Analysis!$C$159,0,IF($B19=Analysis!$C$159,-FY19-GB19,MIN(0,GC18-GB19)))</f>
        <v>-193890.63778624599</v>
      </c>
      <c r="GD19" s="64">
        <f>IF($B19&lt;Analysis!$C$159,0,IF($B19=Analysis!$C$159,Analysis!$C$160,IF(($B19-Analysis!$C$159)&lt;LOOKUP(Analysis!$C$159,$B:$B,FZ:FZ),GD18,0)))</f>
        <v>3.6999999999999998E-2</v>
      </c>
      <c r="GE19" s="1">
        <f>IF($B19&lt;Analysis!$C$159,0,IF($B19=Analysis!$C$159,-GD19*FY19,GD18*GC18))</f>
        <v>-7705.0812802228556</v>
      </c>
      <c r="GF19" s="1">
        <f>IF($B19&lt;Analysis!$C$159,0,IF($B19=Analysis!$C$159,PMT(GD19,FZ19,FY19)*FZ19-GG19-GC19,IF(($B19-Analysis!$C$159+1)&lt;LOOKUP(Analysis!$C$159,$B:$B,FZ:FZ),IF(GF18-GE19&lt;0, GF18-GE19,0),0)))</f>
        <v>-44938.648282880065</v>
      </c>
      <c r="GG19" s="1">
        <f>IF($B19&lt;Analysis!$C$159,0,IF($B19=Analysis!$C$159,GB19+GE19,IF(GC18&lt;0,IF(GC18&gt;LOOKUP(Analysis!$C$159,$B:$B,GG:GG), GC18*(1+GD18),GG18),0)))</f>
        <v>-22059.883500000004</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28684.976861741423</v>
      </c>
      <c r="GQ19" s="1">
        <f t="shared" si="36"/>
        <v>-2037.9077254464123</v>
      </c>
      <c r="GR19" s="64">
        <f>IF($B19&lt;Analysis!$C$159,0,Analysis!$C$178)</f>
        <v>3.0000000000000001E-3</v>
      </c>
      <c r="GS19" s="1">
        <f t="shared" si="37"/>
        <v>-5094.7693136160306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-1701.5301852221257</v>
      </c>
      <c r="HD19" s="1">
        <f t="shared" si="38"/>
        <v>-21094.207224284572</v>
      </c>
      <c r="HE19" s="1">
        <f>MIN(0,-(GN19+HD19)*Analysis!$C$28)-GE19*Analysis!$C$28</f>
        <v>2708.3244020549218</v>
      </c>
      <c r="HF19" s="1">
        <f>-Analysis!$C$176*GP19/12</f>
        <v>-2390.4147384784519</v>
      </c>
      <c r="HG19" s="38"/>
      <c r="HH19" s="1">
        <f>IF($B19&lt;Analysis!$C$159,0,-$HI19*$FW19)</f>
        <v>-86611.078331472527</v>
      </c>
      <c r="HI19" s="64">
        <f>IF($B19&lt;Analysis!$C$159,0,IF($B19=Analysis!$C$159,Analysis!$C$31,HI18))</f>
        <v>0.1275</v>
      </c>
      <c r="HJ19" s="1">
        <f>IF($B19&lt;Analysis!$C$159,0,$FW19+HH19)</f>
        <v>592691.49681733153</v>
      </c>
      <c r="HK19" s="1">
        <f>IF($B19-Analysis!$C$159&gt;10,0,IF($FW19&gt;LOOKUP(Analysis!$C$159,$B:$B, FW:FW),$V19*(LOOKUP(Analysis!$C$159,$B:$B, FW:FW)-FW19),0))</f>
        <v>0</v>
      </c>
      <c r="HL19" s="1">
        <f t="shared" si="39"/>
        <v>592691.49681733153</v>
      </c>
      <c r="HM19" s="38"/>
      <c r="HN19" s="1">
        <f t="shared" si="40"/>
        <v>-130324.26007361669</v>
      </c>
      <c r="HO19" s="1">
        <f t="shared" si="8"/>
        <v>156988.92643304353</v>
      </c>
      <c r="HP19" s="1">
        <f t="shared" si="41"/>
        <v>26664.666359426832</v>
      </c>
      <c r="HQ19" s="1">
        <f>IF(HP19 &lt; 0,
    IF(HQ18 + HP19 &gt; 0,
        HQ18 + HP19, IF(HV18-ABS(HQ18 + HP19)*(1+$V19) &gt;= HQ18 + HP19,
        0, HQ18 + HP19)),
    MIN(HQ18 + HP19, Analysis!$C$7))+IF(HQ18&lt;0, HQ18*Analysis!$C$9,0)</f>
        <v>24000</v>
      </c>
      <c r="HR19" s="38"/>
      <c r="HS19" s="1">
        <f t="shared" si="54"/>
        <v>23769.148907186704</v>
      </c>
      <c r="HT19" s="1">
        <f>IF($B19=Analysis!$C$159,0,IF(HP19 &gt;= 0,
    MAX(0, HQ18 + HP19 - Analysis!$C$7),
    0))</f>
        <v>26664.666359426832</v>
      </c>
      <c r="HU19" s="1">
        <f>IF($B19=Analysis!$C$159,0,MAX(0, HU18 + HT19 - IF(HP19 &lt; 0, MIN(ABS(HP19), HU18 + HT19), 0)))</f>
        <v>301545.38659767713</v>
      </c>
      <c r="HV19" s="1">
        <f>IF($B19=Analysis!$C$159,0,IF(HP19 &lt; 0,
    IF(HP19 + HQ18 &lt; 0,
        MAX(0, HV18 - (ABS(HP19 + HQ18) * (1+$V18))),
        HV18 + HS19),
    HV18 + HT19 + HS19))</f>
        <v>452061.33135264285</v>
      </c>
      <c r="HW19" s="1">
        <f t="shared" ref="HW19:HW52" si="58">IF(HV19-HU19&gt;0, HV19-$V19*(HV19-HU19),HV19)</f>
        <v>412362.75092352065</v>
      </c>
      <c r="HX19" s="36"/>
    </row>
    <row r="20" spans="1:232" x14ac:dyDescent="0.35">
      <c r="A20">
        <f t="shared" si="0"/>
        <v>53</v>
      </c>
      <c r="B20">
        <v>2043</v>
      </c>
      <c r="C20" s="1">
        <f>IF($B20&lt;Analysis!C$66,0,$AN20)+$AT20+$AW20+$BC20+$CF20+$CA20</f>
        <v>494286.28583477938</v>
      </c>
      <c r="D20" s="1">
        <f>IF($B20&lt;Analysis!C$66, 0, BV20)+AT20+AW20+BC20+CG20+CA20</f>
        <v>346046.91363739723</v>
      </c>
      <c r="E20" s="1">
        <f t="shared" si="1"/>
        <v>1042998.2700819466</v>
      </c>
      <c r="F20" s="1">
        <f t="shared" si="9"/>
        <v>916209.85414452688</v>
      </c>
      <c r="G20" s="1">
        <f>IF(AND($B20&gt;=Analysis!$C$100, $B20&lt;Analysis!$C$101),$CK20,0)+IF($B20&gt;=Analysis!$C$130,EB20,0)+CQ20+CT20+CZ20+EH20+EK20+EQ20+$FO20+$FT20</f>
        <v>1011759.9602348059</v>
      </c>
      <c r="H20" s="1">
        <f t="shared" si="10"/>
        <v>876119.09706994612</v>
      </c>
      <c r="I20" s="1">
        <f>IF($B20&lt;Analysis!$C$159,0,$FW20)+$GC20+$GF20+$GL20+$HQ20+$HV20</f>
        <v>1011759.9602348059</v>
      </c>
      <c r="J20" s="1">
        <f t="shared" si="2"/>
        <v>876119.09706994612</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IF($B20=$B$2,((1+Analysis!$D$16)/(1+$S20))-1,IF(B20&lt;Analysis!$C$13,U19-((Analysis!$D$16-Analysis!$C$17)/(Analysis!$C$13-$B$2)),((1+Analysis!$C$17)/(1+$S19))-1))</f>
        <v>5.6896358543417548E-2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53062.141193952535</v>
      </c>
      <c r="AI20" s="1">
        <f>IF(AE20 &gt;= 0,
    MAX(0, AF19 + AE20 - Analysis!$C$7),
    0)</f>
        <v>33325.632322368052</v>
      </c>
      <c r="AJ20" s="1">
        <f t="shared" si="44"/>
        <v>538283.89685950207</v>
      </c>
      <c r="AK20" s="1">
        <f t="shared" si="20"/>
        <v>1018998.2700819466</v>
      </c>
      <c r="AL20" s="1">
        <f t="shared" si="5"/>
        <v>892209.85414452688</v>
      </c>
      <c r="AM20" s="36"/>
      <c r="AN20" s="1">
        <f t="shared" si="45"/>
        <v>1162661.7427245663</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-26687.172481802809</v>
      </c>
      <c r="AT20" s="1">
        <f>IF($B20&lt;Analysis!$C$66,0,IF($B20=Analysis!$C$66,-AP20-AS20,MIN(0,AT19-AS20)))</f>
        <v>-320915.76044244575</v>
      </c>
      <c r="AU20" s="64">
        <f>IF($B20&lt;Analysis!$C$66,0,IF($B20=Analysis!$C$66,Analysis!$C$72,IF(($B20-Analysis!$C$66)&lt;LOOKUP(Analysis!$C$66,$B:$B,AQ:AQ),AU19,0)))</f>
        <v>3.6999999999999998E-2</v>
      </c>
      <c r="AV20" s="1">
        <f>IF($B20&lt;Analysis!$C$66,0,IF($B20=Analysis!$C$66,-AU20*AP20,AU19*AT19))</f>
        <v>-12861.308518197196</v>
      </c>
      <c r="AW20" s="1">
        <f>IF($B20&lt;Analysis!$C$66,0,IF($B20=Analysis!$C$66,PMT(AU20,AQ20,AP20)*AQ20-AX20-AT20,IF(($B20-Analysis!$C$66+1)&lt;LOOKUP(Analysis!$C$66,$B:$B,AQ:AQ),IF(AW19-AV20&lt;0, AW19-AV20,0),0)))</f>
        <v>-67703.726096838887</v>
      </c>
      <c r="AX20" s="1">
        <f>IF($B20&lt;Analysis!$C$66,0,IF($B20=Analysis!$C$66,AS20+AV20,IF(AT19&lt;0,IF(AT19&gt;LOOKUP(Analysis!$C$66,$B:$B,AX:AX), AT19*(1+AU19),AX19),0)))</f>
        <v>-39548.481000000007</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-3487.9852281736989</v>
      </c>
      <c r="BF20" s="64">
        <f>IF($B20&lt;Analysis!$C$66,0,Analysis!$C$78)</f>
        <v>3.0000000000000001E-3</v>
      </c>
      <c r="BG20" s="1">
        <f>IF($B20&lt;Analysis!$C$66,0,-BH20*AN20)</f>
        <v>-8719.9630704342471</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-148239.37219738221</v>
      </c>
      <c r="BS20" s="64">
        <f>IF($B20&lt;Analysis!C$66,0,Analysis!C$31)</f>
        <v>0.1275</v>
      </c>
      <c r="BT20" s="1">
        <f>IF($B20&lt;Analysis!$C$66,0,AN20+BR20)</f>
        <v>1014422.3705271841</v>
      </c>
      <c r="BU20" s="1">
        <f>IF($B20-Analysis!$C$66&gt;3,0,IF($AN20&gt;LOOKUP(Analysis!$C$66,$B:$B, AN:AN),$V20*(LOOKUP(Analysis!$C$66,$B:$B, AN:AN)-AN20),0))</f>
        <v>0</v>
      </c>
      <c r="BV20" s="1">
        <f t="shared" si="23"/>
        <v>1014422.3705271841</v>
      </c>
      <c r="BW20" s="42"/>
      <c r="BX20" s="1">
        <f>IF($B20&lt;Analysis!$C$66,$P20+$N20+$X20+$Z20,$P20+$N20+AS20+AV20+BB20+BE20+BG20+MAX(BI20,SUM(BJ20:BN20))+BP20)</f>
        <v>-121616.42929860795</v>
      </c>
      <c r="BY20" s="1">
        <f t="shared" si="24"/>
        <v>129876.30189447982</v>
      </c>
      <c r="BZ20" s="1">
        <f t="shared" si="46"/>
        <v>8259.8725958718715</v>
      </c>
      <c r="CA20" s="1">
        <f>IF(BZ20 &lt; 0,
    IF(CA19 + BZ20 &gt; 0,
        CA19 + BZ20, IF(CF19-ABS(CA19 + BZ20)*(1+$V20) &gt;= CA19 + BZ20,
        0, CA19 + BZ20)),
    MIN(CA19 + BZ20, Analysis!$C$7))+IF(CA19&lt;0, CA19*Analysis!$C$9,0)</f>
        <v>-279755.97035050218</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-26690.669572111772</v>
      </c>
      <c r="CJ20" s="1">
        <f>IF(OR($B20&lt;Analysis!$C$100, $B20&gt;=Analysis!$C$130),0,Z20)</f>
        <v>-3960</v>
      </c>
      <c r="CK20" s="1">
        <f t="shared" si="26"/>
        <v>699282.06265318079</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-14885.929901908901</v>
      </c>
      <c r="CQ20" s="1">
        <f>IF(OR($B20&lt;Analysis!$C$100, $B20&gt;=Analysis!$C$101),0,IF($B20=Analysis!$C$100,-CM20-CP20,MIN(0,CQ19-CP20)))</f>
        <v>-179004.70788433708</v>
      </c>
      <c r="CR20" s="64">
        <f>IF(OR($B20&lt;Analysis!$C$100, $B20&gt;=Analysis!$C$101),0,IF($B20=Analysis!$C$100,Analysis!$C$102,IF(($B20-Analysis!$C$100)&lt;LOOKUP(Analysis!$C$100,$B:$B,CN:CN),CR19,0)))</f>
        <v>3.6999999999999998E-2</v>
      </c>
      <c r="CS20" s="1">
        <f>IF(OR($B20&lt;Analysis!$C$100, $B20&gt;=Analysis!$C$101),0,IF($B20=Analysis!$C$100,-CR20*CM20,CR19*CQ19))</f>
        <v>-7173.9535980911014</v>
      </c>
      <c r="CT20" s="1">
        <f>IF(OR($B20&lt;Analysis!$C$100, $B20&gt;=Analysis!$C$101),0,IF($B20=Analysis!$C$100,PMT(CR20,CN20,CM20)*CN20-CU20-CQ20,IF(($B20-Analysis!$C$100+1)&lt;LOOKUP(Analysis!$C$100,$B:$B,CN:CN),IF(CT19-CS20&lt;0, CT19-CS20,0),0)))</f>
        <v>-37764.694684788963</v>
      </c>
      <c r="CU20" s="1">
        <f>IF(OR($B20&lt;Analysis!$C$100, $B20&gt;=Analysis!$C$101),0,IF($B20=Analysis!$C$100,CP20+CS20,IF(CQ19&lt;0,IF(CQ19&gt;LOOKUP(Analysis!$C$100,$B:$B,CU:CU), CQ19*(1+CR19),CU19),0)))</f>
        <v>-22059.883500000004</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29412.182063557349</v>
      </c>
      <c r="DE20" s="1">
        <f t="shared" si="27"/>
        <v>-2097.8461879595425</v>
      </c>
      <c r="DF20" s="64">
        <f>IF(OR($B20&lt;Analysis!$C$100, $B20&gt;=Analysis!$C$101),0,Analysis!$C$118)</f>
        <v>3.0000000000000001E-3</v>
      </c>
      <c r="DG20" s="1">
        <f t="shared" si="28"/>
        <v>-5244.6154698988557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-1751.5751906698356</v>
      </c>
      <c r="DR20" s="1">
        <f t="shared" si="29"/>
        <v>-21354.036848528234</v>
      </c>
      <c r="DS20" s="1">
        <f>MIN(0,-(DB20+DR20)*Analysis!$C$28)-CS20*Analysis!$C$28</f>
        <v>2292.446340419639</v>
      </c>
      <c r="DT20" s="1">
        <f>-Analysis!$C$116*DD20/12</f>
        <v>-2451.0151719631126</v>
      </c>
      <c r="DU20" s="53"/>
      <c r="DV20" s="1">
        <f t="shared" si="30"/>
        <v>-89158.462988280546</v>
      </c>
      <c r="DW20" s="64">
        <f>IF(OR($B20&lt;Analysis!$C$100, $B20&gt;=Analysis!$C$101),0,IF($B20=Analysis!$C$100,Analysis!$C$31,DW19))</f>
        <v>0.1275</v>
      </c>
      <c r="DX20" s="1">
        <f>IF(OR($B20&lt;Analysis!$C$100, $B20&gt;=Analysis!$C$101),0,CK20+DV20)</f>
        <v>610123.59966490022</v>
      </c>
      <c r="DY20" s="1">
        <f>IF(OR($B20&lt;Analysis!$C$100, $B20&gt;=Analysis!$C$101),0,IF($B20-Analysis!$C$100&gt;3,0,IF(CK20&gt;LOOKUP(Analysis!$C$100,$B:$B, CK:CK),$V20*(LOOKUP(Analysis!$C$100,$B:$B, CK:CK)-CK20),0)))</f>
        <v>0</v>
      </c>
      <c r="DZ20" s="1">
        <f t="shared" si="49"/>
        <v>610123.59966490022</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-131823.15875218349</v>
      </c>
      <c r="FM20" s="1">
        <f>$M20+$R20+DD20+IF(AND($B20&lt;&gt;Analysis!$C$130,$B20=Analysis!$C$101),DZ19+CQ19+CT19+CZ19,0)</f>
        <v>159288.48395803716</v>
      </c>
      <c r="FN20" s="1">
        <f t="shared" si="34"/>
        <v>27465.325205853675</v>
      </c>
      <c r="FO20" s="1">
        <f>IF(FN20 &lt; 0,
    IF(FO19 + FN20 &gt; 0,
        FO19 + FN20, IF(FT19-ABS(FO19 + FN20)*(1+$V20) &gt;= FO19 + FN20,
        0, FO19 + FN20)),
    MIN(FO19 + FN20, Analysis!$C$7))+IF(FO19&lt;0, FO19*Analysis!$C$9,0)</f>
        <v>24000</v>
      </c>
      <c r="FP20" s="53"/>
      <c r="FQ20" s="1">
        <f t="shared" si="51"/>
        <v>25720.643592254652</v>
      </c>
      <c r="FR20" s="1">
        <f>IF(OR($B20=Analysis!$C$100, $B20=Analysis!$C$130),0,IF(FN20 &gt;= 0,
    MAX(0, FO19 + FN20 - Analysis!$C$7),
    0))</f>
        <v>27465.325205853675</v>
      </c>
      <c r="FS20" s="1">
        <f>IF(OR($B20=Analysis!$C$100, $B20=Analysis!$C$130),0,MAX(0, FS19 + FR20 - IF(FN20 &lt; 0, MIN(ABS(FN20), FS19 + FR20), 0)))</f>
        <v>329010.71180353081</v>
      </c>
      <c r="FT20" s="1">
        <f>IF(OR($B20=Analysis!$C$100, $B20=Analysis!$C$130),0,IF(FN20 &lt; 0,
    IF(FN20 + FO19 &lt; 0,
        MAX(0, FT19 - (ABS(FN20 + FO19) * (1+$V19))),
        FT19 + FQ20),
    FT19 + FR20 + FQ20))</f>
        <v>505247.30015075119</v>
      </c>
      <c r="FU20" s="1">
        <f t="shared" si="57"/>
        <v>458764.89997417183</v>
      </c>
      <c r="FV20" s="36"/>
      <c r="FW20" s="1">
        <f t="shared" si="52"/>
        <v>699282.06265318079</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-14885.929901908901</v>
      </c>
      <c r="GC20" s="1">
        <f>IF($B20&lt;Analysis!$C$159,0,IF($B20=Analysis!$C$159,-FY20-GB20,MIN(0,GC19-GB20)))</f>
        <v>-179004.70788433708</v>
      </c>
      <c r="GD20" s="64">
        <f>IF($B20&lt;Analysis!$C$159,0,IF($B20=Analysis!$C$159,Analysis!$C$160,IF(($B20-Analysis!$C$159)&lt;LOOKUP(Analysis!$C$159,$B:$B,FZ:FZ),GD19,0)))</f>
        <v>3.6999999999999998E-2</v>
      </c>
      <c r="GE20" s="1">
        <f>IF($B20&lt;Analysis!$C$159,0,IF($B20=Analysis!$C$159,-GD20*FY20,GD19*GC19))</f>
        <v>-7173.9535980911014</v>
      </c>
      <c r="GF20" s="1">
        <f>IF($B20&lt;Analysis!$C$159,0,IF($B20=Analysis!$C$159,PMT(GD20,FZ20,FY20)*FZ20-GG20-GC20,IF(($B20-Analysis!$C$159+1)&lt;LOOKUP(Analysis!$C$159,$B:$B,FZ:FZ),IF(GF19-GE20&lt;0, GF19-GE20,0),0)))</f>
        <v>-37764.694684788963</v>
      </c>
      <c r="GG20" s="1">
        <f>IF($B20&lt;Analysis!$C$159,0,IF($B20=Analysis!$C$159,GB20+GE20,IF(GC19&lt;0,IF(GC19&gt;LOOKUP(Analysis!$C$159,$B:$B,GG:GG), GC19*(1+GD19),GG19),0)))</f>
        <v>-22059.883500000004</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29412.182063557349</v>
      </c>
      <c r="GQ20" s="1">
        <f t="shared" si="36"/>
        <v>-2097.8461879595425</v>
      </c>
      <c r="GR20" s="64">
        <f>IF($B20&lt;Analysis!$C$159,0,Analysis!$C$178)</f>
        <v>3.0000000000000001E-3</v>
      </c>
      <c r="GS20" s="1">
        <f t="shared" si="37"/>
        <v>-5244.6154698988557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-1751.5751906698356</v>
      </c>
      <c r="HD20" s="1">
        <f t="shared" si="38"/>
        <v>-21354.036848528234</v>
      </c>
      <c r="HE20" s="1">
        <f>MIN(0,-(GN20+HD20)*Analysis!$C$28)-GE20*Analysis!$C$28</f>
        <v>2292.446340419639</v>
      </c>
      <c r="HF20" s="1">
        <f>-Analysis!$C$176*GP20/12</f>
        <v>-2451.0151719631126</v>
      </c>
      <c r="HG20" s="38"/>
      <c r="HH20" s="1">
        <f>IF($B20&lt;Analysis!$C$159,0,-$HI20*$FW20)</f>
        <v>-89158.462988280546</v>
      </c>
      <c r="HI20" s="64">
        <f>IF($B20&lt;Analysis!$C$159,0,IF($B20=Analysis!$C$159,Analysis!$C$31,HI19))</f>
        <v>0.1275</v>
      </c>
      <c r="HJ20" s="1">
        <f>IF($B20&lt;Analysis!$C$159,0,$FW20+HH20)</f>
        <v>610123.59966490022</v>
      </c>
      <c r="HK20" s="1">
        <f>IF($B20-Analysis!$C$159&gt;10,0,IF($FW20&gt;LOOKUP(Analysis!$C$159,$B:$B, FW:FW),$V20*(LOOKUP(Analysis!$C$159,$B:$B, FW:FW)-FW20),0))</f>
        <v>0</v>
      </c>
      <c r="HL20" s="1">
        <f t="shared" si="39"/>
        <v>610123.59966490022</v>
      </c>
      <c r="HM20" s="38"/>
      <c r="HN20" s="1">
        <f t="shared" si="40"/>
        <v>-131823.15875218349</v>
      </c>
      <c r="HO20" s="1">
        <f t="shared" si="8"/>
        <v>159288.48395803716</v>
      </c>
      <c r="HP20" s="1">
        <f t="shared" si="41"/>
        <v>27465.325205853675</v>
      </c>
      <c r="HQ20" s="1">
        <f>IF(HP20 &lt; 0,
    IF(HQ19 + HP20 &gt; 0,
        HQ19 + HP20, IF(HV19-ABS(HQ19 + HP20)*(1+$V20) &gt;= HQ19 + HP20,
        0, HQ19 + HP20)),
    MIN(HQ19 + HP20, Analysis!$C$7))+IF(HQ19&lt;0, HQ19*Analysis!$C$9,0)</f>
        <v>24000</v>
      </c>
      <c r="HR20" s="38"/>
      <c r="HS20" s="1">
        <f t="shared" si="54"/>
        <v>25720.643592254652</v>
      </c>
      <c r="HT20" s="1">
        <f>IF($B20=Analysis!$C$159,0,IF(HP20 &gt;= 0,
    MAX(0, HQ19 + HP20 - Analysis!$C$7),
    0))</f>
        <v>27465.325205853675</v>
      </c>
      <c r="HU20" s="1">
        <f>IF($B20=Analysis!$C$159,0,MAX(0, HU19 + HT20 - IF(HP20 &lt; 0, MIN(ABS(HP20), HU19 + HT20), 0)))</f>
        <v>329010.71180353081</v>
      </c>
      <c r="HV20" s="1">
        <f>IF($B20=Analysis!$C$159,0,IF(HP20 &lt; 0,
    IF(HP20 + HQ19 &lt; 0,
        MAX(0, HV19 - (ABS(HP20 + HQ19) * (1+$V19))),
        HV19 + HS20),
    HV19 + HT20 + HS20))</f>
        <v>505247.30015075119</v>
      </c>
      <c r="HW20" s="1">
        <f t="shared" si="58"/>
        <v>458764.89997417183</v>
      </c>
      <c r="HX20" s="36"/>
    </row>
    <row r="21" spans="1:232" x14ac:dyDescent="0.35">
      <c r="A21">
        <f t="shared" si="0"/>
        <v>54</v>
      </c>
      <c r="B21">
        <v>2044</v>
      </c>
      <c r="C21" s="1">
        <f>IF($B21&lt;Analysis!C$66,0,$AN21)+$AT21+$AW21+$BC21+$CF21+$CA21</f>
        <v>550892.65945600299</v>
      </c>
      <c r="D21" s="1">
        <f>IF($B21&lt;Analysis!C$66, 0, BV21)+AT21+AW21+BC21+CG21+CA21</f>
        <v>398293.30572340387</v>
      </c>
      <c r="E21" s="1">
        <f t="shared" si="1"/>
        <v>1128528.6560844237</v>
      </c>
      <c r="F21" s="1">
        <f t="shared" si="9"/>
        <v>987063.04004997225</v>
      </c>
      <c r="G21" s="1">
        <f>IF(AND($B21&gt;=Analysis!$C$100, $B21&lt;Analysis!$C$101),$CK21,0)+IF($B21&gt;=Analysis!$C$130,EB21,0)+CQ21+CT21+CZ21+EH21+EK21+EQ21+$FO21+$FT21</f>
        <v>1105989.614168589</v>
      </c>
      <c r="H21" s="1">
        <f t="shared" si="10"/>
        <v>960449.08476825804</v>
      </c>
      <c r="I21" s="1">
        <f>IF($B21&lt;Analysis!$C$159,0,$FW21)+$GC21+$GF21+$GL21+$HQ21+$HV21</f>
        <v>1105989.614168589</v>
      </c>
      <c r="J21" s="1">
        <f t="shared" si="2"/>
        <v>960449.08476825804</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IF($B21=$B$2,((1+Analysis!$D$16)/(1+$S21))-1,IF(B21&lt;Analysis!$C$13,U20-((Analysis!$D$16-Analysis!$C$17)/(Analysis!$C$13-$B$2)),((1+Analysis!$C$17)/(1+$S20))-1))</f>
        <v>5.4610644257703261E-2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55648.152026660217</v>
      </c>
      <c r="AI21" s="1">
        <f>IF(AE21 &gt;= 0,
    MAX(0, AF20 + AE21 - Analysis!$C$7),
    0)</f>
        <v>29882.233975816707</v>
      </c>
      <c r="AJ21" s="1">
        <f t="shared" si="44"/>
        <v>568166.13083531882</v>
      </c>
      <c r="AK21" s="1">
        <f t="shared" si="20"/>
        <v>1104528.6560844237</v>
      </c>
      <c r="AL21" s="1">
        <f t="shared" si="5"/>
        <v>963063.04004997225</v>
      </c>
      <c r="AM21" s="36"/>
      <c r="AN21" s="1">
        <f t="shared" si="45"/>
        <v>1196857.6763341124</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-27674.597863629515</v>
      </c>
      <c r="AT21" s="1">
        <f>IF($B21&lt;Analysis!$C$66,0,IF($B21=Analysis!$C$66,-AP21-AS21,MIN(0,AT20-AS21)))</f>
        <v>-293241.16257881623</v>
      </c>
      <c r="AU21" s="64">
        <f>IF($B21&lt;Analysis!$C$66,0,IF($B21=Analysis!$C$66,Analysis!$C$72,IF(($B21-Analysis!$C$66)&lt;LOOKUP(Analysis!$C$66,$B:$B,AQ:AQ),AU20,0)))</f>
        <v>3.6999999999999998E-2</v>
      </c>
      <c r="AV21" s="1">
        <f>IF($B21&lt;Analysis!$C$66,0,IF($B21=Analysis!$C$66,-AU21*AP21,AU20*AT20))</f>
        <v>-11873.883136370492</v>
      </c>
      <c r="AW21" s="1">
        <f>IF($B21&lt;Analysis!$C$66,0,IF($B21=Analysis!$C$66,PMT(AU21,AQ21,AP21)*AQ21-AX21-AT21,IF(($B21-Analysis!$C$66+1)&lt;LOOKUP(Analysis!$C$66,$B:$B,AQ:AQ),IF(AW20-AV21&lt;0, AW20-AV21,0),0)))</f>
        <v>-55829.842960468392</v>
      </c>
      <c r="AX21" s="1">
        <f>IF($B21&lt;Analysis!$C$66,0,IF($B21=Analysis!$C$66,AS21+AV21,IF(AT20&lt;0,IF(AT20&gt;LOOKUP(Analysis!$C$66,$B:$B,AX:AX), AT20*(1+AU20),AX20),0)))</f>
        <v>-39548.481000000007</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-3590.5730290023375</v>
      </c>
      <c r="BF21" s="64">
        <f>IF($B21&lt;Analysis!$C$66,0,Analysis!$C$78)</f>
        <v>3.0000000000000001E-3</v>
      </c>
      <c r="BG21" s="1">
        <f>IF($B21&lt;Analysis!$C$66,0,-BH21*AN21)</f>
        <v>-8976.4325725058425</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-152599.35373259932</v>
      </c>
      <c r="BS21" s="64">
        <f>IF($B21&lt;Analysis!C$66,0,Analysis!C$31)</f>
        <v>0.1275</v>
      </c>
      <c r="BT21" s="1">
        <f>IF($B21&lt;Analysis!$C$66,0,AN21+BR21)</f>
        <v>1044258.3226015131</v>
      </c>
      <c r="BU21" s="1">
        <f>IF($B21-Analysis!$C$66&gt;3,0,IF($AN21&gt;LOOKUP(Analysis!$C$66,$B:$B, AN:AN),$V21*(LOOKUP(Analysis!$C$66,$B:$B, AN:AN)-AN21),0))</f>
        <v>0</v>
      </c>
      <c r="BV21" s="1">
        <f t="shared" si="23"/>
        <v>1044258.3226015131</v>
      </c>
      <c r="BW21" s="42"/>
      <c r="BX21" s="1">
        <f>IF($B21&lt;Analysis!$C$66,$P21+$N21+$X21+$Z21,$P21+$N21+AS21+AV21+BB21+BE21+BG21+MAX(BI21,SUM(BJ21:BN21))+BP21)</f>
        <v>-126225.48660150819</v>
      </c>
      <c r="BY21" s="1">
        <f t="shared" si="24"/>
        <v>131467.92324122589</v>
      </c>
      <c r="BZ21" s="1">
        <f t="shared" si="46"/>
        <v>5242.4366397176927</v>
      </c>
      <c r="CA21" s="1">
        <f>IF(BZ21 &lt; 0,
    IF(CA20 + BZ21 &gt; 0,
        CA20 + BZ21, IF(CF20-ABS(CA20 + BZ21)*(1+$V21) &gt;= CA20 + BZ21,
        0, CA20 + BZ21)),
    MIN(CA20 + BZ21, Analysis!$C$7))+IF(CA20&lt;0, CA20*Analysis!$C$9,0)</f>
        <v>-296894.0113388247</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-27475.689265409179</v>
      </c>
      <c r="CJ21" s="1">
        <f>IF(OR($B21&lt;Analysis!$C$100, $B21&gt;=Analysis!$C$130),0,Z21)</f>
        <v>-3960</v>
      </c>
      <c r="CK21" s="1">
        <f t="shared" si="26"/>
        <v>719849.18214298028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-15436.709308279533</v>
      </c>
      <c r="CQ21" s="1">
        <f>IF(OR($B21&lt;Analysis!$C$100, $B21&gt;=Analysis!$C$101),0,IF($B21=Analysis!$C$100,-CM21-CP21,MIN(0,CQ20-CP21)))</f>
        <v>-163567.99857605755</v>
      </c>
      <c r="CR21" s="64">
        <f>IF(OR($B21&lt;Analysis!$C$100, $B21&gt;=Analysis!$C$101),0,IF($B21=Analysis!$C$100,Analysis!$C$102,IF(($B21-Analysis!$C$100)&lt;LOOKUP(Analysis!$C$100,$B:$B,CN:CN),CR20,0)))</f>
        <v>3.6999999999999998E-2</v>
      </c>
      <c r="CS21" s="1">
        <f>IF(OR($B21&lt;Analysis!$C$100, $B21&gt;=Analysis!$C$101),0,IF($B21=Analysis!$C$100,-CR21*CM21,CR20*CQ20))</f>
        <v>-6623.1741917204718</v>
      </c>
      <c r="CT21" s="1">
        <f>IF(OR($B21&lt;Analysis!$C$100, $B21&gt;=Analysis!$C$101),0,IF($B21=Analysis!$C$100,PMT(CR21,CN21,CM21)*CN21-CU21-CQ21,IF(($B21-Analysis!$C$100+1)&lt;LOOKUP(Analysis!$C$100,$B:$B,CN:CN),IF(CT20-CS21&lt;0, CT20-CS21,0),0)))</f>
        <v>-31141.520493068492</v>
      </c>
      <c r="CU21" s="1">
        <f>IF(OR($B21&lt;Analysis!$C$100, $B21&gt;=Analysis!$C$101),0,IF($B21=Analysis!$C$100,CP21+CS21,IF(CQ20&lt;0,IF(CQ20&gt;LOOKUP(Analysis!$C$100,$B:$B,CU:CU), CQ20*(1+CR20),CU20),0)))</f>
        <v>-22059.883500000004</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30160.775653661982</v>
      </c>
      <c r="DE21" s="1">
        <f t="shared" si="27"/>
        <v>-2159.5475464289407</v>
      </c>
      <c r="DF21" s="64">
        <f>IF(OR($B21&lt;Analysis!$C$100, $B21&gt;=Analysis!$C$101),0,Analysis!$C$118)</f>
        <v>3.0000000000000001E-3</v>
      </c>
      <c r="DG21" s="1">
        <f t="shared" si="28"/>
        <v>-5398.8688660723519</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-1803.092108042478</v>
      </c>
      <c r="DR21" s="1">
        <f t="shared" si="29"/>
        <v>-21621.508520543768</v>
      </c>
      <c r="DS21" s="1">
        <f>MIN(0,-(DB21+DR21)*Analysis!$C$28)-CS21*Analysis!$C$28</f>
        <v>1862.5507354893243</v>
      </c>
      <c r="DT21" s="1">
        <f>-Analysis!$C$116*DD21/12</f>
        <v>-2513.3979711384986</v>
      </c>
      <c r="DU21" s="53"/>
      <c r="DV21" s="1">
        <f t="shared" si="30"/>
        <v>-91780.770723229987</v>
      </c>
      <c r="DW21" s="64">
        <f>IF(OR($B21&lt;Analysis!$C$100, $B21&gt;=Analysis!$C$101),0,IF($B21=Analysis!$C$100,Analysis!$C$31,DW20))</f>
        <v>0.1275</v>
      </c>
      <c r="DX21" s="1">
        <f>IF(OR($B21&lt;Analysis!$C$100, $B21&gt;=Analysis!$C$101),0,CK21+DV21)</f>
        <v>628068.41141975031</v>
      </c>
      <c r="DY21" s="1">
        <f>IF(OR($B21&lt;Analysis!$C$100, $B21&gt;=Analysis!$C$101),0,IF($B21-Analysis!$C$100&gt;3,0,IF(CK21&gt;LOOKUP(Analysis!$C$100,$B:$B, CK:CK),$V21*(LOOKUP(Analysis!$C$100,$B:$B, CK:CK)-CK21),0)))</f>
        <v>0</v>
      </c>
      <c r="DZ21" s="1">
        <f t="shared" si="49"/>
        <v>628068.41141975031</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-137617.92852160212</v>
      </c>
      <c r="FM21" s="1">
        <f>$M21+$R21+DD21+IF(AND($B21&lt;&gt;Analysis!$C$130,$B21=Analysis!$C$101),DZ20+CQ20+CT20+CZ20,0)</f>
        <v>161628.69889488787</v>
      </c>
      <c r="FN21" s="1">
        <f t="shared" si="34"/>
        <v>24010.770373285748</v>
      </c>
      <c r="FO21" s="1">
        <f>IF(FN21 &lt; 0,
    IF(FO20 + FN21 &gt; 0,
        FO20 + FN21, IF(FT20-ABS(FO20 + FN21)*(1+$V21) &gt;= FO20 + FN21,
        0, FO20 + FN21)),
    MIN(FO20 + FN21, Analysis!$C$7))+IF(FO20&lt;0, FO20*Analysis!$C$9,0)</f>
        <v>24000</v>
      </c>
      <c r="FP21" s="53"/>
      <c r="FQ21" s="1">
        <f t="shared" si="51"/>
        <v>27591.880570697696</v>
      </c>
      <c r="FR21" s="1">
        <f>IF(OR($B21=Analysis!$C$100, $B21=Analysis!$C$130),0,IF(FN21 &gt;= 0,
    MAX(0, FO20 + FN21 - Analysis!$C$7),
    0))</f>
        <v>24010.770373285748</v>
      </c>
      <c r="FS21" s="1">
        <f>IF(OR($B21=Analysis!$C$100, $B21=Analysis!$C$130),0,MAX(0, FS20 + FR21 - IF(FN21 &lt; 0, MIN(ABS(FN21), FS20 + FR21), 0)))</f>
        <v>353021.48217681656</v>
      </c>
      <c r="FT21" s="1">
        <f>IF(OR($B21=Analysis!$C$100, $B21=Analysis!$C$130),0,IF(FN21 &lt; 0,
    IF(FN21 + FO20 &lt; 0,
        MAX(0, FT20 - (ABS(FN21 + FO20) * (1+$V20))),
        FT20 + FQ21),
    FT20 + FR21 + FQ21))</f>
        <v>556849.9510947346</v>
      </c>
      <c r="FU21" s="1">
        <f t="shared" si="57"/>
        <v>503090.19241763372</v>
      </c>
      <c r="FV21" s="36"/>
      <c r="FW21" s="1">
        <f t="shared" si="52"/>
        <v>719849.18214298028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-15436.709308279533</v>
      </c>
      <c r="GC21" s="1">
        <f>IF($B21&lt;Analysis!$C$159,0,IF($B21=Analysis!$C$159,-FY21-GB21,MIN(0,GC20-GB21)))</f>
        <v>-163567.99857605755</v>
      </c>
      <c r="GD21" s="64">
        <f>IF($B21&lt;Analysis!$C$159,0,IF($B21=Analysis!$C$159,Analysis!$C$160,IF(($B21-Analysis!$C$159)&lt;LOOKUP(Analysis!$C$159,$B:$B,FZ:FZ),GD20,0)))</f>
        <v>3.6999999999999998E-2</v>
      </c>
      <c r="GE21" s="1">
        <f>IF($B21&lt;Analysis!$C$159,0,IF($B21=Analysis!$C$159,-GD21*FY21,GD20*GC20))</f>
        <v>-6623.1741917204718</v>
      </c>
      <c r="GF21" s="1">
        <f>IF($B21&lt;Analysis!$C$159,0,IF($B21=Analysis!$C$159,PMT(GD21,FZ21,FY21)*FZ21-GG21-GC21,IF(($B21-Analysis!$C$159+1)&lt;LOOKUP(Analysis!$C$159,$B:$B,FZ:FZ),IF(GF20-GE21&lt;0, GF20-GE21,0),0)))</f>
        <v>-31141.520493068492</v>
      </c>
      <c r="GG21" s="1">
        <f>IF($B21&lt;Analysis!$C$159,0,IF($B21=Analysis!$C$159,GB21+GE21,IF(GC20&lt;0,IF(GC20&gt;LOOKUP(Analysis!$C$159,$B:$B,GG:GG), GC20*(1+GD20),GG20),0)))</f>
        <v>-22059.883500000004</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30160.775653661982</v>
      </c>
      <c r="GQ21" s="1">
        <f t="shared" si="36"/>
        <v>-2159.5475464289407</v>
      </c>
      <c r="GR21" s="64">
        <f>IF($B21&lt;Analysis!$C$159,0,Analysis!$C$178)</f>
        <v>3.0000000000000001E-3</v>
      </c>
      <c r="GS21" s="1">
        <f t="shared" si="37"/>
        <v>-5398.8688660723519</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-1803.092108042478</v>
      </c>
      <c r="HD21" s="1">
        <f t="shared" si="38"/>
        <v>-21621.508520543768</v>
      </c>
      <c r="HE21" s="1">
        <f>MIN(0,-(GN21+HD21)*Analysis!$C$28)-GE21*Analysis!$C$28</f>
        <v>1862.5507354893243</v>
      </c>
      <c r="HF21" s="1">
        <f>-Analysis!$C$176*GP21/12</f>
        <v>-2513.3979711384986</v>
      </c>
      <c r="HG21" s="38"/>
      <c r="HH21" s="1">
        <f>IF($B21&lt;Analysis!$C$159,0,-$HI21*$FW21)</f>
        <v>-91780.770723229987</v>
      </c>
      <c r="HI21" s="64">
        <f>IF($B21&lt;Analysis!$C$159,0,IF($B21=Analysis!$C$159,Analysis!$C$31,HI20))</f>
        <v>0.1275</v>
      </c>
      <c r="HJ21" s="1">
        <f>IF($B21&lt;Analysis!$C$159,0,$FW21+HH21)</f>
        <v>628068.41141975031</v>
      </c>
      <c r="HK21" s="1">
        <f>IF($B21-Analysis!$C$159&gt;10,0,IF($FW21&gt;LOOKUP(Analysis!$C$159,$B:$B, FW:FW),$V21*(LOOKUP(Analysis!$C$159,$B:$B, FW:FW)-FW21),0))</f>
        <v>0</v>
      </c>
      <c r="HL21" s="1">
        <f t="shared" si="39"/>
        <v>628068.41141975031</v>
      </c>
      <c r="HM21" s="38"/>
      <c r="HN21" s="1">
        <f t="shared" si="40"/>
        <v>-137617.92852160212</v>
      </c>
      <c r="HO21" s="1">
        <f t="shared" si="8"/>
        <v>161628.69889488787</v>
      </c>
      <c r="HP21" s="1">
        <f t="shared" si="41"/>
        <v>24010.770373285748</v>
      </c>
      <c r="HQ21" s="1">
        <f>IF(HP21 &lt; 0,
    IF(HQ20 + HP21 &gt; 0,
        HQ20 + HP21, IF(HV20-ABS(HQ20 + HP21)*(1+$V21) &gt;= HQ20 + HP21,
        0, HQ20 + HP21)),
    MIN(HQ20 + HP21, Analysis!$C$7))+IF(HQ20&lt;0, HQ20*Analysis!$C$9,0)</f>
        <v>24000</v>
      </c>
      <c r="HR21" s="38"/>
      <c r="HS21" s="1">
        <f t="shared" si="54"/>
        <v>27591.880570697696</v>
      </c>
      <c r="HT21" s="1">
        <f>IF($B21=Analysis!$C$159,0,IF(HP21 &gt;= 0,
    MAX(0, HQ20 + HP21 - Analysis!$C$7),
    0))</f>
        <v>24010.770373285748</v>
      </c>
      <c r="HU21" s="1">
        <f>IF($B21=Analysis!$C$159,0,MAX(0, HU20 + HT21 - IF(HP21 &lt; 0, MIN(ABS(HP21), HU20 + HT21), 0)))</f>
        <v>353021.48217681656</v>
      </c>
      <c r="HV21" s="1">
        <f>IF($B21=Analysis!$C$159,0,IF(HP21 &lt; 0,
    IF(HP21 + HQ20 &lt; 0,
        MAX(0, HV20 - (ABS(HP21 + HQ20) * (1+$V20))),
        HV20 + HS21),
    HV20 + HT21 + HS21))</f>
        <v>556849.9510947346</v>
      </c>
      <c r="HW21" s="1">
        <f t="shared" si="58"/>
        <v>503090.19241763372</v>
      </c>
      <c r="HX21" s="36"/>
    </row>
    <row r="22" spans="1:232" x14ac:dyDescent="0.35">
      <c r="A22">
        <f t="shared" si="0"/>
        <v>55</v>
      </c>
      <c r="B22">
        <v>2045</v>
      </c>
      <c r="C22" s="1">
        <f>IF($B22&lt;Analysis!C$66,0,$AN22)+$AT22+$AW22+$BC22+$CF22+$CA22</f>
        <v>656764.13473957381</v>
      </c>
      <c r="D22" s="1">
        <f>IF($B22&lt;Analysis!C$66, 0, BV22)+AT22+AW22+BC22+CG22+CA22</f>
        <v>499676.56472072145</v>
      </c>
      <c r="E22" s="1">
        <f t="shared" si="1"/>
        <v>1265397.1661341067</v>
      </c>
      <c r="F22" s="1">
        <f t="shared" si="9"/>
        <v>1108688.2811662392</v>
      </c>
      <c r="G22" s="1">
        <f>IF(AND($B22&gt;=Analysis!$C$100, $B22&lt;Analysis!$C$101),$CK22,0)+IF($B22&gt;=Analysis!$C$130,EB22,0)+CQ22+CT22+CZ22+EH22+EK22+EQ22+$FO22+$FT22</f>
        <v>1251547.9924694418</v>
      </c>
      <c r="H22" s="1">
        <f t="shared" si="10"/>
        <v>1095623.1093600213</v>
      </c>
      <c r="I22" s="1">
        <f>IF($B22&lt;Analysis!$C$159,0,$FW22)+$GC22+$GF22+$GL22+$HQ22+$HV22</f>
        <v>1251547.9924694418</v>
      </c>
      <c r="J22" s="1">
        <f t="shared" si="2"/>
        <v>1095623.1093600213</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IF($B22=$B$2,((1+Analysis!$D$16)/(1+$S22))-1,IF(B22&lt;Analysis!$C$13,U21-((Analysis!$D$16-Analysis!$C$17)/(Analysis!$C$13-$B$2)),((1+Analysis!$C$17)/(1+$S21))-1))</f>
        <v>5.2324929971988975E-2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57794.384581672559</v>
      </c>
      <c r="AI22" s="1">
        <f>IF(AE22 &gt;= 0,
    MAX(0, AF21 + AE22 - Analysis!$C$7),
    0)</f>
        <v>79074.125468010549</v>
      </c>
      <c r="AJ22" s="1">
        <f t="shared" si="44"/>
        <v>647240.25630332937</v>
      </c>
      <c r="AK22" s="1">
        <f t="shared" si="20"/>
        <v>1241397.1661341067</v>
      </c>
      <c r="AL22" s="1">
        <f t="shared" si="5"/>
        <v>1084688.2811662392</v>
      </c>
      <c r="AM22" s="36"/>
      <c r="AN22" s="1">
        <f t="shared" si="45"/>
        <v>1232059.3726968805</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-28698.557984583807</v>
      </c>
      <c r="AT22" s="1">
        <f>IF($B22&lt;Analysis!$C$66,0,IF($B22=Analysis!$C$66,-AP22-AS22,MIN(0,AT21-AS22)))</f>
        <v>-264542.6045942324</v>
      </c>
      <c r="AU22" s="64">
        <f>IF($B22&lt;Analysis!$C$66,0,IF($B22=Analysis!$C$66,Analysis!$C$72,IF(($B22-Analysis!$C$66)&lt;LOOKUP(Analysis!$C$66,$B:$B,AQ:AQ),AU21,0)))</f>
        <v>3.6999999999999998E-2</v>
      </c>
      <c r="AV22" s="1">
        <f>IF($B22&lt;Analysis!$C$66,0,IF($B22=Analysis!$C$66,-AU22*AP22,AU21*AT21))</f>
        <v>-10849.9230154162</v>
      </c>
      <c r="AW22" s="1">
        <f>IF($B22&lt;Analysis!$C$66,0,IF($B22=Analysis!$C$66,PMT(AU22,AQ22,AP22)*AQ22-AX22-AT22,IF(($B22-Analysis!$C$66+1)&lt;LOOKUP(Analysis!$C$66,$B:$B,AQ:AQ),IF(AW21-AV22&lt;0, AW21-AV22,0),0)))</f>
        <v>-44979.919945052192</v>
      </c>
      <c r="AX22" s="1">
        <f>IF($B22&lt;Analysis!$C$66,0,IF($B22=Analysis!$C$66,AS22+AV22,IF(AT21&lt;0,IF(AT21&gt;LOOKUP(Analysis!$C$66,$B:$B,AX:AX), AT21*(1+AU21),AX21),0)))</f>
        <v>-39548.481000000007</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-3696.1781180906414</v>
      </c>
      <c r="BF22" s="64">
        <f>IF($B22&lt;Analysis!$C$66,0,Analysis!$C$78)</f>
        <v>3.0000000000000001E-3</v>
      </c>
      <c r="BG22" s="1">
        <f>IF($B22&lt;Analysis!$C$66,0,-BH22*AN22)</f>
        <v>-9240.4452952266038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-157087.57001885228</v>
      </c>
      <c r="BS22" s="64">
        <f>IF($B22&lt;Analysis!C$66,0,Analysis!C$31)</f>
        <v>0.1275</v>
      </c>
      <c r="BT22" s="1">
        <f>IF($B22&lt;Analysis!$C$66,0,AN22+BR22)</f>
        <v>1074971.8026780281</v>
      </c>
      <c r="BU22" s="1">
        <f>IF($B22-Analysis!$C$66&gt;3,0,IF($AN22&gt;LOOKUP(Analysis!$C$66,$B:$B, AN:AN),$V22*(LOOKUP(Analysis!$C$66,$B:$B, AN:AN)-AN22),0))</f>
        <v>0</v>
      </c>
      <c r="BV22" s="1">
        <f t="shared" si="23"/>
        <v>1074971.8026780281</v>
      </c>
      <c r="BW22" s="42"/>
      <c r="BX22" s="1">
        <f>IF($B22&lt;Analysis!$C$66,$P22+$N22+$X22+$Z22,$P22+$N22+AS22+AV22+BB22+BE22+BG22+MAX(BI22,SUM(BJ22:BN22))+BP22)</f>
        <v>-126595.10441331724</v>
      </c>
      <c r="BY22" s="1">
        <f t="shared" si="24"/>
        <v>181467.92324122589</v>
      </c>
      <c r="BZ22" s="1">
        <f t="shared" si="46"/>
        <v>54872.818827908646</v>
      </c>
      <c r="CA22" s="1">
        <f>IF(BZ22 &lt; 0,
    IF(CA21 + BZ22 &gt; 0,
        CA21 + BZ22, IF(CF21-ABS(CA21 + BZ22)*(1+$V22) &gt;= CA21 + BZ22,
        0, CA21 + BZ22)),
    MIN(CA21 + BZ22, Analysis!$C$7))+IF(CA21&lt;0, CA21*Analysis!$C$9,0)</f>
        <v>-265772.71341802203</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-28283.797773215334</v>
      </c>
      <c r="CJ22" s="1">
        <f>IF(OR($B22&lt;Analysis!$C$100, $B22&gt;=Analysis!$C$130),0,Z22)</f>
        <v>-3960</v>
      </c>
      <c r="CK22" s="1">
        <f t="shared" si="26"/>
        <v>741021.21691189159</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-16007.867552685875</v>
      </c>
      <c r="CQ22" s="1">
        <f>IF(OR($B22&lt;Analysis!$C$100, $B22&gt;=Analysis!$C$101),0,IF($B22=Analysis!$C$100,-CM22-CP22,MIN(0,CQ21-CP22)))</f>
        <v>-147560.13102337168</v>
      </c>
      <c r="CR22" s="64">
        <f>IF(OR($B22&lt;Analysis!$C$100, $B22&gt;=Analysis!$C$101),0,IF($B22=Analysis!$C$100,Analysis!$C$102,IF(($B22-Analysis!$C$100)&lt;LOOKUP(Analysis!$C$100,$B:$B,CN:CN),CR21,0)))</f>
        <v>3.6999999999999998E-2</v>
      </c>
      <c r="CS22" s="1">
        <f>IF(OR($B22&lt;Analysis!$C$100, $B22&gt;=Analysis!$C$101),0,IF($B22=Analysis!$C$100,-CR22*CM22,CR21*CQ21))</f>
        <v>-6052.0159473141293</v>
      </c>
      <c r="CT22" s="1">
        <f>IF(OR($B22&lt;Analysis!$C$100, $B22&gt;=Analysis!$C$101),0,IF($B22=Analysis!$C$100,PMT(CR22,CN22,CM22)*CN22-CU22-CQ22,IF(($B22-Analysis!$C$100+1)&lt;LOOKUP(Analysis!$C$100,$B:$B,CN:CN),IF(CT21-CS22&lt;0, CT21-CS22,0),0)))</f>
        <v>-25089.504545754364</v>
      </c>
      <c r="CU22" s="1">
        <f>IF(OR($B22&lt;Analysis!$C$100, $B22&gt;=Analysis!$C$101),0,IF($B22=Analysis!$C$100,CP22+CS22,IF(CQ21&lt;0,IF(CQ21&gt;LOOKUP(Analysis!$C$100,$B:$B,CU:CU), CQ21*(1+CR21),CU21),0)))</f>
        <v>-22059.883500000004</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30931.386702299103</v>
      </c>
      <c r="DE22" s="1">
        <f t="shared" si="27"/>
        <v>-2223.0636507356749</v>
      </c>
      <c r="DF22" s="64">
        <f>IF(OR($B22&lt;Analysis!$C$100, $B22&gt;=Analysis!$C$101),0,Analysis!$C$118)</f>
        <v>3.0000000000000001E-3</v>
      </c>
      <c r="DG22" s="1">
        <f t="shared" si="28"/>
        <v>-5557.6591268391867</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-1856.124228867257</v>
      </c>
      <c r="DR22" s="1">
        <f t="shared" si="29"/>
        <v>-21896.84700644212</v>
      </c>
      <c r="DS22" s="1">
        <f>MIN(0,-(DB22+DR22)*Analysis!$C$28)-CS22*Analysis!$C$28</f>
        <v>1418.1592306616387</v>
      </c>
      <c r="DT22" s="1">
        <f>-Analysis!$C$116*DD22/12</f>
        <v>-2577.6155585249253</v>
      </c>
      <c r="DU22" s="53"/>
      <c r="DV22" s="1">
        <f t="shared" si="30"/>
        <v>-94480.20515626618</v>
      </c>
      <c r="DW22" s="64">
        <f>IF(OR($B22&lt;Analysis!$C$100, $B22&gt;=Analysis!$C$101),0,IF($B22=Analysis!$C$100,Analysis!$C$31,DW21))</f>
        <v>0.1275</v>
      </c>
      <c r="DX22" s="1">
        <f>IF(OR($B22&lt;Analysis!$C$100, $B22&gt;=Analysis!$C$101),0,CK22+DV22)</f>
        <v>646541.01175562537</v>
      </c>
      <c r="DY22" s="1">
        <f>IF(OR($B22&lt;Analysis!$C$100, $B22&gt;=Analysis!$C$101),0,IF($B22-Analysis!$C$100&gt;3,0,IF(CK22&gt;LOOKUP(Analysis!$C$100,$B:$B, CK:CK),$V22*(LOOKUP(Analysis!$C$100,$B:$B, CK:CK)-CK22),0)))</f>
        <v>0</v>
      </c>
      <c r="DZ22" s="1">
        <f t="shared" si="49"/>
        <v>646541.01175562537</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-139209.98460752075</v>
      </c>
      <c r="FM22" s="1">
        <f>$M22+$R22+DD22+IF(AND($B22&lt;&gt;Analysis!$C$130,$B22=Analysis!$C$101),DZ21+CQ21+CT21+CZ21,0)</f>
        <v>212399.309943525</v>
      </c>
      <c r="FN22" s="1">
        <f t="shared" si="34"/>
        <v>73189.325336004258</v>
      </c>
      <c r="FO22" s="1">
        <f>IF(FN22 &lt; 0,
    IF(FO21 + FN22 &gt; 0,
        FO21 + FN22, IF(FT21-ABS(FO21 + FN22)*(1+$V22) &gt;= FO21 + FN22,
        0, FO21 + FN22)),
    MIN(FO21 + FN22, Analysis!$C$7))+IF(FO21&lt;0, FO21*Analysis!$C$9,0)</f>
        <v>24000</v>
      </c>
      <c r="FP22" s="53"/>
      <c r="FQ22" s="1">
        <f t="shared" si="51"/>
        <v>29137.134695937471</v>
      </c>
      <c r="FR22" s="1">
        <f>IF(OR($B22=Analysis!$C$100, $B22=Analysis!$C$130),0,IF(FN22 &gt;= 0,
    MAX(0, FO21 + FN22 - Analysis!$C$7),
    0))</f>
        <v>73189.325336004258</v>
      </c>
      <c r="FS22" s="1">
        <f>IF(OR($B22=Analysis!$C$100, $B22=Analysis!$C$130),0,MAX(0, FS21 + FR22 - IF(FN22 &lt; 0, MIN(ABS(FN22), FS21 + FR22), 0)))</f>
        <v>426210.80751282081</v>
      </c>
      <c r="FT22" s="1">
        <f>IF(OR($B22=Analysis!$C$100, $B22=Analysis!$C$130),0,IF(FN22 &lt; 0,
    IF(FN22 + FO21 &lt; 0,
        MAX(0, FT21 - (ABS(FN22 + FO21) * (1+$V21))),
        FT21 + FQ22),
    FT21 + FR22 + FQ22))</f>
        <v>659176.41112667636</v>
      </c>
      <c r="FU22" s="1">
        <f t="shared" si="57"/>
        <v>597731.73317352193</v>
      </c>
      <c r="FV22" s="36"/>
      <c r="FW22" s="1">
        <f t="shared" si="52"/>
        <v>741021.21691189159</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-16007.867552685875</v>
      </c>
      <c r="GC22" s="1">
        <f>IF($B22&lt;Analysis!$C$159,0,IF($B22=Analysis!$C$159,-FY22-GB22,MIN(0,GC21-GB22)))</f>
        <v>-147560.13102337168</v>
      </c>
      <c r="GD22" s="64">
        <f>IF($B22&lt;Analysis!$C$159,0,IF($B22=Analysis!$C$159,Analysis!$C$160,IF(($B22-Analysis!$C$159)&lt;LOOKUP(Analysis!$C$159,$B:$B,FZ:FZ),GD21,0)))</f>
        <v>3.6999999999999998E-2</v>
      </c>
      <c r="GE22" s="1">
        <f>IF($B22&lt;Analysis!$C$159,0,IF($B22=Analysis!$C$159,-GD22*FY22,GD21*GC21))</f>
        <v>-6052.0159473141293</v>
      </c>
      <c r="GF22" s="1">
        <f>IF($B22&lt;Analysis!$C$159,0,IF($B22=Analysis!$C$159,PMT(GD22,FZ22,FY22)*FZ22-GG22-GC22,IF(($B22-Analysis!$C$159+1)&lt;LOOKUP(Analysis!$C$159,$B:$B,FZ:FZ),IF(GF21-GE22&lt;0, GF21-GE22,0),0)))</f>
        <v>-25089.504545754364</v>
      </c>
      <c r="GG22" s="1">
        <f>IF($B22&lt;Analysis!$C$159,0,IF($B22=Analysis!$C$159,GB22+GE22,IF(GC21&lt;0,IF(GC21&gt;LOOKUP(Analysis!$C$159,$B:$B,GG:GG), GC21*(1+GD21),GG21),0)))</f>
        <v>-22059.883500000004</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30931.386702299103</v>
      </c>
      <c r="GQ22" s="1">
        <f t="shared" si="36"/>
        <v>-2223.0636507356749</v>
      </c>
      <c r="GR22" s="64">
        <f>IF($B22&lt;Analysis!$C$159,0,Analysis!$C$178)</f>
        <v>3.0000000000000001E-3</v>
      </c>
      <c r="GS22" s="1">
        <f t="shared" si="37"/>
        <v>-5557.6591268391867</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-1856.124228867257</v>
      </c>
      <c r="HD22" s="1">
        <f t="shared" si="38"/>
        <v>-21896.84700644212</v>
      </c>
      <c r="HE22" s="1">
        <f>MIN(0,-(GN22+HD22)*Analysis!$C$28)-GE22*Analysis!$C$28</f>
        <v>1418.1592306616387</v>
      </c>
      <c r="HF22" s="1">
        <f>-Analysis!$C$176*GP22/12</f>
        <v>-2577.6155585249253</v>
      </c>
      <c r="HG22" s="38"/>
      <c r="HH22" s="1">
        <f>IF($B22&lt;Analysis!$C$159,0,-$HI22*$FW22)</f>
        <v>-94480.20515626618</v>
      </c>
      <c r="HI22" s="64">
        <f>IF($B22&lt;Analysis!$C$159,0,IF($B22=Analysis!$C$159,Analysis!$C$31,HI21))</f>
        <v>0.1275</v>
      </c>
      <c r="HJ22" s="1">
        <f>IF($B22&lt;Analysis!$C$159,0,$FW22+HH22)</f>
        <v>646541.01175562537</v>
      </c>
      <c r="HK22" s="1">
        <f>IF($B22-Analysis!$C$159&gt;10,0,IF($FW22&gt;LOOKUP(Analysis!$C$159,$B:$B, FW:FW),$V22*(LOOKUP(Analysis!$C$159,$B:$B, FW:FW)-FW22),0))</f>
        <v>0</v>
      </c>
      <c r="HL22" s="1">
        <f t="shared" si="39"/>
        <v>646541.01175562537</v>
      </c>
      <c r="HM22" s="38"/>
      <c r="HN22" s="1">
        <f t="shared" si="40"/>
        <v>-139209.98460752075</v>
      </c>
      <c r="HO22" s="1">
        <f t="shared" si="8"/>
        <v>212399.309943525</v>
      </c>
      <c r="HP22" s="1">
        <f t="shared" si="41"/>
        <v>73189.325336004258</v>
      </c>
      <c r="HQ22" s="1">
        <f>IF(HP22 &lt; 0,
    IF(HQ21 + HP22 &gt; 0,
        HQ21 + HP22, IF(HV21-ABS(HQ21 + HP22)*(1+$V22) &gt;= HQ21 + HP22,
        0, HQ21 + HP22)),
    MIN(HQ21 + HP22, Analysis!$C$7))+IF(HQ21&lt;0, HQ21*Analysis!$C$9,0)</f>
        <v>24000</v>
      </c>
      <c r="HR22" s="38"/>
      <c r="HS22" s="1">
        <f t="shared" si="54"/>
        <v>29137.134695937471</v>
      </c>
      <c r="HT22" s="1">
        <f>IF($B22=Analysis!$C$159,0,IF(HP22 &gt;= 0,
    MAX(0, HQ21 + HP22 - Analysis!$C$7),
    0))</f>
        <v>73189.325336004258</v>
      </c>
      <c r="HU22" s="1">
        <f>IF($B22=Analysis!$C$159,0,MAX(0, HU21 + HT22 - IF(HP22 &lt; 0, MIN(ABS(HP22), HU21 + HT22), 0)))</f>
        <v>426210.80751282081</v>
      </c>
      <c r="HV22" s="1">
        <f>IF($B22=Analysis!$C$159,0,IF(HP22 &lt; 0,
    IF(HP22 + HQ21 &lt; 0,
        MAX(0, HV21 - (ABS(HP22 + HQ21) * (1+$V21))),
        HV21 + HS22),
    HV21 + HT22 + HS22))</f>
        <v>659176.41112667636</v>
      </c>
      <c r="HW22" s="1">
        <f t="shared" si="58"/>
        <v>597731.73317352193</v>
      </c>
      <c r="HX22" s="36"/>
    </row>
    <row r="23" spans="1:232" x14ac:dyDescent="0.35">
      <c r="A23">
        <f t="shared" si="0"/>
        <v>56</v>
      </c>
      <c r="B23">
        <v>2046</v>
      </c>
      <c r="C23" s="1">
        <f>IF($B23&lt;Analysis!C$66,0,$AN23)+$AT23+$AW23+$BC23+$CF23+$CA23</f>
        <v>711530.16894355742</v>
      </c>
      <c r="D23" s="1">
        <f>IF($B23&lt;Analysis!C$66, 0, BV23)+AT23+AW23+BC23+CG23+CA23</f>
        <v>549822.37627709191</v>
      </c>
      <c r="E23" s="1">
        <f t="shared" si="1"/>
        <v>1351507.9557455375</v>
      </c>
      <c r="F23" s="1">
        <f t="shared" si="9"/>
        <v>1178415.3057079993</v>
      </c>
      <c r="G23" s="1">
        <f>IF(AND($B23&gt;=Analysis!$C$100, $B23&lt;Analysis!$C$101),$CK23,0)+IF($B23&gt;=Analysis!$C$130,EB23,0)+CQ23+CT23+CZ23+EH23+EK23+EQ23+$FO23+$FT23</f>
        <v>1346479.0879733176</v>
      </c>
      <c r="H23" s="1">
        <f t="shared" si="10"/>
        <v>1179075.6684266487</v>
      </c>
      <c r="I23" s="1">
        <f>IF($B23&lt;Analysis!$C$159,0,$FW23)+$GC23+$GF23+$GL23+$HQ23+$HV23</f>
        <v>1346479.0879733176</v>
      </c>
      <c r="J23" s="1">
        <f t="shared" si="2"/>
        <v>1179075.6684266487</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IF($B23=$B$2,((1+Analysis!$D$16)/(1+$S23))-1,IF(B23&lt;Analysis!$C$13,U22-((Analysis!$D$16-Analysis!$C$17)/(Analysis!$C$13-$B$2)),((1+Analysis!$C$17)/(1+$S22))-1))</f>
        <v>5.0039215686274688E-2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62118.540548514735</v>
      </c>
      <c r="AI23" s="1">
        <f>IF(AE23 &gt;= 0,
    MAX(0, AF22 + AE23 - Analysis!$C$7),
    0)</f>
        <v>23992.249062915973</v>
      </c>
      <c r="AJ23" s="1">
        <f t="shared" si="44"/>
        <v>671232.50536624528</v>
      </c>
      <c r="AK23" s="1">
        <f t="shared" si="20"/>
        <v>1327507.9557455375</v>
      </c>
      <c r="AL23" s="1">
        <f t="shared" si="5"/>
        <v>1154415.3057079993</v>
      </c>
      <c r="AM23" s="36"/>
      <c r="AN23" s="1">
        <f t="shared" si="45"/>
        <v>1268296.4130703183</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-29760.404630013407</v>
      </c>
      <c r="AT23" s="1">
        <f>IF($B23&lt;Analysis!$C$66,0,IF($B23=Analysis!$C$66,-AP23-AS23,MIN(0,AT22-AS23)))</f>
        <v>-234782.19996421901</v>
      </c>
      <c r="AU23" s="64">
        <f>IF($B23&lt;Analysis!$C$66,0,IF($B23=Analysis!$C$66,Analysis!$C$72,IF(($B23-Analysis!$C$66)&lt;LOOKUP(Analysis!$C$66,$B:$B,AQ:AQ),AU22,0)))</f>
        <v>3.6999999999999998E-2</v>
      </c>
      <c r="AV23" s="1">
        <f>IF($B23&lt;Analysis!$C$66,0,IF($B23=Analysis!$C$66,-AU23*AP23,AU22*AT22))</f>
        <v>-9788.0763699865984</v>
      </c>
      <c r="AW23" s="1">
        <f>IF($B23&lt;Analysis!$C$66,0,IF($B23=Analysis!$C$66,PMT(AU23,AQ23,AP23)*AQ23-AX23-AT23,IF(($B23-Analysis!$C$66+1)&lt;LOOKUP(Analysis!$C$66,$B:$B,AQ:AQ),IF(AW22-AV23&lt;0, AW22-AV23,0),0)))</f>
        <v>-35191.843575065592</v>
      </c>
      <c r="AX23" s="1">
        <f>IF($B23&lt;Analysis!$C$66,0,IF($B23=Analysis!$C$66,AS23+AV23,IF(AT22&lt;0,IF(AT22&gt;LOOKUP(Analysis!$C$66,$B:$B,AX:AX), AT22*(1+AU22),AX22),0)))</f>
        <v>-39548.481000000007</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-3804.8892392109551</v>
      </c>
      <c r="BF23" s="64">
        <f>IF($B23&lt;Analysis!$C$66,0,Analysis!$C$78)</f>
        <v>3.0000000000000001E-3</v>
      </c>
      <c r="BG23" s="1">
        <f>IF($B23&lt;Analysis!$C$66,0,-BH23*AN23)</f>
        <v>-9512.2230980273871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-161707.7926664656</v>
      </c>
      <c r="BS23" s="64">
        <f>IF($B23&lt;Analysis!C$66,0,Analysis!C$31)</f>
        <v>0.1275</v>
      </c>
      <c r="BT23" s="1">
        <f>IF($B23&lt;Analysis!$C$66,0,AN23+BR23)</f>
        <v>1106588.6204038528</v>
      </c>
      <c r="BU23" s="1">
        <f>IF($B23-Analysis!$C$66&gt;3,0,IF($AN23&gt;LOOKUP(Analysis!$C$66,$B:$B, AN:AN),$V23*(LOOKUP(Analysis!$C$66,$B:$B, AN:AN)-AN23),0))</f>
        <v>0</v>
      </c>
      <c r="BV23" s="1">
        <f t="shared" si="23"/>
        <v>1106588.6204038528</v>
      </c>
      <c r="BW23" s="42"/>
      <c r="BX23" s="1">
        <f>IF($B23&lt;Analysis!$C$66,$P23+$N23+$X23+$Z23,$P23+$N23+AS23+AV23+BB23+BE23+BG23+MAX(BI23,SUM(BJ23:BN23))+BP23)</f>
        <v>-131225.59333723836</v>
      </c>
      <c r="BY23" s="1">
        <f t="shared" si="24"/>
        <v>131467.92324122589</v>
      </c>
      <c r="BZ23" s="1">
        <f t="shared" si="46"/>
        <v>242.32990398752736</v>
      </c>
      <c r="CA23" s="1">
        <f>IF(BZ23 &lt; 0,
    IF(CA22 + BZ23 &gt; 0,
        CA22 + BZ23, IF(CF22-ABS(CA22 + BZ23)*(1+$V23) &gt;= CA22 + BZ23,
        0, CA22 + BZ23)),
    MIN(CA22 + BZ23, Analysis!$C$7))+IF(CA22&lt;0, CA22*Analysis!$C$9,0)</f>
        <v>-286792.20058747625</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-29115.674178309906</v>
      </c>
      <c r="CJ23" s="1">
        <f>IF(OR($B23&lt;Analysis!$C$100, $B23&gt;=Analysis!$C$130),0,Z23)</f>
        <v>-3960</v>
      </c>
      <c r="CK23" s="1">
        <f t="shared" si="26"/>
        <v>762815.9585857708</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-16600.158652135251</v>
      </c>
      <c r="CQ23" s="1">
        <f>IF(OR($B23&lt;Analysis!$C$100, $B23&gt;=Analysis!$C$101),0,IF($B23=Analysis!$C$100,-CM23-CP23,MIN(0,CQ22-CP23)))</f>
        <v>-130959.97237123642</v>
      </c>
      <c r="CR23" s="64">
        <f>IF(OR($B23&lt;Analysis!$C$100, $B23&gt;=Analysis!$C$101),0,IF($B23=Analysis!$C$100,Analysis!$C$102,IF(($B23-Analysis!$C$100)&lt;LOOKUP(Analysis!$C$100,$B:$B,CN:CN),CR22,0)))</f>
        <v>3.6999999999999998E-2</v>
      </c>
      <c r="CS23" s="1">
        <f>IF(OR($B23&lt;Analysis!$C$100, $B23&gt;=Analysis!$C$101),0,IF($B23=Analysis!$C$100,-CR23*CM23,CR22*CQ22))</f>
        <v>-5459.7248478647516</v>
      </c>
      <c r="CT23" s="1">
        <f>IF(OR($B23&lt;Analysis!$C$100, $B23&gt;=Analysis!$C$101),0,IF($B23=Analysis!$C$100,PMT(CR23,CN23,CM23)*CN23-CU23-CQ23,IF(($B23-Analysis!$C$100+1)&lt;LOOKUP(Analysis!$C$100,$B:$B,CN:CN),IF(CT22-CS23&lt;0, CT22-CS23,0),0)))</f>
        <v>-19629.779697889611</v>
      </c>
      <c r="CU23" s="1">
        <f>IF(OR($B23&lt;Analysis!$C$100, $B23&gt;=Analysis!$C$101),0,IF($B23=Analysis!$C$100,CP23+CS23,IF(CQ22&lt;0,IF(CQ22&gt;LOOKUP(Analysis!$C$100,$B:$B,CU:CU), CQ22*(1+CR22),CU22),0)))</f>
        <v>-22059.883500000004</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31724.66278177849</v>
      </c>
      <c r="DE23" s="1">
        <f t="shared" si="27"/>
        <v>-2288.4478757573124</v>
      </c>
      <c r="DF23" s="64">
        <f>IF(OR($B23&lt;Analysis!$C$100, $B23&gt;=Analysis!$C$101),0,Analysis!$C$118)</f>
        <v>3.0000000000000001E-3</v>
      </c>
      <c r="DG23" s="1">
        <f t="shared" si="28"/>
        <v>-5721.1196893932811</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-1910.7161179515883</v>
      </c>
      <c r="DR23" s="1">
        <f t="shared" si="29"/>
        <v>-22180.283683102185</v>
      </c>
      <c r="DS23" s="1">
        <f>MIN(0,-(DB23+DR23)*Analysis!$C$28)-CS23*Analysis!$C$28</f>
        <v>958.77695521346573</v>
      </c>
      <c r="DT23" s="1">
        <f>-Analysis!$C$116*DD23/12</f>
        <v>-2643.7218984815408</v>
      </c>
      <c r="DU23" s="53"/>
      <c r="DV23" s="1">
        <f t="shared" si="30"/>
        <v>-97259.034719685777</v>
      </c>
      <c r="DW23" s="64">
        <f>IF(OR($B23&lt;Analysis!$C$100, $B23&gt;=Analysis!$C$101),0,IF($B23=Analysis!$C$100,Analysis!$C$31,DW22))</f>
        <v>0.1275</v>
      </c>
      <c r="DX23" s="1">
        <f>IF(OR($B23&lt;Analysis!$C$100, $B23&gt;=Analysis!$C$101),0,CK23+DV23)</f>
        <v>665556.92386608501</v>
      </c>
      <c r="DY23" s="1">
        <f>IF(OR($B23&lt;Analysis!$C$100, $B23&gt;=Analysis!$C$101),0,IF($B23-Analysis!$C$100&gt;3,0,IF(CK23&gt;LOOKUP(Analysis!$C$100,$B:$B, CK:CK),$V23*(LOOKUP(Analysis!$C$100,$B:$B, CK:CK)-CK23),0)))</f>
        <v>0</v>
      </c>
      <c r="DZ23" s="1">
        <f t="shared" si="49"/>
        <v>665556.92386608501</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-145100.78630468019</v>
      </c>
      <c r="FM23" s="1">
        <f>$M23+$R23+DD23+IF(AND($B23&lt;&gt;Analysis!$C$130,$B23=Analysis!$C$101),DZ22+CQ22+CT22+CZ22,0)</f>
        <v>163192.58602300438</v>
      </c>
      <c r="FN23" s="1">
        <f t="shared" si="34"/>
        <v>18091.799718324182</v>
      </c>
      <c r="FO23" s="1">
        <f>IF(FN23 &lt; 0,
    IF(FO22 + FN23 &gt; 0,
        FO22 + FN23, IF(FT22-ABS(FO22 + FN23)*(1+$V23) &gt;= FO22 + FN23,
        0, FO22 + FN23)),
    MIN(FO22 + FN23, Analysis!$C$7))+IF(FO22&lt;0, FO22*Analysis!$C$9,0)</f>
        <v>24000</v>
      </c>
      <c r="FP23" s="53"/>
      <c r="FQ23" s="1">
        <f t="shared" si="51"/>
        <v>32984.670611672234</v>
      </c>
      <c r="FR23" s="1">
        <f>IF(OR($B23=Analysis!$C$100, $B23=Analysis!$C$130),0,IF(FN23 &gt;= 0,
    MAX(0, FO22 + FN23 - Analysis!$C$7),
    0))</f>
        <v>18091.799718324182</v>
      </c>
      <c r="FS23" s="1">
        <f>IF(OR($B23=Analysis!$C$100, $B23=Analysis!$C$130),0,MAX(0, FS22 + FR23 - IF(FN23 &lt; 0, MIN(ABS(FN23), FS22 + FR23), 0)))</f>
        <v>444302.60723114503</v>
      </c>
      <c r="FT23" s="1">
        <f>IF(OR($B23=Analysis!$C$100, $B23=Analysis!$C$130),0,IF(FN23 &lt; 0,
    IF(FN23 + FO22 &lt; 0,
        MAX(0, FT22 - (ABS(FN23 + FO22) * (1+$V22))),
        FT22 + FQ23),
    FT22 + FR23 + FQ23))</f>
        <v>710252.8814566728</v>
      </c>
      <c r="FU23" s="1">
        <f t="shared" si="57"/>
        <v>640108.49662968982</v>
      </c>
      <c r="FV23" s="36"/>
      <c r="FW23" s="1">
        <f t="shared" si="52"/>
        <v>762815.9585857708</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-16600.158652135251</v>
      </c>
      <c r="GC23" s="1">
        <f>IF($B23&lt;Analysis!$C$159,0,IF($B23=Analysis!$C$159,-FY23-GB23,MIN(0,GC22-GB23)))</f>
        <v>-130959.97237123642</v>
      </c>
      <c r="GD23" s="64">
        <f>IF($B23&lt;Analysis!$C$159,0,IF($B23=Analysis!$C$159,Analysis!$C$160,IF(($B23-Analysis!$C$159)&lt;LOOKUP(Analysis!$C$159,$B:$B,FZ:FZ),GD22,0)))</f>
        <v>3.6999999999999998E-2</v>
      </c>
      <c r="GE23" s="1">
        <f>IF($B23&lt;Analysis!$C$159,0,IF($B23=Analysis!$C$159,-GD23*FY23,GD22*GC22))</f>
        <v>-5459.7248478647516</v>
      </c>
      <c r="GF23" s="1">
        <f>IF($B23&lt;Analysis!$C$159,0,IF($B23=Analysis!$C$159,PMT(GD23,FZ23,FY23)*FZ23-GG23-GC23,IF(($B23-Analysis!$C$159+1)&lt;LOOKUP(Analysis!$C$159,$B:$B,FZ:FZ),IF(GF22-GE23&lt;0, GF22-GE23,0),0)))</f>
        <v>-19629.779697889611</v>
      </c>
      <c r="GG23" s="1">
        <f>IF($B23&lt;Analysis!$C$159,0,IF($B23=Analysis!$C$159,GB23+GE23,IF(GC22&lt;0,IF(GC22&gt;LOOKUP(Analysis!$C$159,$B:$B,GG:GG), GC22*(1+GD22),GG22),0)))</f>
        <v>-22059.883500000004</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31724.66278177849</v>
      </c>
      <c r="GQ23" s="1">
        <f t="shared" si="36"/>
        <v>-2288.4478757573124</v>
      </c>
      <c r="GR23" s="64">
        <f>IF($B23&lt;Analysis!$C$159,0,Analysis!$C$178)</f>
        <v>3.0000000000000001E-3</v>
      </c>
      <c r="GS23" s="1">
        <f t="shared" si="37"/>
        <v>-5721.1196893932811</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-1910.7161179515883</v>
      </c>
      <c r="HD23" s="1">
        <f t="shared" si="38"/>
        <v>-22180.283683102185</v>
      </c>
      <c r="HE23" s="1">
        <f>MIN(0,-(GN23+HD23)*Analysis!$C$28)-GE23*Analysis!$C$28</f>
        <v>958.77695521346573</v>
      </c>
      <c r="HF23" s="1">
        <f>-Analysis!$C$176*GP23/12</f>
        <v>-2643.7218984815408</v>
      </c>
      <c r="HG23" s="38"/>
      <c r="HH23" s="1">
        <f>IF($B23&lt;Analysis!$C$159,0,-$HI23*$FW23)</f>
        <v>-97259.034719685777</v>
      </c>
      <c r="HI23" s="64">
        <f>IF($B23&lt;Analysis!$C$159,0,IF($B23=Analysis!$C$159,Analysis!$C$31,HI22))</f>
        <v>0.1275</v>
      </c>
      <c r="HJ23" s="1">
        <f>IF($B23&lt;Analysis!$C$159,0,$FW23+HH23)</f>
        <v>665556.92386608501</v>
      </c>
      <c r="HK23" s="1">
        <f>IF($B23-Analysis!$C$159&gt;10,0,IF($FW23&gt;LOOKUP(Analysis!$C$159,$B:$B, FW:FW),$V23*(LOOKUP(Analysis!$C$159,$B:$B, FW:FW)-FW23),0))</f>
        <v>0</v>
      </c>
      <c r="HL23" s="1">
        <f t="shared" si="39"/>
        <v>665556.92386608501</v>
      </c>
      <c r="HM23" s="38"/>
      <c r="HN23" s="1">
        <f t="shared" si="40"/>
        <v>-145100.78630468019</v>
      </c>
      <c r="HO23" s="1">
        <f t="shared" si="8"/>
        <v>163192.58602300438</v>
      </c>
      <c r="HP23" s="1">
        <f t="shared" si="41"/>
        <v>18091.799718324182</v>
      </c>
      <c r="HQ23" s="1">
        <f>IF(HP23 &lt; 0,
    IF(HQ22 + HP23 &gt; 0,
        HQ22 + HP23, IF(HV22-ABS(HQ22 + HP23)*(1+$V23) &gt;= HQ22 + HP23,
        0, HQ22 + HP23)),
    MIN(HQ22 + HP23, Analysis!$C$7))+IF(HQ22&lt;0, HQ22*Analysis!$C$9,0)</f>
        <v>24000</v>
      </c>
      <c r="HR23" s="38"/>
      <c r="HS23" s="1">
        <f t="shared" si="54"/>
        <v>32984.670611672234</v>
      </c>
      <c r="HT23" s="1">
        <f>IF($B23=Analysis!$C$159,0,IF(HP23 &gt;= 0,
    MAX(0, HQ22 + HP23 - Analysis!$C$7),
    0))</f>
        <v>18091.799718324182</v>
      </c>
      <c r="HU23" s="1">
        <f>IF($B23=Analysis!$C$159,0,MAX(0, HU22 + HT23 - IF(HP23 &lt; 0, MIN(ABS(HP23), HU22 + HT23), 0)))</f>
        <v>444302.60723114503</v>
      </c>
      <c r="HV23" s="1">
        <f>IF($B23=Analysis!$C$159,0,IF(HP23 &lt; 0,
    IF(HP23 + HQ22 &lt; 0,
        MAX(0, HV22 - (ABS(HP23 + HQ22) * (1+$V22))),
        HV22 + HS23),
    HV22 + HT23 + HS23))</f>
        <v>710252.8814566728</v>
      </c>
      <c r="HW23" s="1">
        <f t="shared" si="58"/>
        <v>640108.49662968982</v>
      </c>
      <c r="HX23" s="36"/>
    </row>
    <row r="24" spans="1:232" x14ac:dyDescent="0.35">
      <c r="A24">
        <f t="shared" si="0"/>
        <v>57</v>
      </c>
      <c r="B24">
        <v>2047</v>
      </c>
      <c r="C24" s="1">
        <f>IF($B24&lt;Analysis!C$66,0,$AN24)+$AT24+$AW24+$BC24+$CF24+$CA24</f>
        <v>765288.75970446132</v>
      </c>
      <c r="D24" s="1">
        <f>IF($B24&lt;Analysis!C$66, 0, BV24)+AT24+AW24+BC24+CG24+CA24</f>
        <v>598824.85548898205</v>
      </c>
      <c r="E24" s="1">
        <f t="shared" si="1"/>
        <v>1438037.0144742175</v>
      </c>
      <c r="F24" s="1">
        <f t="shared" si="9"/>
        <v>1248224.4203266124</v>
      </c>
      <c r="G24" s="1">
        <f>IF(AND($B24&gt;=Analysis!$C$100, $B24&lt;Analysis!$C$101),$CK24,0)+IF($B24&gt;=Analysis!$C$130,EB24,0)+CQ24+CT24+CZ24+EH24+EK24+EQ24+$FO24+$FT24</f>
        <v>1442109.1523188865</v>
      </c>
      <c r="H24" s="1">
        <f t="shared" si="10"/>
        <v>1262899.5478330934</v>
      </c>
      <c r="I24" s="1">
        <f>IF($B24&lt;Analysis!$C$159,0,$FW24)+$GC24+$GF24+$GL24+$HQ24+$HV24</f>
        <v>1442109.1523188865</v>
      </c>
      <c r="J24" s="1">
        <f t="shared" si="2"/>
        <v>1262899.5478330934</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IF($B24=$B$2,((1+Analysis!$D$16)/(1+$S24))-1,IF(B24&lt;Analysis!$C$13,U23-((Analysis!$D$16-Analysis!$C$17)/(Analysis!$C$13-$B$2)),((1+Analysis!$C$17)/(1+$S23))-1))</f>
        <v>4.7753501400560401E-2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63393.153023949599</v>
      </c>
      <c r="AI24" s="1">
        <f>IF(AE24 &gt;= 0,
    MAX(0, AF23 + AE24 - Analysis!$C$7),
    0)</f>
        <v>23135.905704730394</v>
      </c>
      <c r="AJ24" s="1">
        <f t="shared" si="44"/>
        <v>694368.41107097571</v>
      </c>
      <c r="AK24" s="1">
        <f t="shared" si="20"/>
        <v>1414037.0144742175</v>
      </c>
      <c r="AL24" s="1">
        <f t="shared" si="5"/>
        <v>1224224.4203266124</v>
      </c>
      <c r="AM24" s="36"/>
      <c r="AN24" s="1">
        <f t="shared" si="45"/>
        <v>1305599.2487488573</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-30861.539601323904</v>
      </c>
      <c r="AT24" s="1">
        <f>IF($B24&lt;Analysis!$C$66,0,IF($B24=Analysis!$C$66,-AP24-AS24,MIN(0,AT23-AS24)))</f>
        <v>-203920.66036289511</v>
      </c>
      <c r="AU24" s="64">
        <f>IF($B24&lt;Analysis!$C$66,0,IF($B24=Analysis!$C$66,Analysis!$C$72,IF(($B24-Analysis!$C$66)&lt;LOOKUP(Analysis!$C$66,$B:$B,AQ:AQ),AU23,0)))</f>
        <v>3.6999999999999998E-2</v>
      </c>
      <c r="AV24" s="1">
        <f>IF($B24&lt;Analysis!$C$66,0,IF($B24=Analysis!$C$66,-AU24*AP24,AU23*AT23))</f>
        <v>-8686.9413986761028</v>
      </c>
      <c r="AW24" s="1">
        <f>IF($B24&lt;Analysis!$C$66,0,IF($B24=Analysis!$C$66,PMT(AU24,AQ24,AP24)*AQ24-AX24-AT24,IF(($B24-Analysis!$C$66+1)&lt;LOOKUP(Analysis!$C$66,$B:$B,AQ:AQ),IF(AW23-AV24&lt;0, AW23-AV24,0),0)))</f>
        <v>-26504.902176389489</v>
      </c>
      <c r="AX24" s="1">
        <f>IF($B24&lt;Analysis!$C$66,0,IF($B24=Analysis!$C$66,AS24+AV24,IF(AT23&lt;0,IF(AT23&gt;LOOKUP(Analysis!$C$66,$B:$B,AX:AX), AT23*(1+AU23),AX23),0)))</f>
        <v>-39548.481000000007</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-3916.7977462465719</v>
      </c>
      <c r="BF24" s="64">
        <f>IF($B24&lt;Analysis!$C$66,0,Analysis!$C$78)</f>
        <v>3.0000000000000001E-3</v>
      </c>
      <c r="BG24" s="1">
        <f>IF($B24&lt;Analysis!$C$66,0,-BH24*AN24)</f>
        <v>-9791.9943656164287</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-166463.9042154793</v>
      </c>
      <c r="BS24" s="64">
        <f>IF($B24&lt;Analysis!C$66,0,Analysis!C$31)</f>
        <v>0.1275</v>
      </c>
      <c r="BT24" s="1">
        <f>IF($B24&lt;Analysis!$C$66,0,AN24+BR24)</f>
        <v>1139135.344533378</v>
      </c>
      <c r="BU24" s="1">
        <f>IF($B24-Analysis!$C$66&gt;3,0,IF($AN24&gt;LOOKUP(Analysis!$C$66,$B:$B, AN:AN),$V24*(LOOKUP(Analysis!$C$66,$B:$B, AN:AN)-AN24),0))</f>
        <v>0</v>
      </c>
      <c r="BV24" s="1">
        <f t="shared" si="23"/>
        <v>1139135.344533378</v>
      </c>
      <c r="BW24" s="42"/>
      <c r="BX24" s="1">
        <f>IF($B24&lt;Analysis!$C$66,$P24+$N24+$X24+$Z24,$P24+$N24+AS24+AV24+BB24+BE24+BG24+MAX(BI24,SUM(BJ24:BN24))+BP24)</f>
        <v>-131617.273111863</v>
      </c>
      <c r="BY24" s="1">
        <f t="shared" si="24"/>
        <v>131467.92324122589</v>
      </c>
      <c r="BZ24" s="1">
        <f t="shared" si="46"/>
        <v>-149.34987063711742</v>
      </c>
      <c r="CA24" s="1">
        <f>IF(BZ24 &lt; 0,
    IF(CA23 + BZ24 &gt; 0,
        CA23 + BZ24, IF(CF23-ABS(CA23 + BZ24)*(1+$V24) &gt;= CA23 + BZ24,
        0, CA23 + BZ24)),
    MIN(CA23 + BZ24, Analysis!$C$7))+IF(CA23&lt;0, CA23*Analysis!$C$9,0)</f>
        <v>-309884.92650511145</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-29972.017536495496</v>
      </c>
      <c r="CJ24" s="1">
        <f>IF(OR($B24&lt;Analysis!$C$100, $B24&gt;=Analysis!$C$130),0,Z24)</f>
        <v>-3960</v>
      </c>
      <c r="CK24" s="1">
        <f t="shared" si="26"/>
        <v>785251.72207358771</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-17214.364522264255</v>
      </c>
      <c r="CQ24" s="1">
        <f>IF(OR($B24&lt;Analysis!$C$100, $B24&gt;=Analysis!$C$101),0,IF($B24=Analysis!$C$100,-CM24-CP24,MIN(0,CQ23-CP24)))</f>
        <v>-113745.60784897217</v>
      </c>
      <c r="CR24" s="64">
        <f>IF(OR($B24&lt;Analysis!$C$100, $B24&gt;=Analysis!$C$101),0,IF($B24=Analysis!$C$100,Analysis!$C$102,IF(($B24-Analysis!$C$100)&lt;LOOKUP(Analysis!$C$100,$B:$B,CN:CN),CR23,0)))</f>
        <v>3.6999999999999998E-2</v>
      </c>
      <c r="CS24" s="1">
        <f>IF(OR($B24&lt;Analysis!$C$100, $B24&gt;=Analysis!$C$101),0,IF($B24=Analysis!$C$100,-CR24*CM24,CR23*CQ23))</f>
        <v>-4845.5189777357473</v>
      </c>
      <c r="CT24" s="1">
        <f>IF(OR($B24&lt;Analysis!$C$100, $B24&gt;=Analysis!$C$101),0,IF($B24=Analysis!$C$100,PMT(CR24,CN24,CM24)*CN24-CU24-CQ24,IF(($B24-Analysis!$C$100+1)&lt;LOOKUP(Analysis!$C$100,$B:$B,CN:CN),IF(CT23-CS24&lt;0, CT23-CS24,0),0)))</f>
        <v>-14784.260720153863</v>
      </c>
      <c r="CU24" s="1">
        <f>IF(OR($B24&lt;Analysis!$C$100, $B24&gt;=Analysis!$C$101),0,IF($B24=Analysis!$C$100,CP24+CS24,IF(CQ23&lt;0,IF(CQ23&gt;LOOKUP(Analysis!$C$100,$B:$B,CU:CU), CQ23*(1+CR23),CU23),0)))</f>
        <v>-22059.883500000004</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32541.270510654329</v>
      </c>
      <c r="DE24" s="1">
        <f t="shared" si="27"/>
        <v>-2355.7551662207634</v>
      </c>
      <c r="DF24" s="64">
        <f>IF(OR($B24&lt;Analysis!$C$100, $B24&gt;=Analysis!$C$101),0,Analysis!$C$118)</f>
        <v>3.0000000000000001E-3</v>
      </c>
      <c r="DG24" s="1">
        <f t="shared" si="28"/>
        <v>-5889.387915551908</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-1966.9136508325173</v>
      </c>
      <c r="DR24" s="1">
        <f t="shared" si="29"/>
        <v>-22472.05673260519</v>
      </c>
      <c r="DS24" s="1">
        <f>MIN(0,-(DB24+DR24)*Analysis!$C$28)-CS24*Analysis!$C$28</f>
        <v>483.89194813355584</v>
      </c>
      <c r="DT24" s="1">
        <f>-Analysis!$C$116*DD24/12</f>
        <v>-2711.7725425545273</v>
      </c>
      <c r="DU24" s="53"/>
      <c r="DV24" s="1">
        <f t="shared" si="30"/>
        <v>-100119.59456438244</v>
      </c>
      <c r="DW24" s="64">
        <f>IF(OR($B24&lt;Analysis!$C$100, $B24&gt;=Analysis!$C$101),0,IF($B24=Analysis!$C$100,Analysis!$C$31,DW23))</f>
        <v>0.1275</v>
      </c>
      <c r="DX24" s="1">
        <f>IF(OR($B24&lt;Analysis!$C$100, $B24&gt;=Analysis!$C$101),0,CK24+DV24)</f>
        <v>685132.12750920525</v>
      </c>
      <c r="DY24" s="1">
        <f>IF(OR($B24&lt;Analysis!$C$100, $B24&gt;=Analysis!$C$101),0,IF($B24-Analysis!$C$100&gt;3,0,IF(CK24&gt;LOOKUP(Analysis!$C$100,$B:$B, CK:CK),$V24*(LOOKUP(Analysis!$C$100,$B:$B, CK:CK)-CK24),0)))</f>
        <v>0</v>
      </c>
      <c r="DZ24" s="1">
        <f t="shared" si="49"/>
        <v>685132.12750920525</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-146791.83836352165</v>
      </c>
      <c r="FM24" s="1">
        <f>$M24+$R24+DD24+IF(AND($B24&lt;&gt;Analysis!$C$130,$B24=Analysis!$C$101),DZ23+CQ23+CT23+CZ23,0)</f>
        <v>164009.1937518802</v>
      </c>
      <c r="FN24" s="1">
        <f t="shared" si="34"/>
        <v>17217.355388358556</v>
      </c>
      <c r="FO24" s="1">
        <f>IF(FN24 &lt; 0,
    IF(FO23 + FN24 &gt; 0,
        FO23 + FN24, IF(FT23-ABS(FO23 + FN24)*(1+$V24) &gt;= FO23 + FN24,
        0, FO23 + FN24)),
    MIN(FO23 + FN24, Analysis!$C$7))+IF(FO23&lt;0, FO23*Analysis!$C$9,0)</f>
        <v>24000</v>
      </c>
      <c r="FP24" s="53"/>
      <c r="FQ24" s="1">
        <f t="shared" si="51"/>
        <v>33917.061969393282</v>
      </c>
      <c r="FR24" s="1">
        <f>IF(OR($B24=Analysis!$C$100, $B24=Analysis!$C$130),0,IF(FN24 &gt;= 0,
    MAX(0, FO23 + FN24 - Analysis!$C$7),
    0))</f>
        <v>17217.355388358556</v>
      </c>
      <c r="FS24" s="1">
        <f>IF(OR($B24=Analysis!$C$100, $B24=Analysis!$C$130),0,MAX(0, FS23 + FR24 - IF(FN24 &lt; 0, MIN(ABS(FN24), FS23 + FR24), 0)))</f>
        <v>461519.96261950361</v>
      </c>
      <c r="FT24" s="1">
        <f>IF(OR($B24=Analysis!$C$100, $B24=Analysis!$C$130),0,IF(FN24 &lt; 0,
    IF(FN24 + FO23 &lt; 0,
        MAX(0, FT23 - (ABS(FN24 + FO23) * (1+$V23))),
        FT23 + FQ24),
    FT23 + FR24 + FQ24))</f>
        <v>761387.29881442466</v>
      </c>
      <c r="FU24" s="1">
        <f t="shared" si="57"/>
        <v>682297.28889301419</v>
      </c>
      <c r="FV24" s="36"/>
      <c r="FW24" s="1">
        <f t="shared" si="52"/>
        <v>785251.72207358771</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-17214.364522264255</v>
      </c>
      <c r="GC24" s="1">
        <f>IF($B24&lt;Analysis!$C$159,0,IF($B24=Analysis!$C$159,-FY24-GB24,MIN(0,GC23-GB24)))</f>
        <v>-113745.60784897217</v>
      </c>
      <c r="GD24" s="64">
        <f>IF($B24&lt;Analysis!$C$159,0,IF($B24=Analysis!$C$159,Analysis!$C$160,IF(($B24-Analysis!$C$159)&lt;LOOKUP(Analysis!$C$159,$B:$B,FZ:FZ),GD23,0)))</f>
        <v>3.6999999999999998E-2</v>
      </c>
      <c r="GE24" s="1">
        <f>IF($B24&lt;Analysis!$C$159,0,IF($B24=Analysis!$C$159,-GD24*FY24,GD23*GC23))</f>
        <v>-4845.5189777357473</v>
      </c>
      <c r="GF24" s="1">
        <f>IF($B24&lt;Analysis!$C$159,0,IF($B24=Analysis!$C$159,PMT(GD24,FZ24,FY24)*FZ24-GG24-GC24,IF(($B24-Analysis!$C$159+1)&lt;LOOKUP(Analysis!$C$159,$B:$B,FZ:FZ),IF(GF23-GE24&lt;0, GF23-GE24,0),0)))</f>
        <v>-14784.260720153863</v>
      </c>
      <c r="GG24" s="1">
        <f>IF($B24&lt;Analysis!$C$159,0,IF($B24=Analysis!$C$159,GB24+GE24,IF(GC23&lt;0,IF(GC23&gt;LOOKUP(Analysis!$C$159,$B:$B,GG:GG), GC23*(1+GD23),GG23),0)))</f>
        <v>-22059.883500000004</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32541.270510654329</v>
      </c>
      <c r="GQ24" s="1">
        <f t="shared" si="36"/>
        <v>-2355.7551662207634</v>
      </c>
      <c r="GR24" s="64">
        <f>IF($B24&lt;Analysis!$C$159,0,Analysis!$C$178)</f>
        <v>3.0000000000000001E-3</v>
      </c>
      <c r="GS24" s="1">
        <f t="shared" si="37"/>
        <v>-5889.387915551908</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-1966.9136508325173</v>
      </c>
      <c r="HD24" s="1">
        <f t="shared" si="38"/>
        <v>-22472.05673260519</v>
      </c>
      <c r="HE24" s="1">
        <f>MIN(0,-(GN24+HD24)*Analysis!$C$28)-GE24*Analysis!$C$28</f>
        <v>483.89194813355584</v>
      </c>
      <c r="HF24" s="1">
        <f>-Analysis!$C$176*GP24/12</f>
        <v>-2711.7725425545273</v>
      </c>
      <c r="HG24" s="38"/>
      <c r="HH24" s="1">
        <f>IF($B24&lt;Analysis!$C$159,0,-$HI24*$FW24)</f>
        <v>-100119.59456438244</v>
      </c>
      <c r="HI24" s="64">
        <f>IF($B24&lt;Analysis!$C$159,0,IF($B24=Analysis!$C$159,Analysis!$C$31,HI23))</f>
        <v>0.1275</v>
      </c>
      <c r="HJ24" s="1">
        <f>IF($B24&lt;Analysis!$C$159,0,$FW24+HH24)</f>
        <v>685132.12750920525</v>
      </c>
      <c r="HK24" s="1">
        <f>IF($B24-Analysis!$C$159&gt;10,0,IF($FW24&gt;LOOKUP(Analysis!$C$159,$B:$B, FW:FW),$V24*(LOOKUP(Analysis!$C$159,$B:$B, FW:FW)-FW24),0))</f>
        <v>0</v>
      </c>
      <c r="HL24" s="1">
        <f t="shared" si="39"/>
        <v>685132.12750920525</v>
      </c>
      <c r="HM24" s="38"/>
      <c r="HN24" s="1">
        <f t="shared" si="40"/>
        <v>-146791.83836352165</v>
      </c>
      <c r="HO24" s="1">
        <f t="shared" si="8"/>
        <v>164009.1937518802</v>
      </c>
      <c r="HP24" s="1">
        <f t="shared" si="41"/>
        <v>17217.355388358556</v>
      </c>
      <c r="HQ24" s="1">
        <f>IF(HP24 &lt; 0,
    IF(HQ23 + HP24 &gt; 0,
        HQ23 + HP24, IF(HV23-ABS(HQ23 + HP24)*(1+$V24) &gt;= HQ23 + HP24,
        0, HQ23 + HP24)),
    MIN(HQ23 + HP24, Analysis!$C$7))+IF(HQ23&lt;0, HQ23*Analysis!$C$9,0)</f>
        <v>24000</v>
      </c>
      <c r="HR24" s="38"/>
      <c r="HS24" s="1">
        <f t="shared" si="54"/>
        <v>33917.061969393282</v>
      </c>
      <c r="HT24" s="1">
        <f>IF($B24=Analysis!$C$159,0,IF(HP24 &gt;= 0,
    MAX(0, HQ23 + HP24 - Analysis!$C$7),
    0))</f>
        <v>17217.355388358556</v>
      </c>
      <c r="HU24" s="1">
        <f>IF($B24=Analysis!$C$159,0,MAX(0, HU23 + HT24 - IF(HP24 &lt; 0, MIN(ABS(HP24), HU23 + HT24), 0)))</f>
        <v>461519.96261950361</v>
      </c>
      <c r="HV24" s="1">
        <f>IF($B24=Analysis!$C$159,0,IF(HP24 &lt; 0,
    IF(HP24 + HQ23 &lt; 0,
        MAX(0, HV23 - (ABS(HP24 + HQ23) * (1+$V23))),
        HV23 + HS24),
    HV23 + HT24 + HS24))</f>
        <v>761387.29881442466</v>
      </c>
      <c r="HW24" s="1">
        <f t="shared" si="58"/>
        <v>682297.28889301419</v>
      </c>
      <c r="HX24" s="36"/>
    </row>
    <row r="25" spans="1:232" x14ac:dyDescent="0.35">
      <c r="A25">
        <f t="shared" si="0"/>
        <v>58</v>
      </c>
      <c r="B25">
        <v>2048</v>
      </c>
      <c r="C25" s="1">
        <f>IF($B25&lt;Analysis!C$66,0,$AN25)+$AT25+$AW25+$BC25+$CF25+$CA25</f>
        <v>817893.87484979734</v>
      </c>
      <c r="D25" s="1">
        <f>IF($B25&lt;Analysis!C$66, 0, BV25)+AT25+AW25+BC25+CG25+CA25</f>
        <v>646533.97345150972</v>
      </c>
      <c r="E25" s="1">
        <f t="shared" si="1"/>
        <v>1524584.5241980301</v>
      </c>
      <c r="F25" s="1">
        <f t="shared" si="9"/>
        <v>1317814.6159720025</v>
      </c>
      <c r="G25" s="1">
        <f>IF(AND($B25&gt;=Analysis!$C$100, $B25&lt;Analysis!$C$101),$CK25,0)+IF($B25&gt;=Analysis!$C$130,EB25,0)+CQ25+CT25+CZ25+EH25+EK25+EQ25+$FO25+$FT25</f>
        <v>1538198.3972520563</v>
      </c>
      <c r="H25" s="1">
        <f t="shared" si="10"/>
        <v>1346913.4442151785</v>
      </c>
      <c r="I25" s="1">
        <f>IF($B25&lt;Analysis!$C$159,0,$FW25)+$GC25+$GF25+$GL25+$HQ25+$HV25</f>
        <v>1538198.3972520563</v>
      </c>
      <c r="J25" s="1">
        <f t="shared" si="2"/>
        <v>1346913.4442151785</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IF($B25=$B$2,((1+Analysis!$D$16)/(1+$S25))-1,IF(B25&lt;Analysis!$C$13,U24-((Analysis!$D$16-Analysis!$C$17)/(Analysis!$C$13-$B$2)),((1+Analysis!$C$17)/(1+$S24))-1))</f>
        <v>4.5467787114846114E-2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64293.133946626294</v>
      </c>
      <c r="AI25" s="1">
        <f>IF(AE25 &gt;= 0,
    MAX(0, AF24 + AE25 - Analysis!$C$7),
    0)</f>
        <v>22254.375777186404</v>
      </c>
      <c r="AJ25" s="1">
        <f t="shared" si="44"/>
        <v>716622.78684816207</v>
      </c>
      <c r="AK25" s="1">
        <f t="shared" si="20"/>
        <v>1500584.5241980301</v>
      </c>
      <c r="AL25" s="1">
        <f t="shared" si="5"/>
        <v>1293814.6159720025</v>
      </c>
      <c r="AM25" s="36"/>
      <c r="AN25" s="1">
        <f t="shared" si="45"/>
        <v>1343999.2266532355</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-32003.416566572887</v>
      </c>
      <c r="AT25" s="1">
        <f>IF($B25&lt;Analysis!$C$66,0,IF($B25=Analysis!$C$66,-AP25-AS25,MIN(0,AT24-AS25)))</f>
        <v>-171917.24379632223</v>
      </c>
      <c r="AU25" s="64">
        <f>IF($B25&lt;Analysis!$C$66,0,IF($B25=Analysis!$C$66,Analysis!$C$72,IF(($B25-Analysis!$C$66)&lt;LOOKUP(Analysis!$C$66,$B:$B,AQ:AQ),AU24,0)))</f>
        <v>3.6999999999999998E-2</v>
      </c>
      <c r="AV25" s="1">
        <f>IF($B25&lt;Analysis!$C$66,0,IF($B25=Analysis!$C$66,-AU25*AP25,AU24*AT24))</f>
        <v>-7545.0644334271192</v>
      </c>
      <c r="AW25" s="1">
        <f>IF($B25&lt;Analysis!$C$66,0,IF($B25=Analysis!$C$66,PMT(AU25,AQ25,AP25)*AQ25-AX25-AT25,IF(($B25-Analysis!$C$66+1)&lt;LOOKUP(Analysis!$C$66,$B:$B,AQ:AQ),IF(AW24-AV25&lt;0, AW24-AV25,0),0)))</f>
        <v>-18959.837742962369</v>
      </c>
      <c r="AX25" s="1">
        <f>IF($B25&lt;Analysis!$C$66,0,IF($B25=Analysis!$C$66,AS25+AV25,IF(AT24&lt;0,IF(AT24&gt;LOOKUP(Analysis!$C$66,$B:$B,AX:AX), AT24*(1+AU24),AX24),0)))</f>
        <v>-39548.481000000007</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-4031.9976799597066</v>
      </c>
      <c r="BF25" s="64">
        <f>IF($B25&lt;Analysis!$C$66,0,Analysis!$C$78)</f>
        <v>3.0000000000000001E-3</v>
      </c>
      <c r="BG25" s="1">
        <f>IF($B25&lt;Analysis!$C$66,0,-BH25*AN25)</f>
        <v>-10079.994199899265</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-171359.90139828753</v>
      </c>
      <c r="BS25" s="64">
        <f>IF($B25&lt;Analysis!C$66,0,Analysis!C$31)</f>
        <v>0.1275</v>
      </c>
      <c r="BT25" s="1">
        <f>IF($B25&lt;Analysis!$C$66,0,AN25+BR25)</f>
        <v>1172639.3252549479</v>
      </c>
      <c r="BU25" s="1">
        <f>IF($B25-Analysis!$C$66&gt;3,0,IF($AN25&gt;LOOKUP(Analysis!$C$66,$B:$B, AN:AN),$V25*(LOOKUP(Analysis!$C$66,$B:$B, AN:AN)-AN25),0))</f>
        <v>0</v>
      </c>
      <c r="BV25" s="1">
        <f t="shared" si="23"/>
        <v>1172639.3252549479</v>
      </c>
      <c r="BW25" s="42"/>
      <c r="BX25" s="1">
        <f>IF($B25&lt;Analysis!$C$66,$P25+$N25+$X25+$Z25,$P25+$N25+AS25+AV25+BB25+BE25+BG25+MAX(BI25,SUM(BJ25:BN25))+BP25)</f>
        <v>-132020.47287985898</v>
      </c>
      <c r="BY25" s="1">
        <f t="shared" si="24"/>
        <v>131467.92324122589</v>
      </c>
      <c r="BZ25" s="1">
        <f t="shared" si="46"/>
        <v>-552.5496386330924</v>
      </c>
      <c r="CA25" s="1">
        <f>IF(BZ25 &lt; 0,
    IF(CA24 + BZ25 &gt; 0,
        CA24 + BZ25, IF(CF24-ABS(CA24 + BZ25)*(1+$V25) &gt;= CA24 + BZ25,
        0, CA24 + BZ25)),
    MIN(CA24 + BZ25, Analysis!$C$7))+IF(CA24&lt;0, CA24*Analysis!$C$9,0)</f>
        <v>-335228.27026415349</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-30853.547464039486</v>
      </c>
      <c r="CJ25" s="1">
        <f>IF(OR($B25&lt;Analysis!$C$100, $B25&gt;=Analysis!$C$130),0,Z25)</f>
        <v>-3960</v>
      </c>
      <c r="CK25" s="1">
        <f t="shared" si="26"/>
        <v>808347.36095810507</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-17851.296009588033</v>
      </c>
      <c r="CQ25" s="1">
        <f>IF(OR($B25&lt;Analysis!$C$100, $B25&gt;=Analysis!$C$101),0,IF($B25=Analysis!$C$100,-CM25-CP25,MIN(0,CQ24-CP25)))</f>
        <v>-95894.311839384143</v>
      </c>
      <c r="CR25" s="64">
        <f>IF(OR($B25&lt;Analysis!$C$100, $B25&gt;=Analysis!$C$101),0,IF($B25=Analysis!$C$100,Analysis!$C$102,IF(($B25-Analysis!$C$100)&lt;LOOKUP(Analysis!$C$100,$B:$B,CN:CN),CR24,0)))</f>
        <v>3.6999999999999998E-2</v>
      </c>
      <c r="CS25" s="1">
        <f>IF(OR($B25&lt;Analysis!$C$100, $B25&gt;=Analysis!$C$101),0,IF($B25=Analysis!$C$100,-CR25*CM25,CR24*CQ24))</f>
        <v>-4208.5874904119701</v>
      </c>
      <c r="CT25" s="1">
        <f>IF(OR($B25&lt;Analysis!$C$100, $B25&gt;=Analysis!$C$101),0,IF($B25=Analysis!$C$100,PMT(CR25,CN25,CM25)*CN25-CU25-CQ25,IF(($B25-Analysis!$C$100+1)&lt;LOOKUP(Analysis!$C$100,$B:$B,CN:CN),IF(CT24-CS25&lt;0, CT24-CS25,0),0)))</f>
        <v>-10575.673229741893</v>
      </c>
      <c r="CU25" s="1">
        <f>IF(OR($B25&lt;Analysis!$C$100, $B25&gt;=Analysis!$C$101),0,IF($B25=Analysis!$C$100,CP25+CS25,IF(CQ24&lt;0,IF(CQ24&gt;LOOKUP(Analysis!$C$100,$B:$B,CU:CU), CQ24*(1+CR24),CU24),0)))</f>
        <v>-22059.883500000004</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33381.896113908871</v>
      </c>
      <c r="DE25" s="1">
        <f t="shared" si="27"/>
        <v>-2425.0420828743154</v>
      </c>
      <c r="DF25" s="64">
        <f>IF(OR($B25&lt;Analysis!$C$100, $B25&gt;=Analysis!$C$101),0,Analysis!$C$118)</f>
        <v>3.0000000000000001E-3</v>
      </c>
      <c r="DG25" s="1">
        <f t="shared" si="28"/>
        <v>-6062.6052071857875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-2024.7640523275916</v>
      </c>
      <c r="DR25" s="1">
        <f t="shared" si="29"/>
        <v>-22772.411342387695</v>
      </c>
      <c r="DS25" s="1">
        <f>MIN(0,-(DB25+DR25)*Analysis!$C$28)-CS25*Analysis!$C$28</f>
        <v>-7.0254383378801322</v>
      </c>
      <c r="DT25" s="1">
        <f>-Analysis!$C$116*DD25/12</f>
        <v>-2781.8246761590726</v>
      </c>
      <c r="DU25" s="53"/>
      <c r="DV25" s="1">
        <f t="shared" si="30"/>
        <v>-103064.2885221584</v>
      </c>
      <c r="DW25" s="64">
        <f>IF(OR($B25&lt;Analysis!$C$100, $B25&gt;=Analysis!$C$101),0,IF($B25=Analysis!$C$100,Analysis!$C$31,DW24))</f>
        <v>0.1275</v>
      </c>
      <c r="DX25" s="1">
        <f>IF(OR($B25&lt;Analysis!$C$100, $B25&gt;=Analysis!$C$101),0,CK25+DV25)</f>
        <v>705283.07243594667</v>
      </c>
      <c r="DY25" s="1">
        <f>IF(OR($B25&lt;Analysis!$C$100, $B25&gt;=Analysis!$C$101),0,IF($B25-Analysis!$C$100&gt;3,0,IF(CK25&gt;LOOKUP(Analysis!$C$100,$B:$B, CK:CK),$V25*(LOOKUP(Analysis!$C$100,$B:$B, CK:CK)-CK25),0)))</f>
        <v>0</v>
      </c>
      <c r="DZ25" s="1">
        <f t="shared" si="49"/>
        <v>705283.07243594667</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-148534.69242092414</v>
      </c>
      <c r="FM25" s="1">
        <f>$M25+$R25+DD25+IF(AND($B25&lt;&gt;Analysis!$C$130,$B25=Analysis!$C$101),DZ24+CQ24+CT24+CZ24,0)</f>
        <v>164849.81935513476</v>
      </c>
      <c r="FN25" s="1">
        <f t="shared" si="34"/>
        <v>16315.126934210624</v>
      </c>
      <c r="FO25" s="1">
        <f>IF(FN25 &lt; 0,
    IF(FO24 + FN25 &gt; 0,
        FO24 + FN25, IF(FT24-ABS(FO24 + FN25)*(1+$V25) &gt;= FO24 + FN25,
        0, FO24 + FN25)),
    MIN(FO24 + FN25, Analysis!$C$7))+IF(FO24&lt;0, FO24*Analysis!$C$9,0)</f>
        <v>24000</v>
      </c>
      <c r="FP25" s="53"/>
      <c r="FQ25" s="1">
        <f t="shared" si="51"/>
        <v>34618.595614441983</v>
      </c>
      <c r="FR25" s="1">
        <f>IF(OR($B25=Analysis!$C$100, $B25=Analysis!$C$130),0,IF(FN25 &gt;= 0,
    MAX(0, FO24 + FN25 - Analysis!$C$7),
    0))</f>
        <v>16315.126934210624</v>
      </c>
      <c r="FS25" s="1">
        <f>IF(OR($B25=Analysis!$C$100, $B25=Analysis!$C$130),0,MAX(0, FS24 + FR25 - IF(FN25 &lt; 0, MIN(ABS(FN25), FS24 + FR25), 0)))</f>
        <v>477835.08955371426</v>
      </c>
      <c r="FT25" s="1">
        <f>IF(OR($B25=Analysis!$C$100, $B25=Analysis!$C$130),0,IF(FN25 &lt; 0,
    IF(FN25 + FO24 &lt; 0,
        MAX(0, FT24 - (ABS(FN25 + FO24) * (1+$V24))),
        FT24 + FQ25),
    FT24 + FR25 + FQ25))</f>
        <v>812321.02136307734</v>
      </c>
      <c r="FU25" s="1">
        <f t="shared" si="57"/>
        <v>724100.35684835783</v>
      </c>
      <c r="FV25" s="36"/>
      <c r="FW25" s="1">
        <f t="shared" si="52"/>
        <v>808347.36095810507</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-17851.296009588033</v>
      </c>
      <c r="GC25" s="1">
        <f>IF($B25&lt;Analysis!$C$159,0,IF($B25=Analysis!$C$159,-FY25-GB25,MIN(0,GC24-GB25)))</f>
        <v>-95894.311839384143</v>
      </c>
      <c r="GD25" s="64">
        <f>IF($B25&lt;Analysis!$C$159,0,IF($B25=Analysis!$C$159,Analysis!$C$160,IF(($B25-Analysis!$C$159)&lt;LOOKUP(Analysis!$C$159,$B:$B,FZ:FZ),GD24,0)))</f>
        <v>3.6999999999999998E-2</v>
      </c>
      <c r="GE25" s="1">
        <f>IF($B25&lt;Analysis!$C$159,0,IF($B25=Analysis!$C$159,-GD25*FY25,GD24*GC24))</f>
        <v>-4208.5874904119701</v>
      </c>
      <c r="GF25" s="1">
        <f>IF($B25&lt;Analysis!$C$159,0,IF($B25=Analysis!$C$159,PMT(GD25,FZ25,FY25)*FZ25-GG25-GC25,IF(($B25-Analysis!$C$159+1)&lt;LOOKUP(Analysis!$C$159,$B:$B,FZ:FZ),IF(GF24-GE25&lt;0, GF24-GE25,0),0)))</f>
        <v>-10575.673229741893</v>
      </c>
      <c r="GG25" s="1">
        <f>IF($B25&lt;Analysis!$C$159,0,IF($B25=Analysis!$C$159,GB25+GE25,IF(GC24&lt;0,IF(GC24&gt;LOOKUP(Analysis!$C$159,$B:$B,GG:GG), GC24*(1+GD24),GG24),0)))</f>
        <v>-22059.883500000004</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33381.896113908871</v>
      </c>
      <c r="GQ25" s="1">
        <f t="shared" si="36"/>
        <v>-2425.0420828743154</v>
      </c>
      <c r="GR25" s="64">
        <f>IF($B25&lt;Analysis!$C$159,0,Analysis!$C$178)</f>
        <v>3.0000000000000001E-3</v>
      </c>
      <c r="GS25" s="1">
        <f t="shared" si="37"/>
        <v>-6062.6052071857875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-2024.7640523275916</v>
      </c>
      <c r="HD25" s="1">
        <f t="shared" si="38"/>
        <v>-22772.411342387695</v>
      </c>
      <c r="HE25" s="1">
        <f>MIN(0,-(GN25+HD25)*Analysis!$C$28)-GE25*Analysis!$C$28</f>
        <v>-7.0254383378801322</v>
      </c>
      <c r="HF25" s="1">
        <f>-Analysis!$C$176*GP25/12</f>
        <v>-2781.8246761590726</v>
      </c>
      <c r="HG25" s="38"/>
      <c r="HH25" s="1">
        <f>IF($B25&lt;Analysis!$C$159,0,-$HI25*$FW25)</f>
        <v>-103064.2885221584</v>
      </c>
      <c r="HI25" s="64">
        <f>IF($B25&lt;Analysis!$C$159,0,IF($B25=Analysis!$C$159,Analysis!$C$31,HI24))</f>
        <v>0.1275</v>
      </c>
      <c r="HJ25" s="1">
        <f>IF($B25&lt;Analysis!$C$159,0,$FW25+HH25)</f>
        <v>705283.07243594667</v>
      </c>
      <c r="HK25" s="1">
        <f>IF($B25-Analysis!$C$159&gt;10,0,IF($FW25&gt;LOOKUP(Analysis!$C$159,$B:$B, FW:FW),$V25*(LOOKUP(Analysis!$C$159,$B:$B, FW:FW)-FW25),0))</f>
        <v>0</v>
      </c>
      <c r="HL25" s="1">
        <f t="shared" si="39"/>
        <v>705283.07243594667</v>
      </c>
      <c r="HM25" s="38"/>
      <c r="HN25" s="1">
        <f t="shared" si="40"/>
        <v>-148534.69242092414</v>
      </c>
      <c r="HO25" s="1">
        <f t="shared" si="8"/>
        <v>164849.81935513476</v>
      </c>
      <c r="HP25" s="1">
        <f t="shared" si="41"/>
        <v>16315.126934210624</v>
      </c>
      <c r="HQ25" s="1">
        <f>IF(HP25 &lt; 0,
    IF(HQ24 + HP25 &gt; 0,
        HQ24 + HP25, IF(HV24-ABS(HQ24 + HP25)*(1+$V25) &gt;= HQ24 + HP25,
        0, HQ24 + HP25)),
    MIN(HQ24 + HP25, Analysis!$C$7))+IF(HQ24&lt;0, HQ24*Analysis!$C$9,0)</f>
        <v>24000</v>
      </c>
      <c r="HR25" s="38"/>
      <c r="HS25" s="1">
        <f t="shared" si="54"/>
        <v>34618.595614441983</v>
      </c>
      <c r="HT25" s="1">
        <f>IF($B25=Analysis!$C$159,0,IF(HP25 &gt;= 0,
    MAX(0, HQ24 + HP25 - Analysis!$C$7),
    0))</f>
        <v>16315.126934210624</v>
      </c>
      <c r="HU25" s="1">
        <f>IF($B25=Analysis!$C$159,0,MAX(0, HU24 + HT25 - IF(HP25 &lt; 0, MIN(ABS(HP25), HU24 + HT25), 0)))</f>
        <v>477835.08955371426</v>
      </c>
      <c r="HV25" s="1">
        <f>IF($B25=Analysis!$C$159,0,IF(HP25 &lt; 0,
    IF(HP25 + HQ24 &lt; 0,
        MAX(0, HV24 - (ABS(HP25 + HQ24) * (1+$V24))),
        HV24 + HS25),
    HV24 + HT25 + HS25))</f>
        <v>812321.02136307734</v>
      </c>
      <c r="HW25" s="1">
        <f t="shared" si="58"/>
        <v>724100.35684835783</v>
      </c>
      <c r="HX25" s="36"/>
    </row>
    <row r="26" spans="1:232" x14ac:dyDescent="0.35">
      <c r="A26">
        <f t="shared" si="0"/>
        <v>59</v>
      </c>
      <c r="B26">
        <v>2049</v>
      </c>
      <c r="C26" s="1">
        <f>IF($B26&lt;Analysis!C$66,0,$AN26)+$AT26+$AW26+$BC26+$CF26+$CA26</f>
        <v>869185.87502454338</v>
      </c>
      <c r="D26" s="1">
        <f>IF($B26&lt;Analysis!C$66, 0, BV26)+AT26+AW26+BC26+CG26+CA26</f>
        <v>692785.97652630624</v>
      </c>
      <c r="E26" s="1">
        <f t="shared" si="1"/>
        <v>1610729.7929070499</v>
      </c>
      <c r="F26" s="1">
        <f t="shared" si="9"/>
        <v>1386869.3198130853</v>
      </c>
      <c r="G26" s="1">
        <f>IF(AND($B26&gt;=Analysis!$C$100, $B26&lt;Analysis!$C$101),$CK26,0)+IF($B26&gt;=Analysis!$C$130,EB26,0)+CQ26+CT26+CZ26+EH26+EK26+EQ26+$FO26+$FT26</f>
        <v>1634495.1294026575</v>
      </c>
      <c r="H26" s="1">
        <f t="shared" si="10"/>
        <v>1430927.1289352076</v>
      </c>
      <c r="I26" s="1">
        <f>IF($B26&lt;Analysis!$C$159,0,$FW26)+$GC26+$GF26+$GL26+$HQ26+$HV26</f>
        <v>1634495.1294026575</v>
      </c>
      <c r="J26" s="1">
        <f t="shared" si="2"/>
        <v>1430927.1289352076</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IF($B26=$B$2,((1+Analysis!$D$16)/(1+$S26))-1,IF(B26&lt;Analysis!$C$13,U25-((Analysis!$D$16-Analysis!$C$17)/(Analysis!$C$13-$B$2)),((1+Analysis!$C$17)/(1+$S25))-1))</f>
        <v>4.3182072829131828E-2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64798.350210187469</v>
      </c>
      <c r="AI26" s="1">
        <f>IF(AE26 &gt;= 0,
    MAX(0, AF25 + AE26 - Analysis!$C$7),
    0)</f>
        <v>21346.918498832296</v>
      </c>
      <c r="AJ26" s="1">
        <f t="shared" si="44"/>
        <v>737969.70534699433</v>
      </c>
      <c r="AK26" s="1">
        <f t="shared" si="20"/>
        <v>1586729.7929070499</v>
      </c>
      <c r="AL26" s="1">
        <f t="shared" si="5"/>
        <v>1362869.3198130853</v>
      </c>
      <c r="AM26" s="36"/>
      <c r="AN26" s="1">
        <f t="shared" si="45"/>
        <v>1383528.6156724484</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-33187.542979536083</v>
      </c>
      <c r="AT26" s="1">
        <f>IF($B26&lt;Analysis!$C$66,0,IF($B26=Analysis!$C$66,-AP26-AS26,MIN(0,AT25-AS26)))</f>
        <v>-138729.70081678615</v>
      </c>
      <c r="AU26" s="64">
        <f>IF($B26&lt;Analysis!$C$66,0,IF($B26=Analysis!$C$66,Analysis!$C$72,IF(($B26-Analysis!$C$66)&lt;LOOKUP(Analysis!$C$66,$B:$B,AQ:AQ),AU25,0)))</f>
        <v>3.6999999999999998E-2</v>
      </c>
      <c r="AV26" s="1">
        <f>IF($B26&lt;Analysis!$C$66,0,IF($B26=Analysis!$C$66,-AU26*AP26,AU25*AT25))</f>
        <v>-6360.9380204639219</v>
      </c>
      <c r="AW26" s="1">
        <f>IF($B26&lt;Analysis!$C$66,0,IF($B26=Analysis!$C$66,PMT(AU26,AQ26,AP26)*AQ26-AX26-AT26,IF(($B26-Analysis!$C$66+1)&lt;LOOKUP(Analysis!$C$66,$B:$B,AQ:AQ),IF(AW25-AV26&lt;0, AW25-AV26,0),0)))</f>
        <v>-12598.899722498447</v>
      </c>
      <c r="AX26" s="1">
        <f>IF($B26&lt;Analysis!$C$66,0,IF($B26=Analysis!$C$66,AS26+AV26,IF(AT25&lt;0,IF(AT25&gt;LOOKUP(Analysis!$C$66,$B:$B,AX:AX), AT25*(1+AU25),AX25),0)))</f>
        <v>-39548.481000000007</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-4150.5858470173453</v>
      </c>
      <c r="BF26" s="64">
        <f>IF($B26&lt;Analysis!$C$66,0,Analysis!$C$78)</f>
        <v>3.0000000000000001E-3</v>
      </c>
      <c r="BG26" s="1">
        <f>IF($B26&lt;Analysis!$C$66,0,-BH26*AN26)</f>
        <v>-10376.464617543363</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-176399.89849823716</v>
      </c>
      <c r="BS26" s="64">
        <f>IF($B26&lt;Analysis!C$66,0,Analysis!C$31)</f>
        <v>0.1275</v>
      </c>
      <c r="BT26" s="1">
        <f>IF($B26&lt;Analysis!$C$66,0,AN26+BR26)</f>
        <v>1207128.7171742113</v>
      </c>
      <c r="BU26" s="1">
        <f>IF($B26-Analysis!$C$66&gt;3,0,IF($AN26&gt;LOOKUP(Analysis!$C$66,$B:$B, AN:AN),$V26*(LOOKUP(Analysis!$C$66,$B:$B, AN:AN)-AN26),0))</f>
        <v>0</v>
      </c>
      <c r="BV26" s="1">
        <f t="shared" si="23"/>
        <v>1207128.7171742113</v>
      </c>
      <c r="BW26" s="42"/>
      <c r="BX26" s="1">
        <f>IF($B26&lt;Analysis!$C$66,$P26+$N26+$X26+$Z26,$P26+$N26+AS26+AV26+BB26+BE26+BG26+MAX(BI26,SUM(BJ26:BN26))+BP26)</f>
        <v>-132435.53146456071</v>
      </c>
      <c r="BY26" s="1">
        <f t="shared" si="24"/>
        <v>131467.92324122589</v>
      </c>
      <c r="BZ26" s="1">
        <f t="shared" si="46"/>
        <v>-967.60822333482793</v>
      </c>
      <c r="CA26" s="1">
        <f>IF(BZ26 &lt; 0,
    IF(CA25 + BZ26 &gt; 0,
        CA25 + BZ26, IF(CF25-ABS(CA25 + BZ26)*(1+$V26) &gt;= CA25 + BZ26,
        0, CA25 + BZ26)),
    MIN(CA25 + BZ26, Analysis!$C$7))+IF(CA25&lt;0, CA25*Analysis!$C$9,0)</f>
        <v>-363014.14010862057</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-31761.00474239359</v>
      </c>
      <c r="CJ26" s="1">
        <f>IF(OR($B26&lt;Analysis!$C$100, $B26&gt;=Analysis!$C$130),0,Z26)</f>
        <v>-3960</v>
      </c>
      <c r="CK26" s="1">
        <f t="shared" si="26"/>
        <v>832122.28333922592</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-18511.793961942789</v>
      </c>
      <c r="CQ26" s="1">
        <f>IF(OR($B26&lt;Analysis!$C$100, $B26&gt;=Analysis!$C$101),0,IF($B26=Analysis!$C$100,-CM26-CP26,MIN(0,CQ25-CP26)))</f>
        <v>-77382.517877441351</v>
      </c>
      <c r="CR26" s="64">
        <f>IF(OR($B26&lt;Analysis!$C$100, $B26&gt;=Analysis!$C$101),0,IF($B26=Analysis!$C$100,Analysis!$C$102,IF(($B26-Analysis!$C$100)&lt;LOOKUP(Analysis!$C$100,$B:$B,CN:CN),CR25,0)))</f>
        <v>3.6999999999999998E-2</v>
      </c>
      <c r="CS26" s="1">
        <f>IF(OR($B26&lt;Analysis!$C$100, $B26&gt;=Analysis!$C$101),0,IF($B26=Analysis!$C$100,-CR26*CM26,CR25*CQ25))</f>
        <v>-3548.0895380572133</v>
      </c>
      <c r="CT26" s="1">
        <f>IF(OR($B26&lt;Analysis!$C$100, $B26&gt;=Analysis!$C$101),0,IF($B26=Analysis!$C$100,PMT(CR26,CN26,CM26)*CN26-CU26-CQ26,IF(($B26-Analysis!$C$100+1)&lt;LOOKUP(Analysis!$C$100,$B:$B,CN:CN),IF(CT25-CS26&lt;0, CT25-CS26,0),0)))</f>
        <v>-7027.5836916846802</v>
      </c>
      <c r="CU26" s="1">
        <f>IF(OR($B26&lt;Analysis!$C$100, $B26&gt;=Analysis!$C$101),0,IF($B26=Analysis!$C$100,CP26+CS26,IF(CQ25&lt;0,IF(CQ25&gt;LOOKUP(Analysis!$C$100,$B:$B,CU:CU), CQ25*(1+CR25),CU25),0)))</f>
        <v>-22059.883500000004</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34247.245999612074</v>
      </c>
      <c r="DE26" s="1">
        <f t="shared" si="27"/>
        <v>-2496.3668500176777</v>
      </c>
      <c r="DF26" s="64">
        <f>IF(OR($B26&lt;Analysis!$C$100, $B26&gt;=Analysis!$C$101),0,Analysis!$C$118)</f>
        <v>3.0000000000000001E-3</v>
      </c>
      <c r="DG26" s="1">
        <f t="shared" si="28"/>
        <v>-6240.9171250441941</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-2084.3159362195797</v>
      </c>
      <c r="DR26" s="1">
        <f t="shared" si="29"/>
        <v>-23081.599911281453</v>
      </c>
      <c r="DS26" s="1">
        <f>MIN(0,-(DB26+DR26)*Analysis!$C$28)-CS26*Analysis!$C$28</f>
        <v>-514.523156183315</v>
      </c>
      <c r="DT26" s="1">
        <f>-Analysis!$C$116*DD26/12</f>
        <v>-2853.9371666343395</v>
      </c>
      <c r="DU26" s="53"/>
      <c r="DV26" s="1">
        <f t="shared" si="30"/>
        <v>-106095.59112575131</v>
      </c>
      <c r="DW26" s="64">
        <f>IF(OR($B26&lt;Analysis!$C$100, $B26&gt;=Analysis!$C$101),0,IF($B26=Analysis!$C$100,Analysis!$C$31,DW25))</f>
        <v>0.1275</v>
      </c>
      <c r="DX26" s="1">
        <f>IF(OR($B26&lt;Analysis!$C$100, $B26&gt;=Analysis!$C$101),0,CK26+DV26)</f>
        <v>726026.69221347466</v>
      </c>
      <c r="DY26" s="1">
        <f>IF(OR($B26&lt;Analysis!$C$100, $B26&gt;=Analysis!$C$101),0,IF($B26-Analysis!$C$100&gt;3,0,IF(CK26&gt;LOOKUP(Analysis!$C$100,$B:$B, CK:CK),$V26*(LOOKUP(Analysis!$C$100,$B:$B, CK:CK)-CK26),0)))</f>
        <v>0</v>
      </c>
      <c r="DZ26" s="1">
        <f t="shared" si="49"/>
        <v>726026.69221347466</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-150330.94847649269</v>
      </c>
      <c r="FM26" s="1">
        <f>$M26+$R26+DD26+IF(AND($B26&lt;&gt;Analysis!$C$130,$B26=Analysis!$C$101),DZ25+CQ25+CT25+CZ25,0)</f>
        <v>165715.16924083797</v>
      </c>
      <c r="FN26" s="1">
        <f t="shared" si="34"/>
        <v>15384.220764345286</v>
      </c>
      <c r="FO26" s="1">
        <f>IF(FN26 &lt; 0,
    IF(FO25 + FN26 &gt; 0,
        FO25 + FN26, IF(FT25-ABS(FO25 + FN26)*(1+$V26) &gt;= FO25 + FN26,
        0, FO25 + FN26)),
    MIN(FO25 + FN26, Analysis!$C$7))+IF(FO25&lt;0, FO25*Analysis!$C$9,0)</f>
        <v>24000</v>
      </c>
      <c r="FP26" s="53"/>
      <c r="FQ26" s="1">
        <f t="shared" si="51"/>
        <v>35077.705505135156</v>
      </c>
      <c r="FR26" s="1">
        <f>IF(OR($B26=Analysis!$C$100, $B26=Analysis!$C$130),0,IF(FN26 &gt;= 0,
    MAX(0, FO25 + FN26 - Analysis!$C$7),
    0))</f>
        <v>15384.220764345286</v>
      </c>
      <c r="FS26" s="1">
        <f>IF(OR($B26=Analysis!$C$100, $B26=Analysis!$C$130),0,MAX(0, FS25 + FR26 - IF(FN26 &lt; 0, MIN(ABS(FN26), FS25 + FR26), 0)))</f>
        <v>493219.31031805952</v>
      </c>
      <c r="FT26" s="1">
        <f>IF(OR($B26=Analysis!$C$100, $B26=Analysis!$C$130),0,IF(FN26 &lt; 0,
    IF(FN26 + FO25 &lt; 0,
        MAX(0, FT25 - (ABS(FN26 + FO25) * (1+$V25))),
        FT25 + FQ26),
    FT25 + FR26 + FQ26))</f>
        <v>862782.94763255771</v>
      </c>
      <c r="FU26" s="1">
        <f t="shared" si="57"/>
        <v>765310.53829085885</v>
      </c>
      <c r="FV26" s="36"/>
      <c r="FW26" s="1">
        <f t="shared" si="52"/>
        <v>832122.28333922592</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-18511.793961942789</v>
      </c>
      <c r="GC26" s="1">
        <f>IF($B26&lt;Analysis!$C$159,0,IF($B26=Analysis!$C$159,-FY26-GB26,MIN(0,GC25-GB26)))</f>
        <v>-77382.517877441351</v>
      </c>
      <c r="GD26" s="64">
        <f>IF($B26&lt;Analysis!$C$159,0,IF($B26=Analysis!$C$159,Analysis!$C$160,IF(($B26-Analysis!$C$159)&lt;LOOKUP(Analysis!$C$159,$B:$B,FZ:FZ),GD25,0)))</f>
        <v>3.6999999999999998E-2</v>
      </c>
      <c r="GE26" s="1">
        <f>IF($B26&lt;Analysis!$C$159,0,IF($B26=Analysis!$C$159,-GD26*FY26,GD25*GC25))</f>
        <v>-3548.0895380572133</v>
      </c>
      <c r="GF26" s="1">
        <f>IF($B26&lt;Analysis!$C$159,0,IF($B26=Analysis!$C$159,PMT(GD26,FZ26,FY26)*FZ26-GG26-GC26,IF(($B26-Analysis!$C$159+1)&lt;LOOKUP(Analysis!$C$159,$B:$B,FZ:FZ),IF(GF25-GE26&lt;0, GF25-GE26,0),0)))</f>
        <v>-7027.5836916846802</v>
      </c>
      <c r="GG26" s="1">
        <f>IF($B26&lt;Analysis!$C$159,0,IF($B26=Analysis!$C$159,GB26+GE26,IF(GC25&lt;0,IF(GC25&gt;LOOKUP(Analysis!$C$159,$B:$B,GG:GG), GC25*(1+GD25),GG25),0)))</f>
        <v>-22059.883500000004</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34247.245999612074</v>
      </c>
      <c r="GQ26" s="1">
        <f t="shared" si="36"/>
        <v>-2496.3668500176777</v>
      </c>
      <c r="GR26" s="64">
        <f>IF($B26&lt;Analysis!$C$159,0,Analysis!$C$178)</f>
        <v>3.0000000000000001E-3</v>
      </c>
      <c r="GS26" s="1">
        <f t="shared" si="37"/>
        <v>-6240.9171250441941</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-2084.3159362195797</v>
      </c>
      <c r="HD26" s="1">
        <f t="shared" si="38"/>
        <v>-23081.599911281453</v>
      </c>
      <c r="HE26" s="1">
        <f>MIN(0,-(GN26+HD26)*Analysis!$C$28)-GE26*Analysis!$C$28</f>
        <v>-514.523156183315</v>
      </c>
      <c r="HF26" s="1">
        <f>-Analysis!$C$176*GP26/12</f>
        <v>-2853.9371666343395</v>
      </c>
      <c r="HG26" s="38"/>
      <c r="HH26" s="1">
        <f>IF($B26&lt;Analysis!$C$159,0,-$HI26*$FW26)</f>
        <v>-106095.59112575131</v>
      </c>
      <c r="HI26" s="64">
        <f>IF($B26&lt;Analysis!$C$159,0,IF($B26=Analysis!$C$159,Analysis!$C$31,HI25))</f>
        <v>0.1275</v>
      </c>
      <c r="HJ26" s="1">
        <f>IF($B26&lt;Analysis!$C$159,0,$FW26+HH26)</f>
        <v>726026.69221347466</v>
      </c>
      <c r="HK26" s="1">
        <f>IF($B26-Analysis!$C$159&gt;10,0,IF($FW26&gt;LOOKUP(Analysis!$C$159,$B:$B, FW:FW),$V26*(LOOKUP(Analysis!$C$159,$B:$B, FW:FW)-FW26),0))</f>
        <v>0</v>
      </c>
      <c r="HL26" s="1">
        <f t="shared" si="39"/>
        <v>726026.69221347466</v>
      </c>
      <c r="HM26" s="38"/>
      <c r="HN26" s="1">
        <f t="shared" si="40"/>
        <v>-150330.94847649269</v>
      </c>
      <c r="HO26" s="1">
        <f t="shared" si="8"/>
        <v>165715.16924083797</v>
      </c>
      <c r="HP26" s="1">
        <f t="shared" si="41"/>
        <v>15384.220764345286</v>
      </c>
      <c r="HQ26" s="1">
        <f>IF(HP26 &lt; 0,
    IF(HQ25 + HP26 &gt; 0,
        HQ25 + HP26, IF(HV25-ABS(HQ25 + HP26)*(1+$V26) &gt;= HQ25 + HP26,
        0, HQ25 + HP26)),
    MIN(HQ25 + HP26, Analysis!$C$7))+IF(HQ25&lt;0, HQ25*Analysis!$C$9,0)</f>
        <v>24000</v>
      </c>
      <c r="HR26" s="38"/>
      <c r="HS26" s="1">
        <f t="shared" si="54"/>
        <v>35077.705505135156</v>
      </c>
      <c r="HT26" s="1">
        <f>IF($B26=Analysis!$C$159,0,IF(HP26 &gt;= 0,
    MAX(0, HQ25 + HP26 - Analysis!$C$7),
    0))</f>
        <v>15384.220764345286</v>
      </c>
      <c r="HU26" s="1">
        <f>IF($B26=Analysis!$C$159,0,MAX(0, HU25 + HT26 - IF(HP26 &lt; 0, MIN(ABS(HP26), HU25 + HT26), 0)))</f>
        <v>493219.31031805952</v>
      </c>
      <c r="HV26" s="1">
        <f>IF($B26=Analysis!$C$159,0,IF(HP26 &lt; 0,
    IF(HP26 + HQ25 &lt; 0,
        MAX(0, HV25 - (ABS(HP26 + HQ25) * (1+$V25))),
        HV25 + HS26),
    HV25 + HT26 + HS26))</f>
        <v>862782.94763255771</v>
      </c>
      <c r="HW26" s="1">
        <f t="shared" si="58"/>
        <v>765310.53829085885</v>
      </c>
      <c r="HX26" s="36"/>
    </row>
    <row r="27" spans="1:232" x14ac:dyDescent="0.35">
      <c r="A27">
        <f t="shared" si="0"/>
        <v>60</v>
      </c>
      <c r="B27">
        <v>2050</v>
      </c>
      <c r="C27" s="1">
        <f>IF($B27&lt;Analysis!C$66,0,$AN27)+$AT27+$AW27+$BC27+$CF27+$CA27</f>
        <v>918990.36851039785</v>
      </c>
      <c r="D27" s="1">
        <f>IF($B27&lt;Analysis!C$66, 0, BV27)+AT27+AW27+BC27+CG27+CA27</f>
        <v>737402.23770338902</v>
      </c>
      <c r="E27" s="1">
        <f t="shared" si="1"/>
        <v>1696034.0347298258</v>
      </c>
      <c r="F27" s="1">
        <f t="shared" si="9"/>
        <v>1455058.436285618</v>
      </c>
      <c r="G27" s="1">
        <f>IF(AND($B27&gt;=Analysis!$C$100, $B27&lt;Analysis!$C$101),$CK27,0)+IF($B27&gt;=Analysis!$C$130,EB27,0)+CQ27+CT27+CZ27+EH27+EK27+EQ27+$FO27+$FT27</f>
        <v>1730737.5926561814</v>
      </c>
      <c r="H27" s="1">
        <f t="shared" si="10"/>
        <v>1514742.7990727187</v>
      </c>
      <c r="I27" s="1">
        <f>IF($B27&lt;Analysis!$C$159,0,$FW27)+$GC27+$GF27+$GL27+$HQ27+$HV27</f>
        <v>1730737.5926561814</v>
      </c>
      <c r="J27" s="1">
        <f t="shared" si="2"/>
        <v>1514742.7990727187</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IF($B27=$B$2,((1+Analysis!$D$16)/(1+$S27))-1,IF(B27&lt;Analysis!$C$13,U26-((Analysis!$D$16-Analysis!$C$17)/(Analysis!$C$13-$B$2)),((1+Analysis!$C$17)/(1+$S26))-1))</f>
        <v>4.0896358543417541E-2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64891.470522249372</v>
      </c>
      <c r="AI27" s="1">
        <f>IF(AE27 &gt;= 0,
    MAX(0, AF26 + AE27 - Analysis!$C$7),
    0)</f>
        <v>20412.771300526598</v>
      </c>
      <c r="AJ27" s="1">
        <f t="shared" si="44"/>
        <v>758382.4766475209</v>
      </c>
      <c r="AK27" s="1">
        <f t="shared" si="20"/>
        <v>1672034.0347298258</v>
      </c>
      <c r="AL27" s="1">
        <f t="shared" si="5"/>
        <v>1431058.436285618</v>
      </c>
      <c r="AM27" s="36"/>
      <c r="AN27" s="1">
        <f t="shared" si="45"/>
        <v>1424220.6337804617</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-34415.482069778918</v>
      </c>
      <c r="AT27" s="1">
        <f>IF($B27&lt;Analysis!$C$66,0,IF($B27=Analysis!$C$66,-AP27-AS27,MIN(0,AT26-AS27)))</f>
        <v>-104314.21874700722</v>
      </c>
      <c r="AU27" s="64">
        <f>IF($B27&lt;Analysis!$C$66,0,IF($B27=Analysis!$C$66,Analysis!$C$72,IF(($B27-Analysis!$C$66)&lt;LOOKUP(Analysis!$C$66,$B:$B,AQ:AQ),AU26,0)))</f>
        <v>3.6999999999999998E-2</v>
      </c>
      <c r="AV27" s="1">
        <f>IF($B27&lt;Analysis!$C$66,0,IF($B27=Analysis!$C$66,-AU27*AP27,AU26*AT26))</f>
        <v>-5132.998930221087</v>
      </c>
      <c r="AW27" s="1">
        <f>IF($B27&lt;Analysis!$C$66,0,IF($B27=Analysis!$C$66,PMT(AU27,AQ27,AP27)*AQ27-AX27-AT27,IF(($B27-Analysis!$C$66+1)&lt;LOOKUP(Analysis!$C$66,$B:$B,AQ:AQ),IF(AW26-AV27&lt;0, AW26-AV27,0),0)))</f>
        <v>-7465.9007922773599</v>
      </c>
      <c r="AX27" s="1">
        <f>IF($B27&lt;Analysis!$C$66,0,IF($B27=Analysis!$C$66,AS27+AV27,IF(AT26&lt;0,IF(AT26&gt;LOOKUP(Analysis!$C$66,$B:$B,AX:AX), AT26*(1+AU26),AX26),0)))</f>
        <v>-39548.481000000007</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-4272.6619013413856</v>
      </c>
      <c r="BF27" s="64">
        <f>IF($B27&lt;Analysis!$C$66,0,Analysis!$C$78)</f>
        <v>3.0000000000000001E-3</v>
      </c>
      <c r="BG27" s="1">
        <f>IF($B27&lt;Analysis!$C$66,0,-BH27*AN27)</f>
        <v>-10681.654753353463</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-181588.13080700889</v>
      </c>
      <c r="BS27" s="64">
        <f>IF($B27&lt;Analysis!C$66,0,Analysis!C$31)</f>
        <v>0.1275</v>
      </c>
      <c r="BT27" s="1">
        <f>IF($B27&lt;Analysis!$C$66,0,AN27+BR27)</f>
        <v>1242632.5029734529</v>
      </c>
      <c r="BU27" s="1">
        <f>IF($B27-Analysis!$C$66&gt;3,0,IF($AN27&gt;LOOKUP(Analysis!$C$66,$B:$B, AN:AN),$V27*(LOOKUP(Analysis!$C$66,$B:$B, AN:AN)-AN27),0))</f>
        <v>0</v>
      </c>
      <c r="BV27" s="1">
        <f t="shared" si="23"/>
        <v>1242632.5029734529</v>
      </c>
      <c r="BW27" s="42"/>
      <c r="BX27" s="1">
        <f>IF($B27&lt;Analysis!$C$66,$P27+$N27+$X27+$Z27,$P27+$N27+AS27+AV27+BB27+BE27+BG27+MAX(BI27,SUM(BJ27:BN27))+BP27)</f>
        <v>-132862.79765469488</v>
      </c>
      <c r="BY27" s="1">
        <f t="shared" si="24"/>
        <v>131467.92324122589</v>
      </c>
      <c r="BZ27" s="1">
        <f t="shared" si="46"/>
        <v>-1394.8744134689914</v>
      </c>
      <c r="CA27" s="1">
        <f>IF(BZ27 &lt; 0,
    IF(CA26 + BZ27 &gt; 0,
        CA26 + BZ27, IF(CF26-ABS(CA26 + BZ27)*(1+$V27) &gt;= CA26 + BZ27,
        0, CA26 + BZ27)),
    MIN(CA26 + BZ27, Analysis!$C$7))+IF(CA26&lt;0, CA26*Analysis!$C$9,0)</f>
        <v>-393450.14573077922</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-32695.151940699288</v>
      </c>
      <c r="CJ27" s="1">
        <f>IF(OR($B27&lt;Analysis!$C$100, $B27&gt;=Analysis!$C$130),0,Z27)</f>
        <v>-3960</v>
      </c>
      <c r="CK27" s="1">
        <f t="shared" si="26"/>
        <v>856596.46814332088</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-19196.730338534675</v>
      </c>
      <c r="CQ27" s="1">
        <f>IF(OR($B27&lt;Analysis!$C$100, $B27&gt;=Analysis!$C$101),0,IF($B27=Analysis!$C$100,-CM27-CP27,MIN(0,CQ26-CP27)))</f>
        <v>-58185.787538906676</v>
      </c>
      <c r="CR27" s="64">
        <f>IF(OR($B27&lt;Analysis!$C$100, $B27&gt;=Analysis!$C$101),0,IF($B27=Analysis!$C$100,Analysis!$C$102,IF(($B27-Analysis!$C$100)&lt;LOOKUP(Analysis!$C$100,$B:$B,CN:CN),CR26,0)))</f>
        <v>3.6999999999999998E-2</v>
      </c>
      <c r="CS27" s="1">
        <f>IF(OR($B27&lt;Analysis!$C$100, $B27&gt;=Analysis!$C$101),0,IF($B27=Analysis!$C$100,-CR27*CM27,CR26*CQ26))</f>
        <v>-2863.15316146533</v>
      </c>
      <c r="CT27" s="1">
        <f>IF(OR($B27&lt;Analysis!$C$100, $B27&gt;=Analysis!$C$101),0,IF($B27=Analysis!$C$100,PMT(CR27,CN27,CM27)*CN27-CU27-CQ27,IF(($B27-Analysis!$C$100+1)&lt;LOOKUP(Analysis!$C$100,$B:$B,CN:CN),IF(CT26-CS27&lt;0, CT26-CS27,0),0)))</f>
        <v>-4164.4305302193497</v>
      </c>
      <c r="CU27" s="1">
        <f>IF(OR($B27&lt;Analysis!$C$100, $B27&gt;=Analysis!$C$101),0,IF($B27=Analysis!$C$100,CP27+CS27,IF(CQ26&lt;0,IF(CQ26&gt;LOOKUP(Analysis!$C$100,$B:$B,CU:CU), CQ26*(1+CR26),CU26),0)))</f>
        <v>-22059.883500000004</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35138.047352541849</v>
      </c>
      <c r="DE27" s="1">
        <f t="shared" si="27"/>
        <v>-2569.7894044299628</v>
      </c>
      <c r="DF27" s="64">
        <f>IF(OR($B27&lt;Analysis!$C$100, $B27&gt;=Analysis!$C$101),0,Analysis!$C$118)</f>
        <v>3.0000000000000001E-3</v>
      </c>
      <c r="DG27" s="1">
        <f t="shared" si="28"/>
        <v>-6424.4735110749061</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-2145.6193461083913</v>
      </c>
      <c r="DR27" s="1">
        <f t="shared" si="29"/>
        <v>-23399.88226161326</v>
      </c>
      <c r="DS27" s="1">
        <f>MIN(0,-(DB27+DR27)*Analysis!$C$28)-CS27*Analysis!$C$28</f>
        <v>-1039.1681008422524</v>
      </c>
      <c r="DT27" s="1">
        <f>-Analysis!$C$116*DD27/12</f>
        <v>-2928.1706127118209</v>
      </c>
      <c r="DU27" s="53"/>
      <c r="DV27" s="1">
        <f t="shared" si="30"/>
        <v>-109216.04968827342</v>
      </c>
      <c r="DW27" s="64">
        <f>IF(OR($B27&lt;Analysis!$C$100, $B27&gt;=Analysis!$C$101),0,IF($B27=Analysis!$C$100,Analysis!$C$31,DW26))</f>
        <v>0.1275</v>
      </c>
      <c r="DX27" s="1">
        <f>IF(OR($B27&lt;Analysis!$C$100, $B27&gt;=Analysis!$C$101),0,CK27+DV27)</f>
        <v>747380.41845504742</v>
      </c>
      <c r="DY27" s="1">
        <f>IF(OR($B27&lt;Analysis!$C$100, $B27&gt;=Analysis!$C$101),0,IF($B27-Analysis!$C$100&gt;3,0,IF(CK27&gt;LOOKUP(Analysis!$C$100,$B:$B, CK:CK),$V27*(LOOKUP(Analysis!$C$100,$B:$B, CK:CK)-CK27),0)))</f>
        <v>0</v>
      </c>
      <c r="DZ27" s="1">
        <f t="shared" si="49"/>
        <v>747380.41845504742</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-152182.25641586661</v>
      </c>
      <c r="FM27" s="1">
        <f>$M27+$R27+DD27+IF(AND($B27&lt;&gt;Analysis!$C$130,$B27=Analysis!$C$101),DZ26+CQ26+CT26+CZ26,0)</f>
        <v>166605.97059376774</v>
      </c>
      <c r="FN27" s="1">
        <f t="shared" si="34"/>
        <v>14423.714177901129</v>
      </c>
      <c r="FO27" s="1">
        <f>IF(FN27 &lt; 0,
    IF(FO26 + FN27 &gt; 0,
        FO26 + FN27, IF(FT26-ABS(FO26 + FN27)*(1+$V27) &gt;= FO26 + FN27,
        0, FO26 + FN27)),
    MIN(FO26 + FN27, Analysis!$C$7))+IF(FO26&lt;0, FO26*Analysis!$C$9,0)</f>
        <v>24000</v>
      </c>
      <c r="FP27" s="53"/>
      <c r="FQ27" s="1">
        <f t="shared" si="51"/>
        <v>35284.680771527717</v>
      </c>
      <c r="FR27" s="1">
        <f>IF(OR($B27=Analysis!$C$100, $B27=Analysis!$C$130),0,IF(FN27 &gt;= 0,
    MAX(0, FO26 + FN27 - Analysis!$C$7),
    0))</f>
        <v>14423.714177901129</v>
      </c>
      <c r="FS27" s="1">
        <f>IF(OR($B27=Analysis!$C$100, $B27=Analysis!$C$130),0,MAX(0, FS26 + FR27 - IF(FN27 &lt; 0, MIN(ABS(FN27), FS26 + FR27), 0)))</f>
        <v>507643.02449596068</v>
      </c>
      <c r="FT27" s="1">
        <f>IF(OR($B27=Analysis!$C$100, $B27=Analysis!$C$130),0,IF(FN27 &lt; 0,
    IF(FN27 + FO26 &lt; 0,
        MAX(0, FT26 - (ABS(FN27 + FO26) * (1+$V26))),
        FT26 + FQ27),
    FT26 + FR27 + FQ27))</f>
        <v>912491.34258198657</v>
      </c>
      <c r="FU27" s="1">
        <f t="shared" si="57"/>
        <v>805712.5986867972</v>
      </c>
      <c r="FV27" s="36"/>
      <c r="FW27" s="1">
        <f t="shared" si="52"/>
        <v>856596.46814332088</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-19196.730338534675</v>
      </c>
      <c r="GC27" s="1">
        <f>IF($B27&lt;Analysis!$C$159,0,IF($B27=Analysis!$C$159,-FY27-GB27,MIN(0,GC26-GB27)))</f>
        <v>-58185.787538906676</v>
      </c>
      <c r="GD27" s="64">
        <f>IF($B27&lt;Analysis!$C$159,0,IF($B27=Analysis!$C$159,Analysis!$C$160,IF(($B27-Analysis!$C$159)&lt;LOOKUP(Analysis!$C$159,$B:$B,FZ:FZ),GD26,0)))</f>
        <v>3.6999999999999998E-2</v>
      </c>
      <c r="GE27" s="1">
        <f>IF($B27&lt;Analysis!$C$159,0,IF($B27=Analysis!$C$159,-GD27*FY27,GD26*GC26))</f>
        <v>-2863.15316146533</v>
      </c>
      <c r="GF27" s="1">
        <f>IF($B27&lt;Analysis!$C$159,0,IF($B27=Analysis!$C$159,PMT(GD27,FZ27,FY27)*FZ27-GG27-GC27,IF(($B27-Analysis!$C$159+1)&lt;LOOKUP(Analysis!$C$159,$B:$B,FZ:FZ),IF(GF26-GE27&lt;0, GF26-GE27,0),0)))</f>
        <v>-4164.4305302193497</v>
      </c>
      <c r="GG27" s="1">
        <f>IF($B27&lt;Analysis!$C$159,0,IF($B27=Analysis!$C$159,GB27+GE27,IF(GC26&lt;0,IF(GC26&gt;LOOKUP(Analysis!$C$159,$B:$B,GG:GG), GC26*(1+GD26),GG26),0)))</f>
        <v>-22059.883500000004</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35138.047352541849</v>
      </c>
      <c r="GQ27" s="1">
        <f t="shared" si="36"/>
        <v>-2569.7894044299628</v>
      </c>
      <c r="GR27" s="64">
        <f>IF($B27&lt;Analysis!$C$159,0,Analysis!$C$178)</f>
        <v>3.0000000000000001E-3</v>
      </c>
      <c r="GS27" s="1">
        <f t="shared" si="37"/>
        <v>-6424.4735110749061</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-2145.6193461083913</v>
      </c>
      <c r="HD27" s="1">
        <f t="shared" si="38"/>
        <v>-23399.88226161326</v>
      </c>
      <c r="HE27" s="1">
        <f>MIN(0,-(GN27+HD27)*Analysis!$C$28)-GE27*Analysis!$C$28</f>
        <v>-1039.1681008422524</v>
      </c>
      <c r="HF27" s="1">
        <f>-Analysis!$C$176*GP27/12</f>
        <v>-2928.1706127118209</v>
      </c>
      <c r="HG27" s="38"/>
      <c r="HH27" s="1">
        <f>IF($B27&lt;Analysis!$C$159,0,-$HI27*$FW27)</f>
        <v>-109216.04968827342</v>
      </c>
      <c r="HI27" s="64">
        <f>IF($B27&lt;Analysis!$C$159,0,IF($B27=Analysis!$C$159,Analysis!$C$31,HI26))</f>
        <v>0.1275</v>
      </c>
      <c r="HJ27" s="1">
        <f>IF($B27&lt;Analysis!$C$159,0,$FW27+HH27)</f>
        <v>747380.41845504742</v>
      </c>
      <c r="HK27" s="1">
        <f>IF($B27-Analysis!$C$159&gt;10,0,IF($FW27&gt;LOOKUP(Analysis!$C$159,$B:$B, FW:FW),$V27*(LOOKUP(Analysis!$C$159,$B:$B, FW:FW)-FW27),0))</f>
        <v>0</v>
      </c>
      <c r="HL27" s="1">
        <f t="shared" si="39"/>
        <v>747380.41845504742</v>
      </c>
      <c r="HM27" s="38"/>
      <c r="HN27" s="1">
        <f t="shared" si="40"/>
        <v>-152182.25641586661</v>
      </c>
      <c r="HO27" s="1">
        <f t="shared" si="8"/>
        <v>166605.97059376774</v>
      </c>
      <c r="HP27" s="1">
        <f t="shared" si="41"/>
        <v>14423.714177901129</v>
      </c>
      <c r="HQ27" s="1">
        <f>IF(HP27 &lt; 0,
    IF(HQ26 + HP27 &gt; 0,
        HQ26 + HP27, IF(HV26-ABS(HQ26 + HP27)*(1+$V27) &gt;= HQ26 + HP27,
        0, HQ26 + HP27)),
    MIN(HQ26 + HP27, Analysis!$C$7))+IF(HQ26&lt;0, HQ26*Analysis!$C$9,0)</f>
        <v>24000</v>
      </c>
      <c r="HR27" s="38"/>
      <c r="HS27" s="1">
        <f t="shared" si="54"/>
        <v>35284.680771527717</v>
      </c>
      <c r="HT27" s="1">
        <f>IF($B27=Analysis!$C$159,0,IF(HP27 &gt;= 0,
    MAX(0, HQ26 + HP27 - Analysis!$C$7),
    0))</f>
        <v>14423.714177901129</v>
      </c>
      <c r="HU27" s="1">
        <f>IF($B27=Analysis!$C$159,0,MAX(0, HU26 + HT27 - IF(HP27 &lt; 0, MIN(ABS(HP27), HU26 + HT27), 0)))</f>
        <v>507643.02449596068</v>
      </c>
      <c r="HV27" s="1">
        <f>IF($B27=Analysis!$C$159,0,IF(HP27 &lt; 0,
    IF(HP27 + HQ26 &lt; 0,
        MAX(0, HV26 - (ABS(HP27 + HQ26) * (1+$V26))),
        HV26 + HS27),
    HV26 + HT27 + HS27))</f>
        <v>912491.34258198657</v>
      </c>
      <c r="HW27" s="1">
        <f t="shared" si="58"/>
        <v>805712.5986867972</v>
      </c>
      <c r="HX27" s="36"/>
    </row>
    <row r="28" spans="1:232" x14ac:dyDescent="0.35">
      <c r="A28">
        <f t="shared" si="0"/>
        <v>61</v>
      </c>
      <c r="B28">
        <v>2051</v>
      </c>
      <c r="C28" s="1">
        <f>IF($B28&lt;Analysis!C$66,0,$AN28)+$AT28+$AW28+$BC28+$CF28+$CA28</f>
        <v>980316.97276569519</v>
      </c>
      <c r="D28" s="1">
        <f>IF($B28&lt;Analysis!C$66, 0, BV28)+AT28+AW28+BC28+CG28+CA28</f>
        <v>793388.01458200964</v>
      </c>
      <c r="E28" s="1">
        <f t="shared" si="1"/>
        <v>1793243.495216175</v>
      </c>
      <c r="F28" s="1">
        <f t="shared" si="9"/>
        <v>1535240.642166137</v>
      </c>
      <c r="G28" s="1">
        <f>IF(AND($B28&gt;=Analysis!$C$100, $B28&lt;Analysis!$C$101),$CK28,0)+IF($B28&gt;=Analysis!$C$130,EB28,0)+CQ28+CT28+CZ28+EH28+EK28+EQ28+$FO28+$FT28</f>
        <v>1839856.0229456965</v>
      </c>
      <c r="H28" s="1">
        <f t="shared" si="10"/>
        <v>1611356.5846215503</v>
      </c>
      <c r="I28" s="1">
        <f>IF($B28&lt;Analysis!$C$159,0,$FW28)+$GC28+$GF28+$GL28+$HQ28+$HV28</f>
        <v>1839856.0229456965</v>
      </c>
      <c r="J28" s="1">
        <f t="shared" si="2"/>
        <v>1611356.5846215503</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IF($B28=$B$2,((1+Analysis!$D$16)/(1+$S28))-1,IF(B28&lt;Analysis!$C$13,U27-((Analysis!$D$16-Analysis!$C$17)/(Analysis!$C$13-$B$2)),((1+Analysis!$C$17)/(1+$S27))-1))</f>
        <v>3.8610644257703254E-2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64558.311301725553</v>
      </c>
      <c r="AI28" s="1">
        <f>IF(AE28 &gt;= 0,
    MAX(0, AF27 + AE28 - Analysis!$C$7),
    0)</f>
        <v>32651.149184623675</v>
      </c>
      <c r="AJ28" s="1">
        <f t="shared" si="44"/>
        <v>791033.62583214464</v>
      </c>
      <c r="AK28" s="1">
        <f t="shared" si="20"/>
        <v>1769243.495216175</v>
      </c>
      <c r="AL28" s="1">
        <f t="shared" si="5"/>
        <v>1511240.642166137</v>
      </c>
      <c r="AM28" s="36"/>
      <c r="AN28" s="1">
        <f t="shared" si="45"/>
        <v>1466109.4759504755</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-35688.854906360742</v>
      </c>
      <c r="AT28" s="1">
        <f>IF($B28&lt;Analysis!$C$66,0,IF($B28=Analysis!$C$66,-AP28-AS28,MIN(0,AT27-AS28)))</f>
        <v>-68625.363840646489</v>
      </c>
      <c r="AU28" s="64">
        <f>IF($B28&lt;Analysis!$C$66,0,IF($B28=Analysis!$C$66,Analysis!$C$72,IF(($B28-Analysis!$C$66)&lt;LOOKUP(Analysis!$C$66,$B:$B,AQ:AQ),AU27,0)))</f>
        <v>3.6999999999999998E-2</v>
      </c>
      <c r="AV28" s="1">
        <f>IF($B28&lt;Analysis!$C$66,0,IF($B28=Analysis!$C$66,-AU28*AP28,AU27*AT27))</f>
        <v>-3859.6260936392673</v>
      </c>
      <c r="AW28" s="1">
        <f>IF($B28&lt;Analysis!$C$66,0,IF($B28=Analysis!$C$66,PMT(AU28,AQ28,AP28)*AQ28-AX28-AT28,IF(($B28-Analysis!$C$66+1)&lt;LOOKUP(Analysis!$C$66,$B:$B,AQ:AQ),IF(AW27-AV28&lt;0, AW27-AV28,0),0)))</f>
        <v>-3606.2746986380926</v>
      </c>
      <c r="AX28" s="1">
        <f>IF($B28&lt;Analysis!$C$66,0,IF($B28=Analysis!$C$66,AS28+AV28,IF(AT27&lt;0,IF(AT27&gt;LOOKUP(Analysis!$C$66,$B:$B,AX:AX), AT27*(1+AU27),AX27),0)))</f>
        <v>-39548.481000000007</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-4398.3284278514266</v>
      </c>
      <c r="BF28" s="64">
        <f>IF($B28&lt;Analysis!$C$66,0,Analysis!$C$78)</f>
        <v>3.0000000000000001E-3</v>
      </c>
      <c r="BG28" s="1">
        <f>IF($B28&lt;Analysis!$C$66,0,-BH28*AN28)</f>
        <v>-10995.821069628566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-186928.95818368564</v>
      </c>
      <c r="BS28" s="64">
        <f>IF($B28&lt;Analysis!C$66,0,Analysis!C$31)</f>
        <v>0.1275</v>
      </c>
      <c r="BT28" s="1">
        <f>IF($B28&lt;Analysis!$C$66,0,AN28+BR28)</f>
        <v>1279180.51776679</v>
      </c>
      <c r="BU28" s="1">
        <f>IF($B28-Analysis!$C$66&gt;3,0,IF($AN28&gt;LOOKUP(Analysis!$C$66,$B:$B, AN:AN),$V28*(LOOKUP(Analysis!$C$66,$B:$B, AN:AN)-AN28),0))</f>
        <v>0</v>
      </c>
      <c r="BV28" s="1">
        <f t="shared" si="23"/>
        <v>1279180.51776679</v>
      </c>
      <c r="BW28" s="42"/>
      <c r="BX28" s="1">
        <f>IF($B28&lt;Analysis!$C$66,$P28+$N28+$X28+$Z28,$P28+$N28+AS28+AV28+BB28+BE28+BG28+MAX(BI28,SUM(BJ28:BN28))+BP28)</f>
        <v>-120102.63049748</v>
      </c>
      <c r="BY28" s="1">
        <f t="shared" si="24"/>
        <v>131467.92324122589</v>
      </c>
      <c r="BZ28" s="1">
        <f t="shared" si="46"/>
        <v>11365.292743745886</v>
      </c>
      <c r="CA28" s="1">
        <f>IF(BZ28 &lt; 0,
    IF(CA27 + BZ28 &gt; 0,
        CA27 + BZ28, IF(CF27-ABS(CA27 + BZ28)*(1+$V28) &gt;= CA27 + BZ28,
        0, CA27 + BZ28)),
    MIN(CA27 + BZ28, Analysis!$C$7))+IF(CA27&lt;0, CA27*Analysis!$C$9,0)</f>
        <v>-413560.86464549566</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-33656.774056602211</v>
      </c>
      <c r="CJ28" s="1">
        <f>IF(OR($B28&lt;Analysis!$C$100, $B28&gt;=Analysis!$C$130),0,Z28)</f>
        <v>-3960</v>
      </c>
      <c r="CK28" s="1">
        <f t="shared" si="26"/>
        <v>881790.48191224213</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-19907.009361060456</v>
      </c>
      <c r="CQ28" s="1">
        <f>IF(OR($B28&lt;Analysis!$C$100, $B28&gt;=Analysis!$C$101),0,IF($B28=Analysis!$C$100,-CM28-CP28,MIN(0,CQ27-CP28)))</f>
        <v>-38278.778177846223</v>
      </c>
      <c r="CR28" s="64">
        <f>IF(OR($B28&lt;Analysis!$C$100, $B28&gt;=Analysis!$C$101),0,IF($B28=Analysis!$C$100,Analysis!$C$102,IF(($B28-Analysis!$C$100)&lt;LOOKUP(Analysis!$C$100,$B:$B,CN:CN),CR27,0)))</f>
        <v>3.6999999999999998E-2</v>
      </c>
      <c r="CS28" s="1">
        <f>IF(OR($B28&lt;Analysis!$C$100, $B28&gt;=Analysis!$C$101),0,IF($B28=Analysis!$C$100,-CR28*CM28,CR27*CQ27))</f>
        <v>-2152.8741389395468</v>
      </c>
      <c r="CT28" s="1">
        <f>IF(OR($B28&lt;Analysis!$C$100, $B28&gt;=Analysis!$C$101),0,IF($B28=Analysis!$C$100,PMT(CR28,CN28,CM28)*CN28-CU28-CQ28,IF(($B28-Analysis!$C$100+1)&lt;LOOKUP(Analysis!$C$100,$B:$B,CN:CN),IF(CT27-CS28&lt;0, CT27-CS28,0),0)))</f>
        <v>-2011.5563912798029</v>
      </c>
      <c r="CU28" s="1">
        <f>IF(OR($B28&lt;Analysis!$C$100, $B28&gt;=Analysis!$C$101),0,IF($B28=Analysis!$C$100,CP28+CS28,IF(CQ27&lt;0,IF(CQ27&gt;LOOKUP(Analysis!$C$100,$B:$B,CU:CU), CQ27*(1+CR27),CU27),0)))</f>
        <v>-22059.883500000004</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36055.048745263666</v>
      </c>
      <c r="DE28" s="1">
        <f t="shared" si="27"/>
        <v>-2645.3714457367264</v>
      </c>
      <c r="DF28" s="64">
        <f>IF(OR($B28&lt;Analysis!$C$100, $B28&gt;=Analysis!$C$101),0,Analysis!$C$118)</f>
        <v>3.0000000000000001E-3</v>
      </c>
      <c r="DG28" s="1">
        <f t="shared" si="28"/>
        <v>-6613.4286143418158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-2208.7257974645204</v>
      </c>
      <c r="DR28" s="1">
        <f t="shared" si="29"/>
        <v>-23727.525857543063</v>
      </c>
      <c r="DS28" s="1">
        <f>MIN(0,-(DB28+DR28)*Analysis!$C$28)-CS28*Analysis!$C$28</f>
        <v>-1581.5467729789434</v>
      </c>
      <c r="DT28" s="1">
        <f>-Analysis!$C$116*DD28/12</f>
        <v>-3004.5873954386389</v>
      </c>
      <c r="DU28" s="53"/>
      <c r="DV28" s="1">
        <f t="shared" si="30"/>
        <v>-112428.28644381088</v>
      </c>
      <c r="DW28" s="64">
        <f>IF(OR($B28&lt;Analysis!$C$100, $B28&gt;=Analysis!$C$101),0,IF($B28=Analysis!$C$100,Analysis!$C$31,DW27))</f>
        <v>0.1275</v>
      </c>
      <c r="DX28" s="1">
        <f>IF(OR($B28&lt;Analysis!$C$100, $B28&gt;=Analysis!$C$101),0,CK28+DV28)</f>
        <v>769362.19546843122</v>
      </c>
      <c r="DY28" s="1">
        <f>IF(OR($B28&lt;Analysis!$C$100, $B28&gt;=Analysis!$C$101),0,IF($B28-Analysis!$C$100&gt;3,0,IF(CK28&gt;LOOKUP(Analysis!$C$100,$B:$B, CK:CK),$V28*(LOOKUP(Analysis!$C$100,$B:$B, CK:CK)-CK28),0)))</f>
        <v>0</v>
      </c>
      <c r="DZ28" s="1">
        <f t="shared" si="49"/>
        <v>769362.19546843122</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-140890.31758256286</v>
      </c>
      <c r="FM28" s="1">
        <f>$M28+$R28+DD28+IF(AND($B28&lt;&gt;Analysis!$C$130,$B28=Analysis!$C$101),DZ27+CQ27+CT27+CZ27,0)</f>
        <v>167522.97198648955</v>
      </c>
      <c r="FN28" s="1">
        <f t="shared" si="34"/>
        <v>26632.654403926688</v>
      </c>
      <c r="FO28" s="1">
        <f>IF(FN28 &lt; 0,
    IF(FO27 + FN28 &gt; 0,
        FO27 + FN28, IF(FT27-ABS(FO27 + FN28)*(1+$V28) &gt;= FO27 + FN28,
        0, FO27 + FN28)),
    MIN(FO27 + FN28, Analysis!$C$7))+IF(FO27&lt;0, FO27*Analysis!$C$9,0)</f>
        <v>24000</v>
      </c>
      <c r="FP28" s="53"/>
      <c r="FQ28" s="1">
        <f t="shared" si="51"/>
        <v>35231.878616667113</v>
      </c>
      <c r="FR28" s="1">
        <f>IF(OR($B28=Analysis!$C$100, $B28=Analysis!$C$130),0,IF(FN28 &gt;= 0,
    MAX(0, FO27 + FN28 - Analysis!$C$7),
    0))</f>
        <v>26632.654403926688</v>
      </c>
      <c r="FS28" s="1">
        <f>IF(OR($B28=Analysis!$C$100, $B28=Analysis!$C$130),0,MAX(0, FS27 + FR28 - IF(FN28 &lt; 0, MIN(ABS(FN28), FS27 + FR28), 0)))</f>
        <v>534275.67889988737</v>
      </c>
      <c r="FT28" s="1">
        <f>IF(OR($B28=Analysis!$C$100, $B28=Analysis!$C$130),0,IF(FN28 &lt; 0,
    IF(FN28 + FO27 &lt; 0,
        MAX(0, FT27 - (ABS(FN28 + FO27) * (1+$V27))),
        FT27 + FQ28),
    FT27 + FR28 + FQ28))</f>
        <v>974355.87560258037</v>
      </c>
      <c r="FU28" s="1">
        <f t="shared" si="57"/>
        <v>858284.72372224508</v>
      </c>
      <c r="FV28" s="36"/>
      <c r="FW28" s="1">
        <f t="shared" si="52"/>
        <v>881790.48191224213</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-19907.009361060456</v>
      </c>
      <c r="GC28" s="1">
        <f>IF($B28&lt;Analysis!$C$159,0,IF($B28=Analysis!$C$159,-FY28-GB28,MIN(0,GC27-GB28)))</f>
        <v>-38278.778177846223</v>
      </c>
      <c r="GD28" s="64">
        <f>IF($B28&lt;Analysis!$C$159,0,IF($B28=Analysis!$C$159,Analysis!$C$160,IF(($B28-Analysis!$C$159)&lt;LOOKUP(Analysis!$C$159,$B:$B,FZ:FZ),GD27,0)))</f>
        <v>3.6999999999999998E-2</v>
      </c>
      <c r="GE28" s="1">
        <f>IF($B28&lt;Analysis!$C$159,0,IF($B28=Analysis!$C$159,-GD28*FY28,GD27*GC27))</f>
        <v>-2152.8741389395468</v>
      </c>
      <c r="GF28" s="1">
        <f>IF($B28&lt;Analysis!$C$159,0,IF($B28=Analysis!$C$159,PMT(GD28,FZ28,FY28)*FZ28-GG28-GC28,IF(($B28-Analysis!$C$159+1)&lt;LOOKUP(Analysis!$C$159,$B:$B,FZ:FZ),IF(GF27-GE28&lt;0, GF27-GE28,0),0)))</f>
        <v>-2011.5563912798029</v>
      </c>
      <c r="GG28" s="1">
        <f>IF($B28&lt;Analysis!$C$159,0,IF($B28=Analysis!$C$159,GB28+GE28,IF(GC27&lt;0,IF(GC27&gt;LOOKUP(Analysis!$C$159,$B:$B,GG:GG), GC27*(1+GD27),GG27),0)))</f>
        <v>-22059.883500000004</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36055.048745263666</v>
      </c>
      <c r="GQ28" s="1">
        <f t="shared" si="36"/>
        <v>-2645.3714457367264</v>
      </c>
      <c r="GR28" s="64">
        <f>IF($B28&lt;Analysis!$C$159,0,Analysis!$C$178)</f>
        <v>3.0000000000000001E-3</v>
      </c>
      <c r="GS28" s="1">
        <f t="shared" si="37"/>
        <v>-6613.4286143418158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-2208.7257974645204</v>
      </c>
      <c r="HD28" s="1">
        <f t="shared" si="38"/>
        <v>-23727.525857543063</v>
      </c>
      <c r="HE28" s="1">
        <f>MIN(0,-(GN28+HD28)*Analysis!$C$28)-GE28*Analysis!$C$28</f>
        <v>-1581.5467729789434</v>
      </c>
      <c r="HF28" s="1">
        <f>-Analysis!$C$176*GP28/12</f>
        <v>-3004.5873954386389</v>
      </c>
      <c r="HG28" s="38"/>
      <c r="HH28" s="1">
        <f>IF($B28&lt;Analysis!$C$159,0,-$HI28*$FW28)</f>
        <v>-112428.28644381088</v>
      </c>
      <c r="HI28" s="64">
        <f>IF($B28&lt;Analysis!$C$159,0,IF($B28=Analysis!$C$159,Analysis!$C$31,HI27))</f>
        <v>0.1275</v>
      </c>
      <c r="HJ28" s="1">
        <f>IF($B28&lt;Analysis!$C$159,0,$FW28+HH28)</f>
        <v>769362.19546843122</v>
      </c>
      <c r="HK28" s="1">
        <f>IF($B28-Analysis!$C$159&gt;10,0,IF($FW28&gt;LOOKUP(Analysis!$C$159,$B:$B, FW:FW),$V28*(LOOKUP(Analysis!$C$159,$B:$B, FW:FW)-FW28),0))</f>
        <v>0</v>
      </c>
      <c r="HL28" s="1">
        <f t="shared" si="39"/>
        <v>769362.19546843122</v>
      </c>
      <c r="HM28" s="38"/>
      <c r="HN28" s="1">
        <f t="shared" si="40"/>
        <v>-140890.31758256286</v>
      </c>
      <c r="HO28" s="1">
        <f t="shared" si="8"/>
        <v>167522.97198648955</v>
      </c>
      <c r="HP28" s="1">
        <f t="shared" si="41"/>
        <v>26632.654403926688</v>
      </c>
      <c r="HQ28" s="1">
        <f>IF(HP28 &lt; 0,
    IF(HQ27 + HP28 &gt; 0,
        HQ27 + HP28, IF(HV27-ABS(HQ27 + HP28)*(1+$V28) &gt;= HQ27 + HP28,
        0, HQ27 + HP28)),
    MIN(HQ27 + HP28, Analysis!$C$7))+IF(HQ27&lt;0, HQ27*Analysis!$C$9,0)</f>
        <v>24000</v>
      </c>
      <c r="HR28" s="38"/>
      <c r="HS28" s="1">
        <f t="shared" si="54"/>
        <v>35231.878616667113</v>
      </c>
      <c r="HT28" s="1">
        <f>IF($B28=Analysis!$C$159,0,IF(HP28 &gt;= 0,
    MAX(0, HQ27 + HP28 - Analysis!$C$7),
    0))</f>
        <v>26632.654403926688</v>
      </c>
      <c r="HU28" s="1">
        <f>IF($B28=Analysis!$C$159,0,MAX(0, HU27 + HT28 - IF(HP28 &lt; 0, MIN(ABS(HP28), HU27 + HT28), 0)))</f>
        <v>534275.67889988737</v>
      </c>
      <c r="HV28" s="1">
        <f>IF($B28=Analysis!$C$159,0,IF(HP28 &lt; 0,
    IF(HP28 + HQ27 &lt; 0,
        MAX(0, HV27 - (ABS(HP28 + HQ27) * (1+$V27))),
        HV27 + HS28),
    HV27 + HT28 + HS28))</f>
        <v>974355.87560258037</v>
      </c>
      <c r="HW28" s="1">
        <f t="shared" si="58"/>
        <v>858284.72372224508</v>
      </c>
      <c r="HX28" s="36"/>
    </row>
    <row r="29" spans="1:232" x14ac:dyDescent="0.35">
      <c r="A29">
        <f t="shared" si="0"/>
        <v>62</v>
      </c>
      <c r="B29">
        <v>2052</v>
      </c>
      <c r="C29" s="1">
        <f>IF($B29&lt;Analysis!C$66,0,$AN29)+$AT29+$AW29+$BC29+$CF29+$CA29</f>
        <v>1040813.9751746545</v>
      </c>
      <c r="D29" s="1">
        <f>IF($B29&lt;Analysis!C$66, 0, BV29)+AT29+AW29+BC29+CG29+CA29</f>
        <v>848387.10645615449</v>
      </c>
      <c r="E29" s="1">
        <f t="shared" si="1"/>
        <v>1889172.3853486113</v>
      </c>
      <c r="F29" s="1">
        <f t="shared" si="9"/>
        <v>1614218.9406483693</v>
      </c>
      <c r="G29" s="1">
        <f>IF(AND($B29&gt;=Analysis!$C$100, $B29&lt;Analysis!$C$101),$CK29,0)+IF($B29&gt;=Analysis!$C$130,EB29,0)+CQ29+CT29+CZ29+EH29+EK29+EQ29+$FO29+$FT29</f>
        <v>1948854.3871771342</v>
      </c>
      <c r="H29" s="1">
        <f t="shared" si="10"/>
        <v>1707713.2229355024</v>
      </c>
      <c r="I29" s="1">
        <f>IF($B29&lt;Analysis!$C$159,0,$FW29)+$GC29+$GF29+$GL29+$HQ29+$HV29</f>
        <v>1948854.3871771342</v>
      </c>
      <c r="J29" s="1">
        <f t="shared" si="2"/>
        <v>1707713.2229355024</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IF($B29=$B$2,((1+Analysis!$D$16)/(1+$S29))-1,IF(B29&lt;Analysis!$C$13,U28-((Analysis!$D$16-Analysis!$C$17)/(Analysis!$C$13-$B$2)),((1+Analysis!$C$17)/(1+$S28))-1))</f>
        <v>3.6324929971988967E-2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64267.646067124551</v>
      </c>
      <c r="AI29" s="1">
        <f>IF(AE29 &gt;= 0,
    MAX(0, AF28 + AE29 - Analysis!$C$7),
    0)</f>
        <v>31661.244065311839</v>
      </c>
      <c r="AJ29" s="1">
        <f t="shared" si="44"/>
        <v>822694.86989745649</v>
      </c>
      <c r="AK29" s="1">
        <f t="shared" si="20"/>
        <v>1865172.3853486113</v>
      </c>
      <c r="AL29" s="1">
        <f t="shared" si="5"/>
        <v>1590218.9406483693</v>
      </c>
      <c r="AM29" s="36"/>
      <c r="AN29" s="1">
        <f t="shared" si="45"/>
        <v>1509230.3428901955</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-37009.342537896089</v>
      </c>
      <c r="AT29" s="1">
        <f>IF($B29&lt;Analysis!$C$66,0,IF($B29=Analysis!$C$66,-AP29-AS29,MIN(0,AT28-AS29)))</f>
        <v>-31616.0213027504</v>
      </c>
      <c r="AU29" s="64">
        <f>IF($B29&lt;Analysis!$C$66,0,IF($B29=Analysis!$C$66,Analysis!$C$72,IF(($B29-Analysis!$C$66)&lt;LOOKUP(Analysis!$C$66,$B:$B,AQ:AQ),AU28,0)))</f>
        <v>3.6999999999999998E-2</v>
      </c>
      <c r="AV29" s="1">
        <f>IF($B29&lt;Analysis!$C$66,0,IF($B29=Analysis!$C$66,-AU29*AP29,AU28*AT28))</f>
        <v>-2539.1384621039201</v>
      </c>
      <c r="AW29" s="1">
        <f>IF($B29&lt;Analysis!$C$66,0,IF($B29=Analysis!$C$66,PMT(AU29,AQ29,AP29)*AQ29-AX29-AT29,IF(($B29-Analysis!$C$66+1)&lt;LOOKUP(Analysis!$C$66,$B:$B,AQ:AQ),IF(AW28-AV29&lt;0, AW28-AV29,0),0)))</f>
        <v>-1067.1362365341724</v>
      </c>
      <c r="AX29" s="1">
        <f>IF($B29&lt;Analysis!$C$66,0,IF($B29=Analysis!$C$66,AS29+AV29,IF(AT28&lt;0,IF(AT28&gt;LOOKUP(Analysis!$C$66,$B:$B,AX:AX), AT28*(1+AU28),AX28),0)))</f>
        <v>-39548.481000000007</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-4527.691028670587</v>
      </c>
      <c r="BF29" s="64">
        <f>IF($B29&lt;Analysis!$C$66,0,Analysis!$C$78)</f>
        <v>3.0000000000000001E-3</v>
      </c>
      <c r="BG29" s="1">
        <f>IF($B29&lt;Analysis!$C$66,0,-BH29*AN29)</f>
        <v>-11319.227571676467</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-192426.86871849993</v>
      </c>
      <c r="BS29" s="64">
        <f>IF($B29&lt;Analysis!C$66,0,Analysis!C$31)</f>
        <v>0.1275</v>
      </c>
      <c r="BT29" s="1">
        <f>IF($B29&lt;Analysis!$C$66,0,AN29+BR29)</f>
        <v>1316803.4741716955</v>
      </c>
      <c r="BU29" s="1">
        <f>IF($B29-Analysis!$C$66&gt;3,0,IF($AN29&gt;LOOKUP(Analysis!$C$66,$B:$B, AN:AN),$V29*(LOOKUP(Analysis!$C$66,$B:$B, AN:AN)-AN29),0))</f>
        <v>0</v>
      </c>
      <c r="BV29" s="1">
        <f t="shared" si="23"/>
        <v>1316803.4741716955</v>
      </c>
      <c r="BW29" s="42"/>
      <c r="BX29" s="1">
        <f>IF($B29&lt;Analysis!$C$66,$P29+$N29+$X29+$Z29,$P29+$N29+AS29+AV29+BB29+BE29+BG29+MAX(BI29,SUM(BJ29:BN29))+BP29)</f>
        <v>-120555.39960034707</v>
      </c>
      <c r="BY29" s="1">
        <f t="shared" si="24"/>
        <v>131467.92324122589</v>
      </c>
      <c r="BZ29" s="1">
        <f t="shared" si="46"/>
        <v>10912.523640878819</v>
      </c>
      <c r="CA29" s="1">
        <f>IF(BZ29 &lt; 0,
    IF(CA28 + BZ29 &gt; 0,
        CA28 + BZ29, IF(CF28-ABS(CA28 + BZ29)*(1+$V29) &gt;= CA28 + BZ29,
        0, CA28 + BZ29)),
    MIN(CA28 + BZ29, Analysis!$C$7))+IF(CA28&lt;0, CA28*Analysis!$C$9,0)</f>
        <v>-435733.21017625649</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-34646.679175914047</v>
      </c>
      <c r="CJ29" s="1">
        <f>IF(OR($B29&lt;Analysis!$C$100, $B29&gt;=Analysis!$C$130),0,Z29)</f>
        <v>-3960</v>
      </c>
      <c r="CK29" s="1">
        <f t="shared" si="26"/>
        <v>907725.49608613166</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-20643.568707419694</v>
      </c>
      <c r="CQ29" s="1">
        <f>IF(OR($B29&lt;Analysis!$C$100, $B29&gt;=Analysis!$C$101),0,IF($B29=Analysis!$C$100,-CM29-CP29,MIN(0,CQ28-CP29)))</f>
        <v>-17635.209470426529</v>
      </c>
      <c r="CR29" s="64">
        <f>IF(OR($B29&lt;Analysis!$C$100, $B29&gt;=Analysis!$C$101),0,IF($B29=Analysis!$C$100,Analysis!$C$102,IF(($B29-Analysis!$C$100)&lt;LOOKUP(Analysis!$C$100,$B:$B,CN:CN),CR28,0)))</f>
        <v>3.6999999999999998E-2</v>
      </c>
      <c r="CS29" s="1">
        <f>IF(OR($B29&lt;Analysis!$C$100, $B29&gt;=Analysis!$C$101),0,IF($B29=Analysis!$C$100,-CR29*CM29,CR28*CQ28))</f>
        <v>-1416.3147925803103</v>
      </c>
      <c r="CT29" s="1">
        <f>IF(OR($B29&lt;Analysis!$C$100, $B29&gt;=Analysis!$C$101),0,IF($B29=Analysis!$C$100,PMT(CR29,CN29,CM29)*CN29-CU29-CQ29,IF(($B29-Analysis!$C$100+1)&lt;LOOKUP(Analysis!$C$100,$B:$B,CN:CN),IF(CT28-CS29&lt;0, CT28-CS29,0),0)))</f>
        <v>-595.24159869949267</v>
      </c>
      <c r="CU29" s="1">
        <f>IF(OR($B29&lt;Analysis!$C$100, $B29&gt;=Analysis!$C$101),0,IF($B29=Analysis!$C$100,CP29+CS29,IF(CQ28&lt;0,IF(CQ28&gt;LOOKUP(Analysis!$C$100,$B:$B,CU:CU), CQ28*(1+CR28),CU28),0)))</f>
        <v>-22059.883500000004</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36999.020767183189</v>
      </c>
      <c r="DE29" s="1">
        <f t="shared" si="27"/>
        <v>-2723.1764882583952</v>
      </c>
      <c r="DF29" s="64">
        <f>IF(OR($B29&lt;Analysis!$C$100, $B29&gt;=Analysis!$C$101),0,Analysis!$C$118)</f>
        <v>3.0000000000000001E-3</v>
      </c>
      <c r="DG29" s="1">
        <f t="shared" si="28"/>
        <v>-6807.9412206459874</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-2273.6883209193597</v>
      </c>
      <c r="DR29" s="1">
        <f t="shared" si="29"/>
        <v>-24064.806029823743</v>
      </c>
      <c r="DS29" s="1">
        <f>MIN(0,-(DB29+DR29)*Analysis!$C$28)-CS29*Analysis!$C$28</f>
        <v>-2142.2659635843406</v>
      </c>
      <c r="DT29" s="1">
        <f>-Analysis!$C$116*DD29/12</f>
        <v>-3083.2517305985989</v>
      </c>
      <c r="DU29" s="53"/>
      <c r="DV29" s="1">
        <f t="shared" si="30"/>
        <v>-115735.0007509818</v>
      </c>
      <c r="DW29" s="64">
        <f>IF(OR($B29&lt;Analysis!$C$100, $B29&gt;=Analysis!$C$101),0,IF($B29=Analysis!$C$100,Analysis!$C$31,DW28))</f>
        <v>0.1275</v>
      </c>
      <c r="DX29" s="1">
        <f>IF(OR($B29&lt;Analysis!$C$100, $B29&gt;=Analysis!$C$101),0,CK29+DV29)</f>
        <v>791990.49533514981</v>
      </c>
      <c r="DY29" s="1">
        <f>IF(OR($B29&lt;Analysis!$C$100, $B29&gt;=Analysis!$C$101),0,IF($B29-Analysis!$C$100&gt;3,0,IF(CK29&gt;LOOKUP(Analysis!$C$100,$B:$B, CK:CK),$V29*(LOOKUP(Analysis!$C$100,$B:$B, CK:CK)-CK29),0)))</f>
        <v>0</v>
      </c>
      <c r="DZ29" s="1">
        <f t="shared" si="49"/>
        <v>791990.49533514981</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-142856.88639992071</v>
      </c>
      <c r="FM29" s="1">
        <f>$M29+$R29+DD29+IF(AND($B29&lt;&gt;Analysis!$C$130,$B29=Analysis!$C$101),DZ28+CQ28+CT28+CZ28,0)</f>
        <v>168466.94400840907</v>
      </c>
      <c r="FN29" s="1">
        <f t="shared" si="34"/>
        <v>25610.057608488365</v>
      </c>
      <c r="FO29" s="1">
        <f>IF(FN29 &lt; 0,
    IF(FO28 + FN29 &gt; 0,
        FO28 + FN29, IF(FT28-ABS(FO28 + FN29)*(1+$V29) &gt;= FO28 + FN29,
        0, FO28 + FN29)),
    MIN(FO28 + FN29, Analysis!$C$7))+IF(FO28&lt;0, FO28*Analysis!$C$9,0)</f>
        <v>24000</v>
      </c>
      <c r="FP29" s="53"/>
      <c r="FQ29" s="1">
        <f t="shared" si="51"/>
        <v>35393.408949059725</v>
      </c>
      <c r="FR29" s="1">
        <f>IF(OR($B29=Analysis!$C$100, $B29=Analysis!$C$130),0,IF(FN29 &gt;= 0,
    MAX(0, FO28 + FN29 - Analysis!$C$7),
    0))</f>
        <v>25610.057608488365</v>
      </c>
      <c r="FS29" s="1">
        <f>IF(OR($B29=Analysis!$C$100, $B29=Analysis!$C$130),0,MAX(0, FS28 + FR29 - IF(FN29 &lt; 0, MIN(ABS(FN29), FS28 + FR29), 0)))</f>
        <v>559885.73650837573</v>
      </c>
      <c r="FT29" s="1">
        <f>IF(OR($B29=Analysis!$C$100, $B29=Analysis!$C$130),0,IF(FN29 &lt; 0,
    IF(FN29 + FO28 &lt; 0,
        MAX(0, FT28 - (ABS(FN29 + FO28) * (1+$V28))),
        FT28 + FQ29),
    FT28 + FR29 + FQ29))</f>
        <v>1035359.3421601285</v>
      </c>
      <c r="FU29" s="1">
        <f t="shared" si="57"/>
        <v>909953.17866947874</v>
      </c>
      <c r="FV29" s="36"/>
      <c r="FW29" s="1">
        <f t="shared" si="52"/>
        <v>907725.49608613166</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-20643.568707419694</v>
      </c>
      <c r="GC29" s="1">
        <f>IF($B29&lt;Analysis!$C$159,0,IF($B29=Analysis!$C$159,-FY29-GB29,MIN(0,GC28-GB29)))</f>
        <v>-17635.209470426529</v>
      </c>
      <c r="GD29" s="64">
        <f>IF($B29&lt;Analysis!$C$159,0,IF($B29=Analysis!$C$159,Analysis!$C$160,IF(($B29-Analysis!$C$159)&lt;LOOKUP(Analysis!$C$159,$B:$B,FZ:FZ),GD28,0)))</f>
        <v>3.6999999999999998E-2</v>
      </c>
      <c r="GE29" s="1">
        <f>IF($B29&lt;Analysis!$C$159,0,IF($B29=Analysis!$C$159,-GD29*FY29,GD28*GC28))</f>
        <v>-1416.3147925803103</v>
      </c>
      <c r="GF29" s="1">
        <f>IF($B29&lt;Analysis!$C$159,0,IF($B29=Analysis!$C$159,PMT(GD29,FZ29,FY29)*FZ29-GG29-GC29,IF(($B29-Analysis!$C$159+1)&lt;LOOKUP(Analysis!$C$159,$B:$B,FZ:FZ),IF(GF28-GE29&lt;0, GF28-GE29,0),0)))</f>
        <v>-595.24159869949267</v>
      </c>
      <c r="GG29" s="1">
        <f>IF($B29&lt;Analysis!$C$159,0,IF($B29=Analysis!$C$159,GB29+GE29,IF(GC28&lt;0,IF(GC28&gt;LOOKUP(Analysis!$C$159,$B:$B,GG:GG), GC28*(1+GD28),GG28),0)))</f>
        <v>-22059.883500000004</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36999.020767183189</v>
      </c>
      <c r="GQ29" s="1">
        <f t="shared" si="36"/>
        <v>-2723.1764882583952</v>
      </c>
      <c r="GR29" s="64">
        <f>IF($B29&lt;Analysis!$C$159,0,Analysis!$C$178)</f>
        <v>3.0000000000000001E-3</v>
      </c>
      <c r="GS29" s="1">
        <f t="shared" si="37"/>
        <v>-6807.9412206459874</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-2273.6883209193597</v>
      </c>
      <c r="HD29" s="1">
        <f t="shared" si="38"/>
        <v>-24064.806029823743</v>
      </c>
      <c r="HE29" s="1">
        <f>MIN(0,-(GN29+HD29)*Analysis!$C$28)-GE29*Analysis!$C$28</f>
        <v>-2142.2659635843406</v>
      </c>
      <c r="HF29" s="1">
        <f>-Analysis!$C$176*GP29/12</f>
        <v>-3083.2517305985989</v>
      </c>
      <c r="HG29" s="38"/>
      <c r="HH29" s="1">
        <f>IF($B29&lt;Analysis!$C$159,0,-$HI29*$FW29)</f>
        <v>-115735.0007509818</v>
      </c>
      <c r="HI29" s="64">
        <f>IF($B29&lt;Analysis!$C$159,0,IF($B29=Analysis!$C$159,Analysis!$C$31,HI28))</f>
        <v>0.1275</v>
      </c>
      <c r="HJ29" s="1">
        <f>IF($B29&lt;Analysis!$C$159,0,$FW29+HH29)</f>
        <v>791990.49533514981</v>
      </c>
      <c r="HK29" s="1">
        <f>IF($B29-Analysis!$C$159&gt;10,0,IF($FW29&gt;LOOKUP(Analysis!$C$159,$B:$B, FW:FW),$V29*(LOOKUP(Analysis!$C$159,$B:$B, FW:FW)-FW29),0))</f>
        <v>0</v>
      </c>
      <c r="HL29" s="1">
        <f t="shared" si="39"/>
        <v>791990.49533514981</v>
      </c>
      <c r="HM29" s="38"/>
      <c r="HN29" s="1">
        <f t="shared" si="40"/>
        <v>-142856.88639992071</v>
      </c>
      <c r="HO29" s="1">
        <f t="shared" si="8"/>
        <v>168466.94400840907</v>
      </c>
      <c r="HP29" s="1">
        <f t="shared" si="41"/>
        <v>25610.057608488365</v>
      </c>
      <c r="HQ29" s="1">
        <f>IF(HP29 &lt; 0,
    IF(HQ28 + HP29 &gt; 0,
        HQ28 + HP29, IF(HV28-ABS(HQ28 + HP29)*(1+$V29) &gt;= HQ28 + HP29,
        0, HQ28 + HP29)),
    MIN(HQ28 + HP29, Analysis!$C$7))+IF(HQ28&lt;0, HQ28*Analysis!$C$9,0)</f>
        <v>24000</v>
      </c>
      <c r="HR29" s="38"/>
      <c r="HS29" s="1">
        <f t="shared" si="54"/>
        <v>35393.408949059725</v>
      </c>
      <c r="HT29" s="1">
        <f>IF($B29=Analysis!$C$159,0,IF(HP29 &gt;= 0,
    MAX(0, HQ28 + HP29 - Analysis!$C$7),
    0))</f>
        <v>25610.057608488365</v>
      </c>
      <c r="HU29" s="1">
        <f>IF($B29=Analysis!$C$159,0,MAX(0, HU28 + HT29 - IF(HP29 &lt; 0, MIN(ABS(HP29), HU28 + HT29), 0)))</f>
        <v>559885.73650837573</v>
      </c>
      <c r="HV29" s="1">
        <f>IF($B29=Analysis!$C$159,0,IF(HP29 &lt; 0,
    IF(HP29 + HQ28 &lt; 0,
        MAX(0, HV28 - (ABS(HP29 + HQ28) * (1+$V28))),
        HV28 + HS29),
    HV28 + HT29 + HS29))</f>
        <v>1035359.3421601285</v>
      </c>
      <c r="HW29" s="1">
        <f t="shared" si="58"/>
        <v>909953.17866947874</v>
      </c>
      <c r="HX29" s="36"/>
    </row>
    <row r="30" spans="1:232" x14ac:dyDescent="0.35">
      <c r="A30">
        <f t="shared" si="0"/>
        <v>63</v>
      </c>
      <c r="B30">
        <v>2053</v>
      </c>
      <c r="C30" s="1">
        <f>IF($B30&lt;Analysis!C$66,0,$AN30)+$AT30+$AW30+$BC30+$CF30+$CA30</f>
        <v>1113436.7083406434</v>
      </c>
      <c r="D30" s="1">
        <f>IF($B30&lt;Analysis!C$66, 0, BV30)+AT30+AW30+BC30+CG30+CA30</f>
        <v>915350.22583630518</v>
      </c>
      <c r="E30" s="1">
        <f t="shared" si="1"/>
        <v>1996503.6145551258</v>
      </c>
      <c r="F30" s="1">
        <f t="shared" si="9"/>
        <v>1704804.9447552841</v>
      </c>
      <c r="G30" s="1">
        <f>IF(AND($B30&gt;=Analysis!$C$100, $B30&lt;Analysis!$C$101),$CK30,0)+IF($B30&gt;=Analysis!$C$130,EB30,0)+CQ30+CT30+CZ30+EH30+EK30+EQ30+$FO30+$FT30</f>
        <v>2070552.5460629934</v>
      </c>
      <c r="H30" s="1">
        <f t="shared" si="10"/>
        <v>1816712.1174464338</v>
      </c>
      <c r="I30" s="1">
        <f>IF($B30&lt;Analysis!$C$159,0,$FW30)+$GC30+$GF30+$GL30+$HQ30+$HV30</f>
        <v>2070552.5460629934</v>
      </c>
      <c r="J30" s="1">
        <f t="shared" si="2"/>
        <v>1816712.1174464338</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IF($B30=$B$2,((1+Analysis!$D$16)/(1+$S30))-1,IF(B30&lt;Analysis!$C$13,U29-((Analysis!$D$16-Analysis!$C$17)/(Analysis!$C$13-$B$2)),((1+Analysis!$C$17)/(1+$S29))-1))</f>
        <v>3.4039215686274681E-2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63489.005116964814</v>
      </c>
      <c r="AI30" s="1">
        <f>IF(AE30 &gt;= 0,
    MAX(0, AF29 + AE30 - Analysis!$C$7),
    0)</f>
        <v>43842.224089549651</v>
      </c>
      <c r="AJ30" s="1">
        <f t="shared" si="44"/>
        <v>866537.09398700611</v>
      </c>
      <c r="AK30" s="1">
        <f t="shared" si="20"/>
        <v>1972503.6145551258</v>
      </c>
      <c r="AL30" s="1">
        <f t="shared" si="5"/>
        <v>1680804.9447552841</v>
      </c>
      <c r="AM30" s="36"/>
      <c r="AN30" s="1">
        <f t="shared" si="45"/>
        <v>1553619.4706222604</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-31616.021302750396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-1169.7927882017648</v>
      </c>
      <c r="AW30" s="1">
        <f>IF($B30&lt;Analysis!$C$66,0,IF($B30=Analysis!$C$66,PMT(AU30,AQ30,AP30)*AQ30-AX30-AT30,IF(($B30-Analysis!$C$66+1)&lt;LOOKUP(Analysis!$C$66,$B:$B,AQ:AQ),IF(AW29-AV30&lt;0, AW29-AV30,0),0)))</f>
        <v>0</v>
      </c>
      <c r="AX30" s="1">
        <f>IF($B30&lt;Analysis!$C$66,0,IF($B30=Analysis!$C$66,AS30+AV30,IF(AT29&lt;0,IF(AT29&gt;LOOKUP(Analysis!$C$66,$B:$B,AX:AX), AT29*(1+AU29),AX29),0)))</f>
        <v>-32785.814090952161</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-4660.8584118667814</v>
      </c>
      <c r="BF30" s="64">
        <f>IF($B30&lt;Analysis!$C$66,0,Analysis!$C$78)</f>
        <v>3.0000000000000001E-3</v>
      </c>
      <c r="BG30" s="1">
        <f>IF($B30&lt;Analysis!$C$66,0,-BH30*AN30)</f>
        <v>-11652.146029666952</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-198086.4825043382</v>
      </c>
      <c r="BS30" s="64">
        <f>IF($B30&lt;Analysis!C$66,0,Analysis!C$31)</f>
        <v>0.1275</v>
      </c>
      <c r="BT30" s="1">
        <f>IF($B30&lt;Analysis!$C$66,0,AN30+BR30)</f>
        <v>1355532.9881179221</v>
      </c>
      <c r="BU30" s="1">
        <f>IF($B30-Analysis!$C$66&gt;3,0,IF($AN30&gt;LOOKUP(Analysis!$C$66,$B:$B, AN:AN),$V30*(LOOKUP(Analysis!$C$66,$B:$B, AN:AN)-AN30),0))</f>
        <v>0</v>
      </c>
      <c r="BV30" s="1">
        <f t="shared" si="23"/>
        <v>1355532.9881179221</v>
      </c>
      <c r="BW30" s="42"/>
      <c r="BX30" s="1">
        <f>IF($B30&lt;Analysis!$C$66,$P30+$N30+$X30+$Z30,$P30+$N30+AS30+AV30+BB30+BE30+BG30+MAX(BI30,SUM(BJ30:BN30))+BP30)</f>
        <v>-101058.81853248589</v>
      </c>
      <c r="BY30" s="1">
        <f t="shared" si="24"/>
        <v>131467.92324122589</v>
      </c>
      <c r="BZ30" s="1">
        <f t="shared" si="46"/>
        <v>30409.104708739993</v>
      </c>
      <c r="CA30" s="1">
        <f>IF(BZ30 &lt; 0,
    IF(CA29 + BZ30 &gt; 0,
        CA29 + BZ30, IF(CF29-ABS(CA29 + BZ30)*(1+$V30) &gt;= CA29 + BZ30,
        0, CA29 + BZ30)),
    MIN(CA29 + BZ30, Analysis!$C$7))+IF(CA29&lt;0, CA29*Analysis!$C$9,0)</f>
        <v>-440182.76228161698</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-35665.699151676228</v>
      </c>
      <c r="CJ30" s="1">
        <f>IF(OR($B30&lt;Analysis!$C$100, $B30&gt;=Analysis!$C$130),0,Z30)</f>
        <v>-3960</v>
      </c>
      <c r="CK30" s="1">
        <f t="shared" si="26"/>
        <v>934423.30479454738</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-17635.209470426529</v>
      </c>
      <c r="CQ30" s="1">
        <f>IF(OR($B30&lt;Analysis!$C$100, $B30&gt;=Analysis!$C$101),0,IF($B30=Analysis!$C$100,-CM30-CP30,MIN(0,CQ29-CP30)))</f>
        <v>0</v>
      </c>
      <c r="CR30" s="64">
        <f>IF(OR($B30&lt;Analysis!$C$100, $B30&gt;=Analysis!$C$101),0,IF($B30=Analysis!$C$100,Analysis!$C$102,IF(($B30-Analysis!$C$100)&lt;LOOKUP(Analysis!$C$100,$B:$B,CN:CN),CR29,0)))</f>
        <v>3.6999999999999998E-2</v>
      </c>
      <c r="CS30" s="1">
        <f>IF(OR($B30&lt;Analysis!$C$100, $B30&gt;=Analysis!$C$101),0,IF($B30=Analysis!$C$100,-CR30*CM30,CR29*CQ29))</f>
        <v>-652.50275040578151</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-18287.712220832309</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37970.756672100346</v>
      </c>
      <c r="DE30" s="1">
        <f t="shared" si="27"/>
        <v>-2803.2699143836421</v>
      </c>
      <c r="DF30" s="64">
        <f>IF(OR($B30&lt;Analysis!$C$100, $B30&gt;=Analysis!$C$101),0,Analysis!$C$118)</f>
        <v>3.0000000000000001E-3</v>
      </c>
      <c r="DG30" s="1">
        <f t="shared" si="28"/>
        <v>-7008.1747859591051</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-2340.561506828753</v>
      </c>
      <c r="DR30" s="1">
        <f t="shared" si="29"/>
        <v>-24412.0062071715</v>
      </c>
      <c r="DS30" s="1">
        <f>MIN(0,-(DB30+DR30)*Analysis!$C$28)-CS30*Analysis!$C$28</f>
        <v>-2721.9534632417785</v>
      </c>
      <c r="DT30" s="1">
        <f>-Analysis!$C$116*DD30/12</f>
        <v>-3164.2297226750288</v>
      </c>
      <c r="DU30" s="53"/>
      <c r="DV30" s="1">
        <f t="shared" si="30"/>
        <v>-119138.97136130479</v>
      </c>
      <c r="DW30" s="64">
        <f>IF(OR($B30&lt;Analysis!$C$100, $B30&gt;=Analysis!$C$101),0,IF($B30=Analysis!$C$100,Analysis!$C$31,DW29))</f>
        <v>0.1275</v>
      </c>
      <c r="DX30" s="1">
        <f>IF(OR($B30&lt;Analysis!$C$100, $B30&gt;=Analysis!$C$101),0,CK30+DV30)</f>
        <v>815284.33343324263</v>
      </c>
      <c r="DY30" s="1">
        <f>IF(OR($B30&lt;Analysis!$C$100, $B30&gt;=Analysis!$C$101),0,IF($B30-Analysis!$C$100&gt;3,0,IF(CK30&gt;LOOKUP(Analysis!$C$100,$B:$B, CK:CK),$V30*(LOOKUP(Analysis!$C$100,$B:$B, CK:CK)-CK30),0)))</f>
        <v>0</v>
      </c>
      <c r="DZ30" s="1">
        <f t="shared" si="49"/>
        <v>815284.33343324263</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-127911.60076559684</v>
      </c>
      <c r="FM30" s="1">
        <f>$M30+$R30+DD30+IF(AND($B30&lt;&gt;Analysis!$C$130,$B30=Analysis!$C$101),DZ29+CQ29+CT29+CZ29,0)</f>
        <v>169438.67991332622</v>
      </c>
      <c r="FN30" s="1">
        <f t="shared" si="34"/>
        <v>41527.079147729382</v>
      </c>
      <c r="FO30" s="1">
        <f>IF(FN30 &lt; 0,
    IF(FO29 + FN30 &gt; 0,
        FO29 + FN30, IF(FT29-ABS(FO29 + FN30)*(1+$V30) &gt;= FO29 + FN30,
        0, FO29 + FN30)),
    MIN(FO29 + FN30, Analysis!$C$7))+IF(FO29&lt;0, FO29*Analysis!$C$9,0)</f>
        <v>24000</v>
      </c>
      <c r="FP30" s="53"/>
      <c r="FQ30" s="1">
        <f t="shared" si="51"/>
        <v>35242.81996058808</v>
      </c>
      <c r="FR30" s="1">
        <f>IF(OR($B30=Analysis!$C$100, $B30=Analysis!$C$130),0,IF(FN30 &gt;= 0,
    MAX(0, FO29 + FN30 - Analysis!$C$7),
    0))</f>
        <v>41527.079147729382</v>
      </c>
      <c r="FS30" s="1">
        <f>IF(OR($B30=Analysis!$C$100, $B30=Analysis!$C$130),0,MAX(0, FS29 + FR30 - IF(FN30 &lt; 0, MIN(ABS(FN30), FS29 + FR30), 0)))</f>
        <v>601412.81565610506</v>
      </c>
      <c r="FT30" s="1">
        <f>IF(OR($B30=Analysis!$C$100, $B30=Analysis!$C$130),0,IF(FN30 &lt; 0,
    IF(FN30 + FO29 &lt; 0,
        MAX(0, FT29 - (ABS(FN30 + FO29) * (1+$V29))),
        FT29 + FQ30),
    FT29 + FR30 + FQ30))</f>
        <v>1112129.241268446</v>
      </c>
      <c r="FU30" s="1">
        <f t="shared" si="57"/>
        <v>977427.78401319101</v>
      </c>
      <c r="FV30" s="36"/>
      <c r="FW30" s="1">
        <f t="shared" si="52"/>
        <v>934423.30479454738</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-17635.209470426529</v>
      </c>
      <c r="GC30" s="1">
        <f>IF($B30&lt;Analysis!$C$159,0,IF($B30=Analysis!$C$159,-FY30-GB30,MIN(0,GC29-GB30)))</f>
        <v>0</v>
      </c>
      <c r="GD30" s="64">
        <f>IF($B30&lt;Analysis!$C$159,0,IF($B30=Analysis!$C$159,Analysis!$C$160,IF(($B30-Analysis!$C$159)&lt;LOOKUP(Analysis!$C$159,$B:$B,FZ:FZ),GD29,0)))</f>
        <v>3.6999999999999998E-2</v>
      </c>
      <c r="GE30" s="1">
        <f>IF($B30&lt;Analysis!$C$159,0,IF($B30=Analysis!$C$159,-GD30*FY30,GD29*GC29))</f>
        <v>-652.50275040578151</v>
      </c>
      <c r="GF30" s="1">
        <f>IF($B30&lt;Analysis!$C$159,0,IF($B30=Analysis!$C$159,PMT(GD30,FZ30,FY30)*FZ30-GG30-GC30,IF(($B30-Analysis!$C$159+1)&lt;LOOKUP(Analysis!$C$159,$B:$B,FZ:FZ),IF(GF29-GE30&lt;0, GF29-GE30,0),0)))</f>
        <v>0</v>
      </c>
      <c r="GG30" s="1">
        <f>IF($B30&lt;Analysis!$C$159,0,IF($B30=Analysis!$C$159,GB30+GE30,IF(GC29&lt;0,IF(GC29&gt;LOOKUP(Analysis!$C$159,$B:$B,GG:GG), GC29*(1+GD29),GG29),0)))</f>
        <v>-18287.712220832309</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37970.756672100346</v>
      </c>
      <c r="GQ30" s="1">
        <f t="shared" si="36"/>
        <v>-2803.2699143836421</v>
      </c>
      <c r="GR30" s="64">
        <f>IF($B30&lt;Analysis!$C$159,0,Analysis!$C$178)</f>
        <v>3.0000000000000001E-3</v>
      </c>
      <c r="GS30" s="1">
        <f t="shared" si="37"/>
        <v>-7008.1747859591051</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-2340.561506828753</v>
      </c>
      <c r="HD30" s="1">
        <f t="shared" si="38"/>
        <v>-24412.0062071715</v>
      </c>
      <c r="HE30" s="1">
        <f>MIN(0,-(GN30+HD30)*Analysis!$C$28)-GE30*Analysis!$C$28</f>
        <v>-2721.9534632417785</v>
      </c>
      <c r="HF30" s="1">
        <f>-Analysis!$C$176*GP30/12</f>
        <v>-3164.2297226750288</v>
      </c>
      <c r="HG30" s="38"/>
      <c r="HH30" s="1">
        <f>IF($B30&lt;Analysis!$C$159,0,-$HI30*$FW30)</f>
        <v>-119138.97136130479</v>
      </c>
      <c r="HI30" s="64">
        <f>IF($B30&lt;Analysis!$C$159,0,IF($B30=Analysis!$C$159,Analysis!$C$31,HI29))</f>
        <v>0.1275</v>
      </c>
      <c r="HJ30" s="1">
        <f>IF($B30&lt;Analysis!$C$159,0,$FW30+HH30)</f>
        <v>815284.33343324263</v>
      </c>
      <c r="HK30" s="1">
        <f>IF($B30-Analysis!$C$159&gt;10,0,IF($FW30&gt;LOOKUP(Analysis!$C$159,$B:$B, FW:FW),$V30*(LOOKUP(Analysis!$C$159,$B:$B, FW:FW)-FW30),0))</f>
        <v>0</v>
      </c>
      <c r="HL30" s="1">
        <f t="shared" si="39"/>
        <v>815284.33343324263</v>
      </c>
      <c r="HM30" s="38"/>
      <c r="HN30" s="1">
        <f t="shared" si="40"/>
        <v>-127911.60076559684</v>
      </c>
      <c r="HO30" s="1">
        <f t="shared" si="8"/>
        <v>169438.67991332622</v>
      </c>
      <c r="HP30" s="1">
        <f t="shared" si="41"/>
        <v>41527.079147729382</v>
      </c>
      <c r="HQ30" s="1">
        <f>IF(HP30 &lt; 0,
    IF(HQ29 + HP30 &gt; 0,
        HQ29 + HP30, IF(HV29-ABS(HQ29 + HP30)*(1+$V30) &gt;= HQ29 + HP30,
        0, HQ29 + HP30)),
    MIN(HQ29 + HP30, Analysis!$C$7))+IF(HQ29&lt;0, HQ29*Analysis!$C$9,0)</f>
        <v>24000</v>
      </c>
      <c r="HR30" s="38"/>
      <c r="HS30" s="1">
        <f t="shared" si="54"/>
        <v>35242.81996058808</v>
      </c>
      <c r="HT30" s="1">
        <f>IF($B30=Analysis!$C$159,0,IF(HP30 &gt;= 0,
    MAX(0, HQ29 + HP30 - Analysis!$C$7),
    0))</f>
        <v>41527.079147729382</v>
      </c>
      <c r="HU30" s="1">
        <f>IF($B30=Analysis!$C$159,0,MAX(0, HU29 + HT30 - IF(HP30 &lt; 0, MIN(ABS(HP30), HU29 + HT30), 0)))</f>
        <v>601412.81565610506</v>
      </c>
      <c r="HV30" s="1">
        <f>IF($B30=Analysis!$C$159,0,IF(HP30 &lt; 0,
    IF(HP30 + HQ29 &lt; 0,
        MAX(0, HV29 - (ABS(HP30 + HQ29) * (1+$V29))),
        HV29 + HS30),
    HV29 + HT30 + HS30))</f>
        <v>1112129.241268446</v>
      </c>
      <c r="HW30" s="1">
        <f t="shared" si="58"/>
        <v>977427.78401319101</v>
      </c>
      <c r="HX30" s="36"/>
    </row>
    <row r="31" spans="1:232" x14ac:dyDescent="0.35">
      <c r="A31">
        <f t="shared" si="0"/>
        <v>64</v>
      </c>
      <c r="B31">
        <v>2054</v>
      </c>
      <c r="C31" s="1">
        <f>IF($B31&lt;Analysis!C$66,0,$AN31)+$AT31+$AW31+$BC31+$CF31+$CA31</f>
        <v>1186631.9022219453</v>
      </c>
      <c r="D31" s="1">
        <f>IF($B31&lt;Analysis!C$66, 0, BV31)+AT31+AW31+BC31+CG31+CA31</f>
        <v>982719.34670277359</v>
      </c>
      <c r="E31" s="1">
        <f t="shared" si="1"/>
        <v>2101930.7437805422</v>
      </c>
      <c r="F31" s="1">
        <f t="shared" si="9"/>
        <v>1793712.3838349024</v>
      </c>
      <c r="G31" s="1">
        <f>IF(AND($B31&gt;=Analysis!$C$100, $B31&lt;Analysis!$C$101),$CK31,0)+IF($B31&gt;=Analysis!$C$130,EB31,0)+CQ31+CT31+CZ31+EH31+EK31+EQ31+$FO31+$FT31</f>
        <v>2192137.4650875777</v>
      </c>
      <c r="H31" s="1">
        <f t="shared" si="10"/>
        <v>1925478.8822584546</v>
      </c>
      <c r="I31" s="1">
        <f>IF($B31&lt;Analysis!$C$159,0,$FW31)+$GC31+$GF31+$GL31+$HQ31+$HV31</f>
        <v>2192137.4650875777</v>
      </c>
      <c r="J31" s="1">
        <f t="shared" si="2"/>
        <v>1925478.8822584546</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IF($B31=$B$2,((1+Analysis!$D$16)/(1+$S31))-1,IF(B31&lt;Analysis!$C$13,U30-((Analysis!$D$16-Analysis!$C$17)/(Analysis!$C$13-$B$2)),((1+Analysis!$C$17)/(1+$S30))-1))</f>
        <v>3.1753501400560394E-2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62633.896287386626</v>
      </c>
      <c r="AI31" s="1">
        <f>IF(AE31 &gt;= 0,
    MAX(0, AF30 + AE31 - Analysis!$C$7),
    0)</f>
        <v>42793.232938029774</v>
      </c>
      <c r="AJ31" s="1">
        <f t="shared" si="44"/>
        <v>909330.32692503592</v>
      </c>
      <c r="AK31" s="1">
        <f t="shared" si="20"/>
        <v>2077930.7437805422</v>
      </c>
      <c r="AL31" s="1">
        <f t="shared" si="5"/>
        <v>1769712.3838349024</v>
      </c>
      <c r="AM31" s="36"/>
      <c r="AN31" s="1">
        <f t="shared" si="45"/>
        <v>1599314.1609346799</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-4797.9424828040401</v>
      </c>
      <c r="BF31" s="64">
        <f>IF($B31&lt;Analysis!$C$66,0,Analysis!$C$78)</f>
        <v>3.0000000000000001E-3</v>
      </c>
      <c r="BG31" s="1">
        <f>IF($B31&lt;Analysis!$C$66,0,-BH31*AN31)</f>
        <v>-11994.8562070101</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-203912.5555191717</v>
      </c>
      <c r="BS31" s="64">
        <f>IF($B31&lt;Analysis!C$66,0,Analysis!C$31)</f>
        <v>0.1275</v>
      </c>
      <c r="BT31" s="1">
        <f>IF($B31&lt;Analysis!$C$66,0,AN31+BR31)</f>
        <v>1395401.6054155082</v>
      </c>
      <c r="BU31" s="1">
        <f>IF($B31-Analysis!$C$66&gt;3,0,IF($AN31&gt;LOOKUP(Analysis!$C$66,$B:$B, AN:AN),$V31*(LOOKUP(Analysis!$C$66,$B:$B, AN:AN)-AN31),0))</f>
        <v>0</v>
      </c>
      <c r="BV31" s="1">
        <f t="shared" si="23"/>
        <v>1395401.6054155082</v>
      </c>
      <c r="BW31" s="42"/>
      <c r="BX31" s="1">
        <f>IF($B31&lt;Analysis!$C$66,$P31+$N31+$X31+$Z31,$P31+$N31+AS31+AV31+BB31+BE31+BG31+MAX(BI31,SUM(BJ31:BN31))+BP31)</f>
        <v>-68752.798689814139</v>
      </c>
      <c r="BY31" s="1">
        <f t="shared" si="24"/>
        <v>131467.92324122589</v>
      </c>
      <c r="BZ31" s="1">
        <f t="shared" si="46"/>
        <v>62715.124551411747</v>
      </c>
      <c r="CA31" s="1">
        <f>IF(BZ31 &lt; 0,
    IF(CA30 + BZ31 &gt; 0,
        CA30 + BZ31, IF(CF30-ABS(CA30 + BZ31)*(1+$V31) &gt;= CA30 + BZ31,
        0, CA30 + BZ31)),
    MIN(CA30 + BZ31, Analysis!$C$7))+IF(CA30&lt;0, CA30*Analysis!$C$9,0)</f>
        <v>-412682.25871273456</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-36714.690303196119</v>
      </c>
      <c r="CJ31" s="1">
        <f>IF(OR($B31&lt;Analysis!$C$100, $B31&gt;=Analysis!$C$130),0,Z31)</f>
        <v>-3960</v>
      </c>
      <c r="CK31" s="1">
        <f t="shared" si="26"/>
        <v>961906.34317085776</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0</v>
      </c>
      <c r="CQ31" s="1">
        <f>IF(OR($B31&lt;Analysis!$C$100, $B31&gt;=Analysis!$C$101),0,IF($B31=Analysis!$C$100,-CM31-CP31,MIN(0,CQ30-CP31)))</f>
        <v>0</v>
      </c>
      <c r="CR31" s="64">
        <f>IF(OR($B31&lt;Analysis!$C$100, $B31&gt;=Analysis!$C$101),0,IF($B31=Analysis!$C$100,Analysis!$C$102,IF(($B31-Analysis!$C$100)&lt;LOOKUP(Analysis!$C$100,$B:$B,CN:CN),CR30,0)))</f>
        <v>0</v>
      </c>
      <c r="CS31" s="1">
        <f>IF(OR($B31&lt;Analysis!$C$100, $B31&gt;=Analysis!$C$101),0,IF($B31=Analysis!$C$100,-CR31*CM31,CR30*CQ30))</f>
        <v>0</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0</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38971.073044809193</v>
      </c>
      <c r="DE31" s="1">
        <f t="shared" si="27"/>
        <v>-2885.7190295125733</v>
      </c>
      <c r="DF31" s="64">
        <f>IF(OR($B31&lt;Analysis!$C$100, $B31&gt;=Analysis!$C$101),0,Analysis!$C$118)</f>
        <v>3.0000000000000001E-3</v>
      </c>
      <c r="DG31" s="1">
        <f t="shared" si="28"/>
        <v>-7214.2975737814331</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-2409.4015511472458</v>
      </c>
      <c r="DR31" s="1">
        <f t="shared" si="29"/>
        <v>-24769.418154441253</v>
      </c>
      <c r="DS31" s="1">
        <f>MIN(0,-(DB31+DR31)*Analysis!$C$28)-CS31*Analysis!$C$28</f>
        <v>-3259.4151799450092</v>
      </c>
      <c r="DT31" s="1">
        <f>-Analysis!$C$116*DD31/12</f>
        <v>-3247.5894204007659</v>
      </c>
      <c r="DU31" s="53"/>
      <c r="DV31" s="1">
        <f t="shared" si="30"/>
        <v>-122643.05875428437</v>
      </c>
      <c r="DW31" s="64">
        <f>IF(OR($B31&lt;Analysis!$C$100, $B31&gt;=Analysis!$C$101),0,IF($B31=Analysis!$C$100,Analysis!$C$31,DW30))</f>
        <v>0.1275</v>
      </c>
      <c r="DX31" s="1">
        <f>IF(OR($B31&lt;Analysis!$C$100, $B31&gt;=Analysis!$C$101),0,CK31+DV31)</f>
        <v>839263.28441657335</v>
      </c>
      <c r="DY31" s="1">
        <f>IF(OR($B31&lt;Analysis!$C$100, $B31&gt;=Analysis!$C$101),0,IF($B31-Analysis!$C$100&gt;3,0,IF(CK31&gt;LOOKUP(Analysis!$C$100,$B:$B, CK:CK),$V31*(LOOKUP(Analysis!$C$100,$B:$B, CK:CK)-CK31),0)))</f>
        <v>0</v>
      </c>
      <c r="DZ31" s="1">
        <f t="shared" si="49"/>
        <v>839263.28441657335</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-111651.11305798312</v>
      </c>
      <c r="FM31" s="1">
        <f>$M31+$R31+DD31+IF(AND($B31&lt;&gt;Analysis!$C$130,$B31=Analysis!$C$101),DZ30+CQ30+CT30+CZ30,0)</f>
        <v>170438.99628603508</v>
      </c>
      <c r="FN31" s="1">
        <f t="shared" si="34"/>
        <v>58787.883228051956</v>
      </c>
      <c r="FO31" s="1">
        <f>IF(FN31 &lt; 0,
    IF(FO30 + FN31 &gt; 0,
        FO30 + FN31, IF(FT30-ABS(FO30 + FN31)*(1+$V31) &gt;= FO30 + FN31,
        0, FO30 + FN31)),
    MIN(FO30 + FN31, Analysis!$C$7))+IF(FO30&lt;0, FO30*Analysis!$C$9,0)</f>
        <v>24000</v>
      </c>
      <c r="FP31" s="53"/>
      <c r="FQ31" s="1">
        <f t="shared" si="51"/>
        <v>35313.997420221771</v>
      </c>
      <c r="FR31" s="1">
        <f>IF(OR($B31=Analysis!$C$100, $B31=Analysis!$C$130),0,IF(FN31 &gt;= 0,
    MAX(0, FO30 + FN31 - Analysis!$C$7),
    0))</f>
        <v>58787.883228051956</v>
      </c>
      <c r="FS31" s="1">
        <f>IF(OR($B31=Analysis!$C$100, $B31=Analysis!$C$130),0,MAX(0, FS30 + FR31 - IF(FN31 &lt; 0, MIN(ABS(FN31), FS30 + FR31), 0)))</f>
        <v>660200.698884157</v>
      </c>
      <c r="FT31" s="1">
        <f>IF(OR($B31=Analysis!$C$100, $B31=Analysis!$C$130),0,IF(FN31 &lt; 0,
    IF(FN31 + FO30 &lt; 0,
        MAX(0, FT30 - (ABS(FN31 + FO30) * (1+$V30))),
        FT30 + FQ31),
    FT30 + FR31 + FQ31))</f>
        <v>1206231.1219167197</v>
      </c>
      <c r="FU31" s="1">
        <f t="shared" si="57"/>
        <v>1062215.5978418812</v>
      </c>
      <c r="FV31" s="36"/>
      <c r="FW31" s="1">
        <f t="shared" si="52"/>
        <v>961906.34317085776</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38971.073044809193</v>
      </c>
      <c r="GQ31" s="1">
        <f t="shared" si="36"/>
        <v>-2885.7190295125733</v>
      </c>
      <c r="GR31" s="64">
        <f>IF($B31&lt;Analysis!$C$159,0,Analysis!$C$178)</f>
        <v>3.0000000000000001E-3</v>
      </c>
      <c r="GS31" s="1">
        <f t="shared" si="37"/>
        <v>-7214.2975737814331</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-2409.4015511472458</v>
      </c>
      <c r="HD31" s="1">
        <f t="shared" si="38"/>
        <v>-24769.418154441253</v>
      </c>
      <c r="HE31" s="1">
        <f>MIN(0,-(GN31+HD31)*Analysis!$C$28)-GE31*Analysis!$C$28</f>
        <v>-3259.4151799450092</v>
      </c>
      <c r="HF31" s="1">
        <f>-Analysis!$C$176*GP31/12</f>
        <v>-3247.5894204007659</v>
      </c>
      <c r="HG31" s="38"/>
      <c r="HH31" s="1">
        <f>IF($B31&lt;Analysis!$C$159,0,-$HI31*$FW31)</f>
        <v>-122643.05875428437</v>
      </c>
      <c r="HI31" s="64">
        <f>IF($B31&lt;Analysis!$C$159,0,IF($B31=Analysis!$C$159,Analysis!$C$31,HI30))</f>
        <v>0.1275</v>
      </c>
      <c r="HJ31" s="1">
        <f>IF($B31&lt;Analysis!$C$159,0,$FW31+HH31)</f>
        <v>839263.28441657335</v>
      </c>
      <c r="HK31" s="1">
        <f>IF($B31-Analysis!$C$159&gt;10,0,IF($FW31&gt;LOOKUP(Analysis!$C$159,$B:$B, FW:FW),$V31*(LOOKUP(Analysis!$C$159,$B:$B, FW:FW)-FW31),0))</f>
        <v>0</v>
      </c>
      <c r="HL31" s="1">
        <f t="shared" si="39"/>
        <v>839263.28441657335</v>
      </c>
      <c r="HM31" s="38"/>
      <c r="HN31" s="1">
        <f t="shared" si="40"/>
        <v>-111651.11305798312</v>
      </c>
      <c r="HO31" s="1">
        <f t="shared" si="8"/>
        <v>170438.99628603508</v>
      </c>
      <c r="HP31" s="1">
        <f t="shared" si="41"/>
        <v>58787.883228051956</v>
      </c>
      <c r="HQ31" s="1">
        <f>IF(HP31 &lt; 0,
    IF(HQ30 + HP31 &gt; 0,
        HQ30 + HP31, IF(HV30-ABS(HQ30 + HP31)*(1+$V31) &gt;= HQ30 + HP31,
        0, HQ30 + HP31)),
    MIN(HQ30 + HP31, Analysis!$C$7))+IF(HQ30&lt;0, HQ30*Analysis!$C$9,0)</f>
        <v>24000</v>
      </c>
      <c r="HR31" s="38"/>
      <c r="HS31" s="1">
        <f t="shared" si="54"/>
        <v>35313.997420221771</v>
      </c>
      <c r="HT31" s="1">
        <f>IF($B31=Analysis!$C$159,0,IF(HP31 &gt;= 0,
    MAX(0, HQ30 + HP31 - Analysis!$C$7),
    0))</f>
        <v>58787.883228051956</v>
      </c>
      <c r="HU31" s="1">
        <f>IF($B31=Analysis!$C$159,0,MAX(0, HU30 + HT31 - IF(HP31 &lt; 0, MIN(ABS(HP31), HU30 + HT31), 0)))</f>
        <v>660200.698884157</v>
      </c>
      <c r="HV31" s="1">
        <f>IF($B31=Analysis!$C$159,0,IF(HP31 &lt; 0,
    IF(HP31 + HQ30 &lt; 0,
        MAX(0, HV30 - (ABS(HP31 + HQ30) * (1+$V30))),
        HV30 + HS31),
    HV30 + HT31 + HS31))</f>
        <v>1206231.1219167197</v>
      </c>
      <c r="HW31" s="1">
        <f t="shared" si="58"/>
        <v>1062215.5978418812</v>
      </c>
      <c r="HX31" s="36"/>
    </row>
    <row r="32" spans="1:232" x14ac:dyDescent="0.35">
      <c r="A32">
        <f t="shared" si="0"/>
        <v>65</v>
      </c>
      <c r="B32">
        <v>2055</v>
      </c>
      <c r="C32" s="1">
        <f>IF($B32&lt;Analysis!C$66,0,$AN32)+$AT32+$AW32+$BC32+$CF32+$CA32</f>
        <v>1262877.1920247169</v>
      </c>
      <c r="D32" s="1">
        <f>IF($B32&lt;Analysis!C$66, 0, BV32)+AT32+AW32+BC32+CG32+CA32</f>
        <v>1052967.2084020402</v>
      </c>
      <c r="E32" s="1">
        <f t="shared" si="1"/>
        <v>2204876.1536832438</v>
      </c>
      <c r="F32" s="1">
        <f t="shared" si="9"/>
        <v>1880507.848252364</v>
      </c>
      <c r="G32" s="1">
        <f>IF(AND($B32&gt;=Analysis!$C$100, $B32&lt;Analysis!$C$101),$CK32,0)+IF($B32&gt;=Analysis!$C$130,EB32,0)+CQ32+CT32+CZ32+EH32+EK32+EQ32+$FO32+$FT32</f>
        <v>2314002.1895557404</v>
      </c>
      <c r="H32" s="1">
        <f t="shared" si="10"/>
        <v>2034361.4742354518</v>
      </c>
      <c r="I32" s="1">
        <f>IF($B32&lt;Analysis!$C$159,0,$FW32)+$GC32+$GF32+$GL32+$HQ32+$HV32</f>
        <v>2314002.1895557404</v>
      </c>
      <c r="J32" s="1">
        <f t="shared" si="2"/>
        <v>2034361.4742354518</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IF($B32=$B$2,((1+Analysis!$D$16)/(1+$S32))-1,IF(B32&lt;Analysis!$C$13,U31-((Analysis!$D$16-Analysis!$C$17)/(Analysis!$C$13-$B$2)),((1+Analysis!$C$17)/(1+$S31))-1))</f>
        <v>2.9467787114846107E-2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61232.02079711885</v>
      </c>
      <c r="AI32" s="1">
        <f>IF(AE32 &gt;= 0,
    MAX(0, AF31 + AE32 - Analysis!$C$7),
    0)</f>
        <v>41713.389105582813</v>
      </c>
      <c r="AJ32" s="1">
        <f t="shared" si="44"/>
        <v>951043.71603061876</v>
      </c>
      <c r="AK32" s="1">
        <f t="shared" si="20"/>
        <v>2180876.1536832438</v>
      </c>
      <c r="AL32" s="1">
        <f t="shared" si="5"/>
        <v>1856507.848252364</v>
      </c>
      <c r="AM32" s="36"/>
      <c r="AN32" s="1">
        <f t="shared" si="45"/>
        <v>1646352.8127268765</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-4939.0584381806293</v>
      </c>
      <c r="BF32" s="64">
        <f>IF($B32&lt;Analysis!$C$66,0,Analysis!$C$78)</f>
        <v>3.0000000000000001E-3</v>
      </c>
      <c r="BG32" s="1">
        <f>IF($B32&lt;Analysis!$C$66,0,-BH32*AN32)</f>
        <v>-12347.646095451573</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-209909.98362267675</v>
      </c>
      <c r="BS32" s="64">
        <f>IF($B32&lt;Analysis!C$66,0,Analysis!C$31)</f>
        <v>0.1275</v>
      </c>
      <c r="BT32" s="1">
        <f>IF($B32&lt;Analysis!$C$66,0,AN32+BR32)</f>
        <v>1436442.8291041998</v>
      </c>
      <c r="BU32" s="1">
        <f>IF($B32-Analysis!$C$66&gt;3,0,IF($AN32&gt;LOOKUP(Analysis!$C$66,$B:$B, AN:AN),$V32*(LOOKUP(Analysis!$C$66,$B:$B, AN:AN)-AN32),0))</f>
        <v>0</v>
      </c>
      <c r="BV32" s="1">
        <f t="shared" si="23"/>
        <v>1436442.8291041998</v>
      </c>
      <c r="BW32" s="42"/>
      <c r="BX32" s="1">
        <f>IF($B32&lt;Analysis!$C$66,$P32+$N32+$X32+$Z32,$P32+$N32+AS32+AV32+BB32+BE32+BG32+MAX(BI32,SUM(BJ32:BN32))+BP32)</f>
        <v>-69246.704533632204</v>
      </c>
      <c r="BY32" s="1">
        <f t="shared" si="24"/>
        <v>131467.92324122589</v>
      </c>
      <c r="BZ32" s="1">
        <f t="shared" si="46"/>
        <v>62221.218707593682</v>
      </c>
      <c r="CA32" s="1">
        <f>IF(BZ32 &lt; 0,
    IF(CA31 + BZ32 &gt; 0,
        CA31 + BZ32, IF(CF31-ABS(CA31 + BZ32)*(1+$V32) &gt;= CA31 + BZ32,
        0, CA31 + BZ32)),
    MIN(CA31 + BZ32, Analysis!$C$7))+IF(CA31&lt;0, CA31*Analysis!$C$9,0)</f>
        <v>-383475.62070215965</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-37794.534135643065</v>
      </c>
      <c r="CJ32" s="1">
        <f>IF(OR($B32&lt;Analysis!$C$100, $B32&gt;=Analysis!$C$130),0,Z32)</f>
        <v>-3960</v>
      </c>
      <c r="CK32" s="1">
        <f t="shared" si="26"/>
        <v>990197.70620529482</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0</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0</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40000.810487303577</v>
      </c>
      <c r="DE32" s="1">
        <f t="shared" si="27"/>
        <v>-2970.5931186158846</v>
      </c>
      <c r="DF32" s="64">
        <f>IF(OR($B32&lt;Analysis!$C$100, $B32&gt;=Analysis!$C$101),0,Analysis!$C$118)</f>
        <v>3.0000000000000001E-3</v>
      </c>
      <c r="DG32" s="1">
        <f t="shared" si="28"/>
        <v>-7426.4827965397108</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-2480.266302651577</v>
      </c>
      <c r="DR32" s="1">
        <f t="shared" si="29"/>
        <v>-25137.342217807174</v>
      </c>
      <c r="DS32" s="1">
        <f>MIN(0,-(DB32+DR32)*Analysis!$C$28)-CS32*Analysis!$C$28</f>
        <v>-3515.0569793551572</v>
      </c>
      <c r="DT32" s="1">
        <f>-Analysis!$C$116*DD32/12</f>
        <v>-3333.4008739419646</v>
      </c>
      <c r="DU32" s="53"/>
      <c r="DV32" s="1">
        <f t="shared" si="30"/>
        <v>-126250.20754117508</v>
      </c>
      <c r="DW32" s="64">
        <f>IF(OR($B32&lt;Analysis!$C$100, $B32&gt;=Analysis!$C$101),0,IF($B32=Analysis!$C$100,Analysis!$C$31,DW31))</f>
        <v>0.1275</v>
      </c>
      <c r="DX32" s="1">
        <f>IF(OR($B32&lt;Analysis!$C$100, $B32&gt;=Analysis!$C$101),0,CK32+DV32)</f>
        <v>863947.49866411975</v>
      </c>
      <c r="DY32" s="1">
        <f>IF(OR($B32&lt;Analysis!$C$100, $B32&gt;=Analysis!$C$101),0,IF($B32-Analysis!$C$100&gt;3,0,IF(CK32&gt;LOOKUP(Analysis!$C$100,$B:$B, CK:CK),$V32*(LOOKUP(Analysis!$C$100,$B:$B, CK:CK)-CK32),0)))</f>
        <v>0</v>
      </c>
      <c r="DZ32" s="1">
        <f t="shared" si="49"/>
        <v>863947.49866411975</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-113440.33420674737</v>
      </c>
      <c r="FM32" s="1">
        <f>$M32+$R32+DD32+IF(AND($B32&lt;&gt;Analysis!$C$130,$B32=Analysis!$C$101),DZ31+CQ31+CT31+CZ31,0)</f>
        <v>171468.73372852948</v>
      </c>
      <c r="FN32" s="1">
        <f t="shared" si="34"/>
        <v>58028.399521782107</v>
      </c>
      <c r="FO32" s="1">
        <f>IF(FN32 &lt; 0,
    IF(FO31 + FN32 &gt; 0,
        FO31 + FN32, IF(FT31-ABS(FO31 + FN32)*(1+$V32) &gt;= FO31 + FN32,
        0, FO31 + FN32)),
    MIN(FO31 + FN32, Analysis!$C$7))+IF(FO31&lt;0, FO31*Analysis!$C$9,0)</f>
        <v>24000</v>
      </c>
      <c r="FP32" s="53"/>
      <c r="FQ32" s="1">
        <f t="shared" si="51"/>
        <v>35544.961911943879</v>
      </c>
      <c r="FR32" s="1">
        <f>IF(OR($B32=Analysis!$C$100, $B32=Analysis!$C$130),0,IF(FN32 &gt;= 0,
    MAX(0, FO31 + FN32 - Analysis!$C$7),
    0))</f>
        <v>58028.399521782107</v>
      </c>
      <c r="FS32" s="1">
        <f>IF(OR($B32=Analysis!$C$100, $B32=Analysis!$C$130),0,MAX(0, FS31 + FR32 - IF(FN32 &lt; 0, MIN(ABS(FN32), FS31 + FR32), 0)))</f>
        <v>718229.09840593906</v>
      </c>
      <c r="FT32" s="1">
        <f>IF(OR($B32=Analysis!$C$100, $B32=Analysis!$C$130),0,IF(FN32 &lt; 0,
    IF(FN32 + FO31 &lt; 0,
        MAX(0, FT31 - (ABS(FN32 + FO31) * (1+$V31))),
        FT31 + FQ32),
    FT31 + FR32 + FQ32))</f>
        <v>1299804.4833504457</v>
      </c>
      <c r="FU32" s="1">
        <f t="shared" si="57"/>
        <v>1146413.975571332</v>
      </c>
      <c r="FV32" s="36"/>
      <c r="FW32" s="1">
        <f t="shared" si="52"/>
        <v>990197.70620529482</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40000.810487303577</v>
      </c>
      <c r="GQ32" s="1">
        <f t="shared" si="36"/>
        <v>-2970.5931186158846</v>
      </c>
      <c r="GR32" s="64">
        <f>IF($B32&lt;Analysis!$C$159,0,Analysis!$C$178)</f>
        <v>3.0000000000000001E-3</v>
      </c>
      <c r="GS32" s="1">
        <f t="shared" si="37"/>
        <v>-7426.4827965397108</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-2480.266302651577</v>
      </c>
      <c r="HD32" s="1">
        <f t="shared" si="38"/>
        <v>-25137.342217807174</v>
      </c>
      <c r="HE32" s="1">
        <f>MIN(0,-(GN32+HD32)*Analysis!$C$28)-GE32*Analysis!$C$28</f>
        <v>-3515.0569793551572</v>
      </c>
      <c r="HF32" s="1">
        <f>-Analysis!$C$176*GP32/12</f>
        <v>-3333.4008739419646</v>
      </c>
      <c r="HG32" s="38"/>
      <c r="HH32" s="1">
        <f>IF($B32&lt;Analysis!$C$159,0,-$HI32*$FW32)</f>
        <v>-126250.20754117508</v>
      </c>
      <c r="HI32" s="64">
        <f>IF($B32&lt;Analysis!$C$159,0,IF($B32=Analysis!$C$159,Analysis!$C$31,HI31))</f>
        <v>0.1275</v>
      </c>
      <c r="HJ32" s="1">
        <f>IF($B32&lt;Analysis!$C$159,0,$FW32+HH32)</f>
        <v>863947.49866411975</v>
      </c>
      <c r="HK32" s="1">
        <f>IF($B32-Analysis!$C$159&gt;10,0,IF($FW32&gt;LOOKUP(Analysis!$C$159,$B:$B, FW:FW),$V32*(LOOKUP(Analysis!$C$159,$B:$B, FW:FW)-FW32),0))</f>
        <v>0</v>
      </c>
      <c r="HL32" s="1">
        <f t="shared" si="39"/>
        <v>863947.49866411975</v>
      </c>
      <c r="HM32" s="38"/>
      <c r="HN32" s="1">
        <f t="shared" si="40"/>
        <v>-113440.33420674737</v>
      </c>
      <c r="HO32" s="1">
        <f t="shared" si="8"/>
        <v>171468.73372852948</v>
      </c>
      <c r="HP32" s="1">
        <f t="shared" si="41"/>
        <v>58028.399521782107</v>
      </c>
      <c r="HQ32" s="1">
        <f>IF(HP32 &lt; 0,
    IF(HQ31 + HP32 &gt; 0,
        HQ31 + HP32, IF(HV31-ABS(HQ31 + HP32)*(1+$V32) &gt;= HQ31 + HP32,
        0, HQ31 + HP32)),
    MIN(HQ31 + HP32, Analysis!$C$7))+IF(HQ31&lt;0, HQ31*Analysis!$C$9,0)</f>
        <v>24000</v>
      </c>
      <c r="HR32" s="38"/>
      <c r="HS32" s="1">
        <f t="shared" si="54"/>
        <v>35544.961911943879</v>
      </c>
      <c r="HT32" s="1">
        <f>IF($B32=Analysis!$C$159,0,IF(HP32 &gt;= 0,
    MAX(0, HQ31 + HP32 - Analysis!$C$7),
    0))</f>
        <v>58028.399521782107</v>
      </c>
      <c r="HU32" s="1">
        <f>IF($B32=Analysis!$C$159,0,MAX(0, HU31 + HT32 - IF(HP32 &lt; 0, MIN(ABS(HP32), HU31 + HT32), 0)))</f>
        <v>718229.09840593906</v>
      </c>
      <c r="HV32" s="1">
        <f>IF($B32=Analysis!$C$159,0,IF(HP32 &lt; 0,
    IF(HP32 + HQ31 &lt; 0,
        MAX(0, HV31 - (ABS(HP32 + HQ31) * (1+$V31))),
        HV31 + HS32),
    HV31 + HT32 + HS32))</f>
        <v>1299804.4833504457</v>
      </c>
      <c r="HW32" s="1">
        <f t="shared" si="58"/>
        <v>1146413.975571332</v>
      </c>
      <c r="HX32" s="36"/>
    </row>
    <row r="33" spans="1:232" x14ac:dyDescent="0.35">
      <c r="A33">
        <f t="shared" si="0"/>
        <v>66</v>
      </c>
      <c r="B33">
        <v>2056</v>
      </c>
      <c r="C33" s="1">
        <f>IF($B33&lt;Analysis!C$66,0,$AN33)+$AT33+$AW33+$BC33+$CF33+$CA33</f>
        <v>1342334.0701406451</v>
      </c>
      <c r="D33" s="1">
        <f>IF($B33&lt;Analysis!C$66, 0, BV33)+AT33+AW33+BC33+CG33+CA33</f>
        <v>1126250.2634702425</v>
      </c>
      <c r="E33" s="1">
        <f t="shared" si="1"/>
        <v>2304758.6732843951</v>
      </c>
      <c r="F33" s="1">
        <f t="shared" si="9"/>
        <v>1964755.0741447716</v>
      </c>
      <c r="G33" s="1">
        <f>IF(AND($B33&gt;=Analysis!$C$100, $B33&lt;Analysis!$C$101),$CK33,0)+IF($B33&gt;=Analysis!$C$130,EB33,0)+CQ33+CT33+CZ33+EH33+EK33+EQ33+$FO33+$FT33</f>
        <v>2435703.6096924646</v>
      </c>
      <c r="H33" s="1">
        <f t="shared" si="10"/>
        <v>2143031.0014646016</v>
      </c>
      <c r="I33" s="1">
        <f>IF($B33&lt;Analysis!$C$159,0,$FW33)+$GC33+$GF33+$GL33+$HQ33+$HV33</f>
        <v>2435703.6096924646</v>
      </c>
      <c r="J33" s="1">
        <f t="shared" si="2"/>
        <v>2143031.0014646016</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IF($B33=$B$2,((1+Analysis!$D$16)/(1+$S33))-1,IF(B33&lt;Analysis!$C$13,U32-((Analysis!$D$16-Analysis!$C$17)/(Analysis!$C$13-$B$2)),((1+Analysis!$C$17)/(1+$S32))-1))</f>
        <v>2.718207282913182E-2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59280.734440734814</v>
      </c>
      <c r="AI33" s="1">
        <f>IF(AE33 &gt;= 0,
    MAX(0, AF32 + AE33 - Analysis!$C$7),
    0)</f>
        <v>40601.785160416854</v>
      </c>
      <c r="AJ33" s="1">
        <f t="shared" si="44"/>
        <v>991645.50119103561</v>
      </c>
      <c r="AK33" s="1">
        <f t="shared" si="20"/>
        <v>2280758.6732843951</v>
      </c>
      <c r="AL33" s="1">
        <f t="shared" si="5"/>
        <v>1940755.0741447716</v>
      </c>
      <c r="AM33" s="36"/>
      <c r="AN33" s="1">
        <f t="shared" si="45"/>
        <v>1694774.9542776672</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-5084.324862833002</v>
      </c>
      <c r="BF33" s="64">
        <f>IF($B33&lt;Analysis!$C$66,0,Analysis!$C$78)</f>
        <v>3.0000000000000001E-3</v>
      </c>
      <c r="BG33" s="1">
        <f>IF($B33&lt;Analysis!$C$66,0,-BH33*AN33)</f>
        <v>-12710.812157082504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-216083.80667040258</v>
      </c>
      <c r="BS33" s="64">
        <f>IF($B33&lt;Analysis!C$66,0,Analysis!C$31)</f>
        <v>0.1275</v>
      </c>
      <c r="BT33" s="1">
        <f>IF($B33&lt;Analysis!$C$66,0,AN33+BR33)</f>
        <v>1478691.1476072646</v>
      </c>
      <c r="BU33" s="1">
        <f>IF($B33-Analysis!$C$66&gt;3,0,IF($AN33&gt;LOOKUP(Analysis!$C$66,$B:$B, AN:AN),$V33*(LOOKUP(Analysis!$C$66,$B:$B, AN:AN)-AN33),0))</f>
        <v>0</v>
      </c>
      <c r="BV33" s="1">
        <f t="shared" si="23"/>
        <v>1478691.1476072646</v>
      </c>
      <c r="BW33" s="42"/>
      <c r="BX33" s="1">
        <f>IF($B33&lt;Analysis!$C$66,$P33+$N33+$X33+$Z33,$P33+$N33+AS33+AV33+BB33+BE33+BG33+MAX(BI33,SUM(BJ33:BN33))+BP33)</f>
        <v>-69755.137019915506</v>
      </c>
      <c r="BY33" s="1">
        <f t="shared" si="24"/>
        <v>131467.92324122589</v>
      </c>
      <c r="BZ33" s="1">
        <f t="shared" si="46"/>
        <v>61712.78622131038</v>
      </c>
      <c r="CA33" s="1">
        <f>IF(BZ33 &lt; 0,
    IF(CA32 + BZ33 &gt; 0,
        CA32 + BZ33, IF(CF32-ABS(CA32 + BZ33)*(1+$V33) &gt;= CA32 + BZ33,
        0, CA32 + BZ33)),
    MIN(CA32 + BZ33, Analysis!$C$7))+IF(CA32&lt;0, CA32*Analysis!$C$9,0)</f>
        <v>-352440.88413702202</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-38906.13808080904</v>
      </c>
      <c r="CJ33" s="1">
        <f>IF(OR($B33&lt;Analysis!$C$100, $B33&gt;=Analysis!$C$130),0,Z33)</f>
        <v>-3960</v>
      </c>
      <c r="CK33" s="1">
        <f t="shared" si="26"/>
        <v>1019321.1681525095</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41060.834325165451</v>
      </c>
      <c r="DE33" s="1">
        <f t="shared" si="27"/>
        <v>-3057.9635044575284</v>
      </c>
      <c r="DF33" s="64">
        <f>IF(OR($B33&lt;Analysis!$C$100, $B33&gt;=Analysis!$C$101),0,Analysis!$C$118)</f>
        <v>3.0000000000000001E-3</v>
      </c>
      <c r="DG33" s="1">
        <f t="shared" si="28"/>
        <v>-7644.9087611438208</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-2553.2153115530941</v>
      </c>
      <c r="DR33" s="1">
        <f t="shared" si="29"/>
        <v>-25516.087577154442</v>
      </c>
      <c r="DS33" s="1">
        <f>MIN(0,-(DB33+DR33)*Analysis!$C$28)-CS33*Analysis!$C$28</f>
        <v>-3778.2176552185483</v>
      </c>
      <c r="DT33" s="1">
        <f>-Analysis!$C$116*DD33/12</f>
        <v>-3421.7361937637875</v>
      </c>
      <c r="DU33" s="53"/>
      <c r="DV33" s="1">
        <f t="shared" si="30"/>
        <v>-129963.44893944496</v>
      </c>
      <c r="DW33" s="64">
        <f>IF(OR($B33&lt;Analysis!$C$100, $B33&gt;=Analysis!$C$101),0,IF($B33=Analysis!$C$100,Analysis!$C$31,DW32))</f>
        <v>0.1275</v>
      </c>
      <c r="DX33" s="1">
        <f>IF(OR($B33&lt;Analysis!$C$100, $B33&gt;=Analysis!$C$101),0,CK33+DV33)</f>
        <v>889357.71921306453</v>
      </c>
      <c r="DY33" s="1">
        <f>IF(OR($B33&lt;Analysis!$C$100, $B33&gt;=Analysis!$C$101),0,IF($B33-Analysis!$C$100&gt;3,0,IF(CK33&gt;LOOKUP(Analysis!$C$100,$B:$B, CK:CK),$V33*(LOOKUP(Analysis!$C$100,$B:$B, CK:CK)-CK33),0)))</f>
        <v>0</v>
      </c>
      <c r="DZ33" s="1">
        <f t="shared" si="49"/>
        <v>889357.71921306453</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-115282.1795069458</v>
      </c>
      <c r="FM33" s="1">
        <f>$M33+$R33+DD33+IF(AND($B33&lt;&gt;Analysis!$C$130,$B33=Analysis!$C$101),DZ32+CQ32+CT32+CZ32,0)</f>
        <v>172528.75756639134</v>
      </c>
      <c r="FN33" s="1">
        <f t="shared" si="34"/>
        <v>57246.578059445543</v>
      </c>
      <c r="FO33" s="1">
        <f>IF(FN33 &lt; 0,
    IF(FO32 + FN33 &gt; 0,
        FO32 + FN33, IF(FT32-ABS(FO32 + FN33)*(1+$V33) &gt;= FO32 + FN33,
        0, FO32 + FN33)),
    MIN(FO32 + FN33, Analysis!$C$7))+IF(FO32&lt;0, FO32*Analysis!$C$9,0)</f>
        <v>24000</v>
      </c>
      <c r="FP33" s="53"/>
      <c r="FQ33" s="1">
        <f t="shared" si="51"/>
        <v>35331.380130063873</v>
      </c>
      <c r="FR33" s="1">
        <f>IF(OR($B33=Analysis!$C$100, $B33=Analysis!$C$130),0,IF(FN33 &gt;= 0,
    MAX(0, FO32 + FN33 - Analysis!$C$7),
    0))</f>
        <v>57246.578059445543</v>
      </c>
      <c r="FS33" s="1">
        <f>IF(OR($B33=Analysis!$C$100, $B33=Analysis!$C$130),0,MAX(0, FS32 + FR33 - IF(FN33 &lt; 0, MIN(ABS(FN33), FS32 + FR33), 0)))</f>
        <v>775475.67646538466</v>
      </c>
      <c r="FT33" s="1">
        <f>IF(OR($B33=Analysis!$C$100, $B33=Analysis!$C$130),0,IF(FN33 &lt; 0,
    IF(FN33 + FO32 &lt; 0,
        MAX(0, FT32 - (ABS(FN33 + FO32) * (1+$V32))),
        FT32 + FQ33),
    FT32 + FR33 + FQ33))</f>
        <v>1392382.4415399553</v>
      </c>
      <c r="FU33" s="1">
        <f t="shared" si="57"/>
        <v>1229673.2822515373</v>
      </c>
      <c r="FV33" s="36"/>
      <c r="FW33" s="1">
        <f t="shared" si="52"/>
        <v>1019321.1681525095</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41060.834325165451</v>
      </c>
      <c r="GQ33" s="1">
        <f t="shared" si="36"/>
        <v>-3057.9635044575284</v>
      </c>
      <c r="GR33" s="64">
        <f>IF($B33&lt;Analysis!$C$159,0,Analysis!$C$178)</f>
        <v>3.0000000000000001E-3</v>
      </c>
      <c r="GS33" s="1">
        <f t="shared" si="37"/>
        <v>-7644.9087611438208</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-2553.2153115530941</v>
      </c>
      <c r="HD33" s="1">
        <f t="shared" si="38"/>
        <v>-25516.087577154442</v>
      </c>
      <c r="HE33" s="1">
        <f>MIN(0,-(GN33+HD33)*Analysis!$C$28)-GE33*Analysis!$C$28</f>
        <v>-3778.2176552185483</v>
      </c>
      <c r="HF33" s="1">
        <f>-Analysis!$C$176*GP33/12</f>
        <v>-3421.7361937637875</v>
      </c>
      <c r="HG33" s="38"/>
      <c r="HH33" s="1">
        <f>IF($B33&lt;Analysis!$C$159,0,-$HI33*$FW33)</f>
        <v>-129963.44893944496</v>
      </c>
      <c r="HI33" s="64">
        <f>IF($B33&lt;Analysis!$C$159,0,IF($B33=Analysis!$C$159,Analysis!$C$31,HI32))</f>
        <v>0.1275</v>
      </c>
      <c r="HJ33" s="1">
        <f>IF($B33&lt;Analysis!$C$159,0,$FW33+HH33)</f>
        <v>889357.71921306453</v>
      </c>
      <c r="HK33" s="1">
        <f>IF($B33-Analysis!$C$159&gt;10,0,IF($FW33&gt;LOOKUP(Analysis!$C$159,$B:$B, FW:FW),$V33*(LOOKUP(Analysis!$C$159,$B:$B, FW:FW)-FW33),0))</f>
        <v>0</v>
      </c>
      <c r="HL33" s="1">
        <f t="shared" si="39"/>
        <v>889357.71921306453</v>
      </c>
      <c r="HM33" s="38"/>
      <c r="HN33" s="1">
        <f t="shared" si="40"/>
        <v>-115282.1795069458</v>
      </c>
      <c r="HO33" s="1">
        <f t="shared" si="8"/>
        <v>172528.75756639134</v>
      </c>
      <c r="HP33" s="1">
        <f t="shared" si="41"/>
        <v>57246.578059445543</v>
      </c>
      <c r="HQ33" s="1">
        <f>IF(HP33 &lt; 0,
    IF(HQ32 + HP33 &gt; 0,
        HQ32 + HP33, IF(HV32-ABS(HQ32 + HP33)*(1+$V33) &gt;= HQ32 + HP33,
        0, HQ32 + HP33)),
    MIN(HQ32 + HP33, Analysis!$C$7))+IF(HQ32&lt;0, HQ32*Analysis!$C$9,0)</f>
        <v>24000</v>
      </c>
      <c r="HR33" s="38"/>
      <c r="HS33" s="1">
        <f t="shared" si="54"/>
        <v>35331.380130063873</v>
      </c>
      <c r="HT33" s="1">
        <f>IF($B33=Analysis!$C$159,0,IF(HP33 &gt;= 0,
    MAX(0, HQ32 + HP33 - Analysis!$C$7),
    0))</f>
        <v>57246.578059445543</v>
      </c>
      <c r="HU33" s="1">
        <f>IF($B33=Analysis!$C$159,0,MAX(0, HU32 + HT33 - IF(HP33 &lt; 0, MIN(ABS(HP33), HU32 + HT33), 0)))</f>
        <v>775475.67646538466</v>
      </c>
      <c r="HV33" s="1">
        <f>IF($B33=Analysis!$C$159,0,IF(HP33 &lt; 0,
    IF(HP33 + HQ32 &lt; 0,
        MAX(0, HV32 - (ABS(HP33 + HQ32) * (1+$V32))),
        HV32 + HS33),
    HV32 + HT33 + HS33))</f>
        <v>1392382.4415399553</v>
      </c>
      <c r="HW33" s="1">
        <f t="shared" si="58"/>
        <v>1229673.2822515373</v>
      </c>
      <c r="HX33" s="36"/>
    </row>
    <row r="34" spans="1:232" x14ac:dyDescent="0.35">
      <c r="A34">
        <f t="shared" si="0"/>
        <v>67</v>
      </c>
      <c r="B34">
        <v>2057</v>
      </c>
      <c r="C34" s="1">
        <f>IF($B34&lt;Analysis!C$66,0,$AN34)+$AT34+$AW34+$BC34+$CF34+$CA34</f>
        <v>1425174.5214326927</v>
      </c>
      <c r="D34" s="1">
        <f>IF($B34&lt;Analysis!C$66, 0, BV34)+AT34+AW34+BC34+CG34+CA34</f>
        <v>1202735.3086837488</v>
      </c>
      <c r="E34" s="1">
        <f t="shared" si="1"/>
        <v>2400998.745947062</v>
      </c>
      <c r="F34" s="1">
        <f t="shared" si="9"/>
        <v>2046018.739834049</v>
      </c>
      <c r="G34" s="1">
        <f>IF(AND($B34&gt;=Analysis!$C$100, $B34&lt;Analysis!$C$101),$CK34,0)+IF($B34&gt;=Analysis!$C$130,EB34,0)+CQ34+CT34+CZ34+EH34+EK34+EQ34+$FO34+$FT34</f>
        <v>2556790.6583922459</v>
      </c>
      <c r="H34" s="1">
        <f t="shared" si="10"/>
        <v>2251152.6354384823</v>
      </c>
      <c r="I34" s="1">
        <f>IF($B34&lt;Analysis!$C$159,0,$FW34)+$GC34+$GF34+$GL34+$HQ34+$HV34</f>
        <v>2556790.6583922459</v>
      </c>
      <c r="J34" s="1">
        <f t="shared" ref="J34:J52" si="59">$HL34+$GC34+$GF34+$GL34+$HQ34+$HW34</f>
        <v>2251152.6354384823</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IF($B34=$B$2,((1+Analysis!$D$16)/(1+$S34))-1,IF(B34&lt;Analysis!$C$13,U33-((Analysis!$D$16-Analysis!$C$17)/(Analysis!$C$13-$B$2)),((1+Analysis!$C$17)/(1+$S33))-1))</f>
        <v>2.4896358543417534E-2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56782.585681097589</v>
      </c>
      <c r="AI34" s="1">
        <f>IF(AE34 &gt;= 0,
    MAX(0, AF33 + AE34 - Analysis!$C$7),
    0)</f>
        <v>39457.486981569527</v>
      </c>
      <c r="AJ34" s="1">
        <f t="shared" si="44"/>
        <v>1031102.9881726052</v>
      </c>
      <c r="AK34" s="1">
        <f t="shared" si="20"/>
        <v>2376998.745947062</v>
      </c>
      <c r="AL34" s="1">
        <f t="shared" si="5"/>
        <v>2022018.739834049</v>
      </c>
      <c r="AM34" s="36"/>
      <c r="AN34" s="1">
        <f t="shared" si="45"/>
        <v>1744621.2764623046</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-5233.8638293869144</v>
      </c>
      <c r="BF34" s="64">
        <f>IF($B34&lt;Analysis!$C$66,0,Analysis!$C$78)</f>
        <v>3.0000000000000001E-3</v>
      </c>
      <c r="BG34" s="1">
        <f>IF($B34&lt;Analysis!$C$66,0,-BH34*AN34)</f>
        <v>-13084.659573467285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-222439.21274894386</v>
      </c>
      <c r="BS34" s="64">
        <f>IF($B34&lt;Analysis!C$66,0,Analysis!C$31)</f>
        <v>0.1275</v>
      </c>
      <c r="BT34" s="1">
        <f>IF($B34&lt;Analysis!$C$66,0,AN34+BR34)</f>
        <v>1522182.0637133608</v>
      </c>
      <c r="BU34" s="1">
        <f>IF($B34-Analysis!$C$66&gt;3,0,IF($AN34&gt;LOOKUP(Analysis!$C$66,$B:$B, AN:AN),$V34*(LOOKUP(Analysis!$C$66,$B:$B, AN:AN)-AN34),0))</f>
        <v>0</v>
      </c>
      <c r="BV34" s="1">
        <f t="shared" si="23"/>
        <v>1522182.0637133608</v>
      </c>
      <c r="BW34" s="42"/>
      <c r="BX34" s="1">
        <f>IF($B34&lt;Analysis!$C$66,$P34+$N34+$X34+$Z34,$P34+$N34+AS34+AV34+BB34+BE34+BG34+MAX(BI34,SUM(BJ34:BN34))+BP34)</f>
        <v>-70278.523402854204</v>
      </c>
      <c r="BY34" s="1">
        <f t="shared" si="24"/>
        <v>131467.92324122589</v>
      </c>
      <c r="BZ34" s="1">
        <f t="shared" si="46"/>
        <v>61189.399838371683</v>
      </c>
      <c r="CA34" s="1">
        <f>IF(BZ34 &lt; 0,
    IF(CA33 + BZ34 &gt; 0,
        CA33 + BZ34, IF(CF33-ABS(CA33 + BZ34)*(1+$V34) &gt;= CA33 + BZ34,
        0, CA33 + BZ34)),
    MIN(CA33 + BZ34, Analysis!$C$7))+IF(CA33&lt;0, CA33*Analysis!$C$9,0)</f>
        <v>-319446.7550296121</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-40050.436259656366</v>
      </c>
      <c r="CJ34" s="1">
        <f>IF(OR($B34&lt;Analysis!$C$100, $B34&gt;=Analysis!$C$130),0,Z34)</f>
        <v>-3960</v>
      </c>
      <c r="CK34" s="1">
        <f t="shared" si="26"/>
        <v>1049301.2025099364</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42152.035334729146</v>
      </c>
      <c r="DE34" s="1">
        <f t="shared" si="27"/>
        <v>-3147.9036075298095</v>
      </c>
      <c r="DF34" s="64">
        <f>IF(OR($B34&lt;Analysis!$C$100, $B34&gt;=Analysis!$C$101),0,Analysis!$C$118)</f>
        <v>3.0000000000000001E-3</v>
      </c>
      <c r="DG34" s="1">
        <f t="shared" si="28"/>
        <v>-7869.7590188245231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-2628.3098795399505</v>
      </c>
      <c r="DR34" s="1">
        <f t="shared" si="29"/>
        <v>-25905.972505894282</v>
      </c>
      <c r="DS34" s="1">
        <f>MIN(0,-(DB34+DR34)*Analysis!$C$28)-CS34*Analysis!$C$28</f>
        <v>-4049.1183509602702</v>
      </c>
      <c r="DT34" s="1">
        <f>-Analysis!$C$116*DD34/12</f>
        <v>-3512.669611227429</v>
      </c>
      <c r="DU34" s="53"/>
      <c r="DV34" s="1">
        <f t="shared" si="30"/>
        <v>-133785.90332001689</v>
      </c>
      <c r="DW34" s="64">
        <f>IF(OR($B34&lt;Analysis!$C$100, $B34&gt;=Analysis!$C$101),0,IF($B34=Analysis!$C$100,Analysis!$C$31,DW33))</f>
        <v>0.1275</v>
      </c>
      <c r="DX34" s="1">
        <f>IF(OR($B34&lt;Analysis!$C$100, $B34&gt;=Analysis!$C$101),0,CK34+DV34)</f>
        <v>915515.29918991949</v>
      </c>
      <c r="DY34" s="1">
        <f>IF(OR($B34&lt;Analysis!$C$100, $B34&gt;=Analysis!$C$101),0,IF($B34-Analysis!$C$100&gt;3,0,IF(CK34&gt;LOOKUP(Analysis!$C$100,$B:$B, CK:CK),$V34*(LOOKUP(Analysis!$C$100,$B:$B, CK:CK)-CK34),0)))</f>
        <v>0</v>
      </c>
      <c r="DZ34" s="1">
        <f t="shared" si="49"/>
        <v>915515.29918991949</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-117178.19672773834</v>
      </c>
      <c r="FM34" s="1">
        <f>$M34+$R34+DD34+IF(AND($B34&lt;&gt;Analysis!$C$130,$B34=Analysis!$C$101),DZ33+CQ33+CT33+CZ33,0)</f>
        <v>173619.95857595504</v>
      </c>
      <c r="FN34" s="1">
        <f t="shared" si="34"/>
        <v>56441.761848216702</v>
      </c>
      <c r="FO34" s="1">
        <f>IF(FN34 &lt; 0,
    IF(FO33 + FN34 &gt; 0,
        FO33 + FN34, IF(FT33-ABS(FO33 + FN34)*(1+$V34) &gt;= FO33 + FN34,
        0, FO33 + FN34)),
    MIN(FO33 + FN34, Analysis!$C$7))+IF(FO33&lt;0, FO33*Analysis!$C$9,0)</f>
        <v>24000</v>
      </c>
      <c r="FP34" s="53"/>
      <c r="FQ34" s="1">
        <f t="shared" si="51"/>
        <v>34665.252494137829</v>
      </c>
      <c r="FR34" s="1">
        <f>IF(OR($B34=Analysis!$C$100, $B34=Analysis!$C$130),0,IF(FN34 &gt;= 0,
    MAX(0, FO33 + FN34 - Analysis!$C$7),
    0))</f>
        <v>56441.761848216702</v>
      </c>
      <c r="FS34" s="1">
        <f>IF(OR($B34=Analysis!$C$100, $B34=Analysis!$C$130),0,MAX(0, FS33 + FR34 - IF(FN34 &lt; 0, MIN(ABS(FN34), FS33 + FR34), 0)))</f>
        <v>831917.43831360131</v>
      </c>
      <c r="FT34" s="1">
        <f>IF(OR($B34=Analysis!$C$100, $B34=Analysis!$C$130),0,IF(FN34 &lt; 0,
    IF(FN34 + FO33 &lt; 0,
        MAX(0, FT33 - (ABS(FN34 + FO33) * (1+$V33))),
        FT33 + FQ34),
    FT33 + FR34 + FQ34))</f>
        <v>1483489.4558823097</v>
      </c>
      <c r="FU34" s="1">
        <f t="shared" si="57"/>
        <v>1311637.3362485629</v>
      </c>
      <c r="FV34" s="36"/>
      <c r="FW34" s="1">
        <f t="shared" si="52"/>
        <v>1049301.2025099364</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42152.035334729146</v>
      </c>
      <c r="GQ34" s="1">
        <f t="shared" si="36"/>
        <v>-3147.9036075298095</v>
      </c>
      <c r="GR34" s="64">
        <f>IF($B34&lt;Analysis!$C$159,0,Analysis!$C$178)</f>
        <v>3.0000000000000001E-3</v>
      </c>
      <c r="GS34" s="1">
        <f t="shared" si="37"/>
        <v>-7869.7590188245231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-2628.3098795399505</v>
      </c>
      <c r="HD34" s="1">
        <f t="shared" si="38"/>
        <v>-25905.972505894282</v>
      </c>
      <c r="HE34" s="1">
        <f>MIN(0,-(GN34+HD34)*Analysis!$C$28)-GE34*Analysis!$C$28</f>
        <v>-4049.1183509602702</v>
      </c>
      <c r="HF34" s="1">
        <f>-Analysis!$C$176*GP34/12</f>
        <v>-3512.669611227429</v>
      </c>
      <c r="HG34" s="38"/>
      <c r="HH34" s="1">
        <f>IF($B34&lt;Analysis!$C$159,0,-$HI34*$FW34)</f>
        <v>-133785.90332001689</v>
      </c>
      <c r="HI34" s="64">
        <f>IF($B34&lt;Analysis!$C$159,0,IF($B34=Analysis!$C$159,Analysis!$C$31,HI33))</f>
        <v>0.1275</v>
      </c>
      <c r="HJ34" s="1">
        <f>IF($B34&lt;Analysis!$C$159,0,$FW34+HH34)</f>
        <v>915515.29918991949</v>
      </c>
      <c r="HK34" s="1">
        <f>IF($B34-Analysis!$C$159&gt;10,0,IF($FW34&gt;LOOKUP(Analysis!$C$159,$B:$B, FW:FW),$V34*(LOOKUP(Analysis!$C$159,$B:$B, FW:FW)-FW34),0))</f>
        <v>0</v>
      </c>
      <c r="HL34" s="1">
        <f t="shared" si="39"/>
        <v>915515.29918991949</v>
      </c>
      <c r="HM34" s="38"/>
      <c r="HN34" s="1">
        <f t="shared" si="40"/>
        <v>-117178.19672773834</v>
      </c>
      <c r="HO34" s="1">
        <f t="shared" si="8"/>
        <v>173619.95857595504</v>
      </c>
      <c r="HP34" s="1">
        <f t="shared" si="41"/>
        <v>56441.761848216702</v>
      </c>
      <c r="HQ34" s="1">
        <f>IF(HP34 &lt; 0,
    IF(HQ33 + HP34 &gt; 0,
        HQ33 + HP34, IF(HV33-ABS(HQ33 + HP34)*(1+$V34) &gt;= HQ33 + HP34,
        0, HQ33 + HP34)),
    MIN(HQ33 + HP34, Analysis!$C$7))+IF(HQ33&lt;0, HQ33*Analysis!$C$9,0)</f>
        <v>24000</v>
      </c>
      <c r="HR34" s="38"/>
      <c r="HS34" s="1">
        <f t="shared" si="54"/>
        <v>34665.252494137829</v>
      </c>
      <c r="HT34" s="1">
        <f>IF($B34=Analysis!$C$159,0,IF(HP34 &gt;= 0,
    MAX(0, HQ33 + HP34 - Analysis!$C$7),
    0))</f>
        <v>56441.761848216702</v>
      </c>
      <c r="HU34" s="1">
        <f>IF($B34=Analysis!$C$159,0,MAX(0, HU33 + HT34 - IF(HP34 &lt; 0, MIN(ABS(HP34), HU33 + HT34), 0)))</f>
        <v>831917.43831360131</v>
      </c>
      <c r="HV34" s="1">
        <f>IF($B34=Analysis!$C$159,0,IF(HP34 &lt; 0,
    IF(HP34 + HQ33 &lt; 0,
        MAX(0, HV33 - (ABS(HP34 + HQ33) * (1+$V33))),
        HV33 + HS34),
    HV33 + HT34 + HS34))</f>
        <v>1483489.4558823097</v>
      </c>
      <c r="HW34" s="1">
        <f t="shared" si="58"/>
        <v>1311637.3362485629</v>
      </c>
      <c r="HX34" s="36"/>
    </row>
    <row r="35" spans="1:232" x14ac:dyDescent="0.35">
      <c r="A35">
        <f t="shared" si="0"/>
        <v>68</v>
      </c>
      <c r="B35">
        <v>2058</v>
      </c>
      <c r="C35" s="1">
        <f>IF($B35&lt;Analysis!C$66,0,$AN35)+$AT35+$AW35+$BC35+$CF35+$CA35</f>
        <v>1511581.791252797</v>
      </c>
      <c r="D35" s="1">
        <f>IF($B35&lt;Analysis!C$66, 0, BV35)+AT35+AW35+BC35+CG35+CA35</f>
        <v>1282600.2487171195</v>
      </c>
      <c r="E35" s="1">
        <f t="shared" si="1"/>
        <v>2493023.7519666106</v>
      </c>
      <c r="F35" s="1">
        <f t="shared" si="9"/>
        <v>2123868.3773378162</v>
      </c>
      <c r="G35" s="1">
        <f>IF(AND($B35&gt;=Analysis!$C$100, $B35&lt;Analysis!$C$101),$CK35,0)+IF($B35&gt;=Analysis!$C$130,EB35,0)+CQ35+CT35+CZ35+EH35+EK35+EQ35+$FO35+$FT35</f>
        <v>2676808.3853850281</v>
      </c>
      <c r="H35" s="1">
        <f t="shared" si="10"/>
        <v>2358388.608365329</v>
      </c>
      <c r="I35" s="1">
        <f>IF($B35&lt;Analysis!$C$159,0,$FW35)+$GC35+$GF35+$GL35+$HQ35+$HV35</f>
        <v>2676808.3853850281</v>
      </c>
      <c r="J35" s="1">
        <f t="shared" si="59"/>
        <v>2358388.608365329</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IF($B35=$B$2,((1+Analysis!$D$16)/(1+$S35))-1,IF(B35&lt;Analysis!$C$13,U34-((Analysis!$D$16-Analysis!$C$17)/(Analysis!$C$13-$B$2)),((1+Analysis!$C$17)/(1+$S34))-1))</f>
        <v>2.2610644257703247E-2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53745.473045615756</v>
      </c>
      <c r="AI35" s="1">
        <f>IF(AE35 &gt;= 0,
    MAX(0, AF34 + AE35 - Analysis!$C$7),
    0)</f>
        <v>38279.532973932568</v>
      </c>
      <c r="AJ35" s="1">
        <f t="shared" si="44"/>
        <v>1069382.5211465377</v>
      </c>
      <c r="AK35" s="1">
        <f t="shared" si="20"/>
        <v>2469023.7519666106</v>
      </c>
      <c r="AL35" s="1">
        <f t="shared" si="5"/>
        <v>2099868.3773378162</v>
      </c>
      <c r="AM35" s="36"/>
      <c r="AN35" s="1">
        <f t="shared" si="45"/>
        <v>1795933.6669464903</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-5387.8010008394713</v>
      </c>
      <c r="BF35" s="64">
        <f>IF($B35&lt;Analysis!$C$66,0,Analysis!$C$78)</f>
        <v>3.0000000000000001E-3</v>
      </c>
      <c r="BG35" s="1">
        <f>IF($B35&lt;Analysis!$C$66,0,-BH35*AN35)</f>
        <v>-13469.502502098676</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-228981.54253567752</v>
      </c>
      <c r="BS35" s="64">
        <f>IF($B35&lt;Analysis!C$66,0,Analysis!C$31)</f>
        <v>0.1275</v>
      </c>
      <c r="BT35" s="1">
        <f>IF($B35&lt;Analysis!$C$66,0,AN35+BR35)</f>
        <v>1566952.1244108127</v>
      </c>
      <c r="BU35" s="1">
        <f>IF($B35-Analysis!$C$66&gt;3,0,IF($AN35&gt;LOOKUP(Analysis!$C$66,$B:$B, AN:AN),$V35*(LOOKUP(Analysis!$C$66,$B:$B, AN:AN)-AN35),0))</f>
        <v>0</v>
      </c>
      <c r="BV35" s="1">
        <f t="shared" si="23"/>
        <v>1566952.1244108127</v>
      </c>
      <c r="BW35" s="42"/>
      <c r="BX35" s="1">
        <f>IF($B35&lt;Analysis!$C$66,$P35+$N35+$X35+$Z35,$P35+$N35+AS35+AV35+BB35+BE35+BG35+MAX(BI35,SUM(BJ35:BN35))+BP35)</f>
        <v>-70817.303502938143</v>
      </c>
      <c r="BY35" s="1">
        <f t="shared" si="24"/>
        <v>131467.92324122589</v>
      </c>
      <c r="BZ35" s="1">
        <f t="shared" si="46"/>
        <v>60650.619738287744</v>
      </c>
      <c r="CA35" s="1">
        <f>IF(BZ35 &lt; 0,
    IF(CA34 + BZ35 &gt; 0,
        CA34 + BZ35, IF(CF34-ABS(CA34 + BZ35)*(1+$V35) &gt;= CA34 + BZ35,
        0, CA34 + BZ35)),
    MIN(CA34 + BZ35, Analysis!$C$7))+IF(CA34&lt;0, CA34*Analysis!$C$9,0)</f>
        <v>-284351.87569369329</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-41228.390267293325</v>
      </c>
      <c r="CJ35" s="1">
        <f>IF(OR($B35&lt;Analysis!$C$100, $B35&gt;=Analysis!$C$130),0,Z35)</f>
        <v>-3960</v>
      </c>
      <c r="CK35" s="1">
        <f t="shared" ref="CK35:CK52" si="60">CK34*(1+$CL34)</f>
        <v>1080163.0025837582</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43275.330491632951</v>
      </c>
      <c r="DE35" s="1">
        <f t="shared" si="27"/>
        <v>-3240.4890077512746</v>
      </c>
      <c r="DF35" s="64">
        <f>IF(OR($B35&lt;Analysis!$C$100, $B35&gt;=Analysis!$C$101),0,Analysis!$C$118)</f>
        <v>3.0000000000000001E-3</v>
      </c>
      <c r="DG35" s="1">
        <f t="shared" si="28"/>
        <v>-8101.222519378186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-2705.6131112911257</v>
      </c>
      <c r="DR35" s="1">
        <f t="shared" si="29"/>
        <v>-26307.324638420585</v>
      </c>
      <c r="DS35" s="1">
        <f>MIN(0,-(DB35+DR35)*Analysis!$C$28)-CS35*Analysis!$C$28</f>
        <v>-4327.9867142238081</v>
      </c>
      <c r="DT35" s="1">
        <f>-Analysis!$C$116*DD35/12</f>
        <v>-3606.2775409694127</v>
      </c>
      <c r="DU35" s="53"/>
      <c r="DV35" s="1">
        <f t="shared" si="30"/>
        <v>-137720.78282942917</v>
      </c>
      <c r="DW35" s="64">
        <f>IF(OR($B35&lt;Analysis!$C$100, $B35&gt;=Analysis!$C$101),0,IF($B35=Analysis!$C$100,Analysis!$C$31,DW34))</f>
        <v>0.1275</v>
      </c>
      <c r="DX35" s="1">
        <f>IF(OR($B35&lt;Analysis!$C$100, $B35&gt;=Analysis!$C$101),0,CK35+DV35)</f>
        <v>942442.21975432907</v>
      </c>
      <c r="DY35" s="1">
        <f>IF(OR($B35&lt;Analysis!$C$100, $B35&gt;=Analysis!$C$101),0,IF($B35-Analysis!$C$100&gt;3,0,IF(CK35&gt;LOOKUP(Analysis!$C$100,$B:$B, CK:CK),$V35*(LOOKUP(Analysis!$C$100,$B:$B, CK:CK)-CK35),0)))</f>
        <v>0</v>
      </c>
      <c r="DZ35" s="1">
        <f t="shared" si="49"/>
        <v>942442.21975432907</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-119129.97916090713</v>
      </c>
      <c r="FM35" s="1">
        <f>$M35+$R35+DD35+IF(AND($B35&lt;&gt;Analysis!$C$130,$B35=Analysis!$C$101),DZ34+CQ34+CT34+CZ34,0)</f>
        <v>174743.25373285884</v>
      </c>
      <c r="FN35" s="1">
        <f t="shared" si="34"/>
        <v>55613.274571951712</v>
      </c>
      <c r="FO35" s="1">
        <f>IF(FN35 &lt; 0,
    IF(FO34 + FN35 &gt; 0,
        FO34 + FN35, IF(FT34-ABS(FO34 + FN35)*(1+$V35) &gt;= FO34 + FN35,
        0, FO34 + FN35)),
    MIN(FO34 + FN35, Analysis!$C$7))+IF(FO34&lt;0, FO34*Analysis!$C$9,0)</f>
        <v>24000</v>
      </c>
      <c r="FP35" s="53"/>
      <c r="FQ35" s="1">
        <f t="shared" si="51"/>
        <v>33542.652347008661</v>
      </c>
      <c r="FR35" s="1">
        <f>IF(OR($B35=Analysis!$C$100, $B35=Analysis!$C$130),0,IF(FN35 &gt;= 0,
    MAX(0, FO34 + FN35 - Analysis!$C$7),
    0))</f>
        <v>55613.274571951712</v>
      </c>
      <c r="FS35" s="1">
        <f>IF(OR($B35=Analysis!$C$100, $B35=Analysis!$C$130),0,MAX(0, FS34 + FR35 - IF(FN35 &lt; 0, MIN(ABS(FN35), FS34 + FR35), 0)))</f>
        <v>887530.71288555302</v>
      </c>
      <c r="FT35" s="1">
        <f>IF(OR($B35=Analysis!$C$100, $B35=Analysis!$C$130),0,IF(FN35 &lt; 0,
    IF(FN35 + FO34 &lt; 0,
        MAX(0, FT34 - (ABS(FN35 + FO34) * (1+$V34))),
        FT34 + FQ35),
    FT34 + FR35 + FQ35))</f>
        <v>1572645.3828012701</v>
      </c>
      <c r="FU35" s="1">
        <f t="shared" si="57"/>
        <v>1391946.3886109998</v>
      </c>
      <c r="FV35" s="36"/>
      <c r="FW35" s="1">
        <f t="shared" si="52"/>
        <v>1080163.0025837582</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43275.330491632951</v>
      </c>
      <c r="GQ35" s="1">
        <f t="shared" si="36"/>
        <v>-3240.4890077512746</v>
      </c>
      <c r="GR35" s="64">
        <f>IF($B35&lt;Analysis!$C$159,0,Analysis!$C$178)</f>
        <v>3.0000000000000001E-3</v>
      </c>
      <c r="GS35" s="1">
        <f t="shared" si="37"/>
        <v>-8101.222519378186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-2705.6131112911257</v>
      </c>
      <c r="HD35" s="1">
        <f t="shared" si="38"/>
        <v>-26307.324638420585</v>
      </c>
      <c r="HE35" s="1">
        <f>MIN(0,-(GN35+HD35)*Analysis!$C$28)-GE35*Analysis!$C$28</f>
        <v>-4327.9867142238081</v>
      </c>
      <c r="HF35" s="1">
        <f>-Analysis!$C$176*GP35/12</f>
        <v>-3606.2775409694127</v>
      </c>
      <c r="HG35" s="38"/>
      <c r="HH35" s="1">
        <f>IF($B35&lt;Analysis!$C$159,0,-$HI35*$FW35)</f>
        <v>-137720.78282942917</v>
      </c>
      <c r="HI35" s="64">
        <f>IF($B35&lt;Analysis!$C$159,0,IF($B35=Analysis!$C$159,Analysis!$C$31,HI34))</f>
        <v>0.1275</v>
      </c>
      <c r="HJ35" s="1">
        <f>IF($B35&lt;Analysis!$C$159,0,$FW35+HH35)</f>
        <v>942442.21975432907</v>
      </c>
      <c r="HK35" s="1">
        <f>IF($B35-Analysis!$C$159&gt;10,0,IF($FW35&gt;LOOKUP(Analysis!$C$159,$B:$B, FW:FW),$V35*(LOOKUP(Analysis!$C$159,$B:$B, FW:FW)-FW35),0))</f>
        <v>0</v>
      </c>
      <c r="HL35" s="1">
        <f t="shared" si="39"/>
        <v>942442.21975432907</v>
      </c>
      <c r="HM35" s="38"/>
      <c r="HN35" s="1">
        <f t="shared" si="40"/>
        <v>-119129.97916090713</v>
      </c>
      <c r="HO35" s="1">
        <f t="shared" si="8"/>
        <v>174743.25373285884</v>
      </c>
      <c r="HP35" s="1">
        <f t="shared" si="41"/>
        <v>55613.274571951712</v>
      </c>
      <c r="HQ35" s="1">
        <f>IF(HP35 &lt; 0,
    IF(HQ34 + HP35 &gt; 0,
        HQ34 + HP35, IF(HV34-ABS(HQ34 + HP35)*(1+$V35) &gt;= HQ34 + HP35,
        0, HQ34 + HP35)),
    MIN(HQ34 + HP35, Analysis!$C$7))+IF(HQ34&lt;0, HQ34*Analysis!$C$9,0)</f>
        <v>24000</v>
      </c>
      <c r="HR35" s="38"/>
      <c r="HS35" s="1">
        <f t="shared" si="54"/>
        <v>33542.652347008661</v>
      </c>
      <c r="HT35" s="1">
        <f>IF($B35=Analysis!$C$159,0,IF(HP35 &gt;= 0,
    MAX(0, HQ34 + HP35 - Analysis!$C$7),
    0))</f>
        <v>55613.274571951712</v>
      </c>
      <c r="HU35" s="1">
        <f>IF($B35=Analysis!$C$159,0,MAX(0, HU34 + HT35 - IF(HP35 &lt; 0, MIN(ABS(HP35), HU34 + HT35), 0)))</f>
        <v>887530.71288555302</v>
      </c>
      <c r="HV35" s="1">
        <f>IF($B35=Analysis!$C$159,0,IF(HP35 &lt; 0,
    IF(HP35 + HQ34 &lt; 0,
        MAX(0, HV34 - (ABS(HP35 + HQ34) * (1+$V34))),
        HV34 + HS35),
    HV34 + HT35 + HS35))</f>
        <v>1572645.3828012701</v>
      </c>
      <c r="HW35" s="1">
        <f t="shared" si="58"/>
        <v>1391946.3886109998</v>
      </c>
      <c r="HX35" s="36"/>
    </row>
    <row r="36" spans="1:232" x14ac:dyDescent="0.35">
      <c r="A36">
        <f t="shared" si="0"/>
        <v>69</v>
      </c>
      <c r="B36">
        <v>2059</v>
      </c>
      <c r="C36" s="1">
        <f>IF($B36&lt;Analysis!C$66,0,$AN36)+$AT36+$AW36+$BC36+$CF36+$CA36</f>
        <v>1601751.2128015764</v>
      </c>
      <c r="D36" s="1">
        <f>IF($B36&lt;Analysis!C$66, 0, BV36)+AT36+AW36+BC36+CG36+CA36</f>
        <v>1366034.9190148495</v>
      </c>
      <c r="E36" s="1">
        <f t="shared" si="1"/>
        <v>2580273.4200846977</v>
      </c>
      <c r="F36" s="1">
        <f t="shared" si="9"/>
        <v>2197882.349137133</v>
      </c>
      <c r="G36" s="1">
        <f>IF(AND($B36&gt;=Analysis!$C$100, $B36&lt;Analysis!$C$101),$CK36,0)+IF($B36&gt;=Analysis!$C$130,EB36,0)+CQ36+CT36+CZ36+EH36+EK36+EQ36+$FO36+$FT36</f>
        <v>2795302.2127600843</v>
      </c>
      <c r="H36" s="1">
        <f t="shared" si="10"/>
        <v>2464401.3439365961</v>
      </c>
      <c r="I36" s="1">
        <f>IF($B36&lt;Analysis!$C$159,0,$FW36)+$GC36+$GF36+$GL36+$HQ36+$HV36</f>
        <v>2795302.2127600843</v>
      </c>
      <c r="J36" s="1">
        <f t="shared" si="59"/>
        <v>2464401.3439365961</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IF($B36=$B$2,((1+Analysis!$D$16)/(1+$S36))-1,IF(B36&lt;Analysis!$C$13,U35-((Analysis!$D$16-Analysis!$C$17)/(Analysis!$C$13-$B$2)),((1+Analysis!$C$17)/(1+$S35))-1))</f>
        <v>2.032492997198896E-2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50182.734857898802</v>
      </c>
      <c r="AI36" s="1">
        <f>IF(AE36 &gt;= 0,
    MAX(0, AF35 + AE36 - Analysis!$C$7),
    0)</f>
        <v>37066.933260188642</v>
      </c>
      <c r="AJ36" s="1">
        <f t="shared" si="44"/>
        <v>1106449.4544067264</v>
      </c>
      <c r="AK36" s="1">
        <f t="shared" si="20"/>
        <v>2556273.4200846977</v>
      </c>
      <c r="AL36" s="1">
        <f t="shared" si="5"/>
        <v>2173882.349137133</v>
      </c>
      <c r="AM36" s="36"/>
      <c r="AN36" s="1">
        <f t="shared" si="45"/>
        <v>1848755.2453860932</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-5546.2657361582797</v>
      </c>
      <c r="BF36" s="64">
        <f>IF($B36&lt;Analysis!$C$66,0,Analysis!$C$78)</f>
        <v>3.0000000000000001E-3</v>
      </c>
      <c r="BG36" s="1">
        <f>IF($B36&lt;Analysis!$C$66,0,-BH36*AN36)</f>
        <v>-13865.664340395699</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-235716.29378672689</v>
      </c>
      <c r="BS36" s="64">
        <f>IF($B36&lt;Analysis!C$66,0,Analysis!C$31)</f>
        <v>0.1275</v>
      </c>
      <c r="BT36" s="1">
        <f>IF($B36&lt;Analysis!$C$66,0,AN36+BR36)</f>
        <v>1613038.9515993663</v>
      </c>
      <c r="BU36" s="1">
        <f>IF($B36-Analysis!$C$66&gt;3,0,IF($AN36&gt;LOOKUP(Analysis!$C$66,$B:$B, AN:AN),$V36*(LOOKUP(Analysis!$C$66,$B:$B, AN:AN)-AN36),0))</f>
        <v>0</v>
      </c>
      <c r="BV36" s="1">
        <f t="shared" si="23"/>
        <v>1613038.9515993663</v>
      </c>
      <c r="BW36" s="42"/>
      <c r="BX36" s="1">
        <f>IF($B36&lt;Analysis!$C$66,$P36+$N36+$X36+$Z36,$P36+$N36+AS36+AV36+BB36+BE36+BG36+MAX(BI36,SUM(BJ36:BN36))+BP36)</f>
        <v>-71371.930076553981</v>
      </c>
      <c r="BY36" s="1">
        <f t="shared" si="24"/>
        <v>131467.92324122589</v>
      </c>
      <c r="BZ36" s="1">
        <f t="shared" si="46"/>
        <v>60095.993164671905</v>
      </c>
      <c r="CA36" s="1">
        <f>IF(BZ36 &lt; 0,
    IF(CA35 + BZ36 &gt; 0,
        CA35 + BZ36, IF(CF35-ABS(CA35 + BZ36)*(1+$V36) &gt;= CA35 + BZ36,
        0, CA35 + BZ36)),
    MIN(CA35 + BZ36, Analysis!$C$7))+IF(CA35&lt;0, CA35*Analysis!$C$9,0)</f>
        <v>-247004.03258451686</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-42440.989981037252</v>
      </c>
      <c r="CJ36" s="1">
        <f>IF(OR($B36&lt;Analysis!$C$100, $B36&gt;=Analysis!$C$130),0,Z36)</f>
        <v>-3960</v>
      </c>
      <c r="CK36" s="1">
        <f t="shared" si="60"/>
        <v>1111932.5026597513</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44431.663741386867</v>
      </c>
      <c r="DE36" s="1">
        <f t="shared" si="27"/>
        <v>-3335.7975079792541</v>
      </c>
      <c r="DF36" s="64">
        <f>IF(OR($B36&lt;Analysis!$C$100, $B36&gt;=Analysis!$C$101),0,Analysis!$C$118)</f>
        <v>3.0000000000000001E-3</v>
      </c>
      <c r="DG36" s="1">
        <f t="shared" si="28"/>
        <v>-8339.4937699481343</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-2785.1899675055711</v>
      </c>
      <c r="DR36" s="1">
        <f t="shared" si="29"/>
        <v>-26720.481245432962</v>
      </c>
      <c r="DS36" s="1">
        <f>MIN(0,-(DB36+DR36)*Analysis!$C$28)-CS36*Analysis!$C$28</f>
        <v>-4615.0570881715676</v>
      </c>
      <c r="DT36" s="1">
        <f>-Analysis!$C$116*DD36/12</f>
        <v>-3702.6386451155722</v>
      </c>
      <c r="DU36" s="53"/>
      <c r="DV36" s="1">
        <f t="shared" si="30"/>
        <v>-141771.39408911829</v>
      </c>
      <c r="DW36" s="64">
        <f>IF(OR($B36&lt;Analysis!$C$100, $B36&gt;=Analysis!$C$101),0,IF($B36=Analysis!$C$100,Analysis!$C$31,DW35))</f>
        <v>0.1275</v>
      </c>
      <c r="DX36" s="1">
        <f>IF(OR($B36&lt;Analysis!$C$100, $B36&gt;=Analysis!$C$101),0,CK36+DV36)</f>
        <v>970161.10857063299</v>
      </c>
      <c r="DY36" s="1">
        <f>IF(OR($B36&lt;Analysis!$C$100, $B36&gt;=Analysis!$C$101),0,IF($B36-Analysis!$C$100&gt;3,0,IF(CK36&gt;LOOKUP(Analysis!$C$100,$B:$B, CK:CK),$V36*(LOOKUP(Analysis!$C$100,$B:$B, CK:CK)-CK36),0)))</f>
        <v>0</v>
      </c>
      <c r="DZ36" s="1">
        <f t="shared" si="49"/>
        <v>970161.10857063299</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-121139.16695975735</v>
      </c>
      <c r="FM36" s="1">
        <f>$M36+$R36+DD36+IF(AND($B36&lt;&gt;Analysis!$C$130,$B36=Analysis!$C$101),DZ35+CQ35+CT35+CZ35,0)</f>
        <v>175899.58698261276</v>
      </c>
      <c r="FN36" s="1">
        <f t="shared" si="34"/>
        <v>54760.420022855411</v>
      </c>
      <c r="FO36" s="1">
        <f>IF(FN36 &lt; 0,
    IF(FO35 + FN36 &gt; 0,
        FO35 + FN36, IF(FT35-ABS(FO35 + FN36)*(1+$V36) &gt;= FO35 + FN36,
        0, FO35 + FN36)),
    MIN(FO35 + FN36, Analysis!$C$7))+IF(FO35&lt;0, FO35*Analysis!$C$9,0)</f>
        <v>24000</v>
      </c>
      <c r="FP36" s="53"/>
      <c r="FQ36" s="1">
        <f t="shared" si="51"/>
        <v>31963.907276207585</v>
      </c>
      <c r="FR36" s="1">
        <f>IF(OR($B36=Analysis!$C$100, $B36=Analysis!$C$130),0,IF(FN36 &gt;= 0,
    MAX(0, FO35 + FN36 - Analysis!$C$7),
    0))</f>
        <v>54760.420022855411</v>
      </c>
      <c r="FS36" s="1">
        <f>IF(OR($B36=Analysis!$C$100, $B36=Analysis!$C$130),0,MAX(0, FS35 + FR36 - IF(FN36 &lt; 0, MIN(ABS(FN36), FS35 + FR36), 0)))</f>
        <v>942291.13290840841</v>
      </c>
      <c r="FT36" s="1">
        <f>IF(OR($B36=Analysis!$C$100, $B36=Analysis!$C$130),0,IF(FN36 &lt; 0,
    IF(FN36 + FO35 &lt; 0,
        MAX(0, FT35 - (ABS(FN36 + FO35) * (1+$V35))),
        FT35 + FQ36),
    FT35 + FR36 + FQ36))</f>
        <v>1659369.7101003332</v>
      </c>
      <c r="FU36" s="1">
        <f t="shared" si="57"/>
        <v>1470240.2353659631</v>
      </c>
      <c r="FV36" s="36"/>
      <c r="FW36" s="1">
        <f t="shared" si="52"/>
        <v>1111932.5026597513</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44431.663741386867</v>
      </c>
      <c r="GQ36" s="1">
        <f t="shared" si="36"/>
        <v>-3335.7975079792541</v>
      </c>
      <c r="GR36" s="64">
        <f>IF($B36&lt;Analysis!$C$159,0,Analysis!$C$178)</f>
        <v>3.0000000000000001E-3</v>
      </c>
      <c r="GS36" s="1">
        <f t="shared" si="37"/>
        <v>-8339.4937699481343</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-2785.1899675055711</v>
      </c>
      <c r="HD36" s="1">
        <f t="shared" si="38"/>
        <v>-26720.481245432962</v>
      </c>
      <c r="HE36" s="1">
        <f>MIN(0,-(GN36+HD36)*Analysis!$C$28)-GE36*Analysis!$C$28</f>
        <v>-4615.0570881715676</v>
      </c>
      <c r="HF36" s="1">
        <f>-Analysis!$C$176*GP36/12</f>
        <v>-3702.6386451155722</v>
      </c>
      <c r="HG36" s="38"/>
      <c r="HH36" s="1">
        <f>IF($B36&lt;Analysis!$C$159,0,-$HI36*$FW36)</f>
        <v>-141771.39408911829</v>
      </c>
      <c r="HI36" s="64">
        <f>IF($B36&lt;Analysis!$C$159,0,IF($B36=Analysis!$C$159,Analysis!$C$31,HI35))</f>
        <v>0.1275</v>
      </c>
      <c r="HJ36" s="1">
        <f>IF($B36&lt;Analysis!$C$159,0,$FW36+HH36)</f>
        <v>970161.10857063299</v>
      </c>
      <c r="HK36" s="1">
        <f>IF($B36-Analysis!$C$159&gt;10,0,IF($FW36&gt;LOOKUP(Analysis!$C$159,$B:$B, FW:FW),$V36*(LOOKUP(Analysis!$C$159,$B:$B, FW:FW)-FW36),0))</f>
        <v>0</v>
      </c>
      <c r="HL36" s="1">
        <f t="shared" si="39"/>
        <v>970161.10857063299</v>
      </c>
      <c r="HM36" s="38"/>
      <c r="HN36" s="1">
        <f t="shared" si="40"/>
        <v>-121139.16695975735</v>
      </c>
      <c r="HO36" s="1">
        <f t="shared" si="8"/>
        <v>175899.58698261276</v>
      </c>
      <c r="HP36" s="1">
        <f t="shared" si="41"/>
        <v>54760.420022855411</v>
      </c>
      <c r="HQ36" s="1">
        <f>IF(HP36 &lt; 0,
    IF(HQ35 + HP36 &gt; 0,
        HQ35 + HP36, IF(HV35-ABS(HQ35 + HP36)*(1+$V36) &gt;= HQ35 + HP36,
        0, HQ35 + HP36)),
    MIN(HQ35 + HP36, Analysis!$C$7))+IF(HQ35&lt;0, HQ35*Analysis!$C$9,0)</f>
        <v>24000</v>
      </c>
      <c r="HR36" s="38"/>
      <c r="HS36" s="1">
        <f t="shared" si="54"/>
        <v>31963.907276207585</v>
      </c>
      <c r="HT36" s="1">
        <f>IF($B36=Analysis!$C$159,0,IF(HP36 &gt;= 0,
    MAX(0, HQ35 + HP36 - Analysis!$C$7),
    0))</f>
        <v>54760.420022855411</v>
      </c>
      <c r="HU36" s="1">
        <f>IF($B36=Analysis!$C$159,0,MAX(0, HU35 + HT36 - IF(HP36 &lt; 0, MIN(ABS(HP36), HU35 + HT36), 0)))</f>
        <v>942291.13290840841</v>
      </c>
      <c r="HV36" s="1">
        <f>IF($B36=Analysis!$C$159,0,IF(HP36 &lt; 0,
    IF(HP36 + HQ35 &lt; 0,
        MAX(0, HV35 - (ABS(HP36 + HQ35) * (1+$V35))),
        HV35 + HS36),
    HV35 + HT36 + HS36))</f>
        <v>1659369.7101003332</v>
      </c>
      <c r="HW36" s="1">
        <f t="shared" si="58"/>
        <v>1470240.2353659631</v>
      </c>
      <c r="HX36" s="36"/>
    </row>
    <row r="37" spans="1:232" x14ac:dyDescent="0.35">
      <c r="A37">
        <f t="shared" si="0"/>
        <v>70</v>
      </c>
      <c r="B37">
        <v>2060</v>
      </c>
      <c r="C37" s="1">
        <f>IF($B37&lt;Analysis!C$66,0,$AN37)+$AT37+$AW37+$BC37+$CF37+$CA37</f>
        <v>1630157.136895037</v>
      </c>
      <c r="D37" s="1">
        <f>IF($B37&lt;Analysis!C$66, 0, BV37)+AT37+AW37+BC37+CG37+CA37</f>
        <v>1387508.0109381122</v>
      </c>
      <c r="E37" s="1">
        <f t="shared" si="1"/>
        <v>2548797.9688445488</v>
      </c>
      <c r="F37" s="1">
        <f t="shared" si="9"/>
        <v>2160488.3896930553</v>
      </c>
      <c r="G37" s="1">
        <f>IF(AND($B37&gt;=Analysis!$C$100, $B37&lt;Analysis!$C$101),$CK37,0)+IF($B37&gt;=Analysis!$C$130,EB37,0)+CQ37+CT37+CZ37+EH37+EK37+EQ37+$FO37+$FT37</f>
        <v>1855435.3783000857</v>
      </c>
      <c r="H37" s="1">
        <f t="shared" si="10"/>
        <v>1612786.2523431608</v>
      </c>
      <c r="I37" s="1">
        <f>IF($B37&lt;Analysis!$C$159,0,$FW37)+$GC37+$GF37+$GL37+$HQ37+$HV37</f>
        <v>2848691.2907753154</v>
      </c>
      <c r="J37" s="1">
        <f t="shared" si="59"/>
        <v>2501913.3028552784</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IF($B37=$B$2,((1+Analysis!$D$16)/(1+$S37))-1,IF(B37&lt;Analysis!$C$13,U36-((Analysis!$D$16-Analysis!$C$17)/(Analysis!$C$13-$B$2)),((1+Analysis!$C$17)/(1+$S36))-1))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50123.00823695468</v>
      </c>
      <c r="AI37" s="1">
        <f>IF(AE37 &gt;= 0,
    MAX(0, AF36 + AE37 - Analysis!$C$7),
    0)</f>
        <v>0</v>
      </c>
      <c r="AJ37" s="1">
        <f t="shared" si="44"/>
        <v>1076534.161635095</v>
      </c>
      <c r="AK37" s="1">
        <f t="shared" si="20"/>
        <v>2548797.9688445488</v>
      </c>
      <c r="AL37" s="1">
        <f t="shared" si="5"/>
        <v>2160488.3896930553</v>
      </c>
      <c r="AM37" s="36"/>
      <c r="AN37" s="1">
        <f t="shared" si="45"/>
        <v>1903130.399662155</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-5709.3911989864646</v>
      </c>
      <c r="BF37" s="64">
        <f>IF($B37&lt;Analysis!$C$66,0,Analysis!$C$78)</f>
        <v>3.0000000000000001E-3</v>
      </c>
      <c r="BG37" s="1">
        <f>IF($B37&lt;Analysis!$C$66,0,-BH37*AN37)</f>
        <v>-14273.477997466161</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-242649.12595692475</v>
      </c>
      <c r="BS37" s="64">
        <f>IF($B37&lt;Analysis!C$66,0,Analysis!C$31)</f>
        <v>0.1275</v>
      </c>
      <c r="BT37" s="1">
        <f>IF($B37&lt;Analysis!$C$66,0,AN37+BR37)</f>
        <v>1660481.2737052301</v>
      </c>
      <c r="BU37" s="1">
        <f>IF($B37-Analysis!$C$66&gt;3,0,IF($AN37&gt;LOOKUP(Analysis!$C$66,$B:$B, AN:AN),$V37*(LOOKUP(Analysis!$C$66,$B:$B, AN:AN)-AN37),0))</f>
        <v>0</v>
      </c>
      <c r="BV37" s="1">
        <f t="shared" si="23"/>
        <v>1660481.2737052301</v>
      </c>
      <c r="BW37" s="42"/>
      <c r="BX37" s="1">
        <f>IF($B37&lt;Analysis!$C$66,$P37+$N37+$X37+$Z37,$P37+$N37+AS37+AV37+BB37+BE37+BG37+MAX(BI37,SUM(BJ37:BN37))+BP37)</f>
        <v>-71942.869196452622</v>
      </c>
      <c r="BY37" s="1">
        <f t="shared" si="24"/>
        <v>65733.961620612943</v>
      </c>
      <c r="BZ37" s="1">
        <f t="shared" si="46"/>
        <v>-6208.9075758396793</v>
      </c>
      <c r="CA37" s="1">
        <f>IF(BZ37 &lt; 0,
    IF(CA36 + BZ37 &gt; 0,
        CA36 + BZ37, IF(CF36-ABS(CA36 + BZ37)*(1+$V37) &gt;= CA36 + BZ37,
        0, CA36 + BZ37)),
    MIN(CA36 + BZ37, Analysis!$C$7))+IF(CA36&lt;0, CA36*Analysis!$C$9,0)</f>
        <v>-272973.26276711788</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1144636.399796803</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-82773.523974315438</v>
      </c>
      <c r="FM37" s="1">
        <f>$M37+$R37+DD37+IF(AND($B37&lt;&gt;Analysis!$C$130,$B37=Analysis!$C$101),DZ36+CQ36+CT36+CZ36,0)</f>
        <v>65733.961620612943</v>
      </c>
      <c r="FN37" s="1">
        <f t="shared" si="34"/>
        <v>-17039.562353702495</v>
      </c>
      <c r="FO37" s="1">
        <f>IF(FN37 &lt; 0,
    IF(FO36 + FN37 &gt; 0,
        FO36 + FN37, IF(FT36-ABS(FO36 + FN37)*(1+$V37) &gt;= FO36 + FN37,
        0, FO36 + FN37)),
    MIN(FO36 + FN37, Analysis!$C$7))+IF(FO36&lt;0, FO36*Analysis!$C$9,0)</f>
        <v>6960.4376462975051</v>
      </c>
      <c r="FP37" s="53"/>
      <c r="FQ37" s="1">
        <f t="shared" si="51"/>
        <v>32536.660982359361</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1144636.399796803</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45622.00679260413</v>
      </c>
      <c r="GQ37" s="1">
        <f t="shared" si="36"/>
        <v>-3433.909199390409</v>
      </c>
      <c r="GR37" s="64">
        <f>IF($B37&lt;Analysis!$C$159,0,Analysis!$C$178)</f>
        <v>3.0000000000000001E-3</v>
      </c>
      <c r="GS37" s="1">
        <f t="shared" si="37"/>
        <v>-8584.7729984760226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-2867.1073194910291</v>
      </c>
      <c r="HD37" s="1">
        <f t="shared" si="38"/>
        <v>-27145.789517357458</v>
      </c>
      <c r="HE37" s="1">
        <f>MIN(0,-(GN37+HD37)*Analysis!$C$28)-GE37*Analysis!$C$28</f>
        <v>-4910.5707084119103</v>
      </c>
      <c r="HF37" s="1">
        <f>-Analysis!$C$176*GP37/12</f>
        <v>-3801.8338993836774</v>
      </c>
      <c r="HG37" s="38"/>
      <c r="HH37" s="1">
        <f>IF($B37&lt;Analysis!$C$159,0,-$HI37*$FW37)</f>
        <v>-145941.14097409238</v>
      </c>
      <c r="HI37" s="64">
        <f>IF($B37&lt;Analysis!$C$159,0,IF($B37=Analysis!$C$159,Analysis!$C$31,HI36))</f>
        <v>0.1275</v>
      </c>
      <c r="HJ37" s="1">
        <f>IF($B37&lt;Analysis!$C$159,0,$FW37+HH37)</f>
        <v>998695.2588227106</v>
      </c>
      <c r="HK37" s="1">
        <f>IF($B37-Analysis!$C$159&gt;10,0,IF($FW37&gt;LOOKUP(Analysis!$C$159,$B:$B, FW:FW),$V37*(LOOKUP(Analysis!$C$159,$B:$B, FW:FW)-FW37),0))</f>
        <v>0</v>
      </c>
      <c r="HL37" s="1">
        <f t="shared" si="39"/>
        <v>998695.2588227106</v>
      </c>
      <c r="HM37" s="38"/>
      <c r="HN37" s="1">
        <f t="shared" si="40"/>
        <v>-123207.44851739729</v>
      </c>
      <c r="HO37" s="1">
        <f t="shared" si="8"/>
        <v>111355.96841321708</v>
      </c>
      <c r="HP37" s="1">
        <f t="shared" si="41"/>
        <v>-11851.480104180213</v>
      </c>
      <c r="HQ37" s="1">
        <f>IF(HP37 &lt; 0,
    IF(HQ36 + HP37 &gt; 0,
        HQ36 + HP37, IF(HV36-ABS(HQ36 + HP37)*(1+$V37) &gt;= HQ36 + HP37,
        0, HQ36 + HP37)),
    MIN(HQ36 + HP37, Analysis!$C$7))+IF(HQ36&lt;0, HQ36*Analysis!$C$9,0)</f>
        <v>12148.519895819787</v>
      </c>
      <c r="HR37" s="38"/>
      <c r="HS37" s="1">
        <f t="shared" si="54"/>
        <v>32536.660982359361</v>
      </c>
      <c r="HT37" s="1">
        <f>IF($B37=Analysis!$C$159,0,IF(HP37 &gt;= 0,
    MAX(0, HQ36 + HP37 - Analysis!$C$7),
    0))</f>
        <v>0</v>
      </c>
      <c r="HU37" s="1">
        <f>IF($B37=Analysis!$C$159,0,MAX(0, HU36 + HT37 - IF(HP37 &lt; 0, MIN(ABS(HP37), HU36 + HT37), 0)))</f>
        <v>930439.65280422824</v>
      </c>
      <c r="HV37" s="1">
        <f>IF($B37=Analysis!$C$159,0,IF(HP37 &lt; 0,
    IF(HP37 + HQ36 &lt; 0,
        MAX(0, HV36 - (ABS(HP37 + HQ36) * (1+$V36))),
        HV36 + HS37),
    HV36 + HT37 + HS37))</f>
        <v>1691906.3710826926</v>
      </c>
      <c r="HW37" s="1">
        <f t="shared" si="58"/>
        <v>1491069.5241367477</v>
      </c>
      <c r="HX37" s="36"/>
    </row>
    <row r="38" spans="1:232" x14ac:dyDescent="0.35">
      <c r="A38">
        <f t="shared" si="0"/>
        <v>71</v>
      </c>
      <c r="B38">
        <v>2061</v>
      </c>
      <c r="C38" s="1">
        <f>IF($B38&lt;Analysis!C$66,0,$AN38)+$AT38+$AW38+$BC38+$CF38+$CA38</f>
        <v>1656182.3811379366</v>
      </c>
      <c r="D38" s="1">
        <f>IF($B38&lt;Analysis!C$66, 0, BV38)+AT38+AW38+BC38+CG38+CA38</f>
        <v>1406396.5161822787</v>
      </c>
      <c r="E38" s="1">
        <f t="shared" si="1"/>
        <v>2507707.2006880213</v>
      </c>
      <c r="F38" s="1">
        <f t="shared" si="9"/>
        <v>2121659.4935556878</v>
      </c>
      <c r="G38" s="1">
        <f>IF(AND($B38&gt;=Analysis!$C$100, $B38&lt;Analysis!$C$101),$CK38,0)+IF($B38&gt;=Analysis!$C$130,EB38,0)+CQ38+CT38+CZ38+EH38+EK38+EQ38+$FO38+$FT38</f>
        <v>1898400.7215064005</v>
      </c>
      <c r="H38" s="1">
        <f t="shared" si="10"/>
        <v>1633851.6023474811</v>
      </c>
      <c r="I38" s="1">
        <f>IF($B38&lt;Analysis!$C$159,0,$FW38)+$GC38+$GF38+$GL38+$HQ38+$HV38</f>
        <v>2867780.3785137073</v>
      </c>
      <c r="J38" s="1">
        <f t="shared" si="59"/>
        <v>2513639.4923385</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IF($B38=$B$2,((1+Analysis!$D$16)/(1+$S38))-1,IF(B38&lt;Analysis!$C$13,U37-((Analysis!$D$16-Analysis!$C$17)/(Analysis!$C$13-$B$2)),((1+Analysis!$C$17)/(1+$S37))-1))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49976.430761657641</v>
      </c>
      <c r="AI38" s="1">
        <f>IF(AE38 &gt;= 0,
    MAX(0, AF37 + AE38 - Analysis!$C$7),
    0)</f>
        <v>0</v>
      </c>
      <c r="AJ38" s="1">
        <f t="shared" si="44"/>
        <v>1044019.2115606914</v>
      </c>
      <c r="AK38" s="1">
        <f t="shared" si="20"/>
        <v>2507707.2006880213</v>
      </c>
      <c r="AL38" s="1">
        <f t="shared" si="5"/>
        <v>2121659.4935556878</v>
      </c>
      <c r="AM38" s="36"/>
      <c r="AN38" s="1">
        <f t="shared" si="45"/>
        <v>1959104.8231816303</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-5877.3144695448909</v>
      </c>
      <c r="BF38" s="64">
        <f>IF($B38&lt;Analysis!$C$66,0,Analysis!$C$78)</f>
        <v>3.0000000000000001E-3</v>
      </c>
      <c r="BG38" s="1">
        <f>IF($B38&lt;Analysis!$C$66,0,-BH38*AN38)</f>
        <v>-14693.286173862227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-249785.86495565786</v>
      </c>
      <c r="BS38" s="64">
        <f>IF($B38&lt;Analysis!C$66,0,Analysis!C$31)</f>
        <v>0.1275</v>
      </c>
      <c r="BT38" s="1">
        <f>IF($B38&lt;Analysis!$C$66,0,AN38+BR38)</f>
        <v>1709318.9582259725</v>
      </c>
      <c r="BU38" s="1">
        <f>IF($B38-Analysis!$C$66&gt;3,0,IF($AN38&gt;LOOKUP(Analysis!$C$66,$B:$B, AN:AN),$V38*(LOOKUP(Analysis!$C$66,$B:$B, AN:AN)-AN38),0))</f>
        <v>0</v>
      </c>
      <c r="BV38" s="1">
        <f t="shared" si="23"/>
        <v>1709318.9582259725</v>
      </c>
      <c r="BW38" s="42"/>
      <c r="BX38" s="1">
        <f>IF($B38&lt;Analysis!$C$66,$P38+$N38+$X38+$Z38,$P38+$N38+AS38+AV38+BB38+BE38+BG38+MAX(BI38,SUM(BJ38:BN38))+BP38)</f>
        <v>-72530.600643407117</v>
      </c>
      <c r="BY38" s="1">
        <f t="shared" si="24"/>
        <v>64419.282388200685</v>
      </c>
      <c r="BZ38" s="1">
        <f t="shared" si="46"/>
        <v>-8111.3182552064318</v>
      </c>
      <c r="CA38" s="1">
        <f>IF(BZ38 &lt; 0,
    IF(CA37 + BZ38 &gt; 0,
        CA37 + BZ38, IF(CF37-ABS(CA37 + BZ38)*(1+$V38) &gt;= CA37 + BZ38,
        0, CA37 + BZ38)),
    MIN(CA37 + BZ38, Analysis!$C$7))+IF(CA37&lt;0, CA37*Analysis!$C$9,0)</f>
        <v>-302922.44204369374</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1178302.176261415</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-83501.191480068621</v>
      </c>
      <c r="FM38" s="1">
        <f>$M38+$R38+DD38+IF(AND($B38&lt;&gt;Analysis!$C$130,$B38=Analysis!$C$101),DZ37+CQ37+CT37+CZ37,0)</f>
        <v>64419.282388200685</v>
      </c>
      <c r="FN38" s="1">
        <f t="shared" si="34"/>
        <v>-19081.909091867936</v>
      </c>
      <c r="FO38" s="1">
        <f>IF(FN38 &lt; 0,
    IF(FO37 + FN38 &gt; 0,
        FO37 + FN38, IF(FT37-ABS(FO37 + FN38)*(1+$V38) &gt;= FO37 + FN38,
        0, FO37 + FN38)),
    MIN(FO37 + FN38, Analysis!$C$7))+IF(FO37&lt;0, FO37*Analysis!$C$9,0)</f>
        <v>-12121.471445570431</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1178302.176261415</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46847.359933563079</v>
      </c>
      <c r="GQ38" s="1">
        <f t="shared" si="36"/>
        <v>-3534.906528784245</v>
      </c>
      <c r="GR38" s="64">
        <f>IF($B38&lt;Analysis!$C$159,0,Analysis!$C$178)</f>
        <v>3.0000000000000001E-3</v>
      </c>
      <c r="GS38" s="1">
        <f t="shared" si="37"/>
        <v>-8837.2663219606129</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-2951.4340053584124</v>
      </c>
      <c r="HD38" s="1">
        <f t="shared" si="38"/>
        <v>-27583.60685610327</v>
      </c>
      <c r="HE38" s="1">
        <f>MIN(0,-(GN38+HD38)*Analysis!$C$28)-GE38*Analysis!$C$28</f>
        <v>-5214.7759057181411</v>
      </c>
      <c r="HF38" s="1">
        <f>-Analysis!$C$176*GP38/12</f>
        <v>-3903.9466611302564</v>
      </c>
      <c r="HG38" s="38"/>
      <c r="HH38" s="1">
        <f>IF($B38&lt;Analysis!$C$159,0,-$HI38*$FW38)</f>
        <v>-150233.52747333041</v>
      </c>
      <c r="HI38" s="64">
        <f>IF($B38&lt;Analysis!$C$159,0,IF($B38=Analysis!$C$159,Analysis!$C$31,HI37))</f>
        <v>0.1275</v>
      </c>
      <c r="HJ38" s="1">
        <f>IF($B38&lt;Analysis!$C$159,0,$FW38+HH38)</f>
        <v>1028068.6487880846</v>
      </c>
      <c r="HK38" s="1">
        <f>IF($B38-Analysis!$C$159&gt;10,0,IF($FW38&gt;LOOKUP(Analysis!$C$159,$B:$B, FW:FW),$V38*(LOOKUP(Analysis!$C$159,$B:$B, FW:FW)-FW38),0))</f>
        <v>0</v>
      </c>
      <c r="HL38" s="1">
        <f t="shared" si="39"/>
        <v>1028068.6487880846</v>
      </c>
      <c r="HM38" s="38"/>
      <c r="HN38" s="1">
        <f t="shared" si="40"/>
        <v>-125336.56188555603</v>
      </c>
      <c r="HO38" s="1">
        <f t="shared" si="8"/>
        <v>111266.64232176376</v>
      </c>
      <c r="HP38" s="1">
        <f t="shared" si="41"/>
        <v>-14069.919563792268</v>
      </c>
      <c r="HQ38" s="1">
        <f>IF(HP38 &lt; 0,
    IF(HQ37 + HP38 &gt; 0,
        HQ37 + HP38, IF(HV37-ABS(HQ37 + HP38)*(1+$V38) &gt;= HQ37 + HP38,
        0, HQ37 + HP38)),
    MIN(HQ37 + HP38, Analysis!$C$7))+IF(HQ37&lt;0, HQ37*Analysis!$C$9,0)</f>
        <v>0</v>
      </c>
      <c r="HR38" s="38"/>
      <c r="HS38" s="1">
        <f t="shared" si="54"/>
        <v>33174.634727111501</v>
      </c>
      <c r="HT38" s="1">
        <f>IF($B38=Analysis!$C$159,0,IF(HP38 &gt;= 0,
    MAX(0, HQ37 + HP38 - Analysis!$C$7),
    0))</f>
        <v>0</v>
      </c>
      <c r="HU38" s="1">
        <f>IF($B38=Analysis!$C$159,0,MAX(0, HU37 + HT38 - IF(HP38 &lt; 0, MIN(ABS(HP38), HU37 + HT38), 0)))</f>
        <v>916369.73324043595</v>
      </c>
      <c r="HV38" s="1">
        <f>IF($B38=Analysis!$C$159,0,IF(HP38 &lt; 0,
    IF(HP38 + HQ37 &lt; 0,
        MAX(0, HV37 - (ABS(HP38 + HQ37) * (1+$V37))),
        HV37 + HS38),
    HV37 + HT38 + HS38))</f>
        <v>1689478.2022522923</v>
      </c>
      <c r="HW38" s="1">
        <f t="shared" si="58"/>
        <v>1485570.8435504152</v>
      </c>
      <c r="HX38" s="36"/>
    </row>
    <row r="39" spans="1:232" x14ac:dyDescent="0.35">
      <c r="A39">
        <f t="shared" si="0"/>
        <v>72</v>
      </c>
      <c r="B39">
        <v>2062</v>
      </c>
      <c r="C39" s="1">
        <f>IF($B39&lt;Analysis!C$66,0,$AN39)+$AT39+$AW39+$BC39+$CF39+$CA39</f>
        <v>1679564.5942990659</v>
      </c>
      <c r="D39" s="1">
        <f>IF($B39&lt;Analysis!C$66, 0, BV39)+AT39+AW39+BC39+CG39+CA39</f>
        <v>1422432.0862564766</v>
      </c>
      <c r="E39" s="1">
        <f t="shared" si="1"/>
        <v>2463316.5826316429</v>
      </c>
      <c r="F39" s="1">
        <f t="shared" si="9"/>
        <v>2079712.3902204868</v>
      </c>
      <c r="G39" s="1">
        <f>IF(AND($B39&gt;=Analysis!$C$100, $B39&lt;Analysis!$C$101),$CK39,0)+IF($B39&gt;=Analysis!$C$130,EB39,0)+CQ39+CT39+CZ39+EH39+EK39+EQ39+$FO39+$FT39</f>
        <v>1940005.1984321915</v>
      </c>
      <c r="H39" s="1">
        <f t="shared" si="10"/>
        <v>1652911.9686241597</v>
      </c>
      <c r="I39" s="1">
        <f>IF($B39&lt;Analysis!$C$159,0,$FW39)+$GC39+$GF39+$GL39+$HQ39+$HV39</f>
        <v>2881851.5477058999</v>
      </c>
      <c r="J39" s="1">
        <f t="shared" si="59"/>
        <v>2524425.1328013586</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IF($B39=$B$2,((1+Analysis!$D$16)/(1+$S39))-1,IF(B39&lt;Analysis!$C$13,U38-((Analysis!$D$16-Analysis!$C$17)/(Analysis!$C$13-$B$2)),((1+Analysis!$C$17)/(1+$S38))-1))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49170.729425255144</v>
      </c>
      <c r="AI39" s="1">
        <f>IF(AE39 &gt;= 0,
    MAX(0, AF38 + AE39 - Analysis!$C$7),
    0)</f>
        <v>0</v>
      </c>
      <c r="AJ39" s="1">
        <f t="shared" si="44"/>
        <v>1008893.1042955059</v>
      </c>
      <c r="AK39" s="1">
        <f t="shared" si="20"/>
        <v>2463316.5826316429</v>
      </c>
      <c r="AL39" s="1">
        <f t="shared" si="5"/>
        <v>2079712.3902204868</v>
      </c>
      <c r="AM39" s="36"/>
      <c r="AN39" s="1">
        <f t="shared" si="45"/>
        <v>2016725.553275208</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-6050.1766598256245</v>
      </c>
      <c r="BF39" s="64">
        <f>IF($B39&lt;Analysis!$C$66,0,Analysis!$C$78)</f>
        <v>3.0000000000000001E-3</v>
      </c>
      <c r="BG39" s="1">
        <f>IF($B39&lt;Analysis!$C$66,0,-BH39*AN39)</f>
        <v>-15125.44164956406</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-257132.50804258903</v>
      </c>
      <c r="BS39" s="64">
        <f>IF($B39&lt;Analysis!C$66,0,Analysis!C$31)</f>
        <v>0.1275</v>
      </c>
      <c r="BT39" s="1">
        <f>IF($B39&lt;Analysis!$C$66,0,AN39+BR39)</f>
        <v>1759593.0452326189</v>
      </c>
      <c r="BU39" s="1">
        <f>IF($B39-Analysis!$C$66&gt;3,0,IF($AN39&gt;LOOKUP(Analysis!$C$66,$B:$B, AN:AN),$V39*(LOOKUP(Analysis!$C$66,$B:$B, AN:AN)-AN39),0))</f>
        <v>0</v>
      </c>
      <c r="BV39" s="1">
        <f t="shared" si="23"/>
        <v>1759593.0452326189</v>
      </c>
      <c r="BW39" s="42"/>
      <c r="BX39" s="1">
        <f>IF($B39&lt;Analysis!$C$66,$P39+$N39+$X39+$Z39,$P39+$N39+AS39+AV39+BB39+BE39+BG39+MAX(BI39,SUM(BJ39:BN39))+BP39)</f>
        <v>-73135.618309389683</v>
      </c>
      <c r="BY39" s="1">
        <f t="shared" si="24"/>
        <v>63130.89674043667</v>
      </c>
      <c r="BZ39" s="1">
        <f t="shared" si="46"/>
        <v>-10004.721568953013</v>
      </c>
      <c r="CA39" s="1">
        <f>IF(BZ39 &lt; 0,
    IF(CA38 + BZ39 &gt; 0,
        CA38 + BZ39, IF(CF38-ABS(CA38 + BZ39)*(1+$V39) &gt;= CA38 + BZ39,
        0, CA38 + BZ39)),
    MIN(CA38 + BZ39, Analysis!$C$7))+IF(CA38&lt;0, CA38*Analysis!$C$9,0)</f>
        <v>-337160.95897614222</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1212958.122622045</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-84250.260971285126</v>
      </c>
      <c r="FM39" s="1">
        <f>$M39+$R39+DD39+IF(AND($B39&lt;&gt;Analysis!$C$130,$B39=Analysis!$C$101),DZ38+CQ38+CT38+CZ38,0)</f>
        <v>63130.89674043667</v>
      </c>
      <c r="FN39" s="1">
        <f t="shared" si="34"/>
        <v>-21119.364230848456</v>
      </c>
      <c r="FO39" s="1">
        <f>IF(FN39 &lt; 0,
    IF(FO38 + FN39 &gt; 0,
        FO38 + FN39, IF(FT38-ABS(FO38 + FN39)*(1+$V39) &gt;= FO38 + FN39,
        0, FO38 + FN39)),
    MIN(FO38 + FN39, Analysis!$C$7))+IF(FO38&lt;0, FO38*Analysis!$C$9,0)</f>
        <v>-34210.553392064518</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1212958.122622045</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48108.752872785524</v>
      </c>
      <c r="GQ39" s="1">
        <f t="shared" si="36"/>
        <v>-3638.8743678661349</v>
      </c>
      <c r="GR39" s="64">
        <f>IF($B39&lt;Analysis!$C$159,0,Analysis!$C$178)</f>
        <v>3.0000000000000001E-3</v>
      </c>
      <c r="GS39" s="1">
        <f t="shared" si="37"/>
        <v>-9097.1859196653368</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-3038.2408878689544</v>
      </c>
      <c r="HD39" s="1">
        <f t="shared" si="38"/>
        <v>-28034.301175400426</v>
      </c>
      <c r="HE39" s="1">
        <f>MIN(0,-(GN39+HD39)*Analysis!$C$28)-GE39*Analysis!$C$28</f>
        <v>-5527.9283147098522</v>
      </c>
      <c r="HF39" s="1">
        <f>-Analysis!$C$176*GP39/12</f>
        <v>-4009.0627393987938</v>
      </c>
      <c r="HG39" s="38"/>
      <c r="HH39" s="1">
        <f>IF($B39&lt;Analysis!$C$159,0,-$HI39*$FW39)</f>
        <v>-154652.16063431074</v>
      </c>
      <c r="HI39" s="64">
        <f>IF($B39&lt;Analysis!$C$159,0,IF($B39=Analysis!$C$159,Analysis!$C$31,HI38))</f>
        <v>0.1275</v>
      </c>
      <c r="HJ39" s="1">
        <f>IF($B39&lt;Analysis!$C$159,0,$FW39+HH39)</f>
        <v>1058305.9619877343</v>
      </c>
      <c r="HK39" s="1">
        <f>IF($B39-Analysis!$C$159&gt;10,0,IF($FW39&gt;LOOKUP(Analysis!$C$159,$B:$B, FW:FW),$V39*(LOOKUP(Analysis!$C$159,$B:$B, FW:FW)-FW39),0))</f>
        <v>0</v>
      </c>
      <c r="HL39" s="1">
        <f t="shared" si="39"/>
        <v>1058305.9619877343</v>
      </c>
      <c r="HM39" s="38"/>
      <c r="HN39" s="1">
        <f t="shared" si="40"/>
        <v>-127528.29623513123</v>
      </c>
      <c r="HO39" s="1">
        <f t="shared" si="8"/>
        <v>111239.64961322219</v>
      </c>
      <c r="HP39" s="1">
        <f t="shared" si="41"/>
        <v>-16288.646621909036</v>
      </c>
      <c r="HQ39" s="1">
        <f>IF(HP39 &lt; 0,
    IF(HQ38 + HP39 &gt; 0,
        HQ38 + HP39, IF(HV38-ABS(HQ38 + HP39)*(1+$V39) &gt;= HQ38 + HP39,
        0, HQ38 + HP39)),
    MIN(HQ38 + HP39, Analysis!$C$7))+IF(HQ38&lt;0, HQ38*Analysis!$C$9,0)</f>
        <v>0</v>
      </c>
      <c r="HR39" s="38"/>
      <c r="HS39" s="1">
        <f t="shared" si="54"/>
        <v>33127.023573574239</v>
      </c>
      <c r="HT39" s="1">
        <f>IF($B39=Analysis!$C$159,0,IF(HP39 &gt;= 0,
    MAX(0, HQ38 + HP39 - Analysis!$C$7),
    0))</f>
        <v>0</v>
      </c>
      <c r="HU39" s="1">
        <f>IF($B39=Analysis!$C$159,0,MAX(0, HU38 + HT39 - IF(HP39 &lt; 0, MIN(ABS(HP39), HU38 + HT39), 0)))</f>
        <v>900081.08661852696</v>
      </c>
      <c r="HV39" s="1">
        <f>IF($B39=Analysis!$C$159,0,IF(HP39 &lt; 0,
    IF(HP39 + HQ38 &lt; 0,
        MAX(0, HV38 - (ABS(HP39 + HQ38) * (1+$V38))),
        HV38 + HS39),
    HV38 + HT39 + HS39))</f>
        <v>1668893.4250838547</v>
      </c>
      <c r="HW39" s="1">
        <f t="shared" si="58"/>
        <v>1466119.1708136245</v>
      </c>
      <c r="HX39" s="36"/>
    </row>
    <row r="40" spans="1:232" x14ac:dyDescent="0.35">
      <c r="A40">
        <f t="shared" si="0"/>
        <v>73</v>
      </c>
      <c r="B40">
        <v>2063</v>
      </c>
      <c r="C40" s="1">
        <f>IF($B40&lt;Analysis!C$66,0,$AN40)+$AT40+$AW40+$BC40+$CF40+$CA40</f>
        <v>1700017.0232232665</v>
      </c>
      <c r="D40" s="1">
        <f>IF($B40&lt;Analysis!C$66, 0, BV40)+AT40+AW40+BC40+CG40+CA40</f>
        <v>1435321.7943558954</v>
      </c>
      <c r="E40" s="1">
        <f t="shared" si="1"/>
        <v>2415609.5123715592</v>
      </c>
      <c r="F40" s="1">
        <f t="shared" si="9"/>
        <v>2034631.391269811</v>
      </c>
      <c r="G40" s="1">
        <f>IF(AND($B40&gt;=Analysis!$C$100, $B40&lt;Analysis!$C$101),$CK40,0)+IF($B40&gt;=Analysis!$C$130,EB40,0)+CQ40+CT40+CZ40+EH40+EK40+EQ40+$FO40+$FT40</f>
        <v>1979503.5572763071</v>
      </c>
      <c r="H40" s="1">
        <f t="shared" si="10"/>
        <v>1669203.1547412481</v>
      </c>
      <c r="I40" s="1">
        <f>IF($B40&lt;Analysis!$C$159,0,$FW40)+$GC40+$GF40+$GL40+$HQ40+$HV40</f>
        <v>2894136.0770963295</v>
      </c>
      <c r="J40" s="1">
        <f t="shared" si="59"/>
        <v>2533448.6283047851</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IF($B40=$B$2,((1+Analysis!$D$16)/(1+$S40))-1,IF(B40&lt;Analysis!$C$13,U39-((Analysis!$D$16-Analysis!$C$17)/(Analysis!$C$13-$B$2)),((1+Analysis!$C$17)/(1+$S39))-1))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48300.325149639888</v>
      </c>
      <c r="AI40" s="1">
        <f>IF(AE40 &gt;= 0,
    MAX(0, AF39 + AE40 - Analysis!$C$7),
    0)</f>
        <v>0</v>
      </c>
      <c r="AJ40" s="1">
        <f t="shared" si="44"/>
        <v>971142.70250711101</v>
      </c>
      <c r="AK40" s="1">
        <f t="shared" si="20"/>
        <v>2415609.5123715592</v>
      </c>
      <c r="AL40" s="1">
        <f t="shared" si="5"/>
        <v>2034631.391269811</v>
      </c>
      <c r="AM40" s="36"/>
      <c r="AN40" s="1">
        <f t="shared" si="45"/>
        <v>2076041.0107244791</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-6228.1230321734374</v>
      </c>
      <c r="BF40" s="64">
        <f>IF($B40&lt;Analysis!$C$66,0,Analysis!$C$78)</f>
        <v>3.0000000000000001E-3</v>
      </c>
      <c r="BG40" s="1">
        <f>IF($B40&lt;Analysis!$C$66,0,-BH40*AN40)</f>
        <v>-15570.307580433593</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-264695.2288673711</v>
      </c>
      <c r="BS40" s="64">
        <f>IF($B40&lt;Analysis!C$66,0,Analysis!C$31)</f>
        <v>0.1275</v>
      </c>
      <c r="BT40" s="1">
        <f>IF($B40&lt;Analysis!$C$66,0,AN40+BR40)</f>
        <v>1811345.781857108</v>
      </c>
      <c r="BU40" s="1">
        <f>IF($B40-Analysis!$C$66&gt;3,0,IF($AN40&gt;LOOKUP(Analysis!$C$66,$B:$B, AN:AN),$V40*(LOOKUP(Analysis!$C$66,$B:$B, AN:AN)-AN40),0))</f>
        <v>0</v>
      </c>
      <c r="BV40" s="1">
        <f t="shared" si="23"/>
        <v>1811345.781857108</v>
      </c>
      <c r="BW40" s="42"/>
      <c r="BX40" s="1">
        <f>IF($B40&lt;Analysis!$C$66,$P40+$N40+$X40+$Z40,$P40+$N40+AS40+AV40+BB40+BE40+BG40+MAX(BI40,SUM(BJ40:BN40))+BP40)</f>
        <v>-73758.43061260703</v>
      </c>
      <c r="BY40" s="1">
        <f t="shared" si="24"/>
        <v>61868.278805627939</v>
      </c>
      <c r="BZ40" s="1">
        <f t="shared" si="46"/>
        <v>-11890.151806979091</v>
      </c>
      <c r="CA40" s="1">
        <f>IF(BZ40 &lt; 0,
    IF(CA39 + BZ40 &gt; 0,
        CA39 + BZ40, IF(CF39-ABS(CA39 + BZ40)*(1+$V40) &gt;= CA39 + BZ40,
        0, CA39 + BZ40)),
    MIN(CA39 + BZ40, Analysis!$C$7))+IF(CA39&lt;0, CA39*Analysis!$C$9,0)</f>
        <v>-376023.98750121269</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1248633.3615226934</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-85021.361918125651</v>
      </c>
      <c r="FM40" s="1">
        <f>$M40+$R40+DD40+IF(AND($B40&lt;&gt;Analysis!$C$130,$B40=Analysis!$C$101),DZ39+CQ39+CT39+CZ39,0)</f>
        <v>61868.278805627939</v>
      </c>
      <c r="FN40" s="1">
        <f t="shared" si="34"/>
        <v>-23153.083112497712</v>
      </c>
      <c r="FO40" s="1">
        <f>IF(FN40 &lt; 0,
    IF(FO39 + FN40 &gt; 0,
        FO39 + FN40, IF(FT39-ABS(FO39 + FN40)*(1+$V40) &gt;= FO39 + FN40,
        0, FO39 + FN40)),
    MIN(FO39 + FN40, Analysis!$C$7))+IF(FO39&lt;0, FO39*Analysis!$C$9,0)</f>
        <v>-60100.48077592739</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1248633.3615226934</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49407.245604338044</v>
      </c>
      <c r="GQ40" s="1">
        <f t="shared" si="36"/>
        <v>-3745.9000845680803</v>
      </c>
      <c r="GR40" s="64">
        <f>IF($B40&lt;Analysis!$C$159,0,Analysis!$C$178)</f>
        <v>3.0000000000000001E-3</v>
      </c>
      <c r="GS40" s="1">
        <f t="shared" si="37"/>
        <v>-9364.7502114201998</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-3127.6009139827474</v>
      </c>
      <c r="HD40" s="1">
        <f t="shared" si="38"/>
        <v>-28498.251209971026</v>
      </c>
      <c r="HE40" s="1">
        <f>MIN(0,-(GN40+HD40)*Analysis!$C$28)-GE40*Analysis!$C$28</f>
        <v>-5850.2910886719092</v>
      </c>
      <c r="HF40" s="1">
        <f>-Analysis!$C$176*GP40/12</f>
        <v>-4117.2704670281701</v>
      </c>
      <c r="HG40" s="38"/>
      <c r="HH40" s="1">
        <f>IF($B40&lt;Analysis!$C$159,0,-$HI40*$FW40)</f>
        <v>-159200.7535941434</v>
      </c>
      <c r="HI40" s="64">
        <f>IF($B40&lt;Analysis!$C$159,0,IF($B40=Analysis!$C$159,Analysis!$C$31,HI39))</f>
        <v>0.1275</v>
      </c>
      <c r="HJ40" s="1">
        <f>IF($B40&lt;Analysis!$C$159,0,$FW40+HH40)</f>
        <v>1089432.6079285501</v>
      </c>
      <c r="HK40" s="1">
        <f>IF($B40-Analysis!$C$159&gt;10,0,IF($FW40&gt;LOOKUP(Analysis!$C$159,$B:$B, FW:FW),$V40*(LOOKUP(Analysis!$C$159,$B:$B, FW:FW)-FW40),0))</f>
        <v>0</v>
      </c>
      <c r="HL40" s="1">
        <f t="shared" si="39"/>
        <v>1089432.6079285501</v>
      </c>
      <c r="HM40" s="38"/>
      <c r="HN40" s="1">
        <f t="shared" si="40"/>
        <v>-129784.49335969389</v>
      </c>
      <c r="HO40" s="1">
        <f t="shared" si="8"/>
        <v>111275.52440996599</v>
      </c>
      <c r="HP40" s="1">
        <f t="shared" si="41"/>
        <v>-18508.968949727903</v>
      </c>
      <c r="HQ40" s="1">
        <f>IF(HP40 &lt; 0,
    IF(HQ39 + HP40 &gt; 0,
        HQ39 + HP40, IF(HV39-ABS(HQ39 + HP40)*(1+$V40) &gt;= HQ39 + HP40,
        0, HQ39 + HP40)),
    MIN(HQ39 + HP40, Analysis!$C$7))+IF(HQ39&lt;0, HQ39*Analysis!$C$9,0)</f>
        <v>0</v>
      </c>
      <c r="HR40" s="38"/>
      <c r="HS40" s="1">
        <f t="shared" si="54"/>
        <v>32723.400491840173</v>
      </c>
      <c r="HT40" s="1">
        <f>IF($B40=Analysis!$C$159,0,IF(HP40 &gt;= 0,
    MAX(0, HQ39 + HP40 - Analysis!$C$7),
    0))</f>
        <v>0</v>
      </c>
      <c r="HU40" s="1">
        <f>IF($B40=Analysis!$C$159,0,MAX(0, HU39 + HT40 - IF(HP40 &lt; 0, MIN(ABS(HP40), HU39 + HT40), 0)))</f>
        <v>881572.11766879901</v>
      </c>
      <c r="HV40" s="1">
        <f>IF($B40=Analysis!$C$159,0,IF(HP40 &lt; 0,
    IF(HP40 + HQ39 &lt; 0,
        MAX(0, HV39 - (ABS(HP40 + HQ39) * (1+$V39))),
        HV39 + HS40),
    HV39 + HT40 + HS40))</f>
        <v>1645502.7155736361</v>
      </c>
      <c r="HW40" s="1">
        <f t="shared" si="58"/>
        <v>1444016.0203762352</v>
      </c>
      <c r="HX40" s="36"/>
    </row>
    <row r="41" spans="1:232" x14ac:dyDescent="0.35">
      <c r="A41">
        <f t="shared" si="0"/>
        <v>74</v>
      </c>
      <c r="B41">
        <v>2064</v>
      </c>
      <c r="C41" s="1">
        <f>IF($B41&lt;Analysis!C$66,0,$AN41)+$AT41+$AW41+$BC41+$CF41+$CA41</f>
        <v>1717226.4862551331</v>
      </c>
      <c r="D41" s="1">
        <f>IF($B41&lt;Analysis!C$66, 0, BV41)+AT41+AW41+BC41+CG41+CA41</f>
        <v>1444746.1035975451</v>
      </c>
      <c r="E41" s="1">
        <f t="shared" si="1"/>
        <v>2364567.2902587601</v>
      </c>
      <c r="F41" s="1">
        <f t="shared" si="9"/>
        <v>1986398.8263907952</v>
      </c>
      <c r="G41" s="1">
        <f>IF(AND($B41&gt;=Analysis!$C$100, $B41&lt;Analysis!$C$101),$CK41,0)+IF($B41&gt;=Analysis!$C$130,EB41,0)+CQ41+CT41+CZ41+EH41+EK41+EQ41+$FO41+$FT41</f>
        <v>2016644.1482450676</v>
      </c>
      <c r="H41" s="1">
        <f t="shared" si="10"/>
        <v>1744163.7655874796</v>
      </c>
      <c r="I41" s="1">
        <f>IF($B41&lt;Analysis!$C$159,0,$FW41)+$GC41+$GF41+$GL41+$HQ41+$HV41</f>
        <v>2904660.2615183974</v>
      </c>
      <c r="J41" s="1">
        <f t="shared" si="59"/>
        <v>2540732.6541434452</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IF($B41=$B$2,((1+Analysis!$D$16)/(1+$S41))-1,IF(B41&lt;Analysis!$C$13,U40-((Analysis!$D$16-Analysis!$C$17)/(Analysis!$C$13-$B$2)),((1+Analysis!$C$17)/(1+$S40))-1))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47364.892399442171</v>
      </c>
      <c r="AI41" s="1">
        <f>IF(AE41 &gt;= 0,
    MAX(0, AF40 + AE41 - Analysis!$C$7),
    0)</f>
        <v>0</v>
      </c>
      <c r="AJ41" s="1">
        <f t="shared" si="44"/>
        <v>930753.20924277941</v>
      </c>
      <c r="AK41" s="1">
        <f t="shared" si="20"/>
        <v>2364567.2902587601</v>
      </c>
      <c r="AL41" s="1">
        <f t="shared" si="5"/>
        <v>1986398.8263907952</v>
      </c>
      <c r="AM41" s="36"/>
      <c r="AN41" s="1">
        <f t="shared" si="45"/>
        <v>2137101.0404516701</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-6411.3031213550103</v>
      </c>
      <c r="BF41" s="64">
        <f>IF($B41&lt;Analysis!$C$66,0,Analysis!$C$78)</f>
        <v>3.0000000000000001E-3</v>
      </c>
      <c r="BG41" s="1">
        <f>IF($B41&lt;Analysis!$C$66,0,-BH41*AN41)</f>
        <v>-16028.257803387525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-272480.38265758794</v>
      </c>
      <c r="BS41" s="64">
        <f>IF($B41&lt;Analysis!C$66,0,Analysis!C$31)</f>
        <v>0.1275</v>
      </c>
      <c r="BT41" s="1">
        <f>IF($B41&lt;Analysis!$C$66,0,AN41+BR41)</f>
        <v>1864620.6577940821</v>
      </c>
      <c r="BU41" s="1">
        <f>IF($B41-Analysis!$C$66&gt;3,0,IF($AN41&gt;LOOKUP(Analysis!$C$66,$B:$B, AN:AN),$V41*(LOOKUP(Analysis!$C$66,$B:$B, AN:AN)-AN41),0))</f>
        <v>0</v>
      </c>
      <c r="BV41" s="1">
        <f t="shared" si="23"/>
        <v>1864620.6577940821</v>
      </c>
      <c r="BW41" s="42"/>
      <c r="BX41" s="1">
        <f>IF($B41&lt;Analysis!$C$66,$P41+$N41+$X41+$Z41,$P41+$N41+AS41+AV41+BB41+BE41+BG41+MAX(BI41,SUM(BJ41:BN41))+BP41)</f>
        <v>-74399.560924742545</v>
      </c>
      <c r="BY41" s="1">
        <f t="shared" si="24"/>
        <v>60630.913229515376</v>
      </c>
      <c r="BZ41" s="1">
        <f t="shared" si="46"/>
        <v>-13768.64769522717</v>
      </c>
      <c r="CA41" s="1">
        <f>IF(BZ41 &lt; 0,
    IF(CA40 + BZ41 &gt; 0,
        CA40 + BZ41, IF(CF40-ABS(CA40 + BZ41)*(1+$V41) &gt;= CA40 + BZ41,
        0, CA40 + BZ41)),
    MIN(CA40 + BZ41, Analysis!$C$7))+IF(CA40&lt;0, CA40*Analysis!$C$9,0)</f>
        <v>-419874.55419653689</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1285357.8721557138</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-85815.142304579145</v>
      </c>
      <c r="FM41" s="1">
        <f>$M41+$R41+DD41+IF(AND($B41&lt;&gt;Analysis!$C$130,$B41=Analysis!$C$101),DZ40+CQ40+CT40+CZ40,0)</f>
        <v>60630.913229515376</v>
      </c>
      <c r="FN41" s="1">
        <f t="shared" si="34"/>
        <v>-25184.229075063769</v>
      </c>
      <c r="FO41" s="1">
        <f>IF(FN41 &lt; 0,
    IF(FO40 + FN41 &gt; 0,
        FO40 + FN41, IF(FT40-ABS(FO40 + FN41)*(1+$V41) &gt;= FO40 + FN41,
        0, FO40 + FN41)),
    MIN(FO40 + FN41, Analysis!$C$7))+IF(FO40&lt;0, FO40*Analysis!$C$9,0)</f>
        <v>-90092.748313065356</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1285357.8721557138</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50743.929298583287</v>
      </c>
      <c r="GQ41" s="1">
        <f t="shared" si="36"/>
        <v>-3856.0736164671416</v>
      </c>
      <c r="GR41" s="64">
        <f>IF($B41&lt;Analysis!$C$159,0,Analysis!$C$178)</f>
        <v>3.0000000000000001E-3</v>
      </c>
      <c r="GS41" s="1">
        <f t="shared" si="37"/>
        <v>-9640.1840411678531</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-3219.5891761587109</v>
      </c>
      <c r="HD41" s="1">
        <f t="shared" si="38"/>
        <v>-28975.846833793708</v>
      </c>
      <c r="HE41" s="1">
        <f>MIN(0,-(GN41+HD41)*Analysis!$C$28)-GE41*Analysis!$C$28</f>
        <v>-6182.1351206916715</v>
      </c>
      <c r="HF41" s="1">
        <f>-Analysis!$C$176*GP41/12</f>
        <v>-4228.6607748819406</v>
      </c>
      <c r="HG41" s="38"/>
      <c r="HH41" s="1">
        <f>IF($B41&lt;Analysis!$C$159,0,-$HI41*$FW41)</f>
        <v>-163883.12869985352</v>
      </c>
      <c r="HI41" s="64">
        <f>IF($B41&lt;Analysis!$C$159,0,IF($B41=Analysis!$C$159,Analysis!$C$31,HI40))</f>
        <v>0.1275</v>
      </c>
      <c r="HJ41" s="1">
        <f>IF($B41&lt;Analysis!$C$159,0,$FW41+HH41)</f>
        <v>1121474.7434558603</v>
      </c>
      <c r="HK41" s="1">
        <f>IF($B41-Analysis!$C$159&gt;10,0,IF($FW41&gt;LOOKUP(Analysis!$C$159,$B:$B, FW:FW),$V41*(LOOKUP(Analysis!$C$159,$B:$B, FW:FW)-FW41),0))</f>
        <v>0</v>
      </c>
      <c r="HL41" s="1">
        <f t="shared" si="39"/>
        <v>1121474.7434558603</v>
      </c>
      <c r="HM41" s="38"/>
      <c r="HN41" s="1">
        <f t="shared" si="40"/>
        <v>-132107.04922321433</v>
      </c>
      <c r="HO41" s="1">
        <f t="shared" si="8"/>
        <v>111374.84252809867</v>
      </c>
      <c r="HP41" s="1">
        <f t="shared" si="41"/>
        <v>-20732.206695115659</v>
      </c>
      <c r="HQ41" s="1">
        <f>IF(HP41 &lt; 0,
    IF(HQ40 + HP41 &gt; 0,
        HQ40 + HP41, IF(HV40-ABS(HQ40 + HP41)*(1+$V41) &gt;= HQ40 + HP41,
        0, HQ40 + HP41)),
    MIN(HQ40 + HP41, Analysis!$C$7))+IF(HQ40&lt;0, HQ40*Analysis!$C$9,0)</f>
        <v>0</v>
      </c>
      <c r="HR41" s="38"/>
      <c r="HS41" s="1">
        <f t="shared" si="54"/>
        <v>32264.759128894711</v>
      </c>
      <c r="HT41" s="1">
        <f>IF($B41=Analysis!$C$159,0,IF(HP41 &gt;= 0,
    MAX(0, HQ40 + HP41 - Analysis!$C$7),
    0))</f>
        <v>0</v>
      </c>
      <c r="HU41" s="1">
        <f>IF($B41=Analysis!$C$159,0,MAX(0, HU40 + HT41 - IF(HP41 &lt; 0, MIN(ABS(HP41), HU40 + HT41), 0)))</f>
        <v>860839.91097368335</v>
      </c>
      <c r="HV41" s="1">
        <f>IF($B41=Analysis!$C$159,0,IF(HP41 &lt; 0,
    IF(HP41 + HQ40 &lt; 0,
        MAX(0, HV40 - (ABS(HP41 + HQ40) * (1+$V40))),
        HV40 + HS41),
    HV40 + HT41 + HS41))</f>
        <v>1619302.3893626838</v>
      </c>
      <c r="HW41" s="1">
        <f t="shared" si="58"/>
        <v>1419257.9106875849</v>
      </c>
      <c r="HX41" s="36"/>
    </row>
    <row r="42" spans="1:232" x14ac:dyDescent="0.35">
      <c r="A42">
        <f t="shared" si="0"/>
        <v>75</v>
      </c>
      <c r="B42">
        <v>2065</v>
      </c>
      <c r="C42" s="1">
        <f>IF($B42&lt;Analysis!C$66,0,$AN42)+$AT42+$AW42+$BC42+$CF42+$CA42</f>
        <v>1730851.1818280322</v>
      </c>
      <c r="D42" s="1">
        <f>IF($B42&lt;Analysis!C$66, 0, BV42)+AT42+AW42+BC42+CG42+CA42</f>
        <v>1450356.6702687505</v>
      </c>
      <c r="E42" s="1">
        <f t="shared" si="1"/>
        <v>2310169.0897933026</v>
      </c>
      <c r="F42" s="1">
        <f t="shared" si="9"/>
        <v>1934995.0154937387</v>
      </c>
      <c r="G42" s="1">
        <f>IF(AND($B42&gt;=Analysis!$C$100, $B42&lt;Analysis!$C$101),$CK42,0)+IF($B42&gt;=Analysis!$C$130,EB42,0)+CQ42+CT42+CZ42+EH42+EK42+EQ42+$FO42+$FT42</f>
        <v>2051151.495905129</v>
      </c>
      <c r="H42" s="1">
        <f t="shared" si="10"/>
        <v>1770656.9843458473</v>
      </c>
      <c r="I42" s="1">
        <f>IF($B42&lt;Analysis!$C$159,0,$FW42)+$GC42+$GF42+$GL42+$HQ42+$HV42</f>
        <v>2913449.5923217004</v>
      </c>
      <c r="J42" s="1">
        <f t="shared" si="59"/>
        <v>2546299.0624706838</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IF($B42=$B$2,((1+Analysis!$D$16)/(1+$S42))-1,IF(B42&lt;Analysis!$C$13,U41-((Analysis!$D$16-Analysis!$C$17)/(Analysis!$C$13-$B$2)),((1+Analysis!$C$17)/(1+$S41))-1))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46364.064514877486</v>
      </c>
      <c r="AI42" s="1">
        <f>IF(AE42 &gt;= 0,
    MAX(0, AF41 + AE42 - Analysis!$C$7),
    0)</f>
        <v>0</v>
      </c>
      <c r="AJ42" s="1">
        <f t="shared" si="44"/>
        <v>887708.14458168554</v>
      </c>
      <c r="AK42" s="1">
        <f t="shared" si="20"/>
        <v>2310169.0897933026</v>
      </c>
      <c r="AL42" s="1">
        <f t="shared" si="5"/>
        <v>1934995.0154937387</v>
      </c>
      <c r="AM42" s="36"/>
      <c r="AN42" s="1">
        <f t="shared" si="45"/>
        <v>2199956.9534061314</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-6599.8708602183942</v>
      </c>
      <c r="BF42" s="64">
        <f>IF($B42&lt;Analysis!$C$66,0,Analysis!$C$78)</f>
        <v>3.0000000000000001E-3</v>
      </c>
      <c r="BG42" s="1">
        <f>IF($B42&lt;Analysis!$C$66,0,-BH42*AN42)</f>
        <v>-16499.677150545984</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-280494.51155928173</v>
      </c>
      <c r="BS42" s="64">
        <f>IF($B42&lt;Analysis!C$66,0,Analysis!C$31)</f>
        <v>0.1275</v>
      </c>
      <c r="BT42" s="1">
        <f>IF($B42&lt;Analysis!$C$66,0,AN42+BR42)</f>
        <v>1919462.4418468496</v>
      </c>
      <c r="BU42" s="1">
        <f>IF($B42-Analysis!$C$66&gt;3,0,IF($AN42&gt;LOOKUP(Analysis!$C$66,$B:$B, AN:AN),$V42*(LOOKUP(Analysis!$C$66,$B:$B, AN:AN)-AN42),0))</f>
        <v>0</v>
      </c>
      <c r="BV42" s="1">
        <f t="shared" si="23"/>
        <v>1919462.4418468496</v>
      </c>
      <c r="BW42" s="42"/>
      <c r="BX42" s="1">
        <f>IF($B42&lt;Analysis!$C$66,$P42+$N42+$X42+$Z42,$P42+$N42+AS42+AV42+BB42+BE42+BG42+MAX(BI42,SUM(BJ42:BN42))+BP42)</f>
        <v>-75059.548010764382</v>
      </c>
      <c r="BY42" s="1">
        <f t="shared" si="24"/>
        <v>59418.294964925066</v>
      </c>
      <c r="BZ42" s="1">
        <f t="shared" si="46"/>
        <v>-15641.253045839316</v>
      </c>
      <c r="CA42" s="1">
        <f>IF(BZ42 &lt; 0,
    IF(CA41 + BZ42 &gt; 0,
        CA41 + BZ42, IF(CF41-ABS(CA41 + BZ42)*(1+$V42) &gt;= CA41 + BZ42,
        0, CA41 + BZ42)),
    MIN(CA41 + BZ42, Analysis!$C$7))+IF(CA41&lt;0, CA41*Analysis!$C$9,0)</f>
        <v>-469105.77157809917</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1323162.5154544115</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-86632.269172987129</v>
      </c>
      <c r="FM42" s="1">
        <f>$M42+$R42+DD42+IF(AND($B42&lt;&gt;Analysis!$C$130,$B42=Analysis!$C$101),DZ41+CQ41+CT41+CZ41,0)</f>
        <v>59418.294964925066</v>
      </c>
      <c r="FN42" s="1">
        <f t="shared" si="34"/>
        <v>-27213.974208062064</v>
      </c>
      <c r="FO42" s="1">
        <f>IF(FN42 &lt; 0,
    IF(FO41 + FN42 &gt; 0,
        FO41 + FN42, IF(FT41-ABS(FO41 + FN42)*(1+$V42) &gt;= FO41 + FN42,
        0, FO41 + FN42)),
    MIN(FO41 + FN42, Analysis!$C$7))+IF(FO41&lt;0, FO41*Analysis!$C$9,0)</f>
        <v>-124514.14238617265</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1323162.5154544115</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52119.927219129859</v>
      </c>
      <c r="GQ42" s="1">
        <f t="shared" si="36"/>
        <v>-3969.4875463632347</v>
      </c>
      <c r="GR42" s="64">
        <f>IF($B42&lt;Analysis!$C$159,0,Analysis!$C$178)</f>
        <v>3.0000000000000001E-3</v>
      </c>
      <c r="GS42" s="1">
        <f t="shared" si="37"/>
        <v>-9923.7188659080857</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-3314.2829754574968</v>
      </c>
      <c r="HD42" s="1">
        <f t="shared" si="38"/>
        <v>-29467.489387728816</v>
      </c>
      <c r="HE42" s="1">
        <f>MIN(0,-(GN42+HD42)*Analysis!$C$28)-GE42*Analysis!$C$28</f>
        <v>-6523.7392713002519</v>
      </c>
      <c r="HF42" s="1">
        <f>-Analysis!$C$176*GP42/12</f>
        <v>-4343.3272682608213</v>
      </c>
      <c r="HG42" s="38"/>
      <c r="HH42" s="1">
        <f>IF($B42&lt;Analysis!$C$159,0,-$HI42*$FW42)</f>
        <v>-168703.22072043747</v>
      </c>
      <c r="HI42" s="64">
        <f>IF($B42&lt;Analysis!$C$159,0,IF($B42=Analysis!$C$159,Analysis!$C$31,HI41))</f>
        <v>0.1275</v>
      </c>
      <c r="HJ42" s="1">
        <f>IF($B42&lt;Analysis!$C$159,0,$FW42+HH42)</f>
        <v>1154459.2947339742</v>
      </c>
      <c r="HK42" s="1">
        <f>IF($B42-Analysis!$C$159&gt;10,0,IF($FW42&gt;LOOKUP(Analysis!$C$159,$B:$B, FW:FW),$V42*(LOOKUP(Analysis!$C$159,$B:$B, FW:FW)-FW42),0))</f>
        <v>0</v>
      </c>
      <c r="HL42" s="1">
        <f t="shared" si="39"/>
        <v>1154459.2947339742</v>
      </c>
      <c r="HM42" s="38"/>
      <c r="HN42" s="1">
        <f t="shared" si="40"/>
        <v>-134497.91555330885</v>
      </c>
      <c r="HO42" s="1">
        <f t="shared" si="8"/>
        <v>111538.22218405493</v>
      </c>
      <c r="HP42" s="1">
        <f t="shared" si="41"/>
        <v>-22959.693369253917</v>
      </c>
      <c r="HQ42" s="1">
        <f>IF(HP42 &lt; 0,
    IF(HQ41 + HP42 &gt; 0,
        HQ41 + HP42, IF(HV41-ABS(HQ41 + HP42)*(1+$V42) &gt;= HQ41 + HP42,
        0, HQ41 + HP42)),
    MIN(HQ41 + HP42, Analysis!$C$7))+IF(HQ41&lt;0, HQ41*Analysis!$C$9,0)</f>
        <v>0</v>
      </c>
      <c r="HR42" s="38"/>
      <c r="HS42" s="1">
        <f t="shared" si="54"/>
        <v>31751.027242405449</v>
      </c>
      <c r="HT42" s="1">
        <f>IF($B42=Analysis!$C$159,0,IF(HP42 &gt;= 0,
    MAX(0, HQ41 + HP42 - Analysis!$C$7),
    0))</f>
        <v>0</v>
      </c>
      <c r="HU42" s="1">
        <f>IF($B42=Analysis!$C$159,0,MAX(0, HU41 + HT42 - IF(HP42 &lt; 0, MIN(ABS(HP42), HU41 + HT42), 0)))</f>
        <v>837880.21760442946</v>
      </c>
      <c r="HV42" s="1">
        <f>IF($B42=Analysis!$C$159,0,IF(HP42 &lt; 0,
    IF(HP42 + HQ41 &lt; 0,
        MAX(0, HV41 - (ABS(HP42 + HQ41) * (1+$V41))),
        HV41 + HS42),
    HV41 + HT42 + HS42))</f>
        <v>1590287.0768672891</v>
      </c>
      <c r="HW42" s="1">
        <f t="shared" si="58"/>
        <v>1391839.7677367099</v>
      </c>
      <c r="HX42" s="36"/>
    </row>
    <row r="43" spans="1:232" x14ac:dyDescent="0.35">
      <c r="A43">
        <f t="shared" si="0"/>
        <v>76</v>
      </c>
      <c r="B43">
        <v>2066</v>
      </c>
      <c r="C43" s="1">
        <f>IF($B43&lt;Analysis!C$66,0,$AN43)+$AT43+$AW43+$BC43+$CF43+$CA43</f>
        <v>1740518.3189623929</v>
      </c>
      <c r="D43" s="1">
        <f>IF($B43&lt;Analysis!C$66, 0, BV43)+AT43+AW43+BC43+CG43+CA43</f>
        <v>1451773.9688278381</v>
      </c>
      <c r="E43" s="1">
        <f t="shared" si="1"/>
        <v>2252391.9266070956</v>
      </c>
      <c r="F43" s="1">
        <f t="shared" si="9"/>
        <v>1880398.239402256</v>
      </c>
      <c r="G43" s="1">
        <f>IF(AND($B43&gt;=Analysis!$C$100, $B43&lt;Analysis!$C$101),$CK43,0)+IF($B43&gt;=Analysis!$C$130,EB43,0)+CQ43+CT43+CZ43+EH43+EK43+EQ43+$FO43+$FT43</f>
        <v>2082724.3094506369</v>
      </c>
      <c r="H43" s="1">
        <f t="shared" si="10"/>
        <v>1793979.9593160821</v>
      </c>
      <c r="I43" s="1">
        <f>IF($B43&lt;Analysis!$C$159,0,$FW43)+$GC43+$GF43+$GL43+$HQ43+$HV43</f>
        <v>2920528.7652773792</v>
      </c>
      <c r="J43" s="1">
        <f t="shared" si="59"/>
        <v>2550168.8878897224</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IF($B43=$B$2,((1+Analysis!$D$16)/(1+$S43))-1,IF(B43&lt;Analysis!$C$13,U42-((Analysis!$D$16-Analysis!$C$17)/(Analysis!$C$13-$B$2)),((1+Analysis!$C$17)/(1+$S42))-1))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45297.433133201848</v>
      </c>
      <c r="AI43" s="1">
        <f>IF(AE43 &gt;= 0,
    MAX(0, AF42 + AE43 - Analysis!$C$7),
    0)</f>
        <v>0</v>
      </c>
      <c r="AJ43" s="1">
        <f t="shared" si="44"/>
        <v>841989.32109111606</v>
      </c>
      <c r="AK43" s="1">
        <f t="shared" si="20"/>
        <v>2252391.9266070956</v>
      </c>
      <c r="AL43" s="1">
        <f t="shared" si="5"/>
        <v>1880398.239402256</v>
      </c>
      <c r="AM43" s="36"/>
      <c r="AN43" s="1">
        <f t="shared" si="45"/>
        <v>2264661.5696827825</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-6793.9847090483481</v>
      </c>
      <c r="BF43" s="64">
        <f>IF($B43&lt;Analysis!$C$66,0,Analysis!$C$78)</f>
        <v>3.0000000000000001E-3</v>
      </c>
      <c r="BG43" s="1">
        <f>IF($B43&lt;Analysis!$C$66,0,-BH43*AN43)</f>
        <v>-16984.961772620867</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-288744.35013455478</v>
      </c>
      <c r="BS43" s="64">
        <f>IF($B43&lt;Analysis!C$66,0,Analysis!C$31)</f>
        <v>0.1275</v>
      </c>
      <c r="BT43" s="1">
        <f>IF($B43&lt;Analysis!$C$66,0,AN43+BR43)</f>
        <v>1975917.2195482277</v>
      </c>
      <c r="BU43" s="1">
        <f>IF($B43-Analysis!$C$66&gt;3,0,IF($AN43&gt;LOOKUP(Analysis!$C$66,$B:$B, AN:AN),$V43*(LOOKUP(Analysis!$C$66,$B:$B, AN:AN)-AN43),0))</f>
        <v>0</v>
      </c>
      <c r="BV43" s="1">
        <f t="shared" si="23"/>
        <v>1975917.2195482277</v>
      </c>
      <c r="BW43" s="42"/>
      <c r="BX43" s="1">
        <f>IF($B43&lt;Analysis!$C$66,$P43+$N43+$X43+$Z43,$P43+$N43+AS43+AV43+BB43+BE43+BG43+MAX(BI43,SUM(BJ43:BN43))+BP43)</f>
        <v>-75738.946481669205</v>
      </c>
      <c r="BY43" s="1">
        <f t="shared" si="24"/>
        <v>58229.929065626566</v>
      </c>
      <c r="BZ43" s="1">
        <f t="shared" si="46"/>
        <v>-17509.01741604264</v>
      </c>
      <c r="CA43" s="1">
        <f>IF(BZ43 &lt; 0,
    IF(CA42 + BZ43 &gt; 0,
        CA42 + BZ43, IF(CF42-ABS(CA42 + BZ43)*(1+$V43) &gt;= CA42 + BZ43,
        0, CA42 + BZ43)),
    MIN(CA42 + BZ43, Analysis!$C$7))+IF(CA42&lt;0, CA42*Analysis!$C$9,0)</f>
        <v>-524143.25072038971</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1362079.0600266003</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-87473.429184583598</v>
      </c>
      <c r="FM43" s="1">
        <f>$M43+$R43+DD43+IF(AND($B43&lt;&gt;Analysis!$C$130,$B43=Analysis!$C$101),DZ42+CQ42+CT42+CZ42,0)</f>
        <v>58229.929065626566</v>
      </c>
      <c r="FN43" s="1">
        <f t="shared" si="34"/>
        <v>-29243.500118957032</v>
      </c>
      <c r="FO43" s="1">
        <f>IF(FN43 &lt; 0,
    IF(FO42 + FN43 &gt; 0,
        FO42 + FN43, IF(FT42-ABS(FO42 + FN43)*(1+$V43) &gt;= FO42 + FN43,
        0, FO42 + FN43)),
    MIN(FO42 + FN43, Analysis!$C$7))+IF(FO42&lt;0, FO42*Analysis!$C$9,0)</f>
        <v>-163718.77389602349</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1362079.0600266003</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53536.395666751327</v>
      </c>
      <c r="GQ43" s="1">
        <f t="shared" si="36"/>
        <v>-4086.237180079801</v>
      </c>
      <c r="GR43" s="64">
        <f>IF($B43&lt;Analysis!$C$159,0,Analysis!$C$178)</f>
        <v>3.0000000000000001E-3</v>
      </c>
      <c r="GS43" s="1">
        <f t="shared" si="37"/>
        <v>-10215.592950199502</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-3411.7618865003647</v>
      </c>
      <c r="HD43" s="1">
        <f t="shared" si="38"/>
        <v>-29973.592016779668</v>
      </c>
      <c r="HE43" s="1">
        <f>MIN(0,-(GN43+HD43)*Analysis!$C$28)-GE43*Analysis!$C$28</f>
        <v>-6875.3906028090814</v>
      </c>
      <c r="HF43" s="1">
        <f>-Analysis!$C$176*GP43/12</f>
        <v>-4461.3663055626103</v>
      </c>
      <c r="HG43" s="38"/>
      <c r="HH43" s="1">
        <f>IF($B43&lt;Analysis!$C$159,0,-$HI43*$FW43)</f>
        <v>-173665.08015339152</v>
      </c>
      <c r="HI43" s="64">
        <f>IF($B43&lt;Analysis!$C$159,0,IF($B43=Analysis!$C$159,Analysis!$C$31,HI42))</f>
        <v>0.1275</v>
      </c>
      <c r="HJ43" s="1">
        <f>IF($B43&lt;Analysis!$C$159,0,$FW43+HH43)</f>
        <v>1188413.9798732088</v>
      </c>
      <c r="HK43" s="1">
        <f>IF($B43-Analysis!$C$159&gt;10,0,IF($FW43&gt;LOOKUP(Analysis!$C$159,$B:$B, FW:FW),$V43*(LOOKUP(Analysis!$C$159,$B:$B, FW:FW)-FW43),0))</f>
        <v>0</v>
      </c>
      <c r="HL43" s="1">
        <f t="shared" si="39"/>
        <v>1188413.9798732088</v>
      </c>
      <c r="HM43" s="38"/>
      <c r="HN43" s="1">
        <f t="shared" si="40"/>
        <v>-136959.10148134734</v>
      </c>
      <c r="HO43" s="1">
        <f t="shared" si="8"/>
        <v>111766.32473237789</v>
      </c>
      <c r="HP43" s="1">
        <f t="shared" si="41"/>
        <v>-25192.776748969452</v>
      </c>
      <c r="HQ43" s="1">
        <f>IF(HP43 &lt; 0,
    IF(HQ42 + HP43 &gt; 0,
        HQ42 + HP43, IF(HV42-ABS(HQ42 + HP43)*(1+$V43) &gt;= HQ42 + HP43,
        0, HQ42 + HP43)),
    MIN(HQ42 + HP43, Analysis!$C$7))+IF(HQ42&lt;0, HQ42*Analysis!$C$9,0)</f>
        <v>0</v>
      </c>
      <c r="HR43" s="38"/>
      <c r="HS43" s="1">
        <f t="shared" si="54"/>
        <v>31182.099546417325</v>
      </c>
      <c r="HT43" s="1">
        <f>IF($B43=Analysis!$C$159,0,IF(HP43 &gt;= 0,
    MAX(0, HQ42 + HP43 - Analysis!$C$7),
    0))</f>
        <v>0</v>
      </c>
      <c r="HU43" s="1">
        <f>IF($B43=Analysis!$C$159,0,MAX(0, HU42 + HT43 - IF(HP43 &lt; 0, MIN(ABS(HP43), HU42 + HT43), 0)))</f>
        <v>812687.44085546001</v>
      </c>
      <c r="HV43" s="1">
        <f>IF($B43=Analysis!$C$159,0,IF(HP43 &lt; 0,
    IF(HP43 + HQ42 &lt; 0,
        MAX(0, HV42 - (ABS(HP43 + HQ42) * (1+$V42))),
        HV42 + HS43),
    HV42 + HT43 + HS43))</f>
        <v>1558449.7052507789</v>
      </c>
      <c r="HW43" s="1">
        <f t="shared" si="58"/>
        <v>1361754.9080165136</v>
      </c>
      <c r="HX43" s="36"/>
    </row>
    <row r="44" spans="1:232" x14ac:dyDescent="0.35">
      <c r="A44">
        <f t="shared" si="0"/>
        <v>77</v>
      </c>
      <c r="B44">
        <v>2067</v>
      </c>
      <c r="C44" s="1">
        <f>IF($B44&lt;Analysis!C$66,0,$AN44)+$AT44+$AW44+$BC44+$CF44+$CA44</f>
        <v>1745821.5553544983</v>
      </c>
      <c r="D44" s="1">
        <f>IF($B44&lt;Analysis!C$66, 0, BV44)+AT44+AW44+BC44+CG44+CA44</f>
        <v>1448584.7243336332</v>
      </c>
      <c r="E44" s="1">
        <f t="shared" si="1"/>
        <v>2191210.6259036697</v>
      </c>
      <c r="F44" s="1">
        <f t="shared" si="9"/>
        <v>1822584.7090853499</v>
      </c>
      <c r="G44" s="1">
        <f>IF(AND($B44&gt;=Analysis!$C$100, $B44&lt;Analysis!$C$101),$CK44,0)+IF($B44&gt;=Analysis!$C$130,EB44,0)+CQ44+CT44+CZ44+EH44+EK44+EQ44+$FO44+$FT44</f>
        <v>2111033.3308314197</v>
      </c>
      <c r="H44" s="1">
        <f t="shared" si="10"/>
        <v>1813796.4998105546</v>
      </c>
      <c r="I44" s="1">
        <f>IF($B44&lt;Analysis!$C$159,0,$FW44)+$GC44+$GF44+$GL44+$HQ44+$HV44</f>
        <v>2925921.6880852329</v>
      </c>
      <c r="J44" s="1">
        <f t="shared" si="59"/>
        <v>2552362.3526132759</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IF($B44=$B$2,((1+Analysis!$D$16)/(1+$S44))-1,IF(B44&lt;Analysis!$C$13,U43-((Analysis!$D$16-Analysis!$C$17)/(Analysis!$C$13-$B$2)),((1+Analysis!$C$17)/(1+$S43))-1))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44164.547580531129</v>
      </c>
      <c r="AI44" s="1">
        <f>IF(AE44 &gt;= 0,
    MAX(0, AF43 + AE44 - Analysis!$C$7),
    0)</f>
        <v>0</v>
      </c>
      <c r="AJ44" s="1">
        <f t="shared" si="44"/>
        <v>793576.81806169893</v>
      </c>
      <c r="AK44" s="1">
        <f t="shared" si="20"/>
        <v>2191210.6259036697</v>
      </c>
      <c r="AL44" s="1">
        <f t="shared" si="5"/>
        <v>1822584.7090853499</v>
      </c>
      <c r="AM44" s="36"/>
      <c r="AN44" s="1">
        <f t="shared" si="45"/>
        <v>2331269.262908747</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-6993.8077887262407</v>
      </c>
      <c r="BF44" s="64">
        <f>IF($B44&lt;Analysis!$C$66,0,Analysis!$C$78)</f>
        <v>3.0000000000000001E-3</v>
      </c>
      <c r="BG44" s="1">
        <f>IF($B44&lt;Analysis!$C$66,0,-BH44*AN44)</f>
        <v>-17484.519471815602</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-297236.83102086524</v>
      </c>
      <c r="BS44" s="64">
        <f>IF($B44&lt;Analysis!C$66,0,Analysis!C$31)</f>
        <v>0.1275</v>
      </c>
      <c r="BT44" s="1">
        <f>IF($B44&lt;Analysis!$C$66,0,AN44+BR44)</f>
        <v>2034032.4318878818</v>
      </c>
      <c r="BU44" s="1">
        <f>IF($B44-Analysis!$C$66&gt;3,0,IF($AN44&gt;LOOKUP(Analysis!$C$66,$B:$B, AN:AN),$V44*(LOOKUP(Analysis!$C$66,$B:$B, AN:AN)-AN44),0))</f>
        <v>0</v>
      </c>
      <c r="BV44" s="1">
        <f t="shared" si="23"/>
        <v>2034032.4318878818</v>
      </c>
      <c r="BW44" s="42"/>
      <c r="BX44" s="1">
        <f>IF($B44&lt;Analysis!$C$66,$P44+$N44+$X44+$Z44,$P44+$N44+AS44+AV44+BB44+BE44+BG44+MAX(BI44,SUM(BJ44:BN44))+BP44)</f>
        <v>-76438.327260541846</v>
      </c>
      <c r="BY44" s="1">
        <f t="shared" si="24"/>
        <v>57065.330484314036</v>
      </c>
      <c r="BZ44" s="1">
        <f t="shared" si="46"/>
        <v>-19372.99677622781</v>
      </c>
      <c r="CA44" s="1">
        <f>IF(BZ44 &lt; 0,
    IF(CA43 + BZ44 &gt; 0,
        CA43 + BZ44, IF(CF43-ABS(CA43 + BZ44)*(1+$V44) &gt;= CA43 + BZ44,
        0, CA43 + BZ44)),
    MIN(CA43 + BZ44, Analysis!$C$7))+IF(CA43&lt;0, CA43*Analysis!$C$9,0)</f>
        <v>-585447.70755424863</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1402140.2088509123</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-88339.329196521139</v>
      </c>
      <c r="FM44" s="1">
        <f>$M44+$R44+DD44+IF(AND($B44&lt;&gt;Analysis!$C$130,$B44=Analysis!$C$101),DZ43+CQ43+CT43+CZ43,0)</f>
        <v>57065.330484314036</v>
      </c>
      <c r="FN44" s="1">
        <f t="shared" si="34"/>
        <v>-31273.998712207103</v>
      </c>
      <c r="FO44" s="1">
        <f>IF(FN44 &lt; 0,
    IF(FO43 + FN44 &gt; 0,
        FO43 + FN44, IF(FT43-ABS(FO43 + FN44)*(1+$V44) &gt;= FO43 + FN44,
        0, FO43 + FN44)),
    MIN(FO43 + FN44, Analysis!$C$7))+IF(FO43&lt;0, FO43*Analysis!$C$9,0)</f>
        <v>-208090.27451991246</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1402140.2088509123</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54994.524951067549</v>
      </c>
      <c r="GQ44" s="1">
        <f t="shared" si="36"/>
        <v>-4206.4206265527373</v>
      </c>
      <c r="GR44" s="64">
        <f>IF($B44&lt;Analysis!$C$159,0,Analysis!$C$178)</f>
        <v>3.0000000000000001E-3</v>
      </c>
      <c r="GS44" s="1">
        <f t="shared" si="37"/>
        <v>-10516.051566381842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-3512.1078243386105</v>
      </c>
      <c r="HD44" s="1">
        <f t="shared" si="38"/>
        <v>-30494.580017273191</v>
      </c>
      <c r="HE44" s="1">
        <f>MIN(0,-(GN44+HD44)*Analysis!$C$28)-GE44*Analysis!$C$28</f>
        <v>-7237.3846205387608</v>
      </c>
      <c r="HF44" s="1">
        <f>-Analysis!$C$176*GP44/12</f>
        <v>-4582.8770792556288</v>
      </c>
      <c r="HG44" s="38"/>
      <c r="HH44" s="1">
        <f>IF($B44&lt;Analysis!$C$159,0,-$HI44*$FW44)</f>
        <v>-178772.87662849133</v>
      </c>
      <c r="HI44" s="64">
        <f>IF($B44&lt;Analysis!$C$159,0,IF($B44=Analysis!$C$159,Analysis!$C$31,HI43))</f>
        <v>0.1275</v>
      </c>
      <c r="HJ44" s="1">
        <f>IF($B44&lt;Analysis!$C$159,0,$FW44+HH44)</f>
        <v>1223367.332222421</v>
      </c>
      <c r="HK44" s="1">
        <f>IF($B44-Analysis!$C$159&gt;10,0,IF($FW44&gt;LOOKUP(Analysis!$C$159,$B:$B, FW:FW),$V44*(LOOKUP(Analysis!$C$159,$B:$B, FW:FW)-FW44),0))</f>
        <v>0</v>
      </c>
      <c r="HL44" s="1">
        <f t="shared" si="39"/>
        <v>1223367.332222421</v>
      </c>
      <c r="HM44" s="38"/>
      <c r="HN44" s="1">
        <f t="shared" si="40"/>
        <v>-139492.67523079875</v>
      </c>
      <c r="HO44" s="1">
        <f t="shared" si="8"/>
        <v>112059.85543538159</v>
      </c>
      <c r="HP44" s="1">
        <f t="shared" si="41"/>
        <v>-27432.819795417163</v>
      </c>
      <c r="HQ44" s="1">
        <f>IF(HP44 &lt; 0,
    IF(HQ43 + HP44 &gt; 0,
        HQ43 + HP44, IF(HV43-ABS(HQ43 + HP44)*(1+$V44) &gt;= HQ43 + HP44,
        0, HQ43 + HP44)),
    MIN(HQ43 + HP44, Analysis!$C$7))+IF(HQ43&lt;0, HQ43*Analysis!$C$9,0)</f>
        <v>0</v>
      </c>
      <c r="HR44" s="38"/>
      <c r="HS44" s="1">
        <f t="shared" si="54"/>
        <v>30557.837357858301</v>
      </c>
      <c r="HT44" s="1">
        <f>IF($B44=Analysis!$C$159,0,IF(HP44 &gt;= 0,
    MAX(0, HQ43 + HP44 - Analysis!$C$7),
    0))</f>
        <v>0</v>
      </c>
      <c r="HU44" s="1">
        <f>IF($B44=Analysis!$C$159,0,MAX(0, HU43 + HT44 - IF(HP44 &lt; 0, MIN(ABS(HP44), HU43 + HT44), 0)))</f>
        <v>785254.62106004287</v>
      </c>
      <c r="HV44" s="1">
        <f>IF($B44=Analysis!$C$159,0,IF(HP44 &lt; 0,
    IF(HP44 + HQ43 &lt; 0,
        MAX(0, HV43 - (ABS(HP44 + HQ43) * (1+$V43))),
        HV43 + HS44),
    HV43 + HT44 + HS44))</f>
        <v>1523781.4792343206</v>
      </c>
      <c r="HW44" s="1">
        <f t="shared" si="58"/>
        <v>1328995.0203908549</v>
      </c>
      <c r="HX44" s="36"/>
    </row>
    <row r="45" spans="1:232" x14ac:dyDescent="0.35">
      <c r="A45">
        <f t="shared" si="0"/>
        <v>78</v>
      </c>
      <c r="B45">
        <v>2068</v>
      </c>
      <c r="C45" s="1">
        <f>IF($B45&lt;Analysis!C$66,0,$AN45)+$AT45+$AW45+$BC45+$CF45+$CA45</f>
        <v>1746318.2275891919</v>
      </c>
      <c r="D45" s="1">
        <f>IF($B45&lt;Analysis!C$66, 0, BV45)+AT45+AW45+BC45+CG45+CA45</f>
        <v>1440339.1368324189</v>
      </c>
      <c r="E45" s="1">
        <f t="shared" si="1"/>
        <v>2126597.7883221651</v>
      </c>
      <c r="F45" s="1">
        <f t="shared" si="9"/>
        <v>1761528.5334004406</v>
      </c>
      <c r="G45" s="1">
        <f>IF(AND($B45&gt;=Analysis!$C$100, $B45&lt;Analysis!$C$101),$CK45,0)+IF($B45&gt;=Analysis!$C$130,EB45,0)+CQ45+CT45+CZ45+EH45+EK45+EQ45+$FO45+$FT45</f>
        <v>2135719.0076940213</v>
      </c>
      <c r="H45" s="1">
        <f t="shared" si="10"/>
        <v>1829739.9169372485</v>
      </c>
      <c r="I45" s="1">
        <f>IF($B45&lt;Analysis!$C$159,0,$FW45)+$GC45+$GF45+$GL45+$HQ45+$HV45</f>
        <v>2929651.4874835014</v>
      </c>
      <c r="J45" s="1">
        <f t="shared" si="59"/>
        <v>2552898.8711908218</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IF($B45=$B$2,((1+Analysis!$D$16)/(1+$S45))-1,IF(B45&lt;Analysis!$C$13,U44-((Analysis!$D$16-Analysis!$C$17)/(Analysis!$C$13-$B$2)),((1+Analysis!$C$17)/(1+$S44))-1))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42964.914233405136</v>
      </c>
      <c r="AI45" s="1">
        <f>IF(AE45 &gt;= 0,
    MAX(0, AF44 + AE45 - Analysis!$C$7),
    0)</f>
        <v>0</v>
      </c>
      <c r="AJ45" s="1">
        <f t="shared" si="44"/>
        <v>742448.95449572103</v>
      </c>
      <c r="AK45" s="1">
        <f t="shared" si="20"/>
        <v>2126597.7883221651</v>
      </c>
      <c r="AL45" s="1">
        <f t="shared" si="5"/>
        <v>1761528.5334004406</v>
      </c>
      <c r="AM45" s="36"/>
      <c r="AN45" s="1">
        <f t="shared" si="45"/>
        <v>2399836.0059354752</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-7199.5080178064254</v>
      </c>
      <c r="BF45" s="64">
        <f>IF($B45&lt;Analysis!$C$66,0,Analysis!$C$78)</f>
        <v>3.0000000000000001E-3</v>
      </c>
      <c r="BG45" s="1">
        <f>IF($B45&lt;Analysis!$C$66,0,-BH45*AN45)</f>
        <v>-17998.770044516063</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-305979.09075677308</v>
      </c>
      <c r="BS45" s="64">
        <f>IF($B45&lt;Analysis!C$66,0,Analysis!C$31)</f>
        <v>0.1275</v>
      </c>
      <c r="BT45" s="1">
        <f>IF($B45&lt;Analysis!$C$66,0,AN45+BR45)</f>
        <v>2093856.9151787022</v>
      </c>
      <c r="BU45" s="1">
        <f>IF($B45-Analysis!$C$66&gt;3,0,IF($AN45&gt;LOOKUP(Analysis!$C$66,$B:$B, AN:AN),$V45*(LOOKUP(Analysis!$C$66,$B:$B, AN:AN)-AN45),0))</f>
        <v>0</v>
      </c>
      <c r="BV45" s="1">
        <f t="shared" si="23"/>
        <v>2093856.9151787022</v>
      </c>
      <c r="BW45" s="42"/>
      <c r="BX45" s="1">
        <f>IF($B45&lt;Analysis!$C$66,$P45+$N45+$X45+$Z45,$P45+$N45+AS45+AV45+BB45+BE45+BG45+MAX(BI45,SUM(BJ45:BN45))+BP45)</f>
        <v>-77158.278062322483</v>
      </c>
      <c r="BY45" s="1">
        <f t="shared" si="24"/>
        <v>55924.023874627754</v>
      </c>
      <c r="BZ45" s="1">
        <f t="shared" si="46"/>
        <v>-21234.254187694729</v>
      </c>
      <c r="CA45" s="1">
        <f>IF(BZ45 &lt; 0,
    IF(CA44 + BZ45 &gt; 0,
        CA44 + BZ45, IF(CF44-ABS(CA44 + BZ45)*(1+$V45) &gt;= CA44 + BZ45,
        0, CA44 + BZ45)),
    MIN(CA44 + BZ45, Analysis!$C$7))+IF(CA44&lt;0, CA44*Analysis!$C$9,0)</f>
        <v>-653517.77834628324</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1443379.6267582923</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-89230.696855868591</v>
      </c>
      <c r="FM45" s="1">
        <f>$M45+$R45+DD45+IF(AND($B45&lt;&gt;Analysis!$C$130,$B45=Analysis!$C$101),DZ44+CQ44+CT44+CZ44,0)</f>
        <v>55924.023874627754</v>
      </c>
      <c r="FN45" s="1">
        <f t="shared" si="34"/>
        <v>-33306.672981240838</v>
      </c>
      <c r="FO45" s="1">
        <f>IF(FN45 &lt; 0,
    IF(FO44 + FN45 &gt; 0,
        FO44 + FN45, IF(FT44-ABS(FO44 + FN45)*(1+$V45) &gt;= FO44 + FN45,
        0, FO44 + FN45)),
    MIN(FO44 + FN45, Analysis!$C$7))+IF(FO44&lt;0, FO44*Analysis!$C$9,0)</f>
        <v>-258044.1694627463</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1443379.6267582923</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56495.540390804832</v>
      </c>
      <c r="GQ45" s="1">
        <f t="shared" si="36"/>
        <v>-4330.138880274877</v>
      </c>
      <c r="GR45" s="64">
        <f>IF($B45&lt;Analysis!$C$159,0,Analysis!$C$178)</f>
        <v>3.0000000000000001E-3</v>
      </c>
      <c r="GS45" s="1">
        <f t="shared" si="37"/>
        <v>-10825.347200687193</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-3615.4051132897466</v>
      </c>
      <c r="HD45" s="1">
        <f t="shared" si="38"/>
        <v>-31030.891194251817</v>
      </c>
      <c r="HE45" s="1">
        <f>MIN(0,-(GN45+HD45)*Analysis!$C$28)-GE45*Analysis!$C$28</f>
        <v>-7610.0255211428421</v>
      </c>
      <c r="HF45" s="1">
        <f>-Analysis!$C$176*GP45/12</f>
        <v>-4707.961699233736</v>
      </c>
      <c r="HG45" s="38"/>
      <c r="HH45" s="1">
        <f>IF($B45&lt;Analysis!$C$159,0,-$HI45*$FW45)</f>
        <v>-184030.90241168227</v>
      </c>
      <c r="HI45" s="64">
        <f>IF($B45&lt;Analysis!$C$159,0,IF($B45=Analysis!$C$159,Analysis!$C$31,HI44))</f>
        <v>0.1275</v>
      </c>
      <c r="HJ45" s="1">
        <f>IF($B45&lt;Analysis!$C$159,0,$FW45+HH45)</f>
        <v>1259348.72434661</v>
      </c>
      <c r="HK45" s="1">
        <f>IF($B45-Analysis!$C$159&gt;10,0,IF($FW45&gt;LOOKUP(Analysis!$C$159,$B:$B, FW:FW),$V45*(LOOKUP(Analysis!$C$159,$B:$B, FW:FW)-FW45),0))</f>
        <v>0</v>
      </c>
      <c r="HL45" s="1">
        <f t="shared" si="39"/>
        <v>1259348.72434661</v>
      </c>
      <c r="HM45" s="38"/>
      <c r="HN45" s="1">
        <f t="shared" si="40"/>
        <v>-142100.76585523403</v>
      </c>
      <c r="HO45" s="1">
        <f t="shared" si="8"/>
        <v>112419.56426543259</v>
      </c>
      <c r="HP45" s="1">
        <f t="shared" si="41"/>
        <v>-29681.201589801436</v>
      </c>
      <c r="HQ45" s="1">
        <f>IF(HP45 &lt; 0,
    IF(HQ44 + HP45 &gt; 0,
        HQ44 + HP45, IF(HV44-ABS(HQ44 + HP45)*(1+$V45) &gt;= HQ44 + HP45,
        0, HQ44 + HP45)),
    MIN(HQ44 + HP45, Analysis!$C$7))+IF(HQ44&lt;0, HQ44*Analysis!$C$9,0)</f>
        <v>0</v>
      </c>
      <c r="HR45" s="38"/>
      <c r="HS45" s="1">
        <f t="shared" si="54"/>
        <v>29878.068220280689</v>
      </c>
      <c r="HT45" s="1">
        <f>IF($B45=Analysis!$C$159,0,IF(HP45 &gt;= 0,
    MAX(0, HQ44 + HP45 - Analysis!$C$7),
    0))</f>
        <v>0</v>
      </c>
      <c r="HU45" s="1">
        <f>IF($B45=Analysis!$C$159,0,MAX(0, HU44 + HT45 - IF(HP45 &lt; 0, MIN(ABS(HP45), HU44 + HT45), 0)))</f>
        <v>755573.41947024141</v>
      </c>
      <c r="HV45" s="1">
        <f>IF($B45=Analysis!$C$159,0,IF(HP45 &lt; 0,
    IF(HP45 + HQ44 &lt; 0,
        MAX(0, HV44 - (ABS(HP45 + HQ44) * (1+$V44))),
        HV44 + HS45),
    HV44 + HT45 + HS45))</f>
        <v>1486271.8607252091</v>
      </c>
      <c r="HW45" s="1">
        <f t="shared" si="58"/>
        <v>1293550.1468442115</v>
      </c>
      <c r="HX45" s="36"/>
    </row>
    <row r="46" spans="1:232" x14ac:dyDescent="0.35">
      <c r="A46">
        <f t="shared" si="0"/>
        <v>79</v>
      </c>
      <c r="B46">
        <v>2069</v>
      </c>
      <c r="C46" s="1">
        <f>IF($B46&lt;Analysis!C$66,0,$AN46)+$AT46+$AW46+$BC46+$CF46+$CA46</f>
        <v>1741526.3567702188</v>
      </c>
      <c r="D46" s="1">
        <f>IF($B46&lt;Analysis!C$66, 0, BV46)+AT46+AW46+BC46+CG46+CA46</f>
        <v>1426547.8809911874</v>
      </c>
      <c r="E46" s="1">
        <f t="shared" si="1"/>
        <v>2058523.7541915509</v>
      </c>
      <c r="F46" s="1">
        <f t="shared" si="9"/>
        <v>1697201.6853152381</v>
      </c>
      <c r="G46" s="1">
        <f>IF(AND($B46&gt;=Analysis!$C$100, $B46&lt;Analysis!$C$101),$CK46,0)+IF($B46&gt;=Analysis!$C$130,EB46,0)+CQ46+CT46+CZ46+EH46+EK46+EQ46+$FO46+$FT46</f>
        <v>2156388.9770410443</v>
      </c>
      <c r="H46" s="1">
        <f t="shared" si="10"/>
        <v>1841410.5012620129</v>
      </c>
      <c r="I46" s="1">
        <f>IF($B46&lt;Analysis!$C$159,0,$FW46)+$GC46+$GF46+$GL46+$HQ46+$HV46</f>
        <v>2931740.5159619916</v>
      </c>
      <c r="J46" s="1">
        <f t="shared" si="59"/>
        <v>2551797.0548024811</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IF($B46=$B$2,((1+Analysis!$D$16)/(1+$S46))-1,IF(B46&lt;Analysis!$C$13,U45-((Analysis!$D$16-Analysis!$C$17)/(Analysis!$C$13-$B$2)),((1+Analysis!$C$17)/(1+$S45))-1))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41697.99584945407</v>
      </c>
      <c r="AI46" s="1">
        <f>IF(AE46 &gt;= 0,
    MAX(0, AF45 + AE46 - Analysis!$C$7),
    0)</f>
        <v>0</v>
      </c>
      <c r="AJ46" s="1">
        <f t="shared" si="44"/>
        <v>688582.26082164457</v>
      </c>
      <c r="AK46" s="1">
        <f t="shared" si="20"/>
        <v>2058523.7541915509</v>
      </c>
      <c r="AL46" s="1">
        <f t="shared" si="5"/>
        <v>1697201.6853152381</v>
      </c>
      <c r="AM46" s="36"/>
      <c r="AN46" s="1">
        <f t="shared" si="45"/>
        <v>2470419.4178747544</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-7411.2582536242635</v>
      </c>
      <c r="BF46" s="64">
        <f>IF($B46&lt;Analysis!$C$66,0,Analysis!$C$78)</f>
        <v>3.0000000000000001E-3</v>
      </c>
      <c r="BG46" s="1">
        <f>IF($B46&lt;Analysis!$C$66,0,-BH46*AN46)</f>
        <v>-18528.145634060656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-314978.47577903117</v>
      </c>
      <c r="BS46" s="64">
        <f>IF($B46&lt;Analysis!C$66,0,Analysis!C$31)</f>
        <v>0.1275</v>
      </c>
      <c r="BT46" s="1">
        <f>IF($B46&lt;Analysis!$C$66,0,AN46+BR46)</f>
        <v>2155440.942095723</v>
      </c>
      <c r="BU46" s="1">
        <f>IF($B46-Analysis!$C$66&gt;3,0,IF($AN46&gt;LOOKUP(Analysis!$C$66,$B:$B, AN:AN),$V46*(LOOKUP(Analysis!$C$66,$B:$B, AN:AN)-AN46),0))</f>
        <v>0</v>
      </c>
      <c r="BV46" s="1">
        <f t="shared" si="23"/>
        <v>2155440.942095723</v>
      </c>
      <c r="BW46" s="42"/>
      <c r="BX46" s="1">
        <f>IF($B46&lt;Analysis!$C$66,$P46+$N46+$X46+$Z46,$P46+$N46+AS46+AV46+BB46+BE46+BG46+MAX(BI46,SUM(BJ46:BN46))+BP46)</f>
        <v>-77899.403887684923</v>
      </c>
      <c r="BY46" s="1">
        <f t="shared" si="24"/>
        <v>54805.543397135196</v>
      </c>
      <c r="BZ46" s="1">
        <f t="shared" si="46"/>
        <v>-23093.860490549727</v>
      </c>
      <c r="CA46" s="1">
        <f>IF(BZ46 &lt; 0,
    IF(CA45 + BZ46 &gt; 0,
        CA45 + BZ46, IF(CF45-ABS(CA45 + BZ46)*(1+$V46) &gt;= CA45 + BZ46,
        0, CA45 + BZ46)),
    MIN(CA45 + BZ46, Analysis!$C$7))+IF(CA45&lt;0, CA45*Analysis!$C$9,0)</f>
        <v>-728893.06110453559</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1485831.9687217716</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-90148.281211079229</v>
      </c>
      <c r="FM46" s="1">
        <f>$M46+$R46+DD46+IF(AND($B46&lt;&gt;Analysis!$C$130,$B46=Analysis!$C$101),DZ45+CQ45+CT45+CZ45,0)</f>
        <v>54805.543397135196</v>
      </c>
      <c r="FN46" s="1">
        <f t="shared" si="34"/>
        <v>-35342.737813944033</v>
      </c>
      <c r="FO46" s="1">
        <f>IF(FN46 &lt; 0,
    IF(FO45 + FN46 &gt; 0,
        FO45 + FN46, IF(FT45-ABS(FO45 + FN46)*(1+$V46) &gt;= FO45 + FN46,
        0, FO45 + FN46)),
    MIN(FO45 + FN46, Analysis!$C$7))+IF(FO45&lt;0, FO45*Analysis!$C$9,0)</f>
        <v>-314030.44083371008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1485831.9687217716</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58040.703343475565</v>
      </c>
      <c r="GQ46" s="1">
        <f t="shared" si="36"/>
        <v>-4457.4959061653153</v>
      </c>
      <c r="GR46" s="64">
        <f>IF($B46&lt;Analysis!$C$159,0,Analysis!$C$178)</f>
        <v>3.0000000000000001E-3</v>
      </c>
      <c r="GS46" s="1">
        <f t="shared" si="37"/>
        <v>-11143.739765413287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-3721.7405577982686</v>
      </c>
      <c r="HD46" s="1">
        <f t="shared" si="38"/>
        <v>-31582.976229376869</v>
      </c>
      <c r="HE46" s="1">
        <f>MIN(0,-(GN46+HD46)*Analysis!$C$28)-GE46*Analysis!$C$28</f>
        <v>-7993.6264482352808</v>
      </c>
      <c r="HF46" s="1">
        <f>-Analysis!$C$176*GP46/12</f>
        <v>-4836.7252786229637</v>
      </c>
      <c r="HG46" s="38"/>
      <c r="HH46" s="1">
        <f>IF($B46&lt;Analysis!$C$159,0,-$HI46*$FW46)</f>
        <v>-189443.57601202588</v>
      </c>
      <c r="HI46" s="64">
        <f>IF($B46&lt;Analysis!$C$159,0,IF($B46=Analysis!$C$159,Analysis!$C$31,HI45))</f>
        <v>0.1275</v>
      </c>
      <c r="HJ46" s="1">
        <f>IF($B46&lt;Analysis!$C$159,0,$FW46+HH46)</f>
        <v>1296388.3927097458</v>
      </c>
      <c r="HK46" s="1">
        <f>IF($B46-Analysis!$C$159&gt;10,0,IF($FW46&gt;LOOKUP(Analysis!$C$159,$B:$B, FW:FW),$V46*(LOOKUP(Analysis!$C$159,$B:$B, FW:FW)-FW46),0))</f>
        <v>0</v>
      </c>
      <c r="HL46" s="1">
        <f t="shared" si="39"/>
        <v>1296388.3927097458</v>
      </c>
      <c r="HM46" s="38"/>
      <c r="HN46" s="1">
        <f t="shared" si="40"/>
        <v>-144785.56502744684</v>
      </c>
      <c r="HO46" s="1">
        <f t="shared" si="8"/>
        <v>112846.24674061076</v>
      </c>
      <c r="HP46" s="1">
        <f t="shared" si="41"/>
        <v>-31939.318286836075</v>
      </c>
      <c r="HQ46" s="1">
        <f>IF(HP46 &lt; 0,
    IF(HQ45 + HP46 &gt; 0,
        HQ45 + HP46, IF(HV45-ABS(HQ45 + HP46)*(1+$V46) &gt;= HQ45 + HP46,
        0, HQ45 + HP46)),
    MIN(HQ45 + HP46, Analysis!$C$7))+IF(HQ45&lt;0, HQ45*Analysis!$C$9,0)</f>
        <v>0</v>
      </c>
      <c r="HR46" s="38"/>
      <c r="HS46" s="1">
        <f t="shared" si="54"/>
        <v>29142.585504415762</v>
      </c>
      <c r="HT46" s="1">
        <f>IF($B46=Analysis!$C$159,0,IF(HP46 &gt;= 0,
    MAX(0, HQ45 + HP46 - Analysis!$C$7),
    0))</f>
        <v>0</v>
      </c>
      <c r="HU46" s="1">
        <f>IF($B46=Analysis!$C$159,0,MAX(0, HU45 + HT46 - IF(HP46 &lt; 0, MIN(ABS(HP46), HU45 + HT46), 0)))</f>
        <v>723634.10118340538</v>
      </c>
      <c r="HV46" s="1">
        <f>IF($B46=Analysis!$C$159,0,IF(HP46 &lt; 0,
    IF(HP46 + HQ45 &lt; 0,
        MAX(0, HV45 - (ABS(HP46 + HQ45) * (1+$V45))),
        HV45 + HS46),
    HV45 + HT46 + HS46))</f>
        <v>1445908.54724022</v>
      </c>
      <c r="HW46" s="1">
        <f t="shared" si="58"/>
        <v>1255408.6620927351</v>
      </c>
      <c r="HX46" s="36"/>
    </row>
    <row r="47" spans="1:232" x14ac:dyDescent="0.35">
      <c r="A47">
        <f t="shared" si="0"/>
        <v>80</v>
      </c>
      <c r="B47">
        <v>2070</v>
      </c>
      <c r="C47" s="1">
        <f>IF($B47&lt;Analysis!C$66,0,$AN47)+$AT47+$AW47+$BC47+$CF47+$CA47</f>
        <v>1730921.4115229836</v>
      </c>
      <c r="D47" s="1">
        <f>IF($B47&lt;Analysis!C$66, 0, BV47)+AT47+AW47+BC47+CG47+CA47</f>
        <v>1406678.8629269218</v>
      </c>
      <c r="E47" s="1">
        <f t="shared" si="1"/>
        <v>1986956.5661398463</v>
      </c>
      <c r="F47" s="1">
        <f t="shared" si="9"/>
        <v>1629573.9665751681</v>
      </c>
      <c r="G47" s="1">
        <f>IF(AND($B47&gt;=Analysis!$C$100, $B47&lt;Analysis!$C$101),$CK47,0)+IF($B47&gt;=Analysis!$C$130,EB47,0)+CQ47+CT47+CZ47+EH47+EK47+EQ47+$FO47+$FT47</f>
        <v>2172615.3443841799</v>
      </c>
      <c r="H47" s="1">
        <f t="shared" si="10"/>
        <v>1848372.7957881182</v>
      </c>
      <c r="I47" s="1">
        <f>IF($B47&lt;Analysis!$C$159,0,$FW47)+$GC47+$GF47+$GL47+$HQ47+$HV47</f>
        <v>2932210.3580789976</v>
      </c>
      <c r="J47" s="1">
        <f t="shared" si="59"/>
        <v>2549074.715118221</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IF($B47=$B$2,((1+Analysis!$D$16)/(1+$S47))-1,IF(B47&lt;Analysis!$C$13,U46-((Analysis!$D$16-Analysis!$C$17)/(Analysis!$C$13-$B$2)),((1+Analysis!$C$17)/(1+$S46))-1))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40363.210866500856</v>
      </c>
      <c r="AI47" s="1">
        <f>IF(AE47 &gt;= 0,
    MAX(0, AF46 + AE47 - Analysis!$C$7),
    0)</f>
        <v>0</v>
      </c>
      <c r="AJ47" s="1">
        <f t="shared" si="44"/>
        <v>631951.44930694264</v>
      </c>
      <c r="AK47" s="1">
        <f t="shared" si="20"/>
        <v>1986956.5661398463</v>
      </c>
      <c r="AL47" s="1">
        <f t="shared" si="5"/>
        <v>1629573.9665751681</v>
      </c>
      <c r="AM47" s="36"/>
      <c r="AN47" s="1">
        <f t="shared" si="45"/>
        <v>2543078.8125181301</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-7629.2364375543902</v>
      </c>
      <c r="BF47" s="64">
        <f>IF($B47&lt;Analysis!$C$66,0,Analysis!$C$78)</f>
        <v>3.0000000000000001E-3</v>
      </c>
      <c r="BG47" s="1">
        <f>IF($B47&lt;Analysis!$C$66,0,-BH47*AN47)</f>
        <v>-19073.091093885974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-324242.54859606159</v>
      </c>
      <c r="BS47" s="64">
        <f>IF($B47&lt;Analysis!C$66,0,Analysis!C$31)</f>
        <v>0.1275</v>
      </c>
      <c r="BT47" s="1">
        <f>IF($B47&lt;Analysis!$C$66,0,AN47+BR47)</f>
        <v>2218836.2639220683</v>
      </c>
      <c r="BU47" s="1">
        <f>IF($B47-Analysis!$C$66&gt;3,0,IF($AN47&gt;LOOKUP(Analysis!$C$66,$B:$B, AN:AN),$V47*(LOOKUP(Analysis!$C$66,$B:$B, AN:AN)-AN47),0))</f>
        <v>0</v>
      </c>
      <c r="BV47" s="1">
        <f t="shared" si="23"/>
        <v>2218836.2639220683</v>
      </c>
      <c r="BW47" s="42"/>
      <c r="BX47" s="1">
        <f>IF($B47&lt;Analysis!$C$66,$P47+$N47+$X47+$Z47,$P47+$N47+AS47+AV47+BB47+BE47+BG47+MAX(BI47,SUM(BJ47:BN47))+BP47)</f>
        <v>-78662.327531440358</v>
      </c>
      <c r="BY47" s="1">
        <f t="shared" si="24"/>
        <v>53709.432529192491</v>
      </c>
      <c r="BZ47" s="1">
        <f t="shared" si="46"/>
        <v>-24952.895002247868</v>
      </c>
      <c r="CA47" s="1">
        <f>IF(BZ47 &lt; 0,
    IF(CA46 + BZ47 &gt; 0,
        CA46 + BZ47, IF(CF46-ABS(CA46 + BZ47)*(1+$V47) &gt;= CA46 + BZ47,
        0, CA46 + BZ47)),
    MIN(CA46 + BZ47, Analysis!$C$7))+IF(CA46&lt;0, CA46*Analysis!$C$9,0)</f>
        <v>-812157.40099514637</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1529532.9089782946</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-370463.46813395008</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1529532.9089782946</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59631.312265342502</v>
      </c>
      <c r="GQ47" s="1">
        <f t="shared" si="36"/>
        <v>-4588.5987269348834</v>
      </c>
      <c r="GR47" s="64">
        <f>IF($B47&lt;Analysis!$C$159,0,Analysis!$C$178)</f>
        <v>3.0000000000000001E-3</v>
      </c>
      <c r="GS47" s="1">
        <f t="shared" si="37"/>
        <v>-11471.496817337209</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-3831.2035153805709</v>
      </c>
      <c r="HD47" s="1">
        <f t="shared" si="38"/>
        <v>-32151.299059652662</v>
      </c>
      <c r="HE47" s="1">
        <f>MIN(0,-(GN47+HD47)*Analysis!$C$28)-GE47*Analysis!$C$28</f>
        <v>-8388.5097555363191</v>
      </c>
      <c r="HF47" s="1">
        <f>-Analysis!$C$176*GP47/12</f>
        <v>-4969.2760221118751</v>
      </c>
      <c r="HG47" s="38"/>
      <c r="HH47" s="1">
        <f>IF($B47&lt;Analysis!$C$159,0,-$HI47*$FW47)</f>
        <v>-195015.44589473258</v>
      </c>
      <c r="HI47" s="64">
        <f>IF($B47&lt;Analysis!$C$159,0,IF($B47=Analysis!$C$159,Analysis!$C$31,HI46))</f>
        <v>0.1275</v>
      </c>
      <c r="HJ47" s="1">
        <f>IF($B47&lt;Analysis!$C$159,0,$FW47+HH47)</f>
        <v>1334517.463083562</v>
      </c>
      <c r="HK47" s="1">
        <f>IF($B47-Analysis!$C$159&gt;10,0,IF($FW47&gt;LOOKUP(Analysis!$C$159,$B:$B, FW:FW),$V47*(LOOKUP(Analysis!$C$159,$B:$B, FW:FW)-FW47),0))</f>
        <v>0</v>
      </c>
      <c r="HL47" s="1">
        <f t="shared" si="39"/>
        <v>1334517.463083562</v>
      </c>
      <c r="HM47" s="38"/>
      <c r="HN47" s="1">
        <f t="shared" si="40"/>
        <v>-147549.32888119528</v>
      </c>
      <c r="HO47" s="1">
        <f t="shared" si="8"/>
        <v>113340.74479453498</v>
      </c>
      <c r="HP47" s="1">
        <f t="shared" si="41"/>
        <v>-34208.584086660296</v>
      </c>
      <c r="HQ47" s="1">
        <f>IF(HP47 &lt; 0,
    IF(HQ46 + HP47 &gt; 0,
        HQ46 + HP47, IF(HV46-ABS(HQ46 + HP47)*(1+$V47) &gt;= HQ46 + HP47,
        0, HQ46 + HP47)),
    MIN(HQ46 + HP47, Analysis!$C$7))+IF(HQ46&lt;0, HQ46*Analysis!$C$9,0)</f>
        <v>0</v>
      </c>
      <c r="HR47" s="38"/>
      <c r="HS47" s="1">
        <f t="shared" si="54"/>
        <v>28351.147985102252</v>
      </c>
      <c r="HT47" s="1">
        <f>IF($B47=Analysis!$C$159,0,IF(HP47 &gt;= 0,
    MAX(0, HQ46 + HP47 - Analysis!$C$7),
    0))</f>
        <v>0</v>
      </c>
      <c r="HU47" s="1">
        <f>IF($B47=Analysis!$C$159,0,MAX(0, HU46 + HT47 - IF(HP47 &lt; 0, MIN(ABS(HP47), HU46 + HT47), 0)))</f>
        <v>689425.51709674508</v>
      </c>
      <c r="HV47" s="1">
        <f>IF($B47=Analysis!$C$159,0,IF(HP47 &lt; 0,
    IF(HP47 + HQ46 &lt; 0,
        MAX(0, HV46 - (ABS(HP47 + HQ46) * (1+$V46))),
        HV46 + HS47),
    HV46 + HT47 + HS47))</f>
        <v>1402677.449100703</v>
      </c>
      <c r="HW47" s="1">
        <f t="shared" si="58"/>
        <v>1214557.252034659</v>
      </c>
      <c r="HX47" s="36"/>
    </row>
    <row r="48" spans="1:232" x14ac:dyDescent="0.35">
      <c r="A48">
        <f t="shared" si="0"/>
        <v>81</v>
      </c>
      <c r="B48">
        <v>2071</v>
      </c>
      <c r="C48" s="1">
        <f>IF($B48&lt;Analysis!C$66,0,$AN48)+$AT48+$AW48+$BC48+$CF48+$CA48</f>
        <v>1713932.8088783845</v>
      </c>
      <c r="D48" s="1">
        <f>IF($B48&lt;Analysis!C$66, 0, BV48)+AT48+AW48+BC48+CG48+CA48</f>
        <v>1380153.7147353799</v>
      </c>
      <c r="E48" s="1">
        <f t="shared" si="1"/>
        <v>1911861.930021835</v>
      </c>
      <c r="F48" s="1">
        <f t="shared" si="9"/>
        <v>1558612.9707818476</v>
      </c>
      <c r="G48" s="1">
        <f>IF(AND($B48&gt;=Analysis!$C$100, $B48&lt;Analysis!$C$101),$CK48,0)+IF($B48&gt;=Analysis!$C$130,EB48,0)+CQ48+CT48+CZ48+EH48+EK48+EQ48+$FO48+$FT48</f>
        <v>2184417.5682480256</v>
      </c>
      <c r="H48" s="1">
        <f t="shared" si="10"/>
        <v>1850638.474105021</v>
      </c>
      <c r="I48" s="1">
        <f>IF($B48&lt;Analysis!$C$159,0,$FW48)+$GC48+$GF48+$GL48+$HQ48+$HV48</f>
        <v>2931081.8363822326</v>
      </c>
      <c r="J48" s="1">
        <f t="shared" si="59"/>
        <v>2544748.8677208051</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IF($B48=$B$2,((1+Analysis!$D$16)/(1+$S48))-1,IF(B48&lt;Analysis!$C$13,U47-((Analysis!$D$16-Analysis!$C$17)/(Analysis!$C$13-$B$2)),((1+Analysis!$C$17)/(1+$S47))-1))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38959.932669408612</v>
      </c>
      <c r="AI48" s="1">
        <f>IF(AE48 &gt;= 0,
    MAX(0, AF47 + AE48 - Analysis!$C$7),
    0)</f>
        <v>0</v>
      </c>
      <c r="AJ48" s="1">
        <f t="shared" si="44"/>
        <v>572529.38314036583</v>
      </c>
      <c r="AK48" s="1">
        <f t="shared" si="20"/>
        <v>1911861.930021835</v>
      </c>
      <c r="AL48" s="1">
        <f t="shared" si="5"/>
        <v>1558612.9707818476</v>
      </c>
      <c r="AM48" s="36"/>
      <c r="AN48" s="1">
        <f t="shared" si="45"/>
        <v>2617875.2481804285</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-7853.6257445412857</v>
      </c>
      <c r="BF48" s="64">
        <f>IF($B48&lt;Analysis!$C$66,0,Analysis!$C$78)</f>
        <v>3.0000000000000001E-3</v>
      </c>
      <c r="BG48" s="1">
        <f>IF($B48&lt;Analysis!$C$66,0,-BH48*AN48)</f>
        <v>-19634.064361353212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-333779.09414300462</v>
      </c>
      <c r="BS48" s="64">
        <f>IF($B48&lt;Analysis!C$66,0,Analysis!C$31)</f>
        <v>0.1275</v>
      </c>
      <c r="BT48" s="1">
        <f>IF($B48&lt;Analysis!$C$66,0,AN48+BR48)</f>
        <v>2284096.1540374239</v>
      </c>
      <c r="BU48" s="1">
        <f>IF($B48-Analysis!$C$66&gt;3,0,IF($AN48&gt;LOOKUP(Analysis!$C$66,$B:$B, AN:AN),$V48*(LOOKUP(Analysis!$C$66,$B:$B, AN:AN)-AN48),0))</f>
        <v>0</v>
      </c>
      <c r="BV48" s="1">
        <f t="shared" si="23"/>
        <v>2284096.1540374239</v>
      </c>
      <c r="BW48" s="42"/>
      <c r="BX48" s="1">
        <f>IF($B48&lt;Analysis!$C$66,$P48+$N48+$X48+$Z48,$P48+$N48+AS48+AV48+BB48+BE48+BG48+MAX(BI48,SUM(BJ48:BN48))+BP48)</f>
        <v>-79447.690105894493</v>
      </c>
      <c r="BY48" s="1">
        <f t="shared" si="24"/>
        <v>52635.243878608642</v>
      </c>
      <c r="BZ48" s="1">
        <f t="shared" si="46"/>
        <v>-26812.446227285851</v>
      </c>
      <c r="CA48" s="1">
        <f>IF(BZ48 &lt; 0,
    IF(CA47 + BZ48 &gt; 0,
        CA47 + BZ48, IF(CF47-ABS(CA47 + BZ48)*(1+$V48) &gt;= CA47 + BZ48,
        0, CA47 + BZ48)),
    MIN(CA47 + BZ48, Analysis!$C$7))+IF(CA47&lt;0, CA47*Analysis!$C$9,0)</f>
        <v>-903942.43930204399</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1574519.1710070681</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-433457.67993240303</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1574519.1710070681</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61268.703802558462</v>
      </c>
      <c r="GQ48" s="1">
        <f t="shared" si="36"/>
        <v>-4723.5575130212046</v>
      </c>
      <c r="GR48" s="64">
        <f>IF($B48&lt;Analysis!$C$159,0,Analysis!$C$178)</f>
        <v>3.0000000000000001E-3</v>
      </c>
      <c r="GS48" s="1">
        <f t="shared" si="37"/>
        <v>-11808.89378255301</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-3943.8859717152945</v>
      </c>
      <c r="HD48" s="1">
        <f t="shared" si="38"/>
        <v>-32736.337267289509</v>
      </c>
      <c r="HE48" s="1">
        <f>MIN(0,-(GN48+HD48)*Analysis!$C$28)-GE48*Analysis!$C$28</f>
        <v>-8795.0072777579771</v>
      </c>
      <c r="HF48" s="1">
        <f>-Analysis!$C$176*GP48/12</f>
        <v>-5105.7253168798716</v>
      </c>
      <c r="HG48" s="38"/>
      <c r="HH48" s="1">
        <f>IF($B48&lt;Analysis!$C$159,0,-$HI48*$FW48)</f>
        <v>-200751.19430340119</v>
      </c>
      <c r="HI48" s="64">
        <f>IF($B48&lt;Analysis!$C$159,0,IF($B48=Analysis!$C$159,Analysis!$C$31,HI47))</f>
        <v>0.1275</v>
      </c>
      <c r="HJ48" s="1">
        <f>IF($B48&lt;Analysis!$C$159,0,$FW48+HH48)</f>
        <v>1373767.9767036668</v>
      </c>
      <c r="HK48" s="1">
        <f>IF($B48-Analysis!$C$159&gt;10,0,IF($FW48&gt;LOOKUP(Analysis!$C$159,$B:$B, FW:FW),$V48*(LOOKUP(Analysis!$C$159,$B:$B, FW:FW)-FW48),0))</f>
        <v>0</v>
      </c>
      <c r="HL48" s="1">
        <f t="shared" si="39"/>
        <v>1373767.9767036668</v>
      </c>
      <c r="HM48" s="38"/>
      <c r="HN48" s="1">
        <f t="shared" si="40"/>
        <v>-150394.37990711277</v>
      </c>
      <c r="HO48" s="1">
        <f t="shared" si="8"/>
        <v>113903.9476811671</v>
      </c>
      <c r="HP48" s="1">
        <f t="shared" si="41"/>
        <v>-36490.432225945668</v>
      </c>
      <c r="HQ48" s="1">
        <f>IF(HP48 &lt; 0,
    IF(HQ47 + HP48 &gt; 0,
        HQ47 + HP48, IF(HV47-ABS(HQ47 + HP48)*(1+$V48) &gt;= HQ47 + HP48,
        0, HQ47 + HP48)),
    MIN(HQ47 + HP48, Analysis!$C$7))+IF(HQ47&lt;0, HQ47*Analysis!$C$9,0)</f>
        <v>0</v>
      </c>
      <c r="HR48" s="38"/>
      <c r="HS48" s="1">
        <f t="shared" si="54"/>
        <v>27503.479394131333</v>
      </c>
      <c r="HT48" s="1">
        <f>IF($B48=Analysis!$C$159,0,IF(HP48 &gt;= 0,
    MAX(0, HQ47 + HP48 - Analysis!$C$7),
    0))</f>
        <v>0</v>
      </c>
      <c r="HU48" s="1">
        <f>IF($B48=Analysis!$C$159,0,MAX(0, HU47 + HT48 - IF(HP48 &lt; 0, MIN(ABS(HP48), HU47 + HT48), 0)))</f>
        <v>652935.08487079944</v>
      </c>
      <c r="HV48" s="1">
        <f>IF($B48=Analysis!$C$159,0,IF(HP48 &lt; 0,
    IF(HP48 + HQ47 &lt; 0,
        MAX(0, HV47 - (ABS(HP48 + HQ47) * (1+$V47))),
        HV47 + HS48),
    HV47 + HT48 + HS48))</f>
        <v>1356562.6653751642</v>
      </c>
      <c r="HW48" s="1">
        <f t="shared" si="58"/>
        <v>1170980.891017138</v>
      </c>
      <c r="HX48" s="36"/>
    </row>
    <row r="49" spans="1:232" x14ac:dyDescent="0.35">
      <c r="A49">
        <f t="shared" si="0"/>
        <v>82</v>
      </c>
      <c r="B49">
        <v>2072</v>
      </c>
      <c r="C49" s="1">
        <f>IF($B49&lt;Analysis!C$66,0,$AN49)+$AT49+$AW49+$BC49+$CF49+$CA49</f>
        <v>1689940.131984497</v>
      </c>
      <c r="D49" s="1">
        <f>IF($B49&lt;Analysis!C$66, 0, BV49)+AT49+AW49+BC49+CG49+CA49</f>
        <v>1346344.0056608156</v>
      </c>
      <c r="E49" s="1">
        <f t="shared" si="1"/>
        <v>1833203.1741274504</v>
      </c>
      <c r="F49" s="1">
        <f t="shared" si="9"/>
        <v>1484284.0448468768</v>
      </c>
      <c r="G49" s="1">
        <f>IF(AND($B49&gt;=Analysis!$C$100, $B49&lt;Analysis!$C$101),$CK49,0)+IF($B49&gt;=Analysis!$C$130,EB49,0)+CQ49+CT49+CZ49+EH49+EK49+EQ49+$FO49+$FT49</f>
        <v>2191326.4931561858</v>
      </c>
      <c r="H49" s="1">
        <f t="shared" si="10"/>
        <v>1847730.3668325045</v>
      </c>
      <c r="I49" s="1">
        <f>IF($B49&lt;Analysis!$C$159,0,$FW49)+$GC49+$GF49+$GL49+$HQ49+$HV49</f>
        <v>2928375.0169337634</v>
      </c>
      <c r="J49" s="1">
        <f t="shared" si="59"/>
        <v>2538835.735090659</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IF($B49=$B$2,((1+Analysis!$D$16)/(1+$S49))-1,IF(B49&lt;Analysis!$C$13,U48-((Analysis!$D$16-Analysis!$C$17)/(Analysis!$C$13-$B$2)),((1+Analysis!$C$17)/(1+$S48))-1))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37487.488823957414</v>
      </c>
      <c r="AI49" s="1">
        <f>IF(AE49 &gt;= 0,
    MAX(0, AF48 + AE49 - Analysis!$C$7),
    0)</f>
        <v>0</v>
      </c>
      <c r="AJ49" s="1">
        <f t="shared" si="44"/>
        <v>510287.04415371141</v>
      </c>
      <c r="AK49" s="1">
        <f t="shared" si="20"/>
        <v>1833203.1741274504</v>
      </c>
      <c r="AL49" s="1">
        <f t="shared" si="5"/>
        <v>1484284.0448468768</v>
      </c>
      <c r="AM49" s="36"/>
      <c r="AN49" s="1">
        <f t="shared" si="45"/>
        <v>2694871.5790092652</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-8084.6147370277959</v>
      </c>
      <c r="BF49" s="64">
        <f>IF($B49&lt;Analysis!$C$66,0,Analysis!$C$78)</f>
        <v>3.0000000000000001E-3</v>
      </c>
      <c r="BG49" s="1">
        <f>IF($B49&lt;Analysis!$C$66,0,-BH49*AN49)</f>
        <v>-20211.536842569487</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-343596.12632368132</v>
      </c>
      <c r="BS49" s="64">
        <f>IF($B49&lt;Analysis!C$66,0,Analysis!C$31)</f>
        <v>0.1275</v>
      </c>
      <c r="BT49" s="1">
        <f>IF($B49&lt;Analysis!$C$66,0,AN49+BR49)</f>
        <v>2351275.4526855838</v>
      </c>
      <c r="BU49" s="1">
        <f>IF($B49-Analysis!$C$66&gt;3,0,IF($AN49&gt;LOOKUP(Analysis!$C$66,$B:$B, AN:AN),$V49*(LOOKUP(Analysis!$C$66,$B:$B, AN:AN)-AN49),0))</f>
        <v>0</v>
      </c>
      <c r="BV49" s="1">
        <f t="shared" si="23"/>
        <v>2351275.4526855838</v>
      </c>
      <c r="BW49" s="42"/>
      <c r="BX49" s="1">
        <f>IF($B49&lt;Analysis!$C$66,$P49+$N49+$X49+$Z49,$P49+$N49+AS49+AV49+BB49+BE49+BG49+MAX(BI49,SUM(BJ49:BN49))+BP49)</f>
        <v>-80256.151579597281</v>
      </c>
      <c r="BY49" s="1">
        <f t="shared" si="24"/>
        <v>51582.539001036472</v>
      </c>
      <c r="BZ49" s="1">
        <f t="shared" si="46"/>
        <v>-28673.612578560809</v>
      </c>
      <c r="CA49" s="1">
        <f>IF(BZ49 &lt; 0,
    IF(CA48 + BZ49 &gt; 0,
        CA48 + BZ49, IF(CF48-ABS(CA48 + BZ49)*(1+$V49) &gt;= CA48 + BZ49,
        0, CA48 + BZ49)),
    MIN(CA48 + BZ49, Analysis!$C$7))+IF(CA48&lt;0, CA48*Analysis!$C$9,0)</f>
        <v>-1004931.4470247683</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1620828.5583896292</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-503545.08585307922</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1620828.5583896292</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62954.253914398425</v>
      </c>
      <c r="GQ49" s="1">
        <f t="shared" si="36"/>
        <v>-4862.4856751688876</v>
      </c>
      <c r="GR49" s="64">
        <f>IF($B49&lt;Analysis!$C$159,0,Analysis!$C$178)</f>
        <v>3.0000000000000001E-3</v>
      </c>
      <c r="GS49" s="1">
        <f t="shared" si="37"/>
        <v>-12156.214187922218</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-4059.8826179422153</v>
      </c>
      <c r="HD49" s="1">
        <f t="shared" si="38"/>
        <v>-33338.582481033322</v>
      </c>
      <c r="HE49" s="1">
        <f>MIN(0,-(GN49+HD49)*Analysis!$C$28)-GE49*Analysis!$C$28</f>
        <v>-9213.4606094567425</v>
      </c>
      <c r="HF49" s="1">
        <f>-Analysis!$C$176*GP49/12</f>
        <v>-5246.1878261998691</v>
      </c>
      <c r="HG49" s="38"/>
      <c r="HH49" s="1">
        <f>IF($B49&lt;Analysis!$C$159,0,-$HI49*$FW49)</f>
        <v>-206655.64119467774</v>
      </c>
      <c r="HI49" s="64">
        <f>IF($B49&lt;Analysis!$C$159,0,IF($B49=Analysis!$C$159,Analysis!$C$31,HI48))</f>
        <v>0.1275</v>
      </c>
      <c r="HJ49" s="1">
        <f>IF($B49&lt;Analysis!$C$159,0,$FW49+HH49)</f>
        <v>1414172.9171949516</v>
      </c>
      <c r="HK49" s="1">
        <f>IF($B49-Analysis!$C$159&gt;10,0,IF($FW49&gt;LOOKUP(Analysis!$C$159,$B:$B, FW:FW),$V49*(LOOKUP(Analysis!$C$159,$B:$B, FW:FW)-FW49),0))</f>
        <v>0</v>
      </c>
      <c r="HL49" s="1">
        <f t="shared" si="39"/>
        <v>1414172.9171949516</v>
      </c>
      <c r="HM49" s="38"/>
      <c r="HN49" s="1">
        <f t="shared" si="40"/>
        <v>-153323.10890438082</v>
      </c>
      <c r="HO49" s="1">
        <f t="shared" si="8"/>
        <v>114536.7929154349</v>
      </c>
      <c r="HP49" s="1">
        <f t="shared" si="41"/>
        <v>-38786.31598894592</v>
      </c>
      <c r="HQ49" s="1">
        <f>IF(HP49 &lt; 0,
    IF(HQ48 + HP49 &gt; 0,
        HQ48 + HP49, IF(HV48-ABS(HQ48 + HP49)*(1+$V49) &gt;= HQ48 + HP49,
        0, HQ48 + HP49)),
    MIN(HQ48 + HP49, Analysis!$C$7))+IF(HQ48&lt;0, HQ48*Analysis!$C$9,0)</f>
        <v>0</v>
      </c>
      <c r="HR49" s="38"/>
      <c r="HS49" s="1">
        <f t="shared" si="54"/>
        <v>26599.267948532539</v>
      </c>
      <c r="HT49" s="1">
        <f>IF($B49=Analysis!$C$159,0,IF(HP49 &gt;= 0,
    MAX(0, HQ48 + HP49 - Analysis!$C$7),
    0))</f>
        <v>0</v>
      </c>
      <c r="HU49" s="1">
        <f>IF($B49=Analysis!$C$159,0,MAX(0, HU48 + HT49 - IF(HP49 &lt; 0, MIN(ABS(HP49), HU48 + HT49), 0)))</f>
        <v>614148.76888185355</v>
      </c>
      <c r="HV49" s="1">
        <f>IF($B49=Analysis!$C$159,0,IF(HP49 &lt; 0,
    IF(HP49 + HQ48 &lt; 0,
        MAX(0, HV48 - (ABS(HP49 + HQ48) * (1+$V48))),
        HV48 + HS49),
    HV48 + HT49 + HS49))</f>
        <v>1307546.4585441339</v>
      </c>
      <c r="HW49" s="1">
        <f t="shared" si="58"/>
        <v>1124662.8178957074</v>
      </c>
      <c r="HX49" s="36"/>
    </row>
    <row r="50" spans="1:232" x14ac:dyDescent="0.35">
      <c r="A50">
        <f t="shared" si="0"/>
        <v>83</v>
      </c>
      <c r="B50">
        <v>2073</v>
      </c>
      <c r="C50" s="1">
        <f>IF($B50&lt;Analysis!C$66,0,$AN50)+$AT50+$AW50+$BC50+$CF50+$CA50</f>
        <v>1658269.0419059834</v>
      </c>
      <c r="D50" s="1">
        <f>IF($B50&lt;Analysis!C$66, 0, BV50)+AT50+AW50+BC50+CG50+CA50</f>
        <v>1304567.1471610172</v>
      </c>
      <c r="E50" s="1">
        <f t="shared" si="1"/>
        <v>1750941.2066316693</v>
      </c>
      <c r="F50" s="1">
        <f t="shared" si="9"/>
        <v>1406550.2487839339</v>
      </c>
      <c r="G50" s="1">
        <f>IF(AND($B50&gt;=Analysis!$C$100, $B50&lt;Analysis!$C$101),$CK50,0)+IF($B50&gt;=Analysis!$C$130,EB50,0)+CQ50+CT50+CZ50+EH50+EK50+EQ50+$FO50+$FT50</f>
        <v>2192830.9807018982</v>
      </c>
      <c r="H50" s="1">
        <f t="shared" si="10"/>
        <v>1839129.085956932</v>
      </c>
      <c r="I50" s="1">
        <f>IF($B50&lt;Analysis!$C$159,0,$FW50)+$GC50+$GF50+$GL50+$HQ50+$HV50</f>
        <v>2924109.2144387038</v>
      </c>
      <c r="J50" s="1">
        <f t="shared" si="59"/>
        <v>2531350.7491505472</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IF($B50=$B$2,((1+Analysis!$D$16)/(1+$S50))-1,IF(B50&lt;Analysis!$C$13,U49-((Analysis!$D$16-Analysis!$C$17)/(Analysis!$C$13-$B$2)),((1+Analysis!$C$17)/(1+$S49))-1))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35945.160277008705</v>
      </c>
      <c r="AI50" s="1">
        <f>IF(AE50 &gt;= 0,
    MAX(0, AF49 + AE50 - Analysis!$C$7),
    0)</f>
        <v>0</v>
      </c>
      <c r="AJ50" s="1">
        <f t="shared" si="44"/>
        <v>445193.49915210414</v>
      </c>
      <c r="AK50" s="1">
        <f t="shared" si="20"/>
        <v>1750941.2066316693</v>
      </c>
      <c r="AL50" s="1">
        <f t="shared" si="5"/>
        <v>1406550.2487839339</v>
      </c>
      <c r="AM50" s="36"/>
      <c r="AN50" s="1">
        <f t="shared" si="45"/>
        <v>2774132.5078036557</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-8322.3975234109676</v>
      </c>
      <c r="BF50" s="64">
        <f>IF($B50&lt;Analysis!$C$66,0,Analysis!$C$78)</f>
        <v>3.0000000000000001E-3</v>
      </c>
      <c r="BG50" s="1">
        <f>IF($B50&lt;Analysis!$C$66,0,-BH50*AN50)</f>
        <v>-20805.993808527415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-353701.89474496612</v>
      </c>
      <c r="BS50" s="64">
        <f>IF($B50&lt;Analysis!C$66,0,Analysis!C$31)</f>
        <v>0.1275</v>
      </c>
      <c r="BT50" s="1">
        <f>IF($B50&lt;Analysis!$C$66,0,AN50+BR50)</f>
        <v>2420430.6130586895</v>
      </c>
      <c r="BU50" s="1">
        <f>IF($B50-Analysis!$C$66&gt;3,0,IF($AN50&gt;LOOKUP(Analysis!$C$66,$B:$B, AN:AN),$V50*(LOOKUP(Analysis!$C$66,$B:$B, AN:AN)-AN50),0))</f>
        <v>0</v>
      </c>
      <c r="BV50" s="1">
        <f t="shared" si="23"/>
        <v>2420430.6130586895</v>
      </c>
      <c r="BW50" s="42"/>
      <c r="BX50" s="1">
        <f>IF($B50&lt;Analysis!$C$66,$P50+$N50+$X50+$Z50,$P50+$N50+AS50+AV50+BB50+BE50+BG50+MAX(BI50,SUM(BJ50:BN50))+BP50)</f>
        <v>-81088.391331938386</v>
      </c>
      <c r="BY50" s="1">
        <f t="shared" si="24"/>
        <v>50550.888221015739</v>
      </c>
      <c r="BZ50" s="1">
        <f t="shared" si="46"/>
        <v>-30537.503110922647</v>
      </c>
      <c r="CA50" s="1">
        <f>IF(BZ50 &lt; 0,
    IF(CA49 + BZ50 &gt; 0,
        CA49 + BZ50, IF(CF49-ABS(CA49 + BZ50)*(1+$V50) &gt;= CA49 + BZ50,
        0, CA49 + BZ50)),
    MIN(CA49 + BZ50, Analysis!$C$7))+IF(CA49&lt;0, CA49*Analysis!$C$9,0)</f>
        <v>-1115863.4658976723</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1668499.9865775597</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-581301.52710175735</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1668499.9865775597</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64689.379029527801</v>
      </c>
      <c r="GQ50" s="1">
        <f t="shared" si="36"/>
        <v>-5005.4999597326796</v>
      </c>
      <c r="GR50" s="64">
        <f>IF($B50&lt;Analysis!$C$159,0,Analysis!$C$178)</f>
        <v>3.0000000000000001E-3</v>
      </c>
      <c r="GS50" s="1">
        <f t="shared" si="37"/>
        <v>-12513.749899331697</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-4179.2909302346334</v>
      </c>
      <c r="HD50" s="1">
        <f t="shared" si="38"/>
        <v>-33958.540789299012</v>
      </c>
      <c r="HE50" s="1">
        <f>MIN(0,-(GN50+HD50)*Analysis!$C$28)-GE50*Analysis!$C$28</f>
        <v>-9644.2213920878239</v>
      </c>
      <c r="HF50" s="1">
        <f>-Analysis!$C$176*GP50/12</f>
        <v>-5390.7815857939831</v>
      </c>
      <c r="HG50" s="38"/>
      <c r="HH50" s="1">
        <f>IF($B50&lt;Analysis!$C$159,0,-$HI50*$FW50)</f>
        <v>-212733.74828863886</v>
      </c>
      <c r="HI50" s="64">
        <f>IF($B50&lt;Analysis!$C$159,0,IF($B50=Analysis!$C$159,Analysis!$C$31,HI49))</f>
        <v>0.1275</v>
      </c>
      <c r="HJ50" s="1">
        <f>IF($B50&lt;Analysis!$C$159,0,$FW50+HH50)</f>
        <v>1455766.2382889208</v>
      </c>
      <c r="HK50" s="1">
        <f>IF($B50-Analysis!$C$159&gt;10,0,IF($FW50&gt;LOOKUP(Analysis!$C$159,$B:$B, FW:FW),$V50*(LOOKUP(Analysis!$C$159,$B:$B, FW:FW)-FW50),0))</f>
        <v>0</v>
      </c>
      <c r="HL50" s="1">
        <f t="shared" si="39"/>
        <v>1455766.2382889208</v>
      </c>
      <c r="HM50" s="38"/>
      <c r="HN50" s="1">
        <f t="shared" si="40"/>
        <v>-156337.97698980378</v>
      </c>
      <c r="HO50" s="1">
        <f t="shared" si="8"/>
        <v>115240.26725054355</v>
      </c>
      <c r="HP50" s="1">
        <f t="shared" si="41"/>
        <v>-41097.70973926023</v>
      </c>
      <c r="HQ50" s="1">
        <f>IF(HP50 &lt; 0,
    IF(HQ49 + HP50 &gt; 0,
        HQ49 + HP50, IF(HV49-ABS(HQ49 + HP50)*(1+$V50) &gt;= HQ49 + HP50,
        0, HQ49 + HP50)),
    MIN(HQ49 + HP50, Analysis!$C$7))+IF(HQ49&lt;0, HQ49*Analysis!$C$9,0)</f>
        <v>0</v>
      </c>
      <c r="HR50" s="38"/>
      <c r="HS50" s="1">
        <f t="shared" si="54"/>
        <v>25638.165853806455</v>
      </c>
      <c r="HT50" s="1">
        <f>IF($B50=Analysis!$C$159,0,IF(HP50 &gt;= 0,
    MAX(0, HQ49 + HP50 - Analysis!$C$7),
    0))</f>
        <v>0</v>
      </c>
      <c r="HU50" s="1">
        <f>IF($B50=Analysis!$C$159,0,MAX(0, HU49 + HT50 - IF(HP50 &lt; 0, MIN(ABS(HP50), HU49 + HT50), 0)))</f>
        <v>573051.05914259329</v>
      </c>
      <c r="HV50" s="1">
        <f>IF($B50=Analysis!$C$159,0,IF(HP50 &lt; 0,
    IF(HP50 + HQ49 &lt; 0,
        MAX(0, HV49 - (ABS(HP50 + HQ49) * (1+$V49))),
        HV49 + HS50),
    HV49 + HT50 + HS50))</f>
        <v>1255609.2278611439</v>
      </c>
      <c r="HW50" s="1">
        <f t="shared" si="58"/>
        <v>1075584.5108616261</v>
      </c>
      <c r="HX50" s="36"/>
    </row>
    <row r="51" spans="1:232" x14ac:dyDescent="0.35">
      <c r="A51">
        <f t="shared" si="0"/>
        <v>84</v>
      </c>
      <c r="B51">
        <v>2074</v>
      </c>
      <c r="C51" s="1">
        <f>IF($B51&lt;Analysis!C$66,0,$AN51)+$AT51+$AW51+$BC51+$CF51+$CA51</f>
        <v>1618186.8589491718</v>
      </c>
      <c r="D51" s="1">
        <f>IF($B51&lt;Analysis!C$66, 0, BV51)+AT51+AW51+BC51+CG51+CA51</f>
        <v>1254081.9672999419</v>
      </c>
      <c r="E51" s="1">
        <f t="shared" si="1"/>
        <v>1665034.4712453641</v>
      </c>
      <c r="F51" s="1">
        <f t="shared" si="9"/>
        <v>1325372.3138008602</v>
      </c>
      <c r="G51" s="1">
        <f>IF(AND($B51&gt;=Analysis!$C$100, $B51&lt;Analysis!$C$101),$CK51,0)+IF($B51&gt;=Analysis!$C$130,EB51,0)+CQ51+CT51+CZ51+EH51+EK51+EQ51+$FO51+$FT51</f>
        <v>2188374.4412477948</v>
      </c>
      <c r="H51" s="1">
        <f t="shared" si="10"/>
        <v>1824269.5495985649</v>
      </c>
      <c r="I51" s="1">
        <f>IF($B51&lt;Analysis!$C$159,0,$FW51)+$GC51+$GF51+$GL51+$HQ51+$HV51</f>
        <v>2918302.9969771849</v>
      </c>
      <c r="J51" s="1">
        <f t="shared" si="59"/>
        <v>2522308.5533676632</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IF($B51=$B$2,((1+Analysis!$D$16)/(1+$S51))-1,IF(B51&lt;Analysis!$C$13,U50-((Analysis!$D$16-Analysis!$C$17)/(Analysis!$C$13-$B$2)),((1+Analysis!$C$17)/(1+$S50))-1))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34332.180522189476</v>
      </c>
      <c r="AI51" s="1">
        <f>IF(AE51 &gt;= 0,
    MAX(0, AF50 + AE51 - Analysis!$C$7),
    0)</f>
        <v>0</v>
      </c>
      <c r="AJ51" s="1">
        <f t="shared" si="44"/>
        <v>377215.86482070532</v>
      </c>
      <c r="AK51" s="1">
        <f t="shared" si="20"/>
        <v>1665034.4712453641</v>
      </c>
      <c r="AL51" s="1">
        <f t="shared" si="5"/>
        <v>1325372.3138008602</v>
      </c>
      <c r="AM51" s="36"/>
      <c r="AN51" s="1">
        <f t="shared" si="45"/>
        <v>2855724.6403861167</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-8567.1739211583499</v>
      </c>
      <c r="BF51" s="64">
        <f>IF($B51&lt;Analysis!$C$66,0,Analysis!$C$78)</f>
        <v>3.0000000000000001E-3</v>
      </c>
      <c r="BG51" s="1">
        <f>IF($B51&lt;Analysis!$C$66,0,-BH51*AN51)</f>
        <v>-21417.934802895874</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-364104.89164922986</v>
      </c>
      <c r="BS51" s="64">
        <f>IF($B51&lt;Analysis!C$66,0,Analysis!C$31)</f>
        <v>0.1275</v>
      </c>
      <c r="BT51" s="1">
        <f>IF($B51&lt;Analysis!$C$66,0,AN51+BR51)</f>
        <v>2491619.7487368868</v>
      </c>
      <c r="BU51" s="1">
        <f>IF($B51-Analysis!$C$66&gt;3,0,IF($AN51&gt;LOOKUP(Analysis!$C$66,$B:$B, AN:AN),$V51*(LOOKUP(Analysis!$C$66,$B:$B, AN:AN)-AN51),0))</f>
        <v>0</v>
      </c>
      <c r="BV51" s="1">
        <f t="shared" si="23"/>
        <v>2491619.7487368868</v>
      </c>
      <c r="BW51" s="42"/>
      <c r="BX51" s="1">
        <f>IF($B51&lt;Analysis!$C$66,$P51+$N51+$X51+$Z51,$P51+$N51+AS51+AV51+BB51+BE51+BG51+MAX(BI51,SUM(BJ51:BN51))+BP51)</f>
        <v>-81945.108724054226</v>
      </c>
      <c r="BY51" s="1">
        <f t="shared" si="24"/>
        <v>49539.870456595425</v>
      </c>
      <c r="BZ51" s="1">
        <f t="shared" si="46"/>
        <v>-32405.238267458801</v>
      </c>
      <c r="CA51" s="1">
        <f>IF(BZ51 &lt; 0,
    IF(CA50 + BZ51 &gt; 0,
        CA50 + BZ51, IF(CF50-ABS(CA50 + BZ51)*(1+$V51) &gt;= CA50 + BZ51,
        0, CA50 + BZ51)),
    MIN(CA50 + BZ51, Analysis!$C$7))+IF(CA50&lt;0, CA50*Analysis!$C$9,0)</f>
        <v>-1237537.7814369448</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1717573.5155945469</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-667350.19913832203</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1717573.5155945469</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66475.537236278629</v>
      </c>
      <c r="GQ51" s="1">
        <f t="shared" si="36"/>
        <v>-5152.7205467836411</v>
      </c>
      <c r="GR51" s="64">
        <f>IF($B51&lt;Analysis!$C$159,0,Analysis!$C$178)</f>
        <v>3.0000000000000001E-3</v>
      </c>
      <c r="GS51" s="1">
        <f t="shared" si="37"/>
        <v>-12881.801366959102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-4302.2112517121232</v>
      </c>
      <c r="HD51" s="1">
        <f t="shared" si="38"/>
        <v>-34596.733165454862</v>
      </c>
      <c r="HE51" s="1">
        <f>MIN(0,-(GN51+HD51)*Analysis!$C$28)-GE51*Analysis!$C$28</f>
        <v>-10087.651609502176</v>
      </c>
      <c r="HF51" s="1">
        <f>-Analysis!$C$176*GP51/12</f>
        <v>-5539.6281030232194</v>
      </c>
      <c r="HG51" s="38"/>
      <c r="HH51" s="1">
        <f>IF($B51&lt;Analysis!$C$159,0,-$HI51*$FW51)</f>
        <v>-218990.62323830475</v>
      </c>
      <c r="HI51" s="64">
        <f>IF($B51&lt;Analysis!$C$159,0,IF($B51=Analysis!$C$159,Analysis!$C$31,HI50))</f>
        <v>0.1275</v>
      </c>
      <c r="HJ51" s="1">
        <f>IF($B51&lt;Analysis!$C$159,0,$FW51+HH51)</f>
        <v>1498582.8923562421</v>
      </c>
      <c r="HK51" s="1">
        <f>IF($B51-Analysis!$C$159&gt;10,0,IF($FW51&gt;LOOKUP(Analysis!$C$159,$B:$B, FW:FW),$V51*(LOOKUP(Analysis!$C$159,$B:$B, FW:FW)-FW51),0))</f>
        <v>0</v>
      </c>
      <c r="HL51" s="1">
        <f t="shared" si="39"/>
        <v>1498582.8923562421</v>
      </c>
      <c r="HM51" s="38"/>
      <c r="HN51" s="1">
        <f t="shared" si="40"/>
        <v>-159441.51766597453</v>
      </c>
      <c r="HO51" s="1">
        <f t="shared" si="8"/>
        <v>116015.40769287405</v>
      </c>
      <c r="HP51" s="1">
        <f t="shared" si="41"/>
        <v>-43426.10997310048</v>
      </c>
      <c r="HQ51" s="1">
        <f>IF(HP51 &lt; 0,
    IF(HQ50 + HP51 &gt; 0,
        HQ50 + HP51, IF(HV50-ABS(HQ50 + HP51)*(1+$V51) &gt;= HQ50 + HP51,
        0, HQ50 + HP51)),
    MIN(HQ50 + HP51, Analysis!$C$7))+IF(HQ50&lt;0, HQ50*Analysis!$C$9,0)</f>
        <v>0</v>
      </c>
      <c r="HR51" s="38"/>
      <c r="HS51" s="1">
        <f t="shared" si="54"/>
        <v>24619.788781590971</v>
      </c>
      <c r="HT51" s="1">
        <f>IF($B51=Analysis!$C$159,0,IF(HP51 &gt;= 0,
    MAX(0, HQ50 + HP51 - Analysis!$C$7),
    0))</f>
        <v>0</v>
      </c>
      <c r="HU51" s="1">
        <f>IF($B51=Analysis!$C$159,0,MAX(0, HU50 + HT51 - IF(HP51 &lt; 0, MIN(ABS(HP51), HU50 + HT51), 0)))</f>
        <v>529624.94916949281</v>
      </c>
      <c r="HV51" s="1">
        <f>IF($B51=Analysis!$C$159,0,IF(HP51 &lt; 0,
    IF(HP51 + HQ50 &lt; 0,
        MAX(0, HV50 - (ABS(HP51 + HQ50) * (1+$V50))),
        HV50 + HS51),
    HV50 + HT51 + HS51))</f>
        <v>1200729.4813826382</v>
      </c>
      <c r="HW51" s="1">
        <f t="shared" si="58"/>
        <v>1023725.6610114211</v>
      </c>
      <c r="HX51" s="36"/>
    </row>
    <row r="52" spans="1:232" x14ac:dyDescent="0.35">
      <c r="A52">
        <f t="shared" si="0"/>
        <v>85</v>
      </c>
      <c r="B52">
        <v>2075</v>
      </c>
      <c r="C52" s="1">
        <f>IF($B52&lt;Analysis!C$66,0,$AN52)+$AT52+$AW52+$BC52+$CF52+$CA52</f>
        <v>1568897.7869829808</v>
      </c>
      <c r="D52" s="1">
        <f>IF($B52&lt;Analysis!C$66, 0, BV52)+AT52+AW52+BC52+CG52+CA52</f>
        <v>1194083.9279323032</v>
      </c>
      <c r="E52" s="1">
        <f t="shared" si="1"/>
        <v>1575438.9010251558</v>
      </c>
      <c r="F52" s="1">
        <f t="shared" si="9"/>
        <v>1240708.5986520837</v>
      </c>
      <c r="G52" s="1">
        <f>IF(AND($B52&gt;=Analysis!$C$100, $B52&lt;Analysis!$C$101),$CK52,0)+IF($B52&gt;=Analysis!$C$130,EB52,0)+CQ52+CT52+CZ52+EH52+EK52+EQ52+$FO52+$FT52</f>
        <v>2177351.0845115585</v>
      </c>
      <c r="H52" s="1">
        <f t="shared" si="10"/>
        <v>1802537.2254608809</v>
      </c>
      <c r="I52" s="1">
        <f>IF($B52&lt;Analysis!$C$159,0,$FW52)+$GC52+$GF52+$GL52+$HQ52+$HV52</f>
        <v>2910974.1903388896</v>
      </c>
      <c r="J52" s="1">
        <f t="shared" si="59"/>
        <v>2511723.004410476</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IF($B52=$B$2,((1+Analysis!$D$16)/(1+$S52))-1,IF(B52&lt;Analysis!$C$13,U51-((Analysis!$D$16-Analysis!$C$17)/(Analysis!$C$13-$B$2)),((1+Analysis!$C$17)/(1+$S51))-1))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32647.734730301141</v>
      </c>
      <c r="AI52" s="1">
        <f>IF(AE52 &gt;= 0,
    MAX(0, AF51 + AE52 - Analysis!$C$7),
    0)</f>
        <v>0</v>
      </c>
      <c r="AJ52" s="1">
        <f t="shared" si="44"/>
        <v>306319.27117464528</v>
      </c>
      <c r="AK52" s="1">
        <f t="shared" si="20"/>
        <v>1575438.9010251558</v>
      </c>
      <c r="AL52" s="1">
        <f t="shared" si="5"/>
        <v>1240708.5986520837</v>
      </c>
      <c r="AM52" s="36"/>
      <c r="AN52" s="1">
        <f t="shared" si="45"/>
        <v>2939716.541573944</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-8819.1496247218329</v>
      </c>
      <c r="BF52" s="64">
        <f>IF($B52&lt;Analysis!$C$66,0,Analysis!$C$78)</f>
        <v>3.0000000000000001E-3</v>
      </c>
      <c r="BG52" s="1">
        <f>IF($B52&lt;Analysis!$C$66,0,-BH52*AN52)</f>
        <v>-22047.874061804578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-374813.85905067786</v>
      </c>
      <c r="BS52" s="64">
        <f>IF($B52&lt;Analysis!C$66,0,Analysis!C$31)</f>
        <v>0.1275</v>
      </c>
      <c r="BT52" s="1">
        <f>IF($B52&lt;Analysis!$C$66,0,AN52+BR52)</f>
        <v>2564902.6825232664</v>
      </c>
      <c r="BU52" s="1">
        <f>IF($B52-Analysis!$C$66&gt;3,0,IF($AN52&gt;LOOKUP(Analysis!$C$66,$B:$B, AN:AN),$V52*(LOOKUP(Analysis!$C$66,$B:$B, AN:AN)-AN52),0))</f>
        <v>0</v>
      </c>
      <c r="BV52" s="1">
        <f t="shared" si="23"/>
        <v>2564902.6825232664</v>
      </c>
      <c r="BW52" s="42"/>
      <c r="BX52" s="1">
        <f>IF($B52&lt;Analysis!$C$66,$P52+$N52+$X52+$Z52,$P52+$N52+AS52+AV52+BB52+BE52+BG52+MAX(BI52,SUM(BJ52:BN52))+BP52)</f>
        <v>-82827.023686526401</v>
      </c>
      <c r="BY52" s="1">
        <f t="shared" si="24"/>
        <v>48549.073047463513</v>
      </c>
      <c r="BZ52" s="1">
        <f t="shared" si="46"/>
        <v>-34277.950639062889</v>
      </c>
      <c r="CA52" s="1">
        <f>IF(BZ52 &lt; 0,
    IF(CA51 + BZ52 &gt; 0,
        CA51 + BZ52, IF(CF51-ABS(CA51 + BZ52)*(1+$V52) &gt;= CA51 + BZ52,
        0, CA51 + BZ52)),
    MIN(CA51 + BZ52, Analysis!$C$7))+IF(CA51&lt;0, CA51*Analysis!$C$9,0)</f>
        <v>-1370818.7545909632</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1768090.383700269</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-762365.45706238551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1768090.383700269</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68314.22950793388</v>
      </c>
      <c r="GQ52" s="1">
        <f t="shared" si="36"/>
        <v>-5304.2711511008074</v>
      </c>
      <c r="GR52" s="64">
        <f>IF($B52&lt;Analysis!$C$159,0,Analysis!$C$178)</f>
        <v>3.0000000000000001E-3</v>
      </c>
      <c r="GS52" s="1">
        <f t="shared" si="37"/>
        <v>-13260.677877752018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-4428.7468767624805</v>
      </c>
      <c r="HD52" s="1">
        <f t="shared" si="38"/>
        <v>-35253.695905615306</v>
      </c>
      <c r="HE52" s="1">
        <f>MIN(0,-(GN52+HD52)*Analysis!$C$28)-GE52*Analysis!$C$28</f>
        <v>-10544.123892134594</v>
      </c>
      <c r="HF52" s="1">
        <f>-Analysis!$C$176*GP52/12</f>
        <v>-5692.85245899449</v>
      </c>
      <c r="HG52" s="38"/>
      <c r="HH52" s="1">
        <f>IF($B52&lt;Analysis!$C$159,0,-$HI52*$FW52)</f>
        <v>-225431.5239217843</v>
      </c>
      <c r="HI52" s="64">
        <f>IF($B52&lt;Analysis!$C$159,0,IF($B52=Analysis!$C$159,Analysis!$C$31,HI51))</f>
        <v>0.1275</v>
      </c>
      <c r="HJ52" s="1">
        <f>IF($B52&lt;Analysis!$C$159,0,$FW52+HH52)</f>
        <v>1542658.8597784848</v>
      </c>
      <c r="HK52" s="1">
        <f>IF($B52-Analysis!$C$159&gt;10,0,IF($FW52&gt;LOOKUP(Analysis!$C$159,$B:$B, FW:FW),$V52*(LOOKUP(Analysis!$C$159,$B:$B, FW:FW)-FW52),0))</f>
        <v>0</v>
      </c>
      <c r="HL52" s="1">
        <f t="shared" si="39"/>
        <v>1542658.8597784848</v>
      </c>
      <c r="HM52" s="38"/>
      <c r="HN52" s="1">
        <f t="shared" si="40"/>
        <v>-162636.33895026788</v>
      </c>
      <c r="HO52" s="1">
        <f t="shared" si="8"/>
        <v>116863.30255539739</v>
      </c>
      <c r="HP52" s="1">
        <f t="shared" si="41"/>
        <v>-45773.036394870491</v>
      </c>
      <c r="HQ52" s="1">
        <f>IF(HP52 &lt; 0,
    IF(HQ51 + HP52 &gt; 0,
        HQ51 + HP52, IF(HV51-ABS(HQ51 + HP52)*(1+$V52) &gt;= HQ51 + HP52,
        0, HQ51 + HP52)),
    MIN(HQ51 + HP52, Analysis!$C$7))+IF(HQ51&lt;0, HQ51*Analysis!$C$9,0)</f>
        <v>0</v>
      </c>
      <c r="HR52" s="38"/>
      <c r="HS52" s="1">
        <f t="shared" si="54"/>
        <v>23543.715321228115</v>
      </c>
      <c r="HT52" s="1">
        <f>IF($B52=Analysis!$C$159,0,IF(HP52 &gt;= 0,
    MAX(0, HQ51 + HP52 - Analysis!$C$7),
    0))</f>
        <v>0</v>
      </c>
      <c r="HU52" s="1">
        <f>IF($B52=Analysis!$C$159,0,MAX(0, HU51 + HT52 - IF(HP52 &lt; 0, MIN(ABS(HP52), HU51 + HT52), 0)))</f>
        <v>483851.91277462232</v>
      </c>
      <c r="HV52" s="1">
        <f>IF($B52=Analysis!$C$159,0,IF(HP52 &lt; 0,
    IF(HP52 + HQ51 &lt; 0,
        MAX(0, HV51 - (ABS(HP52 + HQ51) * (1+$V51))),
        HV51 + HS52),
    HV51 + HT52 + HS52))</f>
        <v>1142883.8066386206</v>
      </c>
      <c r="HW52" s="1">
        <f t="shared" si="58"/>
        <v>969064.14463199105</v>
      </c>
      <c r="HX52" s="36"/>
    </row>
  </sheetData>
  <pageMargins left="0.7" right="0.7" top="0.75" bottom="0.75" header="0.3" footer="0.3"/>
  <headerFooter>
    <oddFooter>&amp;R_x000D_&amp;1#&amp;"Calibri"&amp;22&amp;KFF8939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EE7F1-396D-48CD-8A4C-4F79ABCBFD47}">
  <dimension ref="A1:HX52"/>
  <sheetViews>
    <sheetView zoomScale="70" zoomScaleNormal="70" workbookViewId="0">
      <pane xSplit="2" ySplit="1" topLeftCell="DX2" activePane="bottomRight" state="frozen"/>
      <selection pane="topRight" activeCell="C1" sqref="C1"/>
      <selection pane="bottomLeft" activeCell="A2" sqref="A2"/>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-477273.913326359</v>
      </c>
      <c r="D2" s="1">
        <f>IF($B2&lt;Analysis!C$66, 0, BV2)+AT2+AW2+BC2+CG2+CA2</f>
        <v>-565248.913326359</v>
      </c>
      <c r="E2" s="1">
        <f t="shared" ref="E2:E52" si="1">AK2+AF2</f>
        <v>52939.215686274518</v>
      </c>
      <c r="F2" s="1">
        <f>AL2+AF2</f>
        <v>52401.372549019608</v>
      </c>
      <c r="G2" s="1">
        <f>IF(AND($B2&gt;=Analysis!$C$100, $B2&lt;Analysis!$C$101),$CK2,0)+IF($B2&gt;=Analysis!$C$130,EB2,0)+CQ2+CT2+CZ2+EH2+EK2+EQ2+$FO2+$FT2</f>
        <v>-242271.22383835033</v>
      </c>
      <c r="H2" s="1">
        <f>$DZ2+FJ2+CQ2+CT2+CZ2+EH2+EK2+EQ2+$FO2+$FU2</f>
        <v>-295183.72383835039</v>
      </c>
      <c r="I2" s="1">
        <f>IF($B2&lt;Analysis!$C$159,0,$FW2)+$GC2+$GF2+$GL2+$HQ2+$HV2</f>
        <v>-242271.22383835033</v>
      </c>
      <c r="J2" s="1">
        <f t="shared" ref="J2:J33" si="2">$HL2+$GC2+$GF2+$GL2+$HQ2+$HW2</f>
        <v>-295183.72383835039</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((1+Analysis!$B$90)/(1+$S2))-1</f>
        <v>1.9607843137254832E-2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Analysis!$C65</f>
        <v>690000</v>
      </c>
      <c r="AO2" s="64">
        <f>((1+Analysis!$B$75)/(1+$S2))-1</f>
        <v>1.9607843137254832E-2</v>
      </c>
      <c r="AP2" s="1">
        <f>IF($B2=Analysis!$C$66,(AN2*(1+Analysis!$C$23+Analysis!$C$24+Analysis!$C$25))-IF($B2=$B$2,(Analysis!$C$6-Analysis!$C$7+Analysis!$C$68), ($CG1-Analysis!$C$7+AY2)),0)</f>
        <v>693833.00000000012</v>
      </c>
      <c r="AQ2" s="65">
        <f>IF($B2=Analysis!$C$66,NPER(AU2,-AX2,-AP2),0)</f>
        <v>28.826407404605138</v>
      </c>
      <c r="AR2" s="64">
        <f>IF($B2=Analysis!$C$66,Analysis!$C$73,0)</f>
        <v>0.02</v>
      </c>
      <c r="AS2" s="1">
        <f>IF($B2&lt;Analysis!$C$66,0,IF($B2=Analysis!$C$66,-AP2*AR2,IF(AX2&gt;=0,0,AX2-AV2)))</f>
        <v>-13876.660000000003</v>
      </c>
      <c r="AT2" s="1">
        <f>IF($B2&lt;Analysis!$C$66,0,IF($B2=Analysis!$C$66,-AP2-AS2,MIN(0,AT1-AS2)))</f>
        <v>-679956.34000000008</v>
      </c>
      <c r="AU2" s="64">
        <f>IF($B2&lt;Analysis!$C$66,0,IF($B2=Analysis!$C$66,Analysis!$C$72,IF(($B2-Analysis!$C$66)&lt;LOOKUP(Analysis!$C$66,$B:$B,AQ:AQ),AU1,0)))</f>
        <v>3.6999999999999998E-2</v>
      </c>
      <c r="AV2" s="1">
        <f>IF($B2&lt;Analysis!$C$66,0,IF($B2=Analysis!$C$66,-AU2*AP2,AU1*AT1))</f>
        <v>-25671.821000000004</v>
      </c>
      <c r="AW2" s="1">
        <f>IF($B2&lt;Analysis!$C$66,0,IF($B2=Analysis!$C$66,PMT(AU2,AQ2,AP2)*AQ2-AX2-AT2,IF(($B2-Analysis!$C$66+1)&lt;LOOKUP(Analysis!$C$66,$B:$B,AQ:AQ),IF(AW1-AV2&lt;0, AW1-AV2,0),0)))</f>
        <v>-420535.80453928467</v>
      </c>
      <c r="AX2" s="1">
        <f>IF($B2&lt;Analysis!$C$66,0,IF($B2=Analysis!$C$66,AS2+AV2,IF(AT1&lt;0,IF(AT1&gt;LOOKUP(Analysis!$C$66,$B:$B,AX:AX), AT1*(1+AU1),AX1),0)))</f>
        <v>-39548.481000000007</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-82926.309778707422</v>
      </c>
      <c r="BY2" s="1">
        <f>$M2+$R2</f>
        <v>46800</v>
      </c>
      <c r="BZ2" s="1">
        <f>BY2+BX2</f>
        <v>-36126.309778707422</v>
      </c>
      <c r="CA2" s="1">
        <f>IF(BZ2&lt;0,Analysis!$C$7+BZ2,Analysis!$C$7)</f>
        <v>-12126.309778707422</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((1+Analysis!$B$112)/(1+$S2))-1</f>
        <v>1.9607843137254832E-2</v>
      </c>
      <c r="CM2" s="1">
        <f>IF($B2=Analysis!$C$100,(CK2*(1+Analysis!$C$23+Analysis!$C$24+Analysis!$C$25))-IF($B2=$B$2,(Analysis!$C$6-Analysis!$C$7+Analysis!$C$105), (FU1-Analysis!$C$7+CV2)),0)</f>
        <v>387015.50000000006</v>
      </c>
      <c r="CN2" s="65">
        <f>IF($B2=Analysis!$C$100,NPER(CR2,-CU2,-CM2),0)</f>
        <v>28.826407404605146</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$B2&gt;=Analysis!$C$101),0,IF($B2=Analysis!$C$100,Analysis!$C$102,IF(($B2-Analysis!$C$100)&lt;LOOKUP(Analysis!$C$100,$B:$B,CN:CN),CR1,0)))</f>
        <v>3.6999999999999998E-2</v>
      </c>
      <c r="CS2" s="1">
        <f>IF(OR($B2&lt;Analysis!$C$100, $B2&gt;=Analysis!$C$101),0,IF($B2=Analysis!$C$100,-CR2*CM2,CR1*CQ1))</f>
        <v>-14319.573500000002</v>
      </c>
      <c r="CT2" s="1">
        <f>IF(OR($B2&lt;Analysis!$C$100, $B2&gt;=Analysis!$C$101),0,IF($B2=Analysis!$C$100,PMT(CR2,CN2,CM2)*CN2-CU2-CQ2,IF(($B2-Analysis!$C$100+1)&lt;LOOKUP(Analysis!$C$100,$B:$B,CN:CN),IF(CT1-CS2&lt;0, CT1-CS2,0),0)))</f>
        <v>-234572.11556912609</v>
      </c>
      <c r="CU2" s="1">
        <f>IF(OR($B2&lt;Analysis!$C$100, $B2&gt;=Analysis!$C$101),0,IF($B2=Analysis!$C$100,CP2+CS2,IF(CQ1&lt;0,IF(CQ1&gt;LOOKUP(Analysis!$C$100,$B:$B,CU:CU), CQ1*(1+CR1),CU1),0)))</f>
        <v>-22059.883500000004</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$B2&gt;=Analysis!$C$101),0,((1+Analysis!$B$114)/(1+$S2))-1)</f>
        <v>1.9607843137254832E-2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6345.0030178500001</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((1+Analysis!$B$112)/(1+$S2))-1</f>
        <v>1.9607843137254832E-2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-78633.459260857417</v>
      </c>
      <c r="FM2" s="1">
        <f>$M2+$R2+DD2+IF(AND($B2&lt;&gt;Analysis!$C$130,$B2=Analysis!$C$101),DZ1+CQ1+CT1+CZ1,0)</f>
        <v>65865</v>
      </c>
      <c r="FN2" s="1">
        <f>FM2+FL2</f>
        <v>-12768.459260857417</v>
      </c>
      <c r="FO2" s="1">
        <f>IF(FN2&lt;0,Analysis!$C$7+FN2,Analysis!$C$7)</f>
        <v>11231.540739142583</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((1+Analysis!$B$172)/(1+$S2))-1</f>
        <v>1.9607843137254832E-2</v>
      </c>
      <c r="FY2" s="1">
        <f>IF($B2=Analysis!$C$159,(FW2*(1+Analysis!$C$23+Analysis!$C$24+Analysis!$C$25))-IF($B2=$B$2,(Analysis!$C$6-Analysis!$C$7+Analysis!$C$165), (HW1-Analysis!$C$7+GH2)),0)</f>
        <v>387015.50000000006</v>
      </c>
      <c r="FZ2" s="65">
        <f>IF($B2=Analysis!$C$159,NPER(GD2,-GG2,-FY2),0)</f>
        <v>28.826407404605146</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IF($B2&lt;Analysis!$C$159,0,IF($B2=Analysis!$C$159,Analysis!$C$160,IF(($B2-Analysis!$C$159)&lt;LOOKUP(Analysis!$C$159,$B:$B,FZ:FZ),GD1,0)))</f>
        <v>3.6999999999999998E-2</v>
      </c>
      <c r="GE2" s="1">
        <f>IF($B2&lt;Analysis!$C$159,0,IF($B2=Analysis!$C$159,-GD2*FY2,GD1*GC1))</f>
        <v>-14319.573500000002</v>
      </c>
      <c r="GF2" s="1">
        <f>IF($B2&lt;Analysis!$C$159,0,IF($B2=Analysis!$C$159,PMT(GD2,FZ2,FY2)*FZ2-GG2-GC2,IF(($B2-Analysis!$C$159+1)&lt;LOOKUP(Analysis!$C$159,$B:$B,FZ:FZ),IF(GF1-GE2&lt;0, GF1-GE2,0),0)))</f>
        <v>-234572.11556912609</v>
      </c>
      <c r="GG2" s="1">
        <f>IF($B2&lt;Analysis!$C$159,0,IF($B2=Analysis!$C$159,GB2+GE2,IF(GC1&lt;0,IF(GC1&gt;LOOKUP(Analysis!$C$159,$B:$B,GG:GG), GC1*(1+GD1),GG1),0)))</f>
        <v>-22059.883500000004</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IF($B2&lt;Analysis!$C$159,0,((1+Analysis!$B$174)/(1+$S2))-1)</f>
        <v>1.9607843137254832E-2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6345.0030178500001</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-78633.459260857417</v>
      </c>
      <c r="HO2" s="1">
        <f t="shared" ref="HO2:HO52" si="8">$M2+$R2+$GP2</f>
        <v>65865</v>
      </c>
      <c r="HP2" s="1">
        <f>HO2+HN2</f>
        <v>-12768.459260857417</v>
      </c>
      <c r="HQ2" s="1">
        <f>IF(HP2&lt;0,Analysis!$C$7+HP2,Analysis!$C$7)</f>
        <v>11231.540739142583</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-430267.54752042034</v>
      </c>
      <c r="D3" s="1">
        <f>IF($B3&lt;Analysis!C$66, 0, BV3)+AT3+AW3+BC3+CG3+CA3</f>
        <v>-523535.92987336154</v>
      </c>
      <c r="E3" s="1">
        <f t="shared" si="1"/>
        <v>80842.877420772216</v>
      </c>
      <c r="F3" s="1">
        <f t="shared" ref="F3:F52" si="9">AL3+AF3</f>
        <v>79719.474383396475</v>
      </c>
      <c r="G3" s="1">
        <f>IF(AND($B3&gt;=Analysis!$C$100, $B3&lt;Analysis!$C$101),$CK3,0)+IF($B3&gt;=Analysis!$C$130,EB3,0)+CQ3+CT3+CZ3+EH3+EK3+EQ3+$FO3+$FT3</f>
        <v>-193947.41499850439</v>
      </c>
      <c r="H3" s="1">
        <f t="shared" ref="H3:H52" si="10">$DZ3+FJ3+CQ3+CT3+CZ3+EH3+EK3+EQ3+$FO3+$FU3</f>
        <v>-250043.61597889656</v>
      </c>
      <c r="I3" s="1">
        <f>IF($B3&lt;Analysis!$C$159,0,$FW3)+$GC3+$GF3+$GL3+$HQ3+$HV3</f>
        <v>-193947.41499850439</v>
      </c>
      <c r="J3" s="1">
        <f t="shared" si="2"/>
        <v>-250043.61597889656</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-16150.588235294117</v>
      </c>
      <c r="Y3" s="64">
        <f t="shared" ref="Y3:Y52" si="15">Y$2</f>
        <v>1.9607843137254832E-2</v>
      </c>
      <c r="Z3" s="1">
        <f t="shared" ref="Z3:Z52" si="16">Z2*(1+$AA2)</f>
        <v>-3960</v>
      </c>
      <c r="AA3" s="64">
        <f t="shared" ref="AA3:AA52" si="17">AA$2</f>
        <v>0</v>
      </c>
      <c r="AB3" s="40"/>
      <c r="AC3" s="1">
        <f t="shared" si="3"/>
        <v>-70210.588235294126</v>
      </c>
      <c r="AD3" s="1">
        <f t="shared" si="4"/>
        <v>95894.117647058811</v>
      </c>
      <c r="AE3" s="1">
        <f t="shared" ref="AE3:AE52" si="18">AD3+AC3</f>
        <v>25683.529411764684</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25683.529411764684</v>
      </c>
      <c r="AJ3" s="1">
        <f>MAX(0, AJ2 + AI3 - IF(AE3 &lt; 0, MIN(ABS(AE3), AJ2 + AI3), 0))</f>
        <v>52583.529411764684</v>
      </c>
      <c r="AK3" s="1">
        <f t="shared" ref="AK3:AK52" si="20">IF(AE3 &lt; 0,
    IF(AE3 + AF2 &lt; 0,
        MAX(0, AK2 - (ABS(AE3 + AF2) * (1+$V2))),
        AK2 + AH3),
    AK2 + AI3 + AH3)</f>
        <v>56842.877420772224</v>
      </c>
      <c r="AL3" s="1">
        <f t="shared" si="5"/>
        <v>55719.474383396482</v>
      </c>
      <c r="AM3" s="36"/>
      <c r="AN3" s="1">
        <f>AN2*(1+AO2)</f>
        <v>703529.41176470579</v>
      </c>
      <c r="AO3" s="64">
        <f t="shared" ref="AO3:AO52" si="21">AO$2</f>
        <v>1.9607843137254832E-2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-14390.096420000005</v>
      </c>
      <c r="AT3" s="1">
        <f>IF($B3&lt;Analysis!$C$66,0,IF($B3=Analysis!$C$66,-AP3-AS3,MIN(0,AT2-AS3)))</f>
        <v>-665566.24358000013</v>
      </c>
      <c r="AU3" s="64">
        <f>IF($B3&lt;Analysis!$C$66,0,IF($B3=Analysis!$C$66,Analysis!$C$72,IF(($B3-Analysis!$C$66)&lt;LOOKUP(Analysis!$C$66,$B:$B,AQ:AQ),AU2,0)))</f>
        <v>3.6999999999999998E-2</v>
      </c>
      <c r="AV3" s="1">
        <f>IF($B3&lt;Analysis!$C$66,0,IF($B3=Analysis!$C$66,-AU3*AP3,AU2*AT2))</f>
        <v>-25158.384580000002</v>
      </c>
      <c r="AW3" s="1">
        <f>IF($B3&lt;Analysis!$C$66,0,IF($B3=Analysis!$C$66,PMT(AU3,AQ3,AP3)*AQ3-AX3-AT3,IF(($B3-Analysis!$C$66+1)&lt;LOOKUP(Analysis!$C$66,$B:$B,AQ:AQ),IF(AW2-AV3&lt;0, AW2-AV3,0),0)))</f>
        <v>-395377.41995928466</v>
      </c>
      <c r="AX3" s="1">
        <f>IF($B3&lt;Analysis!$C$66,0,IF($B3=Analysis!$C$66,AS3+AV3,IF(AT2&lt;0,IF(AT2&gt;LOOKUP(Analysis!$C$66,$B:$B,AX:AX), AT2*(1+AU2),AX2),0)))</f>
        <v>-39548.481000000007</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-2110.5882352941176</v>
      </c>
      <c r="BF3" s="64">
        <f>IF($B3&lt;Analysis!$C$66,0,Analysis!$C$78)</f>
        <v>3.0000000000000001E-3</v>
      </c>
      <c r="BG3" s="1">
        <f>IF($B3&lt;Analysis!$C$66,0,-BH3*AN3)</f>
        <v>-5276.4705882352928</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-89699.999999999985</v>
      </c>
      <c r="BS3" s="64">
        <f>IF($B3&lt;Analysis!C$66,0,Analysis!C$31)</f>
        <v>0.1275</v>
      </c>
      <c r="BT3" s="1">
        <f>IF($B3&lt;Analysis!$C$66,0,AN3+BR3)</f>
        <v>613829.41176470579</v>
      </c>
      <c r="BU3" s="1">
        <f>IF($B3-Analysis!$C$66&gt;3,0,IF($AN3&gt;LOOKUP(Analysis!$C$66,$B:$B, AN:AN),$V3*(LOOKUP(Analysis!$C$66,$B:$B, AN:AN)-AN3),0))</f>
        <v>-3568.3823529411511</v>
      </c>
      <c r="BV3" s="1">
        <f t="shared" ref="BV3:BV52" si="23">BT3+BU3</f>
        <v>610261.02941176458</v>
      </c>
      <c r="BW3" s="42"/>
      <c r="BX3" s="1">
        <f>IF($B3&lt;Analysis!$C$66,$P3+$N3+$X3+$Z3,$P3+$N3+AS3+AV3+BB3+BE3+BG3+MAX(BI3,SUM(BJ3:BN3))+BP3)</f>
        <v>-107068.36860223682</v>
      </c>
      <c r="BY3" s="1">
        <f t="shared" ref="BY3:BY52" si="24">$M3+$R3</f>
        <v>95894.117647058811</v>
      </c>
      <c r="BZ3" s="1">
        <f>BY3+BX3</f>
        <v>-11174.250955178009</v>
      </c>
      <c r="CA3" s="1">
        <f>IF(BZ3 &lt; 0,
    IF(CA2 + BZ3 &gt; 0,
        CA2 + BZ3, IF(CF2-ABS(CA2 + BZ3)*(1+$V3) &gt;= CA2 + BZ3,
        0, CA2 + BZ3)),
    MIN(CA2 + BZ3, Analysis!$C$7))+IF(CA2&lt;0, CA2*Analysis!$C$9,0)</f>
        <v>-24270.665516182024</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-16150.588235294117</v>
      </c>
      <c r="CJ3" s="1">
        <f>IF(OR($B3&lt;Analysis!$C$100, $B3&gt;=Analysis!$C$130),0,Z3)</f>
        <v>-3960</v>
      </c>
      <c r="CK3" s="1">
        <f t="shared" ref="CK3:CK34" si="26">CK2*(1+$CL2)</f>
        <v>423137.25490196078</v>
      </c>
      <c r="CL3" s="64">
        <f>$CL$2</f>
        <v>1.9607843137254832E-2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-8026.7014700000018</v>
      </c>
      <c r="CQ3" s="1">
        <f>IF(OR($B3&lt;Analysis!$C$100, $B3&gt;=Analysis!$C$101),0,IF($B3=Analysis!$C$100,-CM3-CP3,MIN(0,CQ2-CP3)))</f>
        <v>-371248.48853000003</v>
      </c>
      <c r="CR3" s="64">
        <f>IF(OR($B3&lt;Analysis!$C$100, $B3&gt;=Analysis!$C$101),0,IF($B3=Analysis!$C$100,Analysis!$C$102,IF(($B3-Analysis!$C$100)&lt;LOOKUP(Analysis!$C$100,$B:$B,CN:CN),CR2,0)))</f>
        <v>3.6999999999999998E-2</v>
      </c>
      <c r="CS3" s="1">
        <f>IF(OR($B3&lt;Analysis!$C$100, $B3&gt;=Analysis!$C$101),0,IF($B3=Analysis!$C$100,-CR3*CM3,CR2*CQ2))</f>
        <v>-14033.182030000002</v>
      </c>
      <c r="CT3" s="1">
        <f>IF(OR($B3&lt;Analysis!$C$100, $B3&gt;=Analysis!$C$101),0,IF($B3=Analysis!$C$100,PMT(CR3,CN3,CM3)*CN3-CU3-CQ3,IF(($B3-Analysis!$C$100+1)&lt;LOOKUP(Analysis!$C$100,$B:$B,CN:CN),IF(CT2-CS3&lt;0, CT2-CS3,0),0)))</f>
        <v>-220538.9335391261</v>
      </c>
      <c r="CU3" s="1">
        <f>IF(OR($B3&lt;Analysis!$C$100, $B3&gt;=Analysis!$C$101),0,IF($B3=Analysis!$C$100,CP3+CS3,IF(CQ2&lt;0,IF(CQ2&gt;LOOKUP(Analysis!$C$100,$B:$B,CU:CU), CQ2*(1+CR2),CU2),0)))</f>
        <v>-22059.883500000004</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14131.764705882351</v>
      </c>
      <c r="DC3" s="64">
        <f>IF(OR($B3&lt;Analysis!$C$100, $B3&gt;=Analysis!$C$101),0,((1+Analysis!$B$114)/(1+$S3))-1)</f>
        <v>1.9607843137254832E-2</v>
      </c>
      <c r="DD3" s="1">
        <f t="shared" si="6"/>
        <v>19361.176470588231</v>
      </c>
      <c r="DE3" s="1">
        <f t="shared" ref="DE3:DE52" si="27">-DF3*CK3</f>
        <v>-1269.4117647058824</v>
      </c>
      <c r="DF3" s="64">
        <f>IF(OR($B3&lt;Analysis!$C$100, $B3&gt;=Analysis!$C$101),0,Analysis!$C$118)</f>
        <v>3.0000000000000001E-3</v>
      </c>
      <c r="DG3" s="1">
        <f t="shared" ref="DG3:DG52" si="28">-DH3*CK3</f>
        <v>-3173.5294117647059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-1059.8823529411764</v>
      </c>
      <c r="DR3" s="1">
        <f t="shared" ref="DR3:DR52" si="29">DE3+DG3+MIN(DI3,SUM(DJ3:DN3))+DP3+DQ3</f>
        <v>-17762.823529411762</v>
      </c>
      <c r="DS3" s="1">
        <f>MIN(0,-(DB3+DR3)*Analysis!$C$28)-CS3*Analysis!$C$28</f>
        <v>6218.1029574929998</v>
      </c>
      <c r="DT3" s="1">
        <f>-Analysis!$C$116*DD3/12</f>
        <v>-1613.4313725490192</v>
      </c>
      <c r="DU3" s="53"/>
      <c r="DV3" s="1">
        <f t="shared" ref="DV3:DV52" si="30">-DW3*CK3</f>
        <v>-53950</v>
      </c>
      <c r="DW3" s="64">
        <f>IF(OR($B3&lt;Analysis!$C$100, $B3&gt;=Analysis!$C$101),0,IF($B3=Analysis!$C$100,Analysis!$C$31,DW2))</f>
        <v>0.1275</v>
      </c>
      <c r="DX3" s="1">
        <f>IF(OR($B3&lt;Analysis!$C$100, $B3&gt;=Analysis!$C$101),0,CK3+DV3)</f>
        <v>369187.25490196078</v>
      </c>
      <c r="DY3" s="1">
        <f>IF(OR($B3&lt;Analysis!$C$100, $B3&gt;=Analysis!$C$101),0,IF($B3-Analysis!$C$100&gt;3,0,IF(CK3&gt;LOOKUP(Analysis!$C$100,$B:$B, CK:CK),$V3*(LOOKUP(Analysis!$C$100,$B:$B, CK:CK)-CK3),0)))</f>
        <v>-2146.2009803921565</v>
      </c>
      <c r="DZ3" s="1">
        <f>DX3+DY3</f>
        <v>367041.05392156861</v>
      </c>
      <c r="EA3" s="53"/>
      <c r="EB3" s="1">
        <f t="shared" ref="EB3:EB52" si="31">EB2*(1+EC2)</f>
        <v>703529.41176470579</v>
      </c>
      <c r="EC3" s="64">
        <f>EC$2</f>
        <v>1.9607843137254832E-2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-103201.45245846933</v>
      </c>
      <c r="FM3" s="1">
        <f>$M3+$R3+DD3+IF(AND($B3&lt;&gt;Analysis!$C$130,$B3=Analysis!$C$101),DZ2+CQ2+CT2+CZ2,0)</f>
        <v>115255.29411764705</v>
      </c>
      <c r="FN3" s="1">
        <f t="shared" ref="FN3:FN52" si="34">FM3+FL3</f>
        <v>12053.84165917772</v>
      </c>
      <c r="FO3" s="1">
        <f>IF(FN3 &lt; 0,
    IF(FO2 + FN3 &gt; 0,
        FO2 + FN3, IF(FT2-ABS(FO2 + FN3)*(1+$V3) &gt;= FO2 + FN3,
        0, FO2 + FN3)),
    MIN(FO2 + FN3, Analysis!$C$7))+IF(FO2&lt;0, FO2*Analysis!$C$9,0)</f>
        <v>23285.382398320304</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423137.25490196078</v>
      </c>
      <c r="FX3" s="64">
        <f>$FX$2</f>
        <v>1.9607843137254832E-2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-8026.7014700000018</v>
      </c>
      <c r="GC3" s="1">
        <f>IF($B3&lt;Analysis!$C$159,0,IF($B3=Analysis!$C$159,-FY3-GB3,MIN(0,GC2-GB3)))</f>
        <v>-371248.48853000003</v>
      </c>
      <c r="GD3" s="64">
        <f>IF($B3&lt;Analysis!$C$159,0,IF($B3=Analysis!$C$159,Analysis!$C$160,IF(($B3-Analysis!$C$159)&lt;LOOKUP(Analysis!$C$159,$B:$B,FZ:FZ),GD2,0)))</f>
        <v>3.6999999999999998E-2</v>
      </c>
      <c r="GE3" s="1">
        <f>IF($B3&lt;Analysis!$C$159,0,IF($B3=Analysis!$C$159,-GD3*FY3,GD2*GC2))</f>
        <v>-14033.182030000002</v>
      </c>
      <c r="GF3" s="1">
        <f>IF($B3&lt;Analysis!$C$159,0,IF($B3=Analysis!$C$159,PMT(GD3,FZ3,FY3)*FZ3-GG3-GC3,IF(($B3-Analysis!$C$159+1)&lt;LOOKUP(Analysis!$C$159,$B:$B,FZ:FZ),IF(GF2-GE3&lt;0, GF2-GE3,0),0)))</f>
        <v>-220538.9335391261</v>
      </c>
      <c r="GG3" s="1">
        <f>IF($B3&lt;Analysis!$C$159,0,IF($B3=Analysis!$C$159,GB3+GE3,IF(GC2&lt;0,IF(GC2&gt;LOOKUP(Analysis!$C$159,$B:$B,GG:GG), GC2*(1+GD2),GG2),0)))</f>
        <v>-22059.883500000004</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14131.764705882351</v>
      </c>
      <c r="GO3" s="64">
        <f>IF($B3&lt;Analysis!$C$159,0,((1+Analysis!$B$174)/(1+$S3))-1)</f>
        <v>1.9607843137254832E-2</v>
      </c>
      <c r="GP3" s="1">
        <f t="shared" si="7"/>
        <v>19361.176470588231</v>
      </c>
      <c r="GQ3" s="1">
        <f t="shared" ref="GQ3:GQ52" si="36">-GR3*FW3</f>
        <v>-1269.4117647058824</v>
      </c>
      <c r="GR3" s="64">
        <f>IF($B3&lt;Analysis!$C$159,0,Analysis!$C$178)</f>
        <v>3.0000000000000001E-3</v>
      </c>
      <c r="GS3" s="1">
        <f t="shared" ref="GS3:GS52" si="37">-GT3*FW3</f>
        <v>-3173.5294117647059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-1059.8823529411764</v>
      </c>
      <c r="HD3" s="1">
        <f t="shared" ref="HD3:HD52" si="38">GQ3+GS3+MIN(GU3,SUM(GV3:GZ3))+HB3+HC3</f>
        <v>-17762.823529411762</v>
      </c>
      <c r="HE3" s="1">
        <f>MIN(0,-(GN3+HD3)*Analysis!$C$28)-GE3*Analysis!$C$28</f>
        <v>6218.1029574929998</v>
      </c>
      <c r="HF3" s="1">
        <f>-Analysis!$C$176*GP3/12</f>
        <v>-1613.4313725490192</v>
      </c>
      <c r="HG3" s="38"/>
      <c r="HH3" s="1">
        <f>IF($B3&lt;Analysis!$C$159,0,-$HI3*$FW3)</f>
        <v>-53950</v>
      </c>
      <c r="HI3" s="64">
        <f>IF($B3&lt;Analysis!$C$159,0,IF($B3=Analysis!$C$159,Analysis!$C$31,HI2))</f>
        <v>0.1275</v>
      </c>
      <c r="HJ3" s="1">
        <f>IF($B3&lt;Analysis!$C$159,0,$FW3+HH3)</f>
        <v>369187.25490196078</v>
      </c>
      <c r="HK3" s="1">
        <f>IF($B3-Analysis!$C$159&gt;10,0,IF($FW3&gt;LOOKUP(Analysis!$C$159,$B:$B, FW:FW),$V3*(LOOKUP(Analysis!$C$159,$B:$B, FW:FW)-FW3),0))</f>
        <v>-2146.2009803921565</v>
      </c>
      <c r="HL3" s="1">
        <f t="shared" ref="HL3:HL52" si="39">HJ3+HK3</f>
        <v>367041.05392156861</v>
      </c>
      <c r="HM3" s="38"/>
      <c r="HN3" s="1">
        <f t="shared" ref="HN3:HN52" si="40">$P3+$N3+$X3+$Z3+GB3+GE3+GK3+GQ3+GS3+MIN(GU3,SUM(GV3:GZ3))+HC3+HE3+HF3</f>
        <v>-103201.45245846931</v>
      </c>
      <c r="HO3" s="1">
        <f t="shared" si="8"/>
        <v>115255.29411764705</v>
      </c>
      <c r="HP3" s="1">
        <f t="shared" ref="HP3:HP52" si="41">HO3+HN3</f>
        <v>12053.841659177735</v>
      </c>
      <c r="HQ3" s="1">
        <f>IF(HP3 &lt; 0,
    IF(HQ2 + HP3 &gt; 0,
        HQ2 + HP3, IF(HV2-ABS(HQ2 + HP3)*(1+$V3) &gt;= HQ2 + HP3,
        0, HQ2 + HP3)),
    MIN(HQ2 + HP3, Analysis!$C$7))+IF(HQ2&lt;0, HQ2*Analysis!$C$9,0)</f>
        <v>23285.382398320318</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-410159.35070404498</v>
      </c>
      <c r="D4" s="1">
        <f>IF($B4&lt;Analysis!C$66, 0, BV4)+AT4+AW4+BC4+CG4+CA4</f>
        <v>-508824.90722076915</v>
      </c>
      <c r="E4" s="1">
        <f t="shared" si="1"/>
        <v>84426.04483861968</v>
      </c>
      <c r="F4" s="1">
        <f t="shared" si="9"/>
        <v>81998.771879215725</v>
      </c>
      <c r="G4" s="1">
        <f>IF(AND($B4&gt;=Analysis!$C$100, $B4&lt;Analysis!$C$101),$CK4,0)+IF($B4&gt;=Analysis!$C$130,EB4,0)+CQ4+CT4+CZ4+EH4+EK4+EQ4+$FO4+$FT4</f>
        <v>-171790.46449702722</v>
      </c>
      <c r="H4" s="1">
        <f t="shared" si="10"/>
        <v>-231132.79196723097</v>
      </c>
      <c r="I4" s="1">
        <f>IF($B4&lt;Analysis!$C$159,0,$FW4)+$GC4+$GF4+$GL4+$HQ4+$HV4</f>
        <v>-171790.46449702722</v>
      </c>
      <c r="J4" s="1">
        <f t="shared" si="2"/>
        <v>-231132.79196723097</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-16467.266435986159</v>
      </c>
      <c r="Y4" s="64">
        <f t="shared" si="15"/>
        <v>1.9607843137254832E-2</v>
      </c>
      <c r="Z4" s="1">
        <f t="shared" si="16"/>
        <v>-3960</v>
      </c>
      <c r="AA4" s="64">
        <f t="shared" si="17"/>
        <v>0</v>
      </c>
      <c r="AB4" s="40"/>
      <c r="AC4" s="1">
        <f t="shared" si="3"/>
        <v>-48627.266435986159</v>
      </c>
      <c r="AD4" s="1">
        <f t="shared" si="4"/>
        <v>47947.058823529405</v>
      </c>
      <c r="AE4" s="1">
        <f t="shared" si="18"/>
        <v>-680.20761245675385</v>
      </c>
      <c r="AF4" s="1">
        <f>IF(AE4 &lt; 0,
    IF(AF3 + AE4 &gt; 0,
        AF3 + AE4, IF(AK3-ABS(AF3 + AE4)*(1+$V4) &gt;= AF3 + AE4,
        0, AF3 + AE4)),
    MIN(AF3 + AE4, Analysis!$C$7))+IF(AF3&lt;0, AF3*Analysis!$C$9,0)</f>
        <v>23319.792387543246</v>
      </c>
      <c r="AG4" s="40"/>
      <c r="AH4" s="1">
        <f t="shared" si="19"/>
        <v>4263.3750303042034</v>
      </c>
      <c r="AI4" s="1">
        <f>IF(AE4 &gt;= 0,
    MAX(0, AF3 + AE4 - Analysis!$C$7),
    0)</f>
        <v>0</v>
      </c>
      <c r="AJ4" s="1">
        <f t="shared" ref="AJ4:AJ52" si="44">MAX(0, AJ3 + AI4 - IF(AE4 &lt; 0, MIN(ABS(AE4), AJ3 + AI4), 0))</f>
        <v>51903.321799307931</v>
      </c>
      <c r="AK4" s="1">
        <f t="shared" si="20"/>
        <v>61106.252451076427</v>
      </c>
      <c r="AL4" s="1">
        <f t="shared" si="5"/>
        <v>58678.979491672486</v>
      </c>
      <c r="AM4" s="36"/>
      <c r="AN4" s="1">
        <f t="shared" ref="AN4:AN52" si="45">AN3*(1+AO3)</f>
        <v>717324.10611303325</v>
      </c>
      <c r="AO4" s="64">
        <f t="shared" si="21"/>
        <v>1.9607843137254832E-2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-14922.529987540005</v>
      </c>
      <c r="AT4" s="1">
        <f>IF($B4&lt;Analysis!$C$66,0,IF($B4=Analysis!$C$66,-AP4-AS4,MIN(0,AT3-AS4)))</f>
        <v>-650643.71359246015</v>
      </c>
      <c r="AU4" s="64">
        <f>IF($B4&lt;Analysis!$C$66,0,IF($B4=Analysis!$C$66,Analysis!$C$72,IF(($B4-Analysis!$C$66)&lt;LOOKUP(Analysis!$C$66,$B:$B,AQ:AQ),AU3,0)))</f>
        <v>3.6999999999999998E-2</v>
      </c>
      <c r="AV4" s="1">
        <f>IF($B4&lt;Analysis!$C$66,0,IF($B4=Analysis!$C$66,-AU4*AP4,AU3*AT3))</f>
        <v>-24625.951012460002</v>
      </c>
      <c r="AW4" s="1">
        <f>IF($B4&lt;Analysis!$C$66,0,IF($B4=Analysis!$C$66,PMT(AU4,AQ4,AP4)*AQ4-AX4-AT4,IF(($B4-Analysis!$C$66+1)&lt;LOOKUP(Analysis!$C$66,$B:$B,AQ:AQ),IF(AW3-AV4&lt;0, AW3-AV4,0),0)))</f>
        <v>-370751.46894682467</v>
      </c>
      <c r="AX4" s="1">
        <f>IF($B4&lt;Analysis!$C$66,0,IF($B4=Analysis!$C$66,AS4+AV4,IF(AT3&lt;0,IF(AT3&gt;LOOKUP(Analysis!$C$66,$B:$B,AX:AX), AT3*(1+AU3),AX3),0)))</f>
        <v>-39548.481000000007</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-2151.9723183390997</v>
      </c>
      <c r="BF4" s="64">
        <f>IF($B4&lt;Analysis!$C$66,0,Analysis!$C$78)</f>
        <v>3.0000000000000001E-3</v>
      </c>
      <c r="BG4" s="1">
        <f>IF($B4&lt;Analysis!$C$66,0,-BH4*AN4)</f>
        <v>-5379.9307958477493</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-91458.823529411748</v>
      </c>
      <c r="BS4" s="64">
        <f>IF($B4&lt;Analysis!C$66,0,Analysis!C$31)</f>
        <v>0.1275</v>
      </c>
      <c r="BT4" s="1">
        <f>IF($B4&lt;Analysis!$C$66,0,AN4+BR4)</f>
        <v>625865.28258362156</v>
      </c>
      <c r="BU4" s="1">
        <f>IF($B4-Analysis!$C$66&gt;3,0,IF($AN4&gt;LOOKUP(Analysis!$C$66,$B:$B, AN:AN),$V4*(LOOKUP(Analysis!$C$66,$B:$B, AN:AN)-AN4),0))</f>
        <v>-7206.73298731252</v>
      </c>
      <c r="BV4" s="1">
        <f>BT4+BU4</f>
        <v>618658.54959630908</v>
      </c>
      <c r="BW4" s="42"/>
      <c r="BX4" s="1">
        <f>IF($B4&lt;Analysis!$C$66,$P4+$N4+$X4+$Z4,$P4+$N4+AS4+AV4+BB4+BE4+BG4+MAX(BI4,SUM(BJ4:BN4))+BP4)</f>
        <v>-85313.212892894284</v>
      </c>
      <c r="BY4" s="1">
        <f t="shared" si="24"/>
        <v>47947.058823529405</v>
      </c>
      <c r="BZ4" s="1">
        <f t="shared" ref="BZ4:BZ52" si="46">BY4+BX4</f>
        <v>-37366.154069364879</v>
      </c>
      <c r="CA4" s="1">
        <f>IF(BZ4 &lt; 0,
    IF(CA3 + BZ4 &gt; 0,
        CA3 + BZ4, IF(CF3-ABS(CA3 + BZ4)*(1+$V4) &gt;= CA3 + BZ4,
        0, CA3 + BZ4)),
    MIN(CA3 + BZ4, Analysis!$C$7))+IF(CA3&lt;0, CA3*Analysis!$C$9,0)</f>
        <v>-63578.472826841462</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-16467.266435986159</v>
      </c>
      <c r="CJ4" s="1">
        <f>IF(OR($B4&lt;Analysis!$C$100, $B4&gt;=Analysis!$C$130),0,Z4)</f>
        <v>-3960</v>
      </c>
      <c r="CK4" s="1">
        <f t="shared" si="26"/>
        <v>431434.06382160704</v>
      </c>
      <c r="CL4" s="64">
        <f t="shared" ref="CL4:CL52" si="48">$CL$2</f>
        <v>1.9607843137254832E-2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-8323.6894243900024</v>
      </c>
      <c r="CQ4" s="1">
        <f>IF(OR($B4&lt;Analysis!$C$100, $B4&gt;=Analysis!$C$101),0,IF($B4=Analysis!$C$100,-CM4-CP4,MIN(0,CQ3-CP4)))</f>
        <v>-362924.79910561</v>
      </c>
      <c r="CR4" s="64">
        <f>IF(OR($B4&lt;Analysis!$C$100, $B4&gt;=Analysis!$C$101),0,IF($B4=Analysis!$C$100,Analysis!$C$102,IF(($B4-Analysis!$C$100)&lt;LOOKUP(Analysis!$C$100,$B:$B,CN:CN),CR3,0)))</f>
        <v>3.6999999999999998E-2</v>
      </c>
      <c r="CS4" s="1">
        <f>IF(OR($B4&lt;Analysis!$C$100, $B4&gt;=Analysis!$C$101),0,IF($B4=Analysis!$C$100,-CR4*CM4,CR3*CQ3))</f>
        <v>-13736.194075610001</v>
      </c>
      <c r="CT4" s="1">
        <f>IF(OR($B4&lt;Analysis!$C$100, $B4&gt;=Analysis!$C$101),0,IF($B4=Analysis!$C$100,PMT(CR4,CN4,CM4)*CN4-CU4-CQ4,IF(($B4-Analysis!$C$100+1)&lt;LOOKUP(Analysis!$C$100,$B:$B,CN:CN),IF(CT3-CS4&lt;0, CT3-CS4,0),0)))</f>
        <v>-206802.7394635161</v>
      </c>
      <c r="CU4" s="1">
        <f>IF(OR($B4&lt;Analysis!$C$100, $B4&gt;=Analysis!$C$101),0,IF($B4=Analysis!$C$100,CP4+CS4,IF(CQ3&lt;0,IF(CQ3&gt;LOOKUP(Analysis!$C$100,$B:$B,CU:CU), CQ3*(1+CR3),CU3),0)))</f>
        <v>-22059.883500000004</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14408.858131487887</v>
      </c>
      <c r="DC4" s="64">
        <f>IF(OR($B4&lt;Analysis!$C$100, $B4&gt;=Analysis!$C$101),0,((1+Analysis!$B$114)/(1+$S4))-1)</f>
        <v>1.9607843137254832E-2</v>
      </c>
      <c r="DD4" s="1">
        <f t="shared" si="6"/>
        <v>19663.160322952706</v>
      </c>
      <c r="DE4" s="1">
        <f t="shared" si="27"/>
        <v>-1294.3021914648211</v>
      </c>
      <c r="DF4" s="64">
        <f>IF(OR($B4&lt;Analysis!$C$100, $B4&gt;=Analysis!$C$101),0,Analysis!$C$118)</f>
        <v>3.0000000000000001E-3</v>
      </c>
      <c r="DG4" s="1">
        <f t="shared" si="28"/>
        <v>-3235.7554786620526</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-1080.6643598615915</v>
      </c>
      <c r="DR4" s="1">
        <f t="shared" si="29"/>
        <v>-17870.722029988465</v>
      </c>
      <c r="DS4" s="1">
        <f>MIN(0,-(DB4+DR4)*Analysis!$C$28)-CS4*Analysis!$C$28</f>
        <v>6086.5075949027905</v>
      </c>
      <c r="DT4" s="1">
        <f>-Analysis!$C$116*DD4/12</f>
        <v>-1638.5966935793922</v>
      </c>
      <c r="DU4" s="53"/>
      <c r="DV4" s="1">
        <f t="shared" si="30"/>
        <v>-55007.843137254895</v>
      </c>
      <c r="DW4" s="64">
        <f>IF(OR($B4&lt;Analysis!$C$100, $B4&gt;=Analysis!$C$101),0,IF($B4=Analysis!$C$100,Analysis!$C$31,DW3))</f>
        <v>0.1275</v>
      </c>
      <c r="DX4" s="1">
        <f>IF(OR($B4&lt;Analysis!$C$100, $B4&gt;=Analysis!$C$101),0,CK4+DV4)</f>
        <v>376426.22068435216</v>
      </c>
      <c r="DY4" s="1">
        <f>IF(OR($B4&lt;Analysis!$C$100, $B4&gt;=Analysis!$C$101),0,IF($B4-Analysis!$C$100&gt;3,0,IF(CK4&gt;LOOKUP(Analysis!$C$100,$B:$B, CK:CK),$V4*(LOOKUP(Analysis!$C$100,$B:$B, CK:CK)-CK4),0)))</f>
        <v>-4334.4843329488558</v>
      </c>
      <c r="DZ4" s="1">
        <f t="shared" ref="DZ4:DZ52" si="49">DX4+DY4</f>
        <v>372091.73635140329</v>
      </c>
      <c r="EA4" s="53"/>
      <c r="EB4" s="1">
        <f t="shared" si="31"/>
        <v>717324.10611303325</v>
      </c>
      <c r="EC4" s="64">
        <f t="shared" ref="EC4:EC52" si="50">EC$2</f>
        <v>1.9607843137254832E-2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-81882.789843358652</v>
      </c>
      <c r="FM4" s="1">
        <f>$M4+$R4+DD4+IF(AND($B4&lt;&gt;Analysis!$C$130,$B4=Analysis!$C$101),DZ3+CQ3+CT3+CZ3,0)</f>
        <v>67610.219146482108</v>
      </c>
      <c r="FN4" s="1">
        <f t="shared" si="34"/>
        <v>-14272.570696876544</v>
      </c>
      <c r="FO4" s="1">
        <f>IF(FN4 &lt; 0,
    IF(FO3 + FN4 &gt; 0,
        FO3 + FN4, IF(FT3-ABS(FO3 + FN4)*(1+$V4) &gt;= FO3 + FN4,
        0, FO3 + FN4)),
    MIN(FO3 + FN4, Analysis!$C$7))+IF(FO3&lt;0, FO3*Analysis!$C$9,0)</f>
        <v>9012.8117014437594</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431434.06382160704</v>
      </c>
      <c r="FX4" s="64">
        <f t="shared" ref="FX4:FX52" si="53">$FX$2</f>
        <v>1.9607843137254832E-2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-8323.6894243900024</v>
      </c>
      <c r="GC4" s="1">
        <f>IF($B4&lt;Analysis!$C$159,0,IF($B4=Analysis!$C$159,-FY4-GB4,MIN(0,GC3-GB4)))</f>
        <v>-362924.79910561</v>
      </c>
      <c r="GD4" s="64">
        <f>IF($B4&lt;Analysis!$C$159,0,IF($B4=Analysis!$C$159,Analysis!$C$160,IF(($B4-Analysis!$C$159)&lt;LOOKUP(Analysis!$C$159,$B:$B,FZ:FZ),GD3,0)))</f>
        <v>3.6999999999999998E-2</v>
      </c>
      <c r="GE4" s="1">
        <f>IF($B4&lt;Analysis!$C$159,0,IF($B4=Analysis!$C$159,-GD4*FY4,GD3*GC3))</f>
        <v>-13736.194075610001</v>
      </c>
      <c r="GF4" s="1">
        <f>IF($B4&lt;Analysis!$C$159,0,IF($B4=Analysis!$C$159,PMT(GD4,FZ4,FY4)*FZ4-GG4-GC4,IF(($B4-Analysis!$C$159+1)&lt;LOOKUP(Analysis!$C$159,$B:$B,FZ:FZ),IF(GF3-GE4&lt;0, GF3-GE4,0),0)))</f>
        <v>-206802.7394635161</v>
      </c>
      <c r="GG4" s="1">
        <f>IF($B4&lt;Analysis!$C$159,0,IF($B4=Analysis!$C$159,GB4+GE4,IF(GC3&lt;0,IF(GC3&gt;LOOKUP(Analysis!$C$159,$B:$B,GG:GG), GC3*(1+GD3),GG3),0)))</f>
        <v>-22059.883500000004</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14408.858131487887</v>
      </c>
      <c r="GO4" s="64">
        <f>IF($B4&lt;Analysis!$C$159,0,((1+Analysis!$B$174)/(1+$S4))-1)</f>
        <v>1.9607843137254832E-2</v>
      </c>
      <c r="GP4" s="1">
        <f t="shared" si="7"/>
        <v>19663.160322952706</v>
      </c>
      <c r="GQ4" s="1">
        <f t="shared" si="36"/>
        <v>-1294.3021914648211</v>
      </c>
      <c r="GR4" s="64">
        <f>IF($B4&lt;Analysis!$C$159,0,Analysis!$C$178)</f>
        <v>3.0000000000000001E-3</v>
      </c>
      <c r="GS4" s="1">
        <f t="shared" si="37"/>
        <v>-3235.7554786620526</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-1080.6643598615915</v>
      </c>
      <c r="HD4" s="1">
        <f t="shared" si="38"/>
        <v>-17870.722029988465</v>
      </c>
      <c r="HE4" s="1">
        <f>MIN(0,-(GN4+HD4)*Analysis!$C$28)-GE4*Analysis!$C$28</f>
        <v>6086.5075949027905</v>
      </c>
      <c r="HF4" s="1">
        <f>-Analysis!$C$176*GP4/12</f>
        <v>-1638.5966935793922</v>
      </c>
      <c r="HG4" s="38"/>
      <c r="HH4" s="1">
        <f>IF($B4&lt;Analysis!$C$159,0,-$HI4*$FW4)</f>
        <v>-55007.843137254895</v>
      </c>
      <c r="HI4" s="64">
        <f>IF($B4&lt;Analysis!$C$159,0,IF($B4=Analysis!$C$159,Analysis!$C$31,HI3))</f>
        <v>0.1275</v>
      </c>
      <c r="HJ4" s="1">
        <f>IF($B4&lt;Analysis!$C$159,0,$FW4+HH4)</f>
        <v>376426.22068435216</v>
      </c>
      <c r="HK4" s="1">
        <f>IF($B4-Analysis!$C$159&gt;10,0,IF($FW4&gt;LOOKUP(Analysis!$C$159,$B:$B, FW:FW),$V4*(LOOKUP(Analysis!$C$159,$B:$B, FW:FW)-FW4),0))</f>
        <v>-4334.4843329488558</v>
      </c>
      <c r="HL4" s="1">
        <f t="shared" si="39"/>
        <v>372091.73635140329</v>
      </c>
      <c r="HM4" s="38"/>
      <c r="HN4" s="1">
        <f t="shared" si="40"/>
        <v>-81882.789843358652</v>
      </c>
      <c r="HO4" s="1">
        <f t="shared" si="8"/>
        <v>67610.219146482108</v>
      </c>
      <c r="HP4" s="1">
        <f t="shared" si="41"/>
        <v>-14272.570696876544</v>
      </c>
      <c r="HQ4" s="1">
        <f>IF(HP4 &lt; 0,
    IF(HQ3 + HP4 &gt; 0,
        HQ3 + HP4, IF(HV3-ABS(HQ3 + HP4)*(1+$V4) &gt;= HQ3 + HP4,
        0, HQ3 + HP4)),
    MIN(HQ3 + HP4, Analysis!$C$7))+IF(HQ3&lt;0, HQ3*Analysis!$C$9,0)</f>
        <v>9012.8117014437739</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-364367.62125923316</v>
      </c>
      <c r="D5" s="1">
        <f>IF($B5&lt;Analysis!C$66, 0, BV5)+AT5+AW5+BC5+CG5+CA5</f>
        <v>-468536.17888412852</v>
      </c>
      <c r="E5" s="1">
        <f t="shared" si="1"/>
        <v>116606.69355832887</v>
      </c>
      <c r="F5" s="1">
        <f t="shared" si="9"/>
        <v>112998.24615317414</v>
      </c>
      <c r="G5" s="1">
        <f>IF(AND($B5&gt;=Analysis!$C$100, $B5&lt;Analysis!$C$101),$CK5,0)+IF($B5&gt;=Analysis!$C$130,EB5,0)+CQ5+CT5+CZ5+EH5+EK5+EQ5+$FO5+$FT5</f>
        <v>-121052.59386250436</v>
      </c>
      <c r="H5" s="1">
        <f t="shared" si="10"/>
        <v>-183704.69736153563</v>
      </c>
      <c r="I5" s="1">
        <f>IF($B5&lt;Analysis!$C$159,0,$FW5)+$GC5+$GF5+$GL5+$HQ5+$HV5</f>
        <v>-121052.59386250435</v>
      </c>
      <c r="J5" s="1">
        <f t="shared" si="2"/>
        <v>-183704.69736153563</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-16790.154013162359</v>
      </c>
      <c r="Y5" s="64">
        <f t="shared" si="15"/>
        <v>1.9607843137254832E-2</v>
      </c>
      <c r="Z5" s="1">
        <f t="shared" si="16"/>
        <v>-3960</v>
      </c>
      <c r="AA5" s="64">
        <f t="shared" si="17"/>
        <v>0</v>
      </c>
      <c r="AB5" s="40"/>
      <c r="AC5" s="1">
        <f t="shared" si="3"/>
        <v>-72950.154013162362</v>
      </c>
      <c r="AD5" s="1">
        <f t="shared" si="4"/>
        <v>100652.41620869798</v>
      </c>
      <c r="AE5" s="1">
        <f t="shared" si="18"/>
        <v>27702.262195535615</v>
      </c>
      <c r="AF5" s="1">
        <f>IF(AE5 &lt; 0,
    IF(AF4 + AE5 &gt; 0,
        AF4 + AE5, IF(AK4-ABS(AF4 + AE5)*(1+$V5) &gt;= AF4 + AE5,
        0, AF4 + AE5)),
    MIN(AF4 + AE5, Analysis!$C$7))+IF(AF4&lt;0, AF4*Analysis!$C$9,0)</f>
        <v>24000</v>
      </c>
      <c r="AG5" s="40"/>
      <c r="AH5" s="1">
        <f t="shared" si="19"/>
        <v>4478.3865241735784</v>
      </c>
      <c r="AI5" s="1">
        <f>IF(AE5 &gt;= 0,
    MAX(0, AF4 + AE5 - Analysis!$C$7),
    0)</f>
        <v>27022.054583078861</v>
      </c>
      <c r="AJ5" s="1">
        <f t="shared" si="44"/>
        <v>78925.376382386792</v>
      </c>
      <c r="AK5" s="1">
        <f t="shared" si="20"/>
        <v>92606.693558328872</v>
      </c>
      <c r="AL5" s="1">
        <f t="shared" si="5"/>
        <v>88998.246153174143</v>
      </c>
      <c r="AM5" s="36"/>
      <c r="AN5" s="1">
        <f t="shared" si="45"/>
        <v>731389.28466426919</v>
      </c>
      <c r="AO5" s="64">
        <f t="shared" si="21"/>
        <v>1.9607843137254832E-2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-15474.663597078983</v>
      </c>
      <c r="AT5" s="1">
        <f>IF($B5&lt;Analysis!$C$66,0,IF($B5=Analysis!$C$66,-AP5-AS5,MIN(0,AT4-AS5)))</f>
        <v>-635169.04999538115</v>
      </c>
      <c r="AU5" s="64">
        <f>IF($B5&lt;Analysis!$C$66,0,IF($B5=Analysis!$C$66,Analysis!$C$72,IF(($B5-Analysis!$C$66)&lt;LOOKUP(Analysis!$C$66,$B:$B,AQ:AQ),AU4,0)))</f>
        <v>3.6999999999999998E-2</v>
      </c>
      <c r="AV5" s="1">
        <f>IF($B5&lt;Analysis!$C$66,0,IF($B5=Analysis!$C$66,-AU5*AP5,AU4*AT4))</f>
        <v>-24073.817402921024</v>
      </c>
      <c r="AW5" s="1">
        <f>IF($B5&lt;Analysis!$C$66,0,IF($B5=Analysis!$C$66,PMT(AU5,AQ5,AP5)*AQ5-AX5-AT5,IF(($B5-Analysis!$C$66+1)&lt;LOOKUP(Analysis!$C$66,$B:$B,AQ:AQ),IF(AW4-AV5&lt;0, AW4-AV5,0),0)))</f>
        <v>-346677.65154390363</v>
      </c>
      <c r="AX5" s="1">
        <f>IF($B5&lt;Analysis!$C$66,0,IF($B5=Analysis!$C$66,AS5+AV5,IF(AT4&lt;0,IF(AT4&gt;LOOKUP(Analysis!$C$66,$B:$B,AX:AX), AT4*(1+AU4),AX4),0)))</f>
        <v>-39548.481000000007</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-2194.1678539928075</v>
      </c>
      <c r="BF5" s="64">
        <f>IF($B5&lt;Analysis!$C$66,0,Analysis!$C$78)</f>
        <v>3.0000000000000001E-3</v>
      </c>
      <c r="BG5" s="1">
        <f>IF($B5&lt;Analysis!$C$66,0,-BH5*AN5)</f>
        <v>-5485.4196349820186</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-93252.133794694324</v>
      </c>
      <c r="BS5" s="64">
        <f>IF($B5&lt;Analysis!C$66,0,Analysis!C$31)</f>
        <v>0.1275</v>
      </c>
      <c r="BT5" s="1">
        <f>IF($B5&lt;Analysis!$C$66,0,AN5+BR5)</f>
        <v>638137.15086957486</v>
      </c>
      <c r="BU5" s="1">
        <f>IF($B5-Analysis!$C$66&gt;3,0,IF($AN5&gt;LOOKUP(Analysis!$C$66,$B:$B, AN:AN),$V5*(LOOKUP(Analysis!$C$66,$B:$B, AN:AN)-AN5),0))</f>
        <v>-10916.423830200998</v>
      </c>
      <c r="BV5" s="1">
        <f t="shared" si="23"/>
        <v>627220.72703937383</v>
      </c>
      <c r="BW5" s="42"/>
      <c r="BX5" s="1">
        <f>IF($B5&lt;Analysis!$C$66,$P5+$N5+$X5+$Z5,$P5+$N5+AS5+AV5+BB5+BE5+BG5+MAX(BI5,SUM(BJ5:BN5))+BP5)</f>
        <v>-109460.89726768225</v>
      </c>
      <c r="BY5" s="1">
        <f t="shared" si="24"/>
        <v>100652.41620869798</v>
      </c>
      <c r="BZ5" s="1">
        <f t="shared" si="46"/>
        <v>-8808.4810589842673</v>
      </c>
      <c r="CA5" s="1">
        <f>IF(BZ5 &lt; 0,
    IF(CA4 + BZ5 &gt; 0,
        CA4 + BZ5, IF(CF4-ABS(CA4 + BZ5)*(1+$V5) &gt;= CA4 + BZ5,
        0, CA4 + BZ5)),
    MIN(CA4 + BZ5, Analysis!$C$7))+IF(CA4&lt;0, CA4*Analysis!$C$9,0)</f>
        <v>-77473.231711973043</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-16790.154013162359</v>
      </c>
      <c r="CJ5" s="1">
        <f>IF(OR($B5&lt;Analysis!$C$100, $B5&gt;=Analysis!$C$130),0,Z5)</f>
        <v>-3960</v>
      </c>
      <c r="CK5" s="1">
        <f t="shared" si="26"/>
        <v>439893.55526908947</v>
      </c>
      <c r="CL5" s="64">
        <f t="shared" si="48"/>
        <v>1.9607843137254832E-2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-8631.665933092434</v>
      </c>
      <c r="CQ5" s="1">
        <f>IF(OR($B5&lt;Analysis!$C$100, $B5&gt;=Analysis!$C$101),0,IF($B5=Analysis!$C$100,-CM5-CP5,MIN(0,CQ4-CP5)))</f>
        <v>-354293.13317251758</v>
      </c>
      <c r="CR5" s="64">
        <f>IF(OR($B5&lt;Analysis!$C$100, $B5&gt;=Analysis!$C$101),0,IF($B5=Analysis!$C$100,Analysis!$C$102,IF(($B5-Analysis!$C$100)&lt;LOOKUP(Analysis!$C$100,$B:$B,CN:CN),CR4,0)))</f>
        <v>3.6999999999999998E-2</v>
      </c>
      <c r="CS5" s="1">
        <f>IF(OR($B5&lt;Analysis!$C$100, $B5&gt;=Analysis!$C$101),0,IF($B5=Analysis!$C$100,-CR5*CM5,CR4*CQ4))</f>
        <v>-13428.21756690757</v>
      </c>
      <c r="CT5" s="1">
        <f>IF(OR($B5&lt;Analysis!$C$100, $B5&gt;=Analysis!$C$101),0,IF($B5=Analysis!$C$100,PMT(CR5,CN5,CM5)*CN5-CU5-CQ5,IF(($B5-Analysis!$C$100+1)&lt;LOOKUP(Analysis!$C$100,$B:$B,CN:CN),IF(CT4-CS5&lt;0, CT4-CS5,0),0)))</f>
        <v>-193374.52189660852</v>
      </c>
      <c r="CU5" s="1">
        <f>IF(OR($B5&lt;Analysis!$C$100, $B5&gt;=Analysis!$C$101),0,IF($B5=Analysis!$C$100,CP5+CS5,IF(CQ4&lt;0,IF(CQ4&gt;LOOKUP(Analysis!$C$100,$B:$B,CU:CU), CQ4*(1+CR4),CU4),0)))</f>
        <v>-22059.883500000004</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14691.38476151706</v>
      </c>
      <c r="DC5" s="64">
        <f>IF(OR($B5&lt;Analysis!$C$100, $B5&gt;=Analysis!$C$101),0,((1+Analysis!$B$114)/(1+$S5))-1)</f>
        <v>1.9607843137254832E-2</v>
      </c>
      <c r="DD5" s="1">
        <f t="shared" si="6"/>
        <v>19971.065427324327</v>
      </c>
      <c r="DE5" s="1">
        <f t="shared" si="27"/>
        <v>-1319.6806658072685</v>
      </c>
      <c r="DF5" s="64">
        <f>IF(OR($B5&lt;Analysis!$C$100, $B5&gt;=Analysis!$C$101),0,Analysis!$C$118)</f>
        <v>3.0000000000000001E-3</v>
      </c>
      <c r="DG5" s="1">
        <f t="shared" si="28"/>
        <v>-3299.2016645181707</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-1101.8538571137794</v>
      </c>
      <c r="DR5" s="1">
        <f t="shared" si="29"/>
        <v>-17980.736187439219</v>
      </c>
      <c r="DS5" s="1">
        <f>MIN(0,-(DB5+DR5)*Analysis!$C$28)-CS5*Analysis!$C$28</f>
        <v>5950.0432038967429</v>
      </c>
      <c r="DT5" s="1">
        <f>-Analysis!$C$116*DD5/12</f>
        <v>-1664.2554522770272</v>
      </c>
      <c r="DU5" s="53"/>
      <c r="DV5" s="1">
        <f t="shared" si="30"/>
        <v>-56086.42829680891</v>
      </c>
      <c r="DW5" s="64">
        <f>IF(OR($B5&lt;Analysis!$C$100, $B5&gt;=Analysis!$C$101),0,IF($B5=Analysis!$C$100,Analysis!$C$31,DW4))</f>
        <v>0.1275</v>
      </c>
      <c r="DX5" s="1">
        <f>IF(OR($B5&lt;Analysis!$C$100, $B5&gt;=Analysis!$C$101),0,CK5+DV5)</f>
        <v>383807.12697228056</v>
      </c>
      <c r="DY5" s="1">
        <f>IF(OR($B5&lt;Analysis!$C$100, $B5&gt;=Analysis!$C$101),0,IF($B5-Analysis!$C$100&gt;3,0,IF(CK5&gt;LOOKUP(Analysis!$C$100,$B:$B, CK:CK),$V5*(LOOKUP(Analysis!$C$100,$B:$B, CK:CK)-CK5),0)))</f>
        <v>-6565.6752022223473</v>
      </c>
      <c r="DZ5" s="1">
        <f t="shared" si="49"/>
        <v>377241.45177005819</v>
      </c>
      <c r="EA5" s="53"/>
      <c r="EB5" s="1">
        <f t="shared" si="31"/>
        <v>731389.28466426919</v>
      </c>
      <c r="EC5" s="64">
        <f t="shared" si="50"/>
        <v>1.9607843137254832E-2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-106477.81472768929</v>
      </c>
      <c r="FM5" s="1">
        <f>$M5+$R5+DD5+IF(AND($B5&lt;&gt;Analysis!$C$130,$B5=Analysis!$C$101),DZ4+CQ4+CT4+CZ4,0)</f>
        <v>120623.4816360223</v>
      </c>
      <c r="FN5" s="1">
        <f t="shared" si="34"/>
        <v>14145.66690833302</v>
      </c>
      <c r="FO5" s="1">
        <f>IF(FN5 &lt; 0,
    IF(FO4 + FN5 &gt; 0,
        FO4 + FN5, IF(FT4-ABS(FO4 + FN5)*(1+$V5) &gt;= FO4 + FN5,
        0, FO4 + FN5)),
    MIN(FO4 + FN5, Analysis!$C$7))+IF(FO4&lt;0, FO4*Analysis!$C$9,0)</f>
        <v>23158.478609776779</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439893.55526908947</v>
      </c>
      <c r="FX5" s="64">
        <f t="shared" si="53"/>
        <v>1.9607843137254832E-2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-8631.665933092434</v>
      </c>
      <c r="GC5" s="1">
        <f>IF($B5&lt;Analysis!$C$159,0,IF($B5=Analysis!$C$159,-FY5-GB5,MIN(0,GC4-GB5)))</f>
        <v>-354293.13317251758</v>
      </c>
      <c r="GD5" s="64">
        <f>IF($B5&lt;Analysis!$C$159,0,IF($B5=Analysis!$C$159,Analysis!$C$160,IF(($B5-Analysis!$C$159)&lt;LOOKUP(Analysis!$C$159,$B:$B,FZ:FZ),GD4,0)))</f>
        <v>3.6999999999999998E-2</v>
      </c>
      <c r="GE5" s="1">
        <f>IF($B5&lt;Analysis!$C$159,0,IF($B5=Analysis!$C$159,-GD5*FY5,GD4*GC4))</f>
        <v>-13428.21756690757</v>
      </c>
      <c r="GF5" s="1">
        <f>IF($B5&lt;Analysis!$C$159,0,IF($B5=Analysis!$C$159,PMT(GD5,FZ5,FY5)*FZ5-GG5-GC5,IF(($B5-Analysis!$C$159+1)&lt;LOOKUP(Analysis!$C$159,$B:$B,FZ:FZ),IF(GF4-GE5&lt;0, GF4-GE5,0),0)))</f>
        <v>-193374.52189660852</v>
      </c>
      <c r="GG5" s="1">
        <f>IF($B5&lt;Analysis!$C$159,0,IF($B5=Analysis!$C$159,GB5+GE5,IF(GC4&lt;0,IF(GC4&gt;LOOKUP(Analysis!$C$159,$B:$B,GG:GG), GC4*(1+GD4),GG4),0)))</f>
        <v>-22059.883500000004</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14691.38476151706</v>
      </c>
      <c r="GO5" s="64">
        <f>IF($B5&lt;Analysis!$C$159,0,((1+Analysis!$B$174)/(1+$S5))-1)</f>
        <v>1.9607843137254832E-2</v>
      </c>
      <c r="GP5" s="1">
        <f t="shared" si="7"/>
        <v>19971.065427324327</v>
      </c>
      <c r="GQ5" s="1">
        <f t="shared" si="36"/>
        <v>-1319.6806658072685</v>
      </c>
      <c r="GR5" s="64">
        <f>IF($B5&lt;Analysis!$C$159,0,Analysis!$C$178)</f>
        <v>3.0000000000000001E-3</v>
      </c>
      <c r="GS5" s="1">
        <f t="shared" si="37"/>
        <v>-3299.2016645181707</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-1101.8538571137794</v>
      </c>
      <c r="HD5" s="1">
        <f t="shared" si="38"/>
        <v>-17980.736187439219</v>
      </c>
      <c r="HE5" s="1">
        <f>MIN(0,-(GN5+HD5)*Analysis!$C$28)-GE5*Analysis!$C$28</f>
        <v>5950.0432038967429</v>
      </c>
      <c r="HF5" s="1">
        <f>-Analysis!$C$176*GP5/12</f>
        <v>-1664.2554522770272</v>
      </c>
      <c r="HG5" s="38"/>
      <c r="HH5" s="1">
        <f>IF($B5&lt;Analysis!$C$159,0,-$HI5*$FW5)</f>
        <v>-56086.42829680891</v>
      </c>
      <c r="HI5" s="64">
        <f>IF($B5&lt;Analysis!$C$159,0,IF($B5=Analysis!$C$159,Analysis!$C$31,HI4))</f>
        <v>0.1275</v>
      </c>
      <c r="HJ5" s="1">
        <f>IF($B5&lt;Analysis!$C$159,0,$FW5+HH5)</f>
        <v>383807.12697228056</v>
      </c>
      <c r="HK5" s="1">
        <f>IF($B5-Analysis!$C$159&gt;10,0,IF($FW5&gt;LOOKUP(Analysis!$C$159,$B:$B, FW:FW),$V5*(LOOKUP(Analysis!$C$159,$B:$B, FW:FW)-FW5),0))</f>
        <v>-6565.6752022223473</v>
      </c>
      <c r="HL5" s="1">
        <f t="shared" si="39"/>
        <v>377241.45177005819</v>
      </c>
      <c r="HM5" s="38"/>
      <c r="HN5" s="1">
        <f t="shared" si="40"/>
        <v>-106477.81472768929</v>
      </c>
      <c r="HO5" s="1">
        <f t="shared" si="8"/>
        <v>120623.4816360223</v>
      </c>
      <c r="HP5" s="1">
        <f t="shared" si="41"/>
        <v>14145.66690833302</v>
      </c>
      <c r="HQ5" s="1">
        <f>IF(HP5 &lt; 0,
    IF(HQ4 + HP5 &gt; 0,
        HQ4 + HP5, IF(HV4-ABS(HQ4 + HP5)*(1+$V5) &gt;= HQ4 + HP5,
        0, HQ4 + HP5)),
    MIN(HQ4 + HP5, Analysis!$C$7))+IF(HQ4&lt;0, HQ4*Analysis!$C$9,0)</f>
        <v>23158.478609776794</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-320195.29387183714</v>
      </c>
      <c r="D6" s="1">
        <f>IF($B6&lt;Analysis!C$66, 0, BV6)+AT6+AW6+BC6+CG6+CA6</f>
        <v>-415275.90087819216</v>
      </c>
      <c r="E6" s="1">
        <f t="shared" si="1"/>
        <v>149974.96078898045</v>
      </c>
      <c r="F6" s="1">
        <f t="shared" si="9"/>
        <v>144618.31171949691</v>
      </c>
      <c r="G6" s="1">
        <f>IF(AND($B6&gt;=Analysis!$C$100, $B6&lt;Analysis!$C$101),$CK6,0)+IF($B6&gt;=Analysis!$C$130,EB6,0)+CQ6+CT6+CZ6+EH6+EK6+EQ6+$FO6+$FT6</f>
        <v>-71077.002850811652</v>
      </c>
      <c r="H6" s="1">
        <f t="shared" si="10"/>
        <v>-128263.16503579328</v>
      </c>
      <c r="I6" s="1">
        <f>IF($B6&lt;Analysis!$C$159,0,$FW6)+$GC6+$GF6+$GL6+$HQ6+$HV6</f>
        <v>-71077.002850811637</v>
      </c>
      <c r="J6" s="1">
        <f t="shared" si="2"/>
        <v>-137103.77994786308</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-17119.372719302795</v>
      </c>
      <c r="Y6" s="64">
        <f t="shared" si="15"/>
        <v>1.9607843137254832E-2</v>
      </c>
      <c r="Z6" s="1">
        <f t="shared" si="16"/>
        <v>-3960</v>
      </c>
      <c r="AA6" s="64">
        <f t="shared" si="17"/>
        <v>0</v>
      </c>
      <c r="AB6" s="40"/>
      <c r="AC6" s="1">
        <f t="shared" si="3"/>
        <v>-76379.372719302803</v>
      </c>
      <c r="AD6" s="1">
        <f t="shared" si="4"/>
        <v>103119.38719420528</v>
      </c>
      <c r="AE6" s="1">
        <f t="shared" si="18"/>
        <v>26740.014474902477</v>
      </c>
      <c r="AF6" s="1">
        <f>IF(AE6 &lt; 0,
    IF(AF5 + AE6 &gt; 0,
        AF5 + AE6, IF(AK5-ABS(AF5 + AE6)*(1+$V6) &gt;= AF5 + AE6,
        0, AF5 + AE6)),
    MIN(AF5 + AE6, Analysis!$C$7))+IF(AF5&lt;0, AF5*Analysis!$C$9,0)</f>
        <v>24000</v>
      </c>
      <c r="AG6" s="40"/>
      <c r="AH6" s="1">
        <f t="shared" si="19"/>
        <v>6628.2527557490912</v>
      </c>
      <c r="AI6" s="1">
        <f>IF(AE6 &gt;= 0,
    MAX(0, AF5 + AE6 - Analysis!$C$7),
    0)</f>
        <v>26740.014474902477</v>
      </c>
      <c r="AJ6" s="1">
        <f t="shared" si="44"/>
        <v>105665.39085728927</v>
      </c>
      <c r="AK6" s="1">
        <f t="shared" si="20"/>
        <v>125974.96078898045</v>
      </c>
      <c r="AL6" s="1">
        <f t="shared" si="5"/>
        <v>120618.31171949689</v>
      </c>
      <c r="AM6" s="36"/>
      <c r="AN6" s="1">
        <f t="shared" si="45"/>
        <v>745730.2510302352</v>
      </c>
      <c r="AO6" s="64">
        <f t="shared" si="21"/>
        <v>1.9607843137254832E-2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-16047.226150170907</v>
      </c>
      <c r="AT6" s="1">
        <f>IF($B6&lt;Analysis!$C$66,0,IF($B6=Analysis!$C$66,-AP6-AS6,MIN(0,AT5-AS6)))</f>
        <v>-619121.82384521025</v>
      </c>
      <c r="AU6" s="64">
        <f>IF($B6&lt;Analysis!$C$66,0,IF($B6=Analysis!$C$66,Analysis!$C$72,IF(($B6-Analysis!$C$66)&lt;LOOKUP(Analysis!$C$66,$B:$B,AQ:AQ),AU5,0)))</f>
        <v>3.6999999999999998E-2</v>
      </c>
      <c r="AV6" s="1">
        <f>IF($B6&lt;Analysis!$C$66,0,IF($B6=Analysis!$C$66,-AU6*AP6,AU5*AT5))</f>
        <v>-23501.2548498291</v>
      </c>
      <c r="AW6" s="1">
        <f>IF($B6&lt;Analysis!$C$66,0,IF($B6=Analysis!$C$66,PMT(AU6,AQ6,AP6)*AQ6-AX6-AT6,IF(($B6-Analysis!$C$66+1)&lt;LOOKUP(Analysis!$C$66,$B:$B,AQ:AQ),IF(AW5-AV6&lt;0, AW5-AV6,0),0)))</f>
        <v>-323176.3966940745</v>
      </c>
      <c r="AX6" s="1">
        <f>IF($B6&lt;Analysis!$C$66,0,IF($B6=Analysis!$C$66,AS6+AV6,IF(AT5&lt;0,IF(AT5&gt;LOOKUP(Analysis!$C$66,$B:$B,AX:AX), AT5*(1+AU5),AX5),0)))</f>
        <v>-39548.481000000007</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-2237.1907530907056</v>
      </c>
      <c r="BF6" s="64">
        <f>IF($B6&lt;Analysis!$C$66,0,Analysis!$C$78)</f>
        <v>3.0000000000000001E-3</v>
      </c>
      <c r="BG6" s="1">
        <f>IF($B6&lt;Analysis!$C$66,0,-BH6*AN6)</f>
        <v>-5592.9768827267635</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-95080.607006354985</v>
      </c>
      <c r="BS6" s="64">
        <f>IF($B6&lt;Analysis!C$66,0,Analysis!C$31)</f>
        <v>0.1275</v>
      </c>
      <c r="BT6" s="1">
        <f>IF($B6&lt;Analysis!$C$66,0,AN6+BR6)</f>
        <v>650649.64402388025</v>
      </c>
      <c r="BU6" s="1">
        <f>IF($B6-Analysis!$C$66&gt;3,0,IF($AN6&gt;LOOKUP(Analysis!$C$66,$B:$B, AN:AN),$V6*(LOOKUP(Analysis!$C$66,$B:$B, AN:AN)-AN6),0))</f>
        <v>0</v>
      </c>
      <c r="BV6" s="1">
        <f t="shared" si="23"/>
        <v>650649.64402388025</v>
      </c>
      <c r="BW6" s="42"/>
      <c r="BX6" s="1">
        <f>IF($B6&lt;Analysis!$C$66,$P6+$N6+$X6+$Z6,$P6+$N6+AS6+AV6+BB6+BE6+BG6+MAX(BI6,SUM(BJ6:BN6))+BP6)</f>
        <v>-112711.4774145249</v>
      </c>
      <c r="BY6" s="1">
        <f t="shared" si="24"/>
        <v>103119.38719420528</v>
      </c>
      <c r="BZ6" s="1">
        <f t="shared" si="46"/>
        <v>-9592.0902203196165</v>
      </c>
      <c r="CA6" s="1">
        <f>IF(BZ6 &lt; 0,
    IF(CA5 + BZ6 &gt; 0,
        CA5 + BZ6, IF(CF5-ABS(CA5 + BZ6)*(1+$V6) &gt;= CA5 + BZ6,
        0, CA5 + BZ6)),
    MIN(CA5 + BZ6, Analysis!$C$7))+IF(CA5&lt;0, CA5*Analysis!$C$9,0)</f>
        <v>-93263.18046925051</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-17119.372719302795</v>
      </c>
      <c r="CJ6" s="1">
        <f>IF(OR($B6&lt;Analysis!$C$100, $B6&gt;=Analysis!$C$130),0,Z6)</f>
        <v>-3960</v>
      </c>
      <c r="CK6" s="1">
        <f t="shared" si="26"/>
        <v>448518.91909789509</v>
      </c>
      <c r="CL6" s="64">
        <f t="shared" si="48"/>
        <v>1.9607843137254832E-2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-8951.0375726168531</v>
      </c>
      <c r="CQ6" s="1">
        <f>IF(OR($B6&lt;Analysis!$C$100, $B6&gt;=Analysis!$C$101),0,IF($B6=Analysis!$C$100,-CM6-CP6,MIN(0,CQ5-CP6)))</f>
        <v>-345342.09559990076</v>
      </c>
      <c r="CR6" s="64">
        <f>IF(OR($B6&lt;Analysis!$C$100, $B6&gt;=Analysis!$C$101),0,IF($B6=Analysis!$C$100,Analysis!$C$102,IF(($B6-Analysis!$C$100)&lt;LOOKUP(Analysis!$C$100,$B:$B,CN:CN),CR5,0)))</f>
        <v>3.6999999999999998E-2</v>
      </c>
      <c r="CS6" s="1">
        <f>IF(OR($B6&lt;Analysis!$C$100, $B6&gt;=Analysis!$C$101),0,IF($B6=Analysis!$C$100,-CR6*CM6,CR5*CQ5))</f>
        <v>-13108.84592738315</v>
      </c>
      <c r="CT6" s="1">
        <f>IF(OR($B6&lt;Analysis!$C$100, $B6&gt;=Analysis!$C$101),0,IF($B6=Analysis!$C$100,PMT(CR6,CN6,CM6)*CN6-CU6-CQ6,IF(($B6-Analysis!$C$100+1)&lt;LOOKUP(Analysis!$C$100,$B:$B,CN:CN),IF(CT5-CS6&lt;0, CT5-CS6,0),0)))</f>
        <v>-180265.67596922538</v>
      </c>
      <c r="CU6" s="1">
        <f>IF(OR($B6&lt;Analysis!$C$100, $B6&gt;=Analysis!$C$101),0,IF($B6=Analysis!$C$100,CP6+CS6,IF(CQ5&lt;0,IF(CQ5&gt;LOOKUP(Analysis!$C$100,$B:$B,CU:CU), CQ5*(1+CR5),CU5),0)))</f>
        <v>-22059.883500000004</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14979.451129389943</v>
      </c>
      <c r="DC6" s="64">
        <f>IF(OR($B6&lt;Analysis!$C$100, $B6&gt;=Analysis!$C$101),0,((1+Analysis!$B$114)/(1+$S6))-1)</f>
        <v>1.9607843137254832E-2</v>
      </c>
      <c r="DD6" s="1">
        <f t="shared" si="6"/>
        <v>20285.007886683627</v>
      </c>
      <c r="DE6" s="1">
        <f t="shared" si="27"/>
        <v>-1345.5567572936852</v>
      </c>
      <c r="DF6" s="64">
        <f>IF(OR($B6&lt;Analysis!$C$100, $B6&gt;=Analysis!$C$101),0,Analysis!$C$118)</f>
        <v>3.0000000000000001E-3</v>
      </c>
      <c r="DG6" s="1">
        <f t="shared" si="28"/>
        <v>-3363.8918932342131</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-1123.4588347042456</v>
      </c>
      <c r="DR6" s="1">
        <f t="shared" si="29"/>
        <v>-18092.907485232143</v>
      </c>
      <c r="DS6" s="1">
        <f>MIN(0,-(DB6+DR6)*Analysis!$C$28)-CS6*Analysis!$C$28</f>
        <v>5808.5296304234735</v>
      </c>
      <c r="DT6" s="1">
        <f>-Analysis!$C$116*DD6/12</f>
        <v>-1690.4173238903022</v>
      </c>
      <c r="DU6" s="53"/>
      <c r="DV6" s="1">
        <f t="shared" si="30"/>
        <v>-57186.162184981622</v>
      </c>
      <c r="DW6" s="64">
        <f>IF(OR($B6&lt;Analysis!$C$100, $B6&gt;=Analysis!$C$101),0,IF($B6=Analysis!$C$100,Analysis!$C$31,DW5))</f>
        <v>0.1275</v>
      </c>
      <c r="DX6" s="1">
        <f>IF(OR($B6&lt;Analysis!$C$100, $B6&gt;=Analysis!$C$101),0,CK6+DV6)</f>
        <v>391332.75691291346</v>
      </c>
      <c r="DY6" s="1">
        <f>IF(OR($B6&lt;Analysis!$C$100, $B6&gt;=Analysis!$C$101),0,IF($B6-Analysis!$C$100&gt;3,0,IF(CK6&gt;LOOKUP(Analysis!$C$100,$B:$B, CK:CK),$V6*(LOOKUP(Analysis!$C$100,$B:$B, CK:CK)-CK6),0)))</f>
        <v>0</v>
      </c>
      <c r="DZ6" s="1">
        <f t="shared" si="49"/>
        <v>391332.75691291346</v>
      </c>
      <c r="EA6" s="53"/>
      <c r="EB6" s="1">
        <f t="shared" si="31"/>
        <v>745730.2510302352</v>
      </c>
      <c r="EC6" s="64">
        <f t="shared" si="50"/>
        <v>1.9607843137254832E-2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-110186.88017670921</v>
      </c>
      <c r="FM6" s="1">
        <f>$M6+$R6+DD6+IF(AND($B6&lt;&gt;Analysis!$C$130,$B6=Analysis!$C$101),DZ5+CQ5+CT5+CZ5,0)</f>
        <v>123404.39508088891</v>
      </c>
      <c r="FN6" s="1">
        <f t="shared" si="34"/>
        <v>13217.514904179698</v>
      </c>
      <c r="FO6" s="1">
        <f>IF(FN6 &lt; 0,
    IF(FO5 + FN6 &gt; 0,
        FO5 + FN6, IF(FT5-ABS(FO5 + FN6)*(1+$V6) &gt;= FO5 + FN6,
        0, FO5 + FN6)),
    MIN(FO5 + FN6, Analysis!$C$7))+IF(FO5&lt;0, FO5*Analysis!$C$9,0)</f>
        <v>24000</v>
      </c>
      <c r="FP6" s="53"/>
      <c r="FQ6" s="1">
        <f t="shared" si="51"/>
        <v>0</v>
      </c>
      <c r="FR6" s="1">
        <f>IF(OR($B6=Analysis!$C$100, $B6=Analysis!$C$130),0,IF(FN6 &gt;= 0,
    MAX(0, FO5 + FN6 - Analysis!$C$7),
    0))</f>
        <v>12375.993513956477</v>
      </c>
      <c r="FS6" s="1">
        <f>IF(OR($B6=Analysis!$C$100, $B6=Analysis!$C$130),0,MAX(0, FS5 + FR6 - IF(FN6 &lt; 0, MIN(ABS(FN6), FS5 + FR6), 0)))</f>
        <v>12375.993513956477</v>
      </c>
      <c r="FT6" s="1">
        <f>IF(OR($B6=Analysis!$C$100, $B6=Analysis!$C$130),0,IF(FN6 &lt; 0,
    IF(FN6 + FO5 &lt; 0,
        MAX(0, FT5 - (ABS(FN6 + FO5) * (1+$V5))),
        FT5 + FQ6),
    FT5 + FR6 + FQ6))</f>
        <v>12375.993513956477</v>
      </c>
      <c r="FU6" s="1">
        <f t="shared" si="35"/>
        <v>12375.993513956477</v>
      </c>
      <c r="FV6" s="36"/>
      <c r="FW6" s="1">
        <f t="shared" si="52"/>
        <v>448518.91909789509</v>
      </c>
      <c r="FX6" s="64">
        <f t="shared" si="53"/>
        <v>1.9607843137254832E-2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-8951.0375726168531</v>
      </c>
      <c r="GC6" s="1">
        <f>IF($B6&lt;Analysis!$C$159,0,IF($B6=Analysis!$C$159,-FY6-GB6,MIN(0,GC5-GB6)))</f>
        <v>-345342.09559990076</v>
      </c>
      <c r="GD6" s="64">
        <f>IF($B6&lt;Analysis!$C$159,0,IF($B6=Analysis!$C$159,Analysis!$C$160,IF(($B6-Analysis!$C$159)&lt;LOOKUP(Analysis!$C$159,$B:$B,FZ:FZ),GD5,0)))</f>
        <v>3.6999999999999998E-2</v>
      </c>
      <c r="GE6" s="1">
        <f>IF($B6&lt;Analysis!$C$159,0,IF($B6=Analysis!$C$159,-GD6*FY6,GD5*GC5))</f>
        <v>-13108.84592738315</v>
      </c>
      <c r="GF6" s="1">
        <f>IF($B6&lt;Analysis!$C$159,0,IF($B6=Analysis!$C$159,PMT(GD6,FZ6,FY6)*FZ6-GG6-GC6,IF(($B6-Analysis!$C$159+1)&lt;LOOKUP(Analysis!$C$159,$B:$B,FZ:FZ),IF(GF5-GE6&lt;0, GF5-GE6,0),0)))</f>
        <v>-180265.67596922538</v>
      </c>
      <c r="GG6" s="1">
        <f>IF($B6&lt;Analysis!$C$159,0,IF($B6=Analysis!$C$159,GB6+GE6,IF(GC5&lt;0,IF(GC5&gt;LOOKUP(Analysis!$C$159,$B:$B,GG:GG), GC5*(1+GD5),GG5),0)))</f>
        <v>-22059.883500000004</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14979.451129389943</v>
      </c>
      <c r="GO6" s="64">
        <f>IF($B6&lt;Analysis!$C$159,0,((1+Analysis!$B$174)/(1+$S6))-1)</f>
        <v>1.9607843137254832E-2</v>
      </c>
      <c r="GP6" s="1">
        <f t="shared" si="7"/>
        <v>20285.007886683627</v>
      </c>
      <c r="GQ6" s="1">
        <f t="shared" si="36"/>
        <v>-1345.5567572936852</v>
      </c>
      <c r="GR6" s="64">
        <f>IF($B6&lt;Analysis!$C$159,0,Analysis!$C$178)</f>
        <v>3.0000000000000001E-3</v>
      </c>
      <c r="GS6" s="1">
        <f t="shared" si="37"/>
        <v>-3363.8918932342131</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-1123.4588347042456</v>
      </c>
      <c r="HD6" s="1">
        <f t="shared" si="38"/>
        <v>-18092.907485232143</v>
      </c>
      <c r="HE6" s="1">
        <f>MIN(0,-(GN6+HD6)*Analysis!$C$28)-GE6*Analysis!$C$28</f>
        <v>5808.5296304234735</v>
      </c>
      <c r="HF6" s="1">
        <f>-Analysis!$C$176*GP6/12</f>
        <v>-1690.4173238903022</v>
      </c>
      <c r="HG6" s="38"/>
      <c r="HH6" s="1">
        <f>IF($B6&lt;Analysis!$C$159,0,-$HI6*$FW6)</f>
        <v>-57186.162184981622</v>
      </c>
      <c r="HI6" s="64">
        <f>IF($B6&lt;Analysis!$C$159,0,IF($B6=Analysis!$C$159,Analysis!$C$31,HI5))</f>
        <v>0.1275</v>
      </c>
      <c r="HJ6" s="1">
        <f>IF($B6&lt;Analysis!$C$159,0,$FW6+HH6)</f>
        <v>391332.75691291346</v>
      </c>
      <c r="HK6" s="1">
        <f>IF($B6-Analysis!$C$159&gt;10,0,IF($FW6&gt;LOOKUP(Analysis!$C$159,$B:$B, FW:FW),$V6*(LOOKUP(Analysis!$C$159,$B:$B, FW:FW)-FW6),0))</f>
        <v>-8840.6149120698301</v>
      </c>
      <c r="HL6" s="1">
        <f t="shared" si="39"/>
        <v>382492.14200084365</v>
      </c>
      <c r="HM6" s="38"/>
      <c r="HN6" s="1">
        <f t="shared" si="40"/>
        <v>-110186.88017670921</v>
      </c>
      <c r="HO6" s="1">
        <f t="shared" si="8"/>
        <v>123404.39508088891</v>
      </c>
      <c r="HP6" s="1">
        <f t="shared" si="41"/>
        <v>13217.514904179698</v>
      </c>
      <c r="HQ6" s="1">
        <f>IF(HP6 &lt; 0,
    IF(HQ5 + HP6 &gt; 0,
        HQ5 + HP6, IF(HV5-ABS(HQ5 + HP6)*(1+$V6) &gt;= HQ5 + HP6,
        0, HQ5 + HP6)),
    MIN(HQ5 + HP6, Analysis!$C$7))+IF(HQ5&lt;0, HQ5*Analysis!$C$9,0)</f>
        <v>24000</v>
      </c>
      <c r="HR6" s="38"/>
      <c r="HS6" s="1">
        <f t="shared" si="54"/>
        <v>0</v>
      </c>
      <c r="HT6" s="1">
        <f>IF($B6=Analysis!$C$159,0,IF(HP6 &gt;= 0,
    MAX(0, HQ5 + HP6 - Analysis!$C$7),
    0))</f>
        <v>12375.993513956491</v>
      </c>
      <c r="HU6" s="1">
        <f>IF($B6=Analysis!$C$159,0,MAX(0, HU5 + HT6 - IF(HP6 &lt; 0, MIN(ABS(HP6), HU5 + HT6), 0)))</f>
        <v>12375.993513956491</v>
      </c>
      <c r="HV6" s="1">
        <f>IF($B6=Analysis!$C$159,0,IF(HP6 &lt; 0,
    IF(HP6 + HQ5 &lt; 0,
        MAX(0, HV5 - (ABS(HP6 + HQ5) * (1+$V5))),
        HV5 + HS6),
    HV5 + HT6 + HS6))</f>
        <v>12375.993513956491</v>
      </c>
      <c r="HW6" s="1">
        <f t="shared" si="42"/>
        <v>12375.993513956491</v>
      </c>
      <c r="HX6" s="36"/>
    </row>
    <row r="7" spans="1:232" x14ac:dyDescent="0.35">
      <c r="A7">
        <f t="shared" si="0"/>
        <v>40</v>
      </c>
      <c r="B7">
        <v>2030</v>
      </c>
      <c r="C7" s="1">
        <f>IF($B7&lt;Analysis!C$66,0,$AN7)+$AT7+$AW7+$BC7+$CF7+$CA7</f>
        <v>-274631.06370418204</v>
      </c>
      <c r="D7" s="1">
        <f>IF($B7&lt;Analysis!C$66, 0, BV7)+AT7+AW7+BC7+CG7+CA7</f>
        <v>-371575.99633811269</v>
      </c>
      <c r="E7" s="1">
        <f t="shared" si="1"/>
        <v>187707.34095293432</v>
      </c>
      <c r="F7" s="1">
        <f t="shared" si="9"/>
        <v>180029.53265670608</v>
      </c>
      <c r="G7" s="1">
        <f>IF(AND($B7&gt;=Analysis!$C$100, $B7&lt;Analysis!$C$101),$CK7,0)+IF($B7&gt;=Analysis!$C$130,EB7,0)+CQ7+CT7+CZ7+EH7+EK7+EQ7+$FO7+$FT7</f>
        <v>-17843.635825183675</v>
      </c>
      <c r="H7" s="1">
        <f t="shared" si="10"/>
        <v>-76379.129921734377</v>
      </c>
      <c r="I7" s="1">
        <f>IF($B7&lt;Analysis!$C$159,0,$FW7)+$GC7+$GF7+$GL7+$HQ7+$HV7</f>
        <v>-17843.635825183661</v>
      </c>
      <c r="J7" s="1">
        <f t="shared" si="2"/>
        <v>-87539.291204629088</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-17455.046694191085</v>
      </c>
      <c r="Y7" s="64">
        <f t="shared" si="15"/>
        <v>1.9607843137254832E-2</v>
      </c>
      <c r="Z7" s="1">
        <f t="shared" si="16"/>
        <v>-3960</v>
      </c>
      <c r="AA7" s="64">
        <f t="shared" si="17"/>
        <v>0</v>
      </c>
      <c r="AB7" s="40"/>
      <c r="AC7" s="1">
        <f t="shared" si="3"/>
        <v>-76715.046694191085</v>
      </c>
      <c r="AD7" s="1">
        <f t="shared" si="4"/>
        <v>105646.82315484756</v>
      </c>
      <c r="AE7" s="1">
        <f t="shared" si="18"/>
        <v>28931.776460656474</v>
      </c>
      <c r="AF7" s="1">
        <f>IF(AE7 &lt; 0,
    IF(AF6 + AE7 &gt; 0,
        AF6 + AE7, IF(AK6-ABS(AF6 + AE7)*(1+$V7) &gt;= AF6 + AE7,
        0, AF6 + AE7)),
    MIN(AF6 + AE7, Analysis!$C$7))+IF(AF6&lt;0, AF6*Analysis!$C$9,0)</f>
        <v>24000</v>
      </c>
      <c r="AG7" s="40"/>
      <c r="AH7" s="1">
        <f t="shared" si="19"/>
        <v>8800.6037032974255</v>
      </c>
      <c r="AI7" s="1">
        <f>IF(AE7 &gt;= 0,
    MAX(0, AF6 + AE7 - Analysis!$C$7),
    0)</f>
        <v>28931.776460656474</v>
      </c>
      <c r="AJ7" s="1">
        <f t="shared" si="44"/>
        <v>134597.16731794574</v>
      </c>
      <c r="AK7" s="1">
        <f t="shared" si="20"/>
        <v>163707.34095293432</v>
      </c>
      <c r="AL7" s="1">
        <f t="shared" si="5"/>
        <v>156029.53265670608</v>
      </c>
      <c r="AM7" s="36"/>
      <c r="AN7" s="1">
        <f t="shared" si="45"/>
        <v>760352.41281514172</v>
      </c>
      <c r="AO7" s="64">
        <f t="shared" si="21"/>
        <v>1.9607843137254832E-2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-16640.973517727231</v>
      </c>
      <c r="AT7" s="1">
        <f>IF($B7&lt;Analysis!$C$66,0,IF($B7=Analysis!$C$66,-AP7-AS7,MIN(0,AT6-AS7)))</f>
        <v>-602480.85032748303</v>
      </c>
      <c r="AU7" s="64">
        <f>IF($B7&lt;Analysis!$C$66,0,IF($B7=Analysis!$C$66,Analysis!$C$72,IF(($B7-Analysis!$C$66)&lt;LOOKUP(Analysis!$C$66,$B:$B,AQ:AQ),AU6,0)))</f>
        <v>3.6999999999999998E-2</v>
      </c>
      <c r="AV7" s="1">
        <f>IF($B7&lt;Analysis!$C$66,0,IF($B7=Analysis!$C$66,-AU7*AP7,AU6*AT6))</f>
        <v>-22907.507482272777</v>
      </c>
      <c r="AW7" s="1">
        <f>IF($B7&lt;Analysis!$C$66,0,IF($B7=Analysis!$C$66,PMT(AU7,AQ7,AP7)*AQ7-AX7-AT7,IF(($B7-Analysis!$C$66+1)&lt;LOOKUP(Analysis!$C$66,$B:$B,AQ:AQ),IF(AW6-AV7&lt;0, AW6-AV7,0),0)))</f>
        <v>-300268.8892118017</v>
      </c>
      <c r="AX7" s="1">
        <f>IF($B7&lt;Analysis!$C$66,0,IF($B7=Analysis!$C$66,AS7+AV7,IF(AT6&lt;0,IF(AT6&gt;LOOKUP(Analysis!$C$66,$B:$B,AX:AX), AT6*(1+AU6),AX6),0)))</f>
        <v>-39548.481000000007</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-2281.0572384454254</v>
      </c>
      <c r="BF7" s="64">
        <f>IF($B7&lt;Analysis!$C$66,0,Analysis!$C$78)</f>
        <v>3.0000000000000001E-3</v>
      </c>
      <c r="BG7" s="1">
        <f>IF($B7&lt;Analysis!$C$66,0,-BH7*AN7)</f>
        <v>-5702.6430961135629</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-96944.93263393057</v>
      </c>
      <c r="BS7" s="64">
        <f>IF($B7&lt;Analysis!C$66,0,Analysis!C$31)</f>
        <v>0.1275</v>
      </c>
      <c r="BT7" s="1">
        <f>IF($B7&lt;Analysis!$C$66,0,AN7+BR7)</f>
        <v>663407.48018121114</v>
      </c>
      <c r="BU7" s="1">
        <f>IF($B7-Analysis!$C$66&gt;3,0,IF($AN7&gt;LOOKUP(Analysis!$C$66,$B:$B, AN:AN),$V7*(LOOKUP(Analysis!$C$66,$B:$B, AN:AN)-AN7),0))</f>
        <v>0</v>
      </c>
      <c r="BV7" s="1">
        <f t="shared" si="23"/>
        <v>663407.48018121114</v>
      </c>
      <c r="BW7" s="42"/>
      <c r="BX7" s="1">
        <f>IF($B7&lt;Analysis!$C$66,$P7+$N7+$X7+$Z7,$P7+$N7+AS7+AV7+BB7+BE7+BG7+MAX(BI7,SUM(BJ7:BN7))+BP7)</f>
        <v>-112865.01011326641</v>
      </c>
      <c r="BY7" s="1">
        <f t="shared" si="24"/>
        <v>105646.82315484756</v>
      </c>
      <c r="BZ7" s="1">
        <f t="shared" si="46"/>
        <v>-7218.1869584188535</v>
      </c>
      <c r="CA7" s="1">
        <f>IF(BZ7 &lt; 0,
    IF(CA6 + BZ7 &gt; 0,
        CA6 + BZ7, IF(CF6-ABS(CA6 + BZ7)*(1+$V7) &gt;= CA6 + BZ7,
        0, CA6 + BZ7)),
    MIN(CA6 + BZ7, Analysis!$C$7))+IF(CA6&lt;0, CA6*Analysis!$C$9,0)</f>
        <v>-107942.4218652094</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-17455.046694191085</v>
      </c>
      <c r="CJ7" s="1">
        <f>IF(OR($B7&lt;Analysis!$C$100, $B7&gt;=Analysis!$C$130),0,Z7)</f>
        <v>-3960</v>
      </c>
      <c r="CK7" s="1">
        <f t="shared" si="26"/>
        <v>457313.40770765772</v>
      </c>
      <c r="CL7" s="64">
        <f t="shared" si="48"/>
        <v>1.9607843137254832E-2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-9282.2259628036754</v>
      </c>
      <c r="CQ7" s="1">
        <f>IF(OR($B7&lt;Analysis!$C$100, $B7&gt;=Analysis!$C$101),0,IF($B7=Analysis!$C$100,-CM7-CP7,MIN(0,CQ6-CP7)))</f>
        <v>-336059.86963709706</v>
      </c>
      <c r="CR7" s="64">
        <f>IF(OR($B7&lt;Analysis!$C$100, $B7&gt;=Analysis!$C$101),0,IF($B7=Analysis!$C$100,Analysis!$C$102,IF(($B7-Analysis!$C$100)&lt;LOOKUP(Analysis!$C$100,$B:$B,CN:CN),CR6,0)))</f>
        <v>3.6999999999999998E-2</v>
      </c>
      <c r="CS7" s="1">
        <f>IF(OR($B7&lt;Analysis!$C$100, $B7&gt;=Analysis!$C$101),0,IF($B7=Analysis!$C$100,-CR7*CM7,CR6*CQ6))</f>
        <v>-12777.657537196328</v>
      </c>
      <c r="CT7" s="1">
        <f>IF(OR($B7&lt;Analysis!$C$100, $B7&gt;=Analysis!$C$101),0,IF($B7=Analysis!$C$100,PMT(CR7,CN7,CM7)*CN7-CU7-CQ7,IF(($B7-Analysis!$C$100+1)&lt;LOOKUP(Analysis!$C$100,$B:$B,CN:CN),IF(CT6-CS7&lt;0, CT6-CS7,0),0)))</f>
        <v>-167488.01843202906</v>
      </c>
      <c r="CU7" s="1">
        <f>IF(OR($B7&lt;Analysis!$C$100, $B7&gt;=Analysis!$C$101),0,IF($B7=Analysis!$C$100,CP7+CS7,IF(CQ6&lt;0,IF(CQ6&gt;LOOKUP(Analysis!$C$100,$B:$B,CU:CU), CQ6*(1+CR6),CU6),0)))</f>
        <v>-22059.883500000004</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15273.165857417196</v>
      </c>
      <c r="DC7" s="64">
        <f>IF(OR($B7&lt;Analysis!$C$100, $B7&gt;=Analysis!$C$101),0,((1+Analysis!$B$114)/(1+$S7))-1)</f>
        <v>1.9607843137254832E-2</v>
      </c>
      <c r="DD7" s="1">
        <f t="shared" si="6"/>
        <v>20605.106080540168</v>
      </c>
      <c r="DE7" s="1">
        <f t="shared" si="27"/>
        <v>-1371.9402231229733</v>
      </c>
      <c r="DF7" s="64">
        <f>IF(OR($B7&lt;Analysis!$C$100, $B7&gt;=Analysis!$C$101),0,Analysis!$C$118)</f>
        <v>3.0000000000000001E-3</v>
      </c>
      <c r="DG7" s="1">
        <f t="shared" si="28"/>
        <v>-3429.8505578074328</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-1145.4874393062896</v>
      </c>
      <c r="DR7" s="1">
        <f t="shared" si="29"/>
        <v>-18207.278220236694</v>
      </c>
      <c r="DS7" s="1">
        <f>MIN(0,-(DB7+DR7)*Analysis!$C$28)-CS7*Analysis!$C$28</f>
        <v>5661.780054731692</v>
      </c>
      <c r="DT7" s="1">
        <f>-Analysis!$C$116*DD7/12</f>
        <v>-1717.0921733783473</v>
      </c>
      <c r="DU7" s="53"/>
      <c r="DV7" s="1">
        <f t="shared" si="30"/>
        <v>-58307.459482726357</v>
      </c>
      <c r="DW7" s="64">
        <f>IF(OR($B7&lt;Analysis!$C$100, $B7&gt;=Analysis!$C$101),0,IF($B7=Analysis!$C$100,Analysis!$C$31,DW6))</f>
        <v>0.1275</v>
      </c>
      <c r="DX7" s="1">
        <f>IF(OR($B7&lt;Analysis!$C$100, $B7&gt;=Analysis!$C$101),0,CK7+DV7)</f>
        <v>399005.94822493137</v>
      </c>
      <c r="DY7" s="1">
        <f>IF(OR($B7&lt;Analysis!$C$100, $B7&gt;=Analysis!$C$101),0,IF($B7-Analysis!$C$100&gt;3,0,IF(CK7&gt;LOOKUP(Analysis!$C$100,$B:$B, CK:CK),$V7*(LOOKUP(Analysis!$C$100,$B:$B, CK:CK)-CK7),0)))</f>
        <v>0</v>
      </c>
      <c r="DZ7" s="1">
        <f t="shared" si="49"/>
        <v>399005.94822493137</v>
      </c>
      <c r="EA7" s="53"/>
      <c r="EB7" s="1">
        <f t="shared" si="31"/>
        <v>760352.41281514172</v>
      </c>
      <c r="EC7" s="64">
        <f t="shared" si="50"/>
        <v>1.9607843137254832E-2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-110810.34931178186</v>
      </c>
      <c r="FM7" s="1">
        <f>$M7+$R7+DD7+IF(AND($B7&lt;&gt;Analysis!$C$130,$B7=Analysis!$C$101),DZ6+CQ6+CT6+CZ6,0)</f>
        <v>126251.92923538772</v>
      </c>
      <c r="FN7" s="1">
        <f t="shared" si="34"/>
        <v>15441.579923605866</v>
      </c>
      <c r="FO7" s="1">
        <f>IF(FN7 &lt; 0,
    IF(FO6 + FN7 &gt; 0,
        FO6 + FN7, IF(FT6-ABS(FO6 + FN7)*(1+$V7) &gt;= FO6 + FN7,
        0, FO6 + FN7)),
    MIN(FO6 + FN7, Analysis!$C$7))+IF(FO6&lt;0, FO6*Analysis!$C$9,0)</f>
        <v>24000</v>
      </c>
      <c r="FP7" s="53"/>
      <c r="FQ7" s="1">
        <f t="shared" si="51"/>
        <v>864.58621355203184</v>
      </c>
      <c r="FR7" s="1">
        <f>IF(OR($B7=Analysis!$C$100, $B7=Analysis!$C$130),0,IF(FN7 &gt;= 0,
    MAX(0, FO6 + FN7 - Analysis!$C$7),
    0))</f>
        <v>15441.579923605866</v>
      </c>
      <c r="FS7" s="1">
        <f>IF(OR($B7=Analysis!$C$100, $B7=Analysis!$C$130),0,MAX(0, FS6 + FR7 - IF(FN7 &lt; 0, MIN(ABS(FN7), FS6 + FR7), 0)))</f>
        <v>27817.573437562343</v>
      </c>
      <c r="FT7" s="1">
        <f>IF(OR($B7=Analysis!$C$100, $B7=Analysis!$C$130),0,IF(FN7 &lt; 0,
    IF(FN7 + FO6 &lt; 0,
        MAX(0, FT6 - (ABS(FN7 + FO6) * (1+$V6))),
        FT6 + FQ7),
    FT6 + FR7 + FQ7))</f>
        <v>28682.159651114376</v>
      </c>
      <c r="FU7" s="1">
        <f t="shared" si="35"/>
        <v>28454.125037290029</v>
      </c>
      <c r="FV7" s="36"/>
      <c r="FW7" s="1">
        <f t="shared" si="52"/>
        <v>457313.40770765772</v>
      </c>
      <c r="FX7" s="64">
        <f t="shared" si="53"/>
        <v>1.9607843137254832E-2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-9282.2259628036754</v>
      </c>
      <c r="GC7" s="1">
        <f>IF($B7&lt;Analysis!$C$159,0,IF($B7=Analysis!$C$159,-FY7-GB7,MIN(0,GC6-GB7)))</f>
        <v>-336059.86963709706</v>
      </c>
      <c r="GD7" s="64">
        <f>IF($B7&lt;Analysis!$C$159,0,IF($B7=Analysis!$C$159,Analysis!$C$160,IF(($B7-Analysis!$C$159)&lt;LOOKUP(Analysis!$C$159,$B:$B,FZ:FZ),GD6,0)))</f>
        <v>3.6999999999999998E-2</v>
      </c>
      <c r="GE7" s="1">
        <f>IF($B7&lt;Analysis!$C$159,0,IF($B7=Analysis!$C$159,-GD7*FY7,GD6*GC6))</f>
        <v>-12777.657537196328</v>
      </c>
      <c r="GF7" s="1">
        <f>IF($B7&lt;Analysis!$C$159,0,IF($B7=Analysis!$C$159,PMT(GD7,FZ7,FY7)*FZ7-GG7-GC7,IF(($B7-Analysis!$C$159+1)&lt;LOOKUP(Analysis!$C$159,$B:$B,FZ:FZ),IF(GF6-GE7&lt;0, GF6-GE7,0),0)))</f>
        <v>-167488.01843202906</v>
      </c>
      <c r="GG7" s="1">
        <f>IF($B7&lt;Analysis!$C$159,0,IF($B7=Analysis!$C$159,GB7+GE7,IF(GC6&lt;0,IF(GC6&gt;LOOKUP(Analysis!$C$159,$B:$B,GG:GG), GC6*(1+GD6),GG6),0)))</f>
        <v>-22059.883500000004</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15273.165857417196</v>
      </c>
      <c r="GO7" s="64">
        <f>IF($B7&lt;Analysis!$C$159,0,((1+Analysis!$B$174)/(1+$S7))-1)</f>
        <v>1.9607843137254832E-2</v>
      </c>
      <c r="GP7" s="1">
        <f t="shared" si="7"/>
        <v>20605.106080540168</v>
      </c>
      <c r="GQ7" s="1">
        <f t="shared" si="36"/>
        <v>-1371.9402231229733</v>
      </c>
      <c r="GR7" s="64">
        <f>IF($B7&lt;Analysis!$C$159,0,Analysis!$C$178)</f>
        <v>3.0000000000000001E-3</v>
      </c>
      <c r="GS7" s="1">
        <f t="shared" si="37"/>
        <v>-3429.8505578074328</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-1145.4874393062896</v>
      </c>
      <c r="HD7" s="1">
        <f t="shared" si="38"/>
        <v>-18207.278220236694</v>
      </c>
      <c r="HE7" s="1">
        <f>MIN(0,-(GN7+HD7)*Analysis!$C$28)-GE7*Analysis!$C$28</f>
        <v>5661.780054731692</v>
      </c>
      <c r="HF7" s="1">
        <f>-Analysis!$C$176*GP7/12</f>
        <v>-1717.0921733783473</v>
      </c>
      <c r="HG7" s="38"/>
      <c r="HH7" s="1">
        <f>IF($B7&lt;Analysis!$C$159,0,-$HI7*$FW7)</f>
        <v>-58307.459482726357</v>
      </c>
      <c r="HI7" s="64">
        <f>IF($B7&lt;Analysis!$C$159,0,IF($B7=Analysis!$C$159,Analysis!$C$31,HI6))</f>
        <v>0.1275</v>
      </c>
      <c r="HJ7" s="1">
        <f>IF($B7&lt;Analysis!$C$159,0,$FW7+HH7)</f>
        <v>399005.94822493137</v>
      </c>
      <c r="HK7" s="1">
        <f>IF($B7-Analysis!$C$159&gt;10,0,IF($FW7&gt;LOOKUP(Analysis!$C$159,$B:$B, FW:FW),$V7*(LOOKUP(Analysis!$C$159,$B:$B, FW:FW)-FW7),0))</f>
        <v>-11160.161282894724</v>
      </c>
      <c r="HL7" s="1">
        <f t="shared" si="39"/>
        <v>387845.78694203665</v>
      </c>
      <c r="HM7" s="38"/>
      <c r="HN7" s="1">
        <f t="shared" si="40"/>
        <v>-110810.34931178186</v>
      </c>
      <c r="HO7" s="1">
        <f t="shared" si="8"/>
        <v>126251.92923538772</v>
      </c>
      <c r="HP7" s="1">
        <f t="shared" si="41"/>
        <v>15441.579923605866</v>
      </c>
      <c r="HQ7" s="1">
        <f>IF(HP7 &lt; 0,
    IF(HQ6 + HP7 &gt; 0,
        HQ6 + HP7, IF(HV6-ABS(HQ6 + HP7)*(1+$V7) &gt;= HQ6 + HP7,
        0, HQ6 + HP7)),
    MIN(HQ6 + HP7, Analysis!$C$7))+IF(HQ6&lt;0, HQ6*Analysis!$C$9,0)</f>
        <v>24000</v>
      </c>
      <c r="HR7" s="38"/>
      <c r="HS7" s="1">
        <f t="shared" si="54"/>
        <v>864.58621355203286</v>
      </c>
      <c r="HT7" s="1">
        <f>IF($B7=Analysis!$C$159,0,IF(HP7 &gt;= 0,
    MAX(0, HQ6 + HP7 - Analysis!$C$7),
    0))</f>
        <v>15441.579923605866</v>
      </c>
      <c r="HU7" s="1">
        <f>IF($B7=Analysis!$C$159,0,MAX(0, HU6 + HT7 - IF(HP7 &lt; 0, MIN(ABS(HP7), HU6 + HT7), 0)))</f>
        <v>27817.573437562358</v>
      </c>
      <c r="HV7" s="1">
        <f>IF($B7=Analysis!$C$159,0,IF(HP7 &lt; 0,
    IF(HP7 + HQ6 &lt; 0,
        MAX(0, HV6 - (ABS(HP7 + HQ6) * (1+$V6))),
        HV6 + HS7),
    HV6 + HT7 + HS7))</f>
        <v>28682.159651114391</v>
      </c>
      <c r="HW7" s="1">
        <f t="shared" si="42"/>
        <v>28454.125037290043</v>
      </c>
      <c r="HX7" s="36"/>
    </row>
    <row r="8" spans="1:232" x14ac:dyDescent="0.35">
      <c r="A8">
        <f t="shared" si="0"/>
        <v>41</v>
      </c>
      <c r="B8">
        <v>2031</v>
      </c>
      <c r="C8" s="1">
        <f>IF($B8&lt;Analysis!C$66,0,$AN8)+$AT8+$AW8+$BC8+$CF8+$CA8</f>
        <v>-230621.62401695061</v>
      </c>
      <c r="D8" s="1">
        <f>IF($B8&lt;Analysis!C$66, 0, BV8)+AT8+AW8+BC8+CG8+CA8</f>
        <v>-329467.43768291909</v>
      </c>
      <c r="E8" s="1">
        <f t="shared" si="1"/>
        <v>226942.18902829269</v>
      </c>
      <c r="F8" s="1">
        <f t="shared" si="9"/>
        <v>216322.00036708429</v>
      </c>
      <c r="G8" s="1">
        <f>IF(AND($B8&gt;=Analysis!$C$100, $B8&lt;Analysis!$C$101),$CK8,0)+IF($B8&gt;=Analysis!$C$130,EB8,0)+CQ8+CT8+CZ8+EH8+EK8+EQ8+$FO8+$FT8</f>
        <v>35829.661827641328</v>
      </c>
      <c r="H8" s="1">
        <f t="shared" si="10"/>
        <v>-24364.632214573394</v>
      </c>
      <c r="I8" s="1">
        <f>IF($B8&lt;Analysis!$C$159,0,$FW8)+$GC8+$GF8+$GL8+$HQ8+$HV8</f>
        <v>35829.661827641343</v>
      </c>
      <c r="J8" s="1">
        <f t="shared" si="2"/>
        <v>-37889.821169681723</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-17797.302511724243</v>
      </c>
      <c r="Y8" s="64">
        <f t="shared" si="15"/>
        <v>1.9607843137254832E-2</v>
      </c>
      <c r="Z8" s="1">
        <f t="shared" si="16"/>
        <v>-3960</v>
      </c>
      <c r="AA8" s="64">
        <f t="shared" si="17"/>
        <v>0</v>
      </c>
      <c r="AB8" s="40"/>
      <c r="AC8" s="1">
        <f t="shared" si="3"/>
        <v>-80157.302511724236</v>
      </c>
      <c r="AD8" s="1">
        <f t="shared" si="4"/>
        <v>108236.2060753095</v>
      </c>
      <c r="AE8" s="1">
        <f t="shared" si="18"/>
        <v>28078.903563585263</v>
      </c>
      <c r="AF8" s="1">
        <f>IF(AE8 &lt; 0,
    IF(AF7 + AE8 &gt; 0,
        AF7 + AE8, IF(AK7-ABS(AF7 + AE8)*(1+$V8) &gt;= AF7 + AE8,
        0, AF7 + AE8)),
    MIN(AF7 + AE8, Analysis!$C$7))+IF(AF7&lt;0, AF7*Analysis!$C$9,0)</f>
        <v>24000</v>
      </c>
      <c r="AG8" s="40"/>
      <c r="AH8" s="1">
        <f t="shared" si="19"/>
        <v>11155.944511773101</v>
      </c>
      <c r="AI8" s="1">
        <f>IF(AE8 &gt;= 0,
    MAX(0, AF7 + AE8 - Analysis!$C$7),
    0)</f>
        <v>28078.903563585263</v>
      </c>
      <c r="AJ8" s="1">
        <f t="shared" si="44"/>
        <v>162676.07088153099</v>
      </c>
      <c r="AK8" s="1">
        <f t="shared" si="20"/>
        <v>202942.18902829269</v>
      </c>
      <c r="AL8" s="1">
        <f t="shared" si="5"/>
        <v>192322.00036708429</v>
      </c>
      <c r="AM8" s="36"/>
      <c r="AN8" s="1">
        <f t="shared" si="45"/>
        <v>775261.28365465428</v>
      </c>
      <c r="AO8" s="64">
        <f t="shared" si="21"/>
        <v>1.9607843137254832E-2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-17256.689537883136</v>
      </c>
      <c r="AT8" s="1">
        <f>IF($B8&lt;Analysis!$C$66,0,IF($B8=Analysis!$C$66,-AP8-AS8,MIN(0,AT7-AS8)))</f>
        <v>-585224.16078959987</v>
      </c>
      <c r="AU8" s="64">
        <f>IF($B8&lt;Analysis!$C$66,0,IF($B8=Analysis!$C$66,Analysis!$C$72,IF(($B8-Analysis!$C$66)&lt;LOOKUP(Analysis!$C$66,$B:$B,AQ:AQ),AU7,0)))</f>
        <v>3.6999999999999998E-2</v>
      </c>
      <c r="AV8" s="1">
        <f>IF($B8&lt;Analysis!$C$66,0,IF($B8=Analysis!$C$66,-AU8*AP8,AU7*AT7))</f>
        <v>-22291.791462116871</v>
      </c>
      <c r="AW8" s="1">
        <f>IF($B8&lt;Analysis!$C$66,0,IF($B8=Analysis!$C$66,PMT(AU8,AQ8,AP8)*AQ8-AX8-AT8,IF(($B8-Analysis!$C$66+1)&lt;LOOKUP(Analysis!$C$66,$B:$B,AQ:AQ),IF(AW7-AV8&lt;0, AW7-AV8,0),0)))</f>
        <v>-277977.09774968482</v>
      </c>
      <c r="AX8" s="1">
        <f>IF($B8&lt;Analysis!$C$66,0,IF($B8=Analysis!$C$66,AS8+AV8,IF(AT7&lt;0,IF(AT7&gt;LOOKUP(Analysis!$C$66,$B:$B,AX:AX), AT7*(1+AU7),AX7),0)))</f>
        <v>-39548.481000000007</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-2325.7838509639628</v>
      </c>
      <c r="BF8" s="64">
        <f>IF($B8&lt;Analysis!$C$66,0,Analysis!$C$78)</f>
        <v>3.0000000000000001E-3</v>
      </c>
      <c r="BG8" s="1">
        <f>IF($B8&lt;Analysis!$C$66,0,-BH8*AN8)</f>
        <v>-5814.4596274099067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-98845.813665968424</v>
      </c>
      <c r="BS8" s="64">
        <f>IF($B8&lt;Analysis!C$66,0,Analysis!C$31)</f>
        <v>0.1275</v>
      </c>
      <c r="BT8" s="1">
        <f>IF($B8&lt;Analysis!$C$66,0,AN8+BR8)</f>
        <v>676415.4699886858</v>
      </c>
      <c r="BU8" s="1">
        <f>IF($B8-Analysis!$C$66&gt;3,0,IF($AN8&gt;LOOKUP(Analysis!$C$66,$B:$B, AN:AN),$V8*(LOOKUP(Analysis!$C$66,$B:$B, AN:AN)-AN8),0))</f>
        <v>0</v>
      </c>
      <c r="BV8" s="1">
        <f t="shared" si="23"/>
        <v>676415.4699886858</v>
      </c>
      <c r="BW8" s="42"/>
      <c r="BX8" s="1">
        <f>IF($B8&lt;Analysis!$C$66,$P8+$N8+$X8+$Z8,$P8+$N8+AS8+AV8+BB8+BE8+BG8+MAX(BI8,SUM(BJ8:BN8))+BP8)</f>
        <v>-116121.55325708131</v>
      </c>
      <c r="BY8" s="1">
        <f t="shared" si="24"/>
        <v>108236.2060753095</v>
      </c>
      <c r="BZ8" s="1">
        <f t="shared" si="46"/>
        <v>-7885.3471817718091</v>
      </c>
      <c r="CA8" s="1">
        <f>IF(BZ8 &lt; 0,
    IF(CA7 + BZ8 &gt; 0,
        CA7 + BZ8, IF(CF7-ABS(CA7 + BZ8)*(1+$V8) &gt;= CA7 + BZ8,
        0, CA7 + BZ8)),
    MIN(CA7 + BZ8, Analysis!$C$7))+IF(CA7&lt;0, CA7*Analysis!$C$9,0)</f>
        <v>-124463.16279619795</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-17797.302511724243</v>
      </c>
      <c r="CJ8" s="1">
        <f>IF(OR($B8&lt;Analysis!$C$100, $B8&gt;=Analysis!$C$130),0,Z8)</f>
        <v>-3960</v>
      </c>
      <c r="CK8" s="1">
        <f t="shared" si="26"/>
        <v>466280.33727055293</v>
      </c>
      <c r="CL8" s="64">
        <f t="shared" si="48"/>
        <v>1.9607843137254832E-2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-9625.6683234274133</v>
      </c>
      <c r="CQ8" s="1">
        <f>IF(OR($B8&lt;Analysis!$C$100, $B8&gt;=Analysis!$C$101),0,IF($B8=Analysis!$C$100,-CM8-CP8,MIN(0,CQ7-CP8)))</f>
        <v>-326434.20131366962</v>
      </c>
      <c r="CR8" s="64">
        <f>IF(OR($B8&lt;Analysis!$C$100, $B8&gt;=Analysis!$C$101),0,IF($B8=Analysis!$C$100,Analysis!$C$102,IF(($B8-Analysis!$C$100)&lt;LOOKUP(Analysis!$C$100,$B:$B,CN:CN),CR7,0)))</f>
        <v>3.6999999999999998E-2</v>
      </c>
      <c r="CS8" s="1">
        <f>IF(OR($B8&lt;Analysis!$C$100, $B8&gt;=Analysis!$C$101),0,IF($B8=Analysis!$C$100,-CR8*CM8,CR7*CQ7))</f>
        <v>-12434.21517657259</v>
      </c>
      <c r="CT8" s="1">
        <f>IF(OR($B8&lt;Analysis!$C$100, $B8&gt;=Analysis!$C$101),0,IF($B8=Analysis!$C$100,PMT(CR8,CN8,CM8)*CN8-CU8-CQ8,IF(($B8-Analysis!$C$100+1)&lt;LOOKUP(Analysis!$C$100,$B:$B,CN:CN),IF(CT7-CS8&lt;0, CT7-CS8,0),0)))</f>
        <v>-155053.80325545647</v>
      </c>
      <c r="CU8" s="1">
        <f>IF(OR($B8&lt;Analysis!$C$100, $B8&gt;=Analysis!$C$101),0,IF($B8=Analysis!$C$100,CP8+CS8,IF(CQ7&lt;0,IF(CQ7&gt;LOOKUP(Analysis!$C$100,$B:$B,CU:CU), CQ7*(1+CR7),CU7),0)))</f>
        <v>-22059.883500000004</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15572.639697758708</v>
      </c>
      <c r="DC8" s="64">
        <f>IF(OR($B8&lt;Analysis!$C$100, $B8&gt;=Analysis!$C$101),0,((1+Analysis!$B$114)/(1+$S8))-1)</f>
        <v>1.9607843137254832E-2</v>
      </c>
      <c r="DD8" s="1">
        <f t="shared" si="6"/>
        <v>20931.480709570365</v>
      </c>
      <c r="DE8" s="1">
        <f t="shared" si="27"/>
        <v>-1398.8410118116587</v>
      </c>
      <c r="DF8" s="64">
        <f>IF(OR($B8&lt;Analysis!$C$100, $B8&gt;=Analysis!$C$101),0,Analysis!$C$118)</f>
        <v>3.0000000000000001E-3</v>
      </c>
      <c r="DG8" s="1">
        <f t="shared" si="28"/>
        <v>-3497.102529529147</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-1167.9479773319031</v>
      </c>
      <c r="DR8" s="1">
        <f t="shared" si="29"/>
        <v>-18323.89151867271</v>
      </c>
      <c r="DS8" s="1">
        <f>MIN(0,-(DB8+DR8)*Analysis!$C$28)-CS8*Analysis!$C$28</f>
        <v>5509.600744739314</v>
      </c>
      <c r="DT8" s="1">
        <f>-Analysis!$C$116*DD8/12</f>
        <v>-1744.2900591308637</v>
      </c>
      <c r="DU8" s="53"/>
      <c r="DV8" s="1">
        <f t="shared" si="30"/>
        <v>-59450.743001995499</v>
      </c>
      <c r="DW8" s="64">
        <f>IF(OR($B8&lt;Analysis!$C$100, $B8&gt;=Analysis!$C$101),0,IF($B8=Analysis!$C$100,Analysis!$C$31,DW7))</f>
        <v>0.1275</v>
      </c>
      <c r="DX8" s="1">
        <f>IF(OR($B8&lt;Analysis!$C$100, $B8&gt;=Analysis!$C$101),0,CK8+DV8)</f>
        <v>406829.59426855744</v>
      </c>
      <c r="DY8" s="1">
        <f>IF(OR($B8&lt;Analysis!$C$100, $B8&gt;=Analysis!$C$101),0,IF($B8-Analysis!$C$100&gt;3,0,IF(CK8&gt;LOOKUP(Analysis!$C$100,$B:$B, CK:CK),$V8*(LOOKUP(Analysis!$C$100,$B:$B, CK:CK)-CK8),0)))</f>
        <v>0</v>
      </c>
      <c r="DZ8" s="1">
        <f t="shared" si="49"/>
        <v>406829.59426855744</v>
      </c>
      <c r="EA8" s="53"/>
      <c r="EB8" s="1">
        <f t="shared" si="31"/>
        <v>775261.28365465428</v>
      </c>
      <c r="EC8" s="64">
        <f t="shared" si="50"/>
        <v>1.9607843137254832E-2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-114548.5956234959</v>
      </c>
      <c r="FM8" s="1">
        <f>$M8+$R8+DD8+IF(AND($B8&lt;&gt;Analysis!$C$130,$B8=Analysis!$C$101),DZ7+CQ7+CT7+CZ7,0)</f>
        <v>129167.68678487986</v>
      </c>
      <c r="FN8" s="1">
        <f t="shared" si="34"/>
        <v>14619.091161383956</v>
      </c>
      <c r="FO8" s="1">
        <f>IF(FN8 &lt; 0,
    IF(FO7 + FN8 &gt; 0,
        FO7 + FN8, IF(FT7-ABS(FO7 + FN8)*(1+$V8) &gt;= FO7 + FN8,
        0, FO7 + FN8)),
    MIN(FO7 + FN8, Analysis!$C$7))+IF(FO7&lt;0, FO7*Analysis!$C$9,0)</f>
        <v>24000</v>
      </c>
      <c r="FP8" s="53"/>
      <c r="FQ8" s="1">
        <f t="shared" si="51"/>
        <v>1954.5646498384103</v>
      </c>
      <c r="FR8" s="1">
        <f>IF(OR($B8=Analysis!$C$100, $B8=Analysis!$C$130),0,IF(FN8 &gt;= 0,
    MAX(0, FO7 + FN8 - Analysis!$C$7),
    0))</f>
        <v>14619.091161383956</v>
      </c>
      <c r="FS8" s="1">
        <f>IF(OR($B8=Analysis!$C$100, $B8=Analysis!$C$130),0,MAX(0, FS7 + FR8 - IF(FN8 &lt; 0, MIN(ABS(FN8), FS7 + FR8), 0)))</f>
        <v>42436.6645989463</v>
      </c>
      <c r="FT8" s="1">
        <f>IF(OR($B8=Analysis!$C$100, $B8=Analysis!$C$130),0,IF(FN8 &lt; 0,
    IF(FN8 + FO7 &lt; 0,
        MAX(0, FT7 - (ABS(FN8 + FO7) * (1+$V7))),
        FT7 + FQ8),
    FT7 + FR8 + FQ8))</f>
        <v>45255.815462336737</v>
      </c>
      <c r="FU8" s="1">
        <f t="shared" si="35"/>
        <v>44512.264422117507</v>
      </c>
      <c r="FV8" s="36"/>
      <c r="FW8" s="1">
        <f t="shared" si="52"/>
        <v>466280.33727055293</v>
      </c>
      <c r="FX8" s="64">
        <f t="shared" si="53"/>
        <v>1.9607843137254832E-2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-9625.6683234274133</v>
      </c>
      <c r="GC8" s="1">
        <f>IF($B8&lt;Analysis!$C$159,0,IF($B8=Analysis!$C$159,-FY8-GB8,MIN(0,GC7-GB8)))</f>
        <v>-326434.20131366962</v>
      </c>
      <c r="GD8" s="64">
        <f>IF($B8&lt;Analysis!$C$159,0,IF($B8=Analysis!$C$159,Analysis!$C$160,IF(($B8-Analysis!$C$159)&lt;LOOKUP(Analysis!$C$159,$B:$B,FZ:FZ),GD7,0)))</f>
        <v>3.6999999999999998E-2</v>
      </c>
      <c r="GE8" s="1">
        <f>IF($B8&lt;Analysis!$C$159,0,IF($B8=Analysis!$C$159,-GD8*FY8,GD7*GC7))</f>
        <v>-12434.21517657259</v>
      </c>
      <c r="GF8" s="1">
        <f>IF($B8&lt;Analysis!$C$159,0,IF($B8=Analysis!$C$159,PMT(GD8,FZ8,FY8)*FZ8-GG8-GC8,IF(($B8-Analysis!$C$159+1)&lt;LOOKUP(Analysis!$C$159,$B:$B,FZ:FZ),IF(GF7-GE8&lt;0, GF7-GE8,0),0)))</f>
        <v>-155053.80325545647</v>
      </c>
      <c r="GG8" s="1">
        <f>IF($B8&lt;Analysis!$C$159,0,IF($B8=Analysis!$C$159,GB8+GE8,IF(GC7&lt;0,IF(GC7&gt;LOOKUP(Analysis!$C$159,$B:$B,GG:GG), GC7*(1+GD7),GG7),0)))</f>
        <v>-22059.883500000004</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15572.639697758708</v>
      </c>
      <c r="GO8" s="64">
        <f>IF($B8&lt;Analysis!$C$159,0,((1+Analysis!$B$174)/(1+$S8))-1)</f>
        <v>1.9607843137254832E-2</v>
      </c>
      <c r="GP8" s="1">
        <f t="shared" si="7"/>
        <v>20931.480709570365</v>
      </c>
      <c r="GQ8" s="1">
        <f t="shared" si="36"/>
        <v>-1398.8410118116587</v>
      </c>
      <c r="GR8" s="64">
        <f>IF($B8&lt;Analysis!$C$159,0,Analysis!$C$178)</f>
        <v>3.0000000000000001E-3</v>
      </c>
      <c r="GS8" s="1">
        <f t="shared" si="37"/>
        <v>-3497.102529529147</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-1167.9479773319031</v>
      </c>
      <c r="HD8" s="1">
        <f t="shared" si="38"/>
        <v>-18323.89151867271</v>
      </c>
      <c r="HE8" s="1">
        <f>MIN(0,-(GN8+HD8)*Analysis!$C$28)-GE8*Analysis!$C$28</f>
        <v>5509.600744739314</v>
      </c>
      <c r="HF8" s="1">
        <f>-Analysis!$C$176*GP8/12</f>
        <v>-1744.2900591308637</v>
      </c>
      <c r="HG8" s="38"/>
      <c r="HH8" s="1">
        <f>IF($B8&lt;Analysis!$C$159,0,-$HI8*$FW8)</f>
        <v>-59450.743001995499</v>
      </c>
      <c r="HI8" s="64">
        <f>IF($B8&lt;Analysis!$C$159,0,IF($B8=Analysis!$C$159,Analysis!$C$31,HI7))</f>
        <v>0.1275</v>
      </c>
      <c r="HJ8" s="1">
        <f>IF($B8&lt;Analysis!$C$159,0,$FW8+HH8)</f>
        <v>406829.59426855744</v>
      </c>
      <c r="HK8" s="1">
        <f>IF($B8-Analysis!$C$159&gt;10,0,IF($FW8&gt;LOOKUP(Analysis!$C$159,$B:$B, FW:FW),$V8*(LOOKUP(Analysis!$C$159,$B:$B, FW:FW)-FW8),0))</f>
        <v>-13525.188955108335</v>
      </c>
      <c r="HL8" s="1">
        <f t="shared" si="39"/>
        <v>393304.4053134491</v>
      </c>
      <c r="HM8" s="38"/>
      <c r="HN8" s="1">
        <f t="shared" si="40"/>
        <v>-114548.5956234959</v>
      </c>
      <c r="HO8" s="1">
        <f t="shared" si="8"/>
        <v>129167.68678487986</v>
      </c>
      <c r="HP8" s="1">
        <f t="shared" si="41"/>
        <v>14619.091161383956</v>
      </c>
      <c r="HQ8" s="1">
        <f>IF(HP8 &lt; 0,
    IF(HQ7 + HP8 &gt; 0,
        HQ7 + HP8, IF(HV7-ABS(HQ7 + HP8)*(1+$V8) &gt;= HQ7 + HP8,
        0, HQ7 + HP8)),
    MIN(HQ7 + HP8, Analysis!$C$7))+IF(HQ7&lt;0, HQ7*Analysis!$C$9,0)</f>
        <v>24000</v>
      </c>
      <c r="HR8" s="38"/>
      <c r="HS8" s="1">
        <f t="shared" si="54"/>
        <v>1954.5646498384115</v>
      </c>
      <c r="HT8" s="1">
        <f>IF($B8=Analysis!$C$159,0,IF(HP8 &gt;= 0,
    MAX(0, HQ7 + HP8 - Analysis!$C$7),
    0))</f>
        <v>14619.091161383956</v>
      </c>
      <c r="HU8" s="1">
        <f>IF($B8=Analysis!$C$159,0,MAX(0, HU7 + HT8 - IF(HP8 &lt; 0, MIN(ABS(HP8), HU7 + HT8), 0)))</f>
        <v>42436.664598946314</v>
      </c>
      <c r="HV8" s="1">
        <f>IF($B8=Analysis!$C$159,0,IF(HP8 &lt; 0,
    IF(HP8 + HQ7 &lt; 0,
        MAX(0, HV7 - (ABS(HP8 + HQ7) * (1+$V7))),
        HV7 + HS8),
    HV7 + HT8 + HS8))</f>
        <v>45255.815462336752</v>
      </c>
      <c r="HW8" s="1">
        <f t="shared" si="42"/>
        <v>44512.264422117521</v>
      </c>
      <c r="HX8" s="36"/>
    </row>
    <row r="9" spans="1:232" x14ac:dyDescent="0.35">
      <c r="A9">
        <f t="shared" si="0"/>
        <v>42</v>
      </c>
      <c r="B9">
        <v>2032</v>
      </c>
      <c r="C9" s="1">
        <f>IF($B9&lt;Analysis!C$66,0,$AN9)+$AT9+$AW9+$BC9+$CF9+$CA9</f>
        <v>-185148.27723252622</v>
      </c>
      <c r="D9" s="1">
        <f>IF($B9&lt;Analysis!C$66, 0, BV9)+AT9+AW9+BC9+CG9+CA9</f>
        <v>-285932.24410763127</v>
      </c>
      <c r="E9" s="1">
        <f t="shared" si="1"/>
        <v>270806.70222933416</v>
      </c>
      <c r="F9" s="1">
        <f t="shared" si="9"/>
        <v>256630.70776454057</v>
      </c>
      <c r="G9" s="1">
        <f>IF(AND($B9&gt;=Analysis!$C$100, $B9&lt;Analysis!$C$101),$CK9,0)+IF($B9&gt;=Analysis!$C$130,EB9,0)+CQ9+CT9+CZ9+EH9+EK9+EQ9+$FO9+$FT9</f>
        <v>93062.837563880967</v>
      </c>
      <c r="H9" s="1">
        <f t="shared" si="10"/>
        <v>30909.903112609216</v>
      </c>
      <c r="I9" s="1">
        <f>IF($B9&lt;Analysis!$C$159,0,$FW9)+$GC9+$GF9+$GL9+$HQ9+$HV9</f>
        <v>93062.837563880981</v>
      </c>
      <c r="J9" s="1">
        <f t="shared" si="2"/>
        <v>14973.313393675264</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-18146.269227640405</v>
      </c>
      <c r="Y9" s="64">
        <f t="shared" si="15"/>
        <v>1.9607843137254832E-2</v>
      </c>
      <c r="Z9" s="1">
        <f t="shared" si="16"/>
        <v>-3960</v>
      </c>
      <c r="AA9" s="64">
        <f t="shared" si="17"/>
        <v>0</v>
      </c>
      <c r="AB9" s="40"/>
      <c r="AC9" s="1">
        <f t="shared" si="3"/>
        <v>-80506.269227640412</v>
      </c>
      <c r="AD9" s="1">
        <f t="shared" si="4"/>
        <v>110889.05426342982</v>
      </c>
      <c r="AE9" s="1">
        <f t="shared" si="18"/>
        <v>30382.785035789406</v>
      </c>
      <c r="AF9" s="1">
        <f>IF(AE9 &lt; 0,
    IF(AF8 + AE9 &gt; 0,
        AF8 + AE9, IF(AK8-ABS(AF8 + AE9)*(1+$V9) &gt;= AF8 + AE9,
        0, AF8 + AE9)),
    MIN(AF8 + AE9, Analysis!$C$7))+IF(AF8&lt;0, AF8*Analysis!$C$9,0)</f>
        <v>24000</v>
      </c>
      <c r="AG9" s="40"/>
      <c r="AH9" s="1">
        <f t="shared" si="19"/>
        <v>13481.728165252111</v>
      </c>
      <c r="AI9" s="1">
        <f>IF(AE9 &gt;= 0,
    MAX(0, AF8 + AE9 - Analysis!$C$7),
    0)</f>
        <v>30382.785035789406</v>
      </c>
      <c r="AJ9" s="1">
        <f t="shared" si="44"/>
        <v>193058.85591732041</v>
      </c>
      <c r="AK9" s="1">
        <f t="shared" si="20"/>
        <v>246806.70222933419</v>
      </c>
      <c r="AL9" s="1">
        <f t="shared" si="5"/>
        <v>232630.70776454057</v>
      </c>
      <c r="AM9" s="36"/>
      <c r="AN9" s="1">
        <f t="shared" si="45"/>
        <v>790462.48529494158</v>
      </c>
      <c r="AO9" s="64">
        <f t="shared" si="21"/>
        <v>1.9607843137254832E-2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-17895.187050784814</v>
      </c>
      <c r="AT9" s="1">
        <f>IF($B9&lt;Analysis!$C$66,0,IF($B9=Analysis!$C$66,-AP9-AS9,MIN(0,AT8-AS9)))</f>
        <v>-567328.97373881505</v>
      </c>
      <c r="AU9" s="64">
        <f>IF($B9&lt;Analysis!$C$66,0,IF($B9=Analysis!$C$66,Analysis!$C$72,IF(($B9-Analysis!$C$66)&lt;LOOKUP(Analysis!$C$66,$B:$B,AQ:AQ),AU8,0)))</f>
        <v>3.6999999999999998E-2</v>
      </c>
      <c r="AV9" s="1">
        <f>IF($B9&lt;Analysis!$C$66,0,IF($B9=Analysis!$C$66,-AU9*AP9,AU8*AT8))</f>
        <v>-21653.293949215193</v>
      </c>
      <c r="AW9" s="1">
        <f>IF($B9&lt;Analysis!$C$66,0,IF($B9=Analysis!$C$66,PMT(AU9,AQ9,AP9)*AQ9-AX9-AT9,IF(($B9-Analysis!$C$66+1)&lt;LOOKUP(Analysis!$C$66,$B:$B,AQ:AQ),IF(AW8-AV9&lt;0, AW8-AV9,0),0)))</f>
        <v>-256323.80380046961</v>
      </c>
      <c r="AX9" s="1">
        <f>IF($B9&lt;Analysis!$C$66,0,IF($B9=Analysis!$C$66,AS9+AV9,IF(AT8&lt;0,IF(AT8&gt;LOOKUP(Analysis!$C$66,$B:$B,AX:AX), AT8*(1+AU8),AX8),0)))</f>
        <v>-39548.481000000007</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-2371.3874558848247</v>
      </c>
      <c r="BF9" s="64">
        <f>IF($B9&lt;Analysis!$C$66,0,Analysis!$C$78)</f>
        <v>3.0000000000000001E-3</v>
      </c>
      <c r="BG9" s="1">
        <f>IF($B9&lt;Analysis!$C$66,0,-BH9*AN9)</f>
        <v>-5928.4686397120613</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-100783.96687510505</v>
      </c>
      <c r="BS9" s="64">
        <f>IF($B9&lt;Analysis!C$66,0,Analysis!C$31)</f>
        <v>0.1275</v>
      </c>
      <c r="BT9" s="1">
        <f>IF($B9&lt;Analysis!$C$66,0,AN9+BR9)</f>
        <v>689678.51841983653</v>
      </c>
      <c r="BU9" s="1">
        <f>IF($B9-Analysis!$C$66&gt;3,0,IF($AN9&gt;LOOKUP(Analysis!$C$66,$B:$B, AN:AN),$V9*(LOOKUP(Analysis!$C$66,$B:$B, AN:AN)-AN9),0))</f>
        <v>0</v>
      </c>
      <c r="BV9" s="1">
        <f>BT9+BU9</f>
        <v>689678.51841983653</v>
      </c>
      <c r="BW9" s="42"/>
      <c r="BX9" s="1">
        <f>IF($B9&lt;Analysis!$C$66,$P9+$N9+$X9+$Z9,$P9+$N9+AS9+AV9+BB9+BE9+BG9+MAX(BI9,SUM(BJ9:BN9))+BP9)</f>
        <v>-116281.16587430432</v>
      </c>
      <c r="BY9" s="1">
        <f t="shared" si="24"/>
        <v>110889.05426342982</v>
      </c>
      <c r="BZ9" s="1">
        <f t="shared" si="46"/>
        <v>-5392.1116108745045</v>
      </c>
      <c r="CA9" s="1">
        <f>IF(BZ9 &lt; 0,
    IF(CA8 + BZ9 &gt; 0,
        CA8 + BZ9, IF(CF8-ABS(CA8 + BZ9)*(1+$V9) &gt;= CA8 + BZ9,
        0, CA8 + BZ9)),
    MIN(CA8 + BZ9, Analysis!$C$7))+IF(CA8&lt;0, CA8*Analysis!$C$9,0)</f>
        <v>-139812.32743076829</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-18146.269227640405</v>
      </c>
      <c r="CJ9" s="1">
        <f>IF(OR($B9&lt;Analysis!$C$100, $B9&gt;=Analysis!$C$130),0,Z9)</f>
        <v>-3960</v>
      </c>
      <c r="CK9" s="1">
        <f t="shared" si="26"/>
        <v>475423.08898174023</v>
      </c>
      <c r="CL9" s="64">
        <f t="shared" si="48"/>
        <v>1.9607843137254832E-2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-9981.818051394228</v>
      </c>
      <c r="CQ9" s="1">
        <f>IF(OR($B9&lt;Analysis!$C$100, $B9&gt;=Analysis!$C$101),0,IF($B9=Analysis!$C$100,-CM9-CP9,MIN(0,CQ8-CP9)))</f>
        <v>-316452.38326227537</v>
      </c>
      <c r="CR9" s="64">
        <f>IF(OR($B9&lt;Analysis!$C$100, $B9&gt;=Analysis!$C$101),0,IF($B9=Analysis!$C$100,Analysis!$C$102,IF(($B9-Analysis!$C$100)&lt;LOOKUP(Analysis!$C$100,$B:$B,CN:CN),CR8,0)))</f>
        <v>3.6999999999999998E-2</v>
      </c>
      <c r="CS9" s="1">
        <f>IF(OR($B9&lt;Analysis!$C$100, $B9&gt;=Analysis!$C$101),0,IF($B9=Analysis!$C$100,-CR9*CM9,CR8*CQ8))</f>
        <v>-12078.065448605776</v>
      </c>
      <c r="CT9" s="1">
        <f>IF(OR($B9&lt;Analysis!$C$100, $B9&gt;=Analysis!$C$101),0,IF($B9=Analysis!$C$100,PMT(CR9,CN9,CM9)*CN9-CU9-CQ9,IF(($B9-Analysis!$C$100+1)&lt;LOOKUP(Analysis!$C$100,$B:$B,CN:CN),IF(CT8-CS9&lt;0, CT8-CS9,0),0)))</f>
        <v>-142975.7378068507</v>
      </c>
      <c r="CU9" s="1">
        <f>IF(OR($B9&lt;Analysis!$C$100, $B9&gt;=Analysis!$C$101),0,IF($B9=Analysis!$C$100,CP9+CS9,IF(CQ8&lt;0,IF(CQ8&gt;LOOKUP(Analysis!$C$100,$B:$B,CU:CU), CQ8*(1+CR8),CU8),0)))</f>
        <v>-22059.883500000004</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15877.985574185348</v>
      </c>
      <c r="DC9" s="64">
        <f>IF(OR($B9&lt;Analysis!$C$100, $B9&gt;=Analysis!$C$101),0,((1+Analysis!$B$114)/(1+$S9))-1)</f>
        <v>1.9607843137254832E-2</v>
      </c>
      <c r="DD9" s="1">
        <f t="shared" si="6"/>
        <v>21264.254841130569</v>
      </c>
      <c r="DE9" s="1">
        <f t="shared" si="27"/>
        <v>-1426.2692669452208</v>
      </c>
      <c r="DF9" s="64">
        <f>IF(OR($B9&lt;Analysis!$C$100, $B9&gt;=Analysis!$C$101),0,Analysis!$C$118)</f>
        <v>3.0000000000000001E-3</v>
      </c>
      <c r="DG9" s="1">
        <f t="shared" si="28"/>
        <v>-3565.6731673630516</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-1190.848918063901</v>
      </c>
      <c r="DR9" s="1">
        <f t="shared" si="29"/>
        <v>-18442.791352372173</v>
      </c>
      <c r="DS9" s="1">
        <f>MIN(0,-(DB9+DR9)*Analysis!$C$28)-CS9*Analysis!$C$28</f>
        <v>5351.7908002772183</v>
      </c>
      <c r="DT9" s="1">
        <f>-Analysis!$C$116*DD9/12</f>
        <v>-1772.0212367608808</v>
      </c>
      <c r="DU9" s="53"/>
      <c r="DV9" s="1">
        <f t="shared" si="30"/>
        <v>-60616.443845171882</v>
      </c>
      <c r="DW9" s="64">
        <f>IF(OR($B9&lt;Analysis!$C$100, $B9&gt;=Analysis!$C$101),0,IF($B9=Analysis!$C$100,Analysis!$C$31,DW8))</f>
        <v>0.1275</v>
      </c>
      <c r="DX9" s="1">
        <f>IF(OR($B9&lt;Analysis!$C$100, $B9&gt;=Analysis!$C$101),0,CK9+DV9)</f>
        <v>414806.64513656835</v>
      </c>
      <c r="DY9" s="1">
        <f>IF(OR($B9&lt;Analysis!$C$100, $B9&gt;=Analysis!$C$101),0,IF($B9-Analysis!$C$100&gt;3,0,IF(CK9&gt;LOOKUP(Analysis!$C$100,$B:$B, CK:CK),$V9*(LOOKUP(Analysis!$C$100,$B:$B, CK:CK)-CK9),0)))</f>
        <v>0</v>
      </c>
      <c r="DZ9" s="1">
        <f t="shared" si="49"/>
        <v>414806.64513656835</v>
      </c>
      <c r="EA9" s="53"/>
      <c r="EB9" s="1">
        <f t="shared" si="31"/>
        <v>790462.48529494158</v>
      </c>
      <c r="EC9" s="64">
        <f t="shared" si="50"/>
        <v>1.9607843137254832E-2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-115202.00329520367</v>
      </c>
      <c r="FM9" s="1">
        <f>$M9+$R9+DD9+IF(AND($B9&lt;&gt;Analysis!$C$130,$B9=Analysis!$C$101),DZ8+CQ8+CT8+CZ8,0)</f>
        <v>132153.30910456038</v>
      </c>
      <c r="FN9" s="1">
        <f t="shared" si="34"/>
        <v>16951.305809356709</v>
      </c>
      <c r="FO9" s="1">
        <f>IF(FN9 &lt; 0,
    IF(FO8 + FN9 &gt; 0,
        FO8 + FN9, IF(FT8-ABS(FO8 + FN9)*(1+$V9) &gt;= FO8 + FN9,
        0, FO8 + FN9)),
    MIN(FO8 + FN9, Analysis!$C$7))+IF(FO8&lt;0, FO8*Analysis!$C$9,0)</f>
        <v>24000</v>
      </c>
      <c r="FP9" s="53"/>
      <c r="FQ9" s="1">
        <f t="shared" si="51"/>
        <v>3006.4059369881829</v>
      </c>
      <c r="FR9" s="1">
        <f>IF(OR($B9=Analysis!$C$100, $B9=Analysis!$C$130),0,IF(FN9 &gt;= 0,
    MAX(0, FO8 + FN9 - Analysis!$C$7),
    0))</f>
        <v>16951.305809356709</v>
      </c>
      <c r="FS9" s="1">
        <f>IF(OR($B9=Analysis!$C$100, $B9=Analysis!$C$130),0,MAX(0, FS8 + FR9 - IF(FN9 &lt; 0, MIN(ABS(FN9), FS8 + FR9), 0)))</f>
        <v>59387.970408303008</v>
      </c>
      <c r="FT9" s="1">
        <f>IF(OR($B9=Analysis!$C$100, $B9=Analysis!$C$130),0,IF(FN9 &lt; 0,
    IF(FN9 + FO8 &lt; 0,
        MAX(0, FT8 - (ABS(FN9 + FO8) * (1+$V8))),
        FT8 + FQ9),
    FT8 + FR9 + FQ9))</f>
        <v>65213.527208681626</v>
      </c>
      <c r="FU9" s="1">
        <f t="shared" si="35"/>
        <v>63677.036602581764</v>
      </c>
      <c r="FV9" s="36"/>
      <c r="FW9" s="1">
        <f t="shared" si="52"/>
        <v>475423.08898174023</v>
      </c>
      <c r="FX9" s="64">
        <f t="shared" si="53"/>
        <v>1.9607843137254832E-2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-9981.818051394228</v>
      </c>
      <c r="GC9" s="1">
        <f>IF($B9&lt;Analysis!$C$159,0,IF($B9=Analysis!$C$159,-FY9-GB9,MIN(0,GC8-GB9)))</f>
        <v>-316452.38326227537</v>
      </c>
      <c r="GD9" s="64">
        <f>IF($B9&lt;Analysis!$C$159,0,IF($B9=Analysis!$C$159,Analysis!$C$160,IF(($B9-Analysis!$C$159)&lt;LOOKUP(Analysis!$C$159,$B:$B,FZ:FZ),GD8,0)))</f>
        <v>3.6999999999999998E-2</v>
      </c>
      <c r="GE9" s="1">
        <f>IF($B9&lt;Analysis!$C$159,0,IF($B9=Analysis!$C$159,-GD9*FY9,GD8*GC8))</f>
        <v>-12078.065448605776</v>
      </c>
      <c r="GF9" s="1">
        <f>IF($B9&lt;Analysis!$C$159,0,IF($B9=Analysis!$C$159,PMT(GD9,FZ9,FY9)*FZ9-GG9-GC9,IF(($B9-Analysis!$C$159+1)&lt;LOOKUP(Analysis!$C$159,$B:$B,FZ:FZ),IF(GF8-GE9&lt;0, GF8-GE9,0),0)))</f>
        <v>-142975.7378068507</v>
      </c>
      <c r="GG9" s="1">
        <f>IF($B9&lt;Analysis!$C$159,0,IF($B9=Analysis!$C$159,GB9+GE9,IF(GC8&lt;0,IF(GC8&gt;LOOKUP(Analysis!$C$159,$B:$B,GG:GG), GC8*(1+GD8),GG8),0)))</f>
        <v>-22059.883500000004</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15877.985574185348</v>
      </c>
      <c r="GO9" s="64">
        <f>IF($B9&lt;Analysis!$C$159,0,((1+Analysis!$B$174)/(1+$S9))-1)</f>
        <v>1.9607843137254832E-2</v>
      </c>
      <c r="GP9" s="1">
        <f t="shared" si="7"/>
        <v>21264.254841130569</v>
      </c>
      <c r="GQ9" s="1">
        <f t="shared" si="36"/>
        <v>-1426.2692669452208</v>
      </c>
      <c r="GR9" s="64">
        <f>IF($B9&lt;Analysis!$C$159,0,Analysis!$C$178)</f>
        <v>3.0000000000000001E-3</v>
      </c>
      <c r="GS9" s="1">
        <f t="shared" si="37"/>
        <v>-3565.6731673630516</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-1190.848918063901</v>
      </c>
      <c r="HD9" s="1">
        <f t="shared" si="38"/>
        <v>-18442.791352372173</v>
      </c>
      <c r="HE9" s="1">
        <f>MIN(0,-(GN9+HD9)*Analysis!$C$28)-GE9*Analysis!$C$28</f>
        <v>5351.7908002772183</v>
      </c>
      <c r="HF9" s="1">
        <f>-Analysis!$C$176*GP9/12</f>
        <v>-1772.0212367608808</v>
      </c>
      <c r="HG9" s="38"/>
      <c r="HH9" s="1">
        <f>IF($B9&lt;Analysis!$C$159,0,-$HI9*$FW9)</f>
        <v>-60616.443845171882</v>
      </c>
      <c r="HI9" s="64">
        <f>IF($B9&lt;Analysis!$C$159,0,IF($B9=Analysis!$C$159,Analysis!$C$31,HI8))</f>
        <v>0.1275</v>
      </c>
      <c r="HJ9" s="1">
        <f>IF($B9&lt;Analysis!$C$159,0,$FW9+HH9)</f>
        <v>414806.64513656835</v>
      </c>
      <c r="HK9" s="1">
        <f>IF($B9-Analysis!$C$159&gt;10,0,IF($FW9&gt;LOOKUP(Analysis!$C$159,$B:$B, FW:FW),$V9*(LOOKUP(Analysis!$C$159,$B:$B, FW:FW)-FW9),0))</f>
        <v>-15936.589718933987</v>
      </c>
      <c r="HL9" s="1">
        <f t="shared" si="39"/>
        <v>398870.05541763437</v>
      </c>
      <c r="HM9" s="38"/>
      <c r="HN9" s="1">
        <f t="shared" si="40"/>
        <v>-115202.00329520367</v>
      </c>
      <c r="HO9" s="1">
        <f t="shared" si="8"/>
        <v>132153.30910456038</v>
      </c>
      <c r="HP9" s="1">
        <f t="shared" si="41"/>
        <v>16951.305809356709</v>
      </c>
      <c r="HQ9" s="1">
        <f>IF(HP9 &lt; 0,
    IF(HQ8 + HP9 &gt; 0,
        HQ8 + HP9, IF(HV8-ABS(HQ8 + HP9)*(1+$V9) &gt;= HQ8 + HP9,
        0, HQ8 + HP9)),
    MIN(HQ8 + HP9, Analysis!$C$7))+IF(HQ8&lt;0, HQ8*Analysis!$C$9,0)</f>
        <v>24000</v>
      </c>
      <c r="HR9" s="38"/>
      <c r="HS9" s="1">
        <f t="shared" si="54"/>
        <v>3006.4059369881838</v>
      </c>
      <c r="HT9" s="1">
        <f>IF($B9=Analysis!$C$159,0,IF(HP9 &gt;= 0,
    MAX(0, HQ8 + HP9 - Analysis!$C$7),
    0))</f>
        <v>16951.305809356709</v>
      </c>
      <c r="HU9" s="1">
        <f>IF($B9=Analysis!$C$159,0,MAX(0, HU8 + HT9 - IF(HP9 &lt; 0, MIN(ABS(HP9), HU8 + HT9), 0)))</f>
        <v>59387.970408303023</v>
      </c>
      <c r="HV9" s="1">
        <f>IF($B9=Analysis!$C$159,0,IF(HP9 &lt; 0,
    IF(HP9 + HQ8 &lt; 0,
        MAX(0, HV8 - (ABS(HP9 + HQ8) * (1+$V8))),
        HV8 + HS9),
    HV8 + HT9 + HS9))</f>
        <v>65213.527208681648</v>
      </c>
      <c r="HW9" s="1">
        <f t="shared" si="42"/>
        <v>63677.036602581786</v>
      </c>
      <c r="HX9" s="36"/>
    </row>
    <row r="10" spans="1:232" x14ac:dyDescent="0.35">
      <c r="A10">
        <f t="shared" si="0"/>
        <v>43</v>
      </c>
      <c r="B10">
        <v>2033</v>
      </c>
      <c r="C10" s="1">
        <f>IF($B10&lt;Analysis!C$66,0,$AN10)+$AT10+$AW10+$BC10+$CF10+$CA10</f>
        <v>-138049.67414094636</v>
      </c>
      <c r="D10" s="1">
        <f>IF($B10&lt;Analysis!C$66, 0, BV10)+AT10+AW10+BC10+CG10+CA10</f>
        <v>-240809.79722928873</v>
      </c>
      <c r="E10" s="1">
        <f t="shared" si="1"/>
        <v>319524.15782119666</v>
      </c>
      <c r="F10" s="1">
        <f t="shared" si="9"/>
        <v>301135.3872632914</v>
      </c>
      <c r="G10" s="1">
        <f>IF(AND($B10&gt;=Analysis!$C$100, $B10&lt;Analysis!$C$101),$CK10,0)+IF($B10&gt;=Analysis!$C$130,EB10,0)+CQ10+CT10+CZ10+EH10+EK10+EQ10+$FO10+$FT10</f>
        <v>154077.51035712071</v>
      </c>
      <c r="H10" s="1">
        <f t="shared" si="10"/>
        <v>89622.87990193523</v>
      </c>
      <c r="I10" s="1">
        <f>IF($B10&lt;Analysis!$C$159,0,$FW10)+$GC10+$GF10+$GL10+$HQ10+$HV10</f>
        <v>154077.51035712074</v>
      </c>
      <c r="J10" s="1">
        <f t="shared" si="2"/>
        <v>71227.607051257466</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-18502.078428182373</v>
      </c>
      <c r="Y10" s="64">
        <f t="shared" si="15"/>
        <v>1.9607843137254832E-2</v>
      </c>
      <c r="Z10" s="1">
        <f t="shared" si="16"/>
        <v>-3960</v>
      </c>
      <c r="AA10" s="64">
        <f t="shared" si="17"/>
        <v>0</v>
      </c>
      <c r="AB10" s="40"/>
      <c r="AC10" s="1">
        <f t="shared" si="3"/>
        <v>-80862.078428182373</v>
      </c>
      <c r="AD10" s="1">
        <f t="shared" si="4"/>
        <v>113606.92324047466</v>
      </c>
      <c r="AE10" s="1">
        <f t="shared" si="18"/>
        <v>32744.844812292285</v>
      </c>
      <c r="AF10" s="1">
        <f>IF(AE10 &lt; 0,
    IF(AF9 + AE10 &gt; 0,
        AF9 + AE10, IF(AK9-ABS(AF9 + AE10)*(1+$V10) &gt;= AF9 + AE10,
        0, AF9 + AE10)),
    MIN(AF9 + AE10, Analysis!$C$7))+IF(AF9&lt;0, AF9*Analysis!$C$9,0)</f>
        <v>24000</v>
      </c>
      <c r="AG10" s="40"/>
      <c r="AH10" s="1">
        <f t="shared" si="19"/>
        <v>15972.610779570181</v>
      </c>
      <c r="AI10" s="1">
        <f>IF(AE10 &gt;= 0,
    MAX(0, AF9 + AE10 - Analysis!$C$7),
    0)</f>
        <v>32744.844812292285</v>
      </c>
      <c r="AJ10" s="1">
        <f t="shared" si="44"/>
        <v>225803.7007296127</v>
      </c>
      <c r="AK10" s="1">
        <f t="shared" si="20"/>
        <v>295524.15782119666</v>
      </c>
      <c r="AL10" s="1">
        <f t="shared" si="5"/>
        <v>277135.3872632914</v>
      </c>
      <c r="AM10" s="36"/>
      <c r="AN10" s="1">
        <f t="shared" si="45"/>
        <v>805961.74971248943</v>
      </c>
      <c r="AO10" s="64">
        <f t="shared" si="21"/>
        <v>1.9607843137254832E-2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-18557.30897166385</v>
      </c>
      <c r="AT10" s="1">
        <f>IF($B10&lt;Analysis!$C$66,0,IF($B10=Analysis!$C$66,-AP10-AS10,MIN(0,AT9-AS10)))</f>
        <v>-548771.66476715123</v>
      </c>
      <c r="AU10" s="64">
        <f>IF($B10&lt;Analysis!$C$66,0,IF($B10=Analysis!$C$66,Analysis!$C$72,IF(($B10-Analysis!$C$66)&lt;LOOKUP(Analysis!$C$66,$B:$B,AQ:AQ),AU9,0)))</f>
        <v>3.6999999999999998E-2</v>
      </c>
      <c r="AV10" s="1">
        <f>IF($B10&lt;Analysis!$C$66,0,IF($B10=Analysis!$C$66,-AU10*AP10,AU9*AT9))</f>
        <v>-20991.172028336157</v>
      </c>
      <c r="AW10" s="1">
        <f>IF($B10&lt;Analysis!$C$66,0,IF($B10=Analysis!$C$66,PMT(AU10,AQ10,AP10)*AQ10-AX10-AT10,IF(($B10-Analysis!$C$66+1)&lt;LOOKUP(Analysis!$C$66,$B:$B,AQ:AQ),IF(AW9-AV10&lt;0, AW9-AV10,0),0)))</f>
        <v>-235332.63177213346</v>
      </c>
      <c r="AX10" s="1">
        <f>IF($B10&lt;Analysis!$C$66,0,IF($B10=Analysis!$C$66,AS10+AV10,IF(AT9&lt;0,IF(AT9&gt;LOOKUP(Analysis!$C$66,$B:$B,AX:AX), AT9*(1+AU9),AX9),0)))</f>
        <v>-39548.481000000007</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-2417.8852491374682</v>
      </c>
      <c r="BF10" s="64">
        <f>IF($B10&lt;Analysis!$C$66,0,Analysis!$C$78)</f>
        <v>3.0000000000000001E-3</v>
      </c>
      <c r="BG10" s="1">
        <f>IF($B10&lt;Analysis!$C$66,0,-BH10*AN10)</f>
        <v>-6044.7131228436701</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-102760.1230883424</v>
      </c>
      <c r="BS10" s="64">
        <f>IF($B10&lt;Analysis!C$66,0,Analysis!C$31)</f>
        <v>0.1275</v>
      </c>
      <c r="BT10" s="1">
        <f>IF($B10&lt;Analysis!$C$66,0,AN10+BR10)</f>
        <v>703201.62662414706</v>
      </c>
      <c r="BU10" s="1">
        <f>IF($B10-Analysis!$C$66&gt;3,0,IF($AN10&gt;LOOKUP(Analysis!$C$66,$B:$B, AN:AN),$V10*(LOOKUP(Analysis!$C$66,$B:$B, AN:AN)-AN10),0))</f>
        <v>0</v>
      </c>
      <c r="BV10" s="1">
        <f t="shared" si="23"/>
        <v>703201.62662414706</v>
      </c>
      <c r="BW10" s="42"/>
      <c r="BX10" s="1">
        <f>IF($B10&lt;Analysis!$C$66,$P10+$N10+$X10+$Z10,$P10+$N10+AS10+AV10+BB10+BE10+BG10+MAX(BI10,SUM(BJ10:BN10))+BP10)</f>
        <v>-116443.90815068857</v>
      </c>
      <c r="BY10" s="1">
        <f t="shared" si="24"/>
        <v>113606.92324047466</v>
      </c>
      <c r="BZ10" s="1">
        <f t="shared" si="46"/>
        <v>-2836.9849102139124</v>
      </c>
      <c r="CA10" s="1">
        <f>IF(BZ10 &lt; 0,
    IF(CA9 + BZ10 &gt; 0,
        CA9 + BZ10, IF(CF9-ABS(CA9 + BZ10)*(1+$V10) &gt;= CA9 + BZ10,
        0, CA9 + BZ10)),
    MIN(CA9 + BZ10, Analysis!$C$7))+IF(CA9&lt;0, CA9*Analysis!$C$9,0)</f>
        <v>-153834.29853544367</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-18502.078428182373</v>
      </c>
      <c r="CJ10" s="1">
        <f>IF(OR($B10&lt;Analysis!$C$100, $B10&gt;=Analysis!$C$130),0,Z10)</f>
        <v>-3960</v>
      </c>
      <c r="CK10" s="1">
        <f t="shared" si="26"/>
        <v>484745.11033432337</v>
      </c>
      <c r="CL10" s="64">
        <f t="shared" si="48"/>
        <v>1.9607843137254832E-2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-10351.145319295816</v>
      </c>
      <c r="CQ10" s="1">
        <f>IF(OR($B10&lt;Analysis!$C$100, $B10&gt;=Analysis!$C$101),0,IF($B10=Analysis!$C$100,-CM10-CP10,MIN(0,CQ9-CP10)))</f>
        <v>-306101.23794297955</v>
      </c>
      <c r="CR10" s="64">
        <f>IF(OR($B10&lt;Analysis!$C$100, $B10&gt;=Analysis!$C$101),0,IF($B10=Analysis!$C$100,Analysis!$C$102,IF(($B10-Analysis!$C$100)&lt;LOOKUP(Analysis!$C$100,$B:$B,CN:CN),CR9,0)))</f>
        <v>3.6999999999999998E-2</v>
      </c>
      <c r="CS10" s="1">
        <f>IF(OR($B10&lt;Analysis!$C$100, $B10&gt;=Analysis!$C$101),0,IF($B10=Analysis!$C$100,-CR10*CM10,CR9*CQ9))</f>
        <v>-11708.738180704187</v>
      </c>
      <c r="CT10" s="1">
        <f>IF(OR($B10&lt;Analysis!$C$100, $B10&gt;=Analysis!$C$101),0,IF($B10=Analysis!$C$100,PMT(CR10,CN10,CM10)*CN10-CU10-CQ10,IF(($B10-Analysis!$C$100+1)&lt;LOOKUP(Analysis!$C$100,$B:$B,CN:CN),IF(CT9-CS10&lt;0, CT9-CS10,0),0)))</f>
        <v>-131266.99962614651</v>
      </c>
      <c r="CU10" s="1">
        <f>IF(OR($B10&lt;Analysis!$C$100, $B10&gt;=Analysis!$C$101),0,IF($B10=Analysis!$C$100,CP10+CS10,IF(CQ9&lt;0,IF(CQ9&gt;LOOKUP(Analysis!$C$100,$B:$B,CU:CU), CQ9*(1+CR9),CU9),0)))</f>
        <v>-22059.883500000004</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16189.318624659569</v>
      </c>
      <c r="DC10" s="64">
        <f>IF(OR($B10&lt;Analysis!$C$100, $B10&gt;=Analysis!$C$101),0,((1+Analysis!$B$114)/(1+$S10))-1)</f>
        <v>1.9607843137254832E-2</v>
      </c>
      <c r="DD10" s="1">
        <f t="shared" si="6"/>
        <v>21603.553955662537</v>
      </c>
      <c r="DE10" s="1">
        <f t="shared" si="27"/>
        <v>-1454.23533100297</v>
      </c>
      <c r="DF10" s="64">
        <f>IF(OR($B10&lt;Analysis!$C$100, $B10&gt;=Analysis!$C$101),0,Analysis!$C$118)</f>
        <v>3.0000000000000001E-3</v>
      </c>
      <c r="DG10" s="1">
        <f t="shared" si="28"/>
        <v>-3635.5883275074252</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-1214.1988968494677</v>
      </c>
      <c r="DR10" s="1">
        <f t="shared" si="29"/>
        <v>-18564.022555359861</v>
      </c>
      <c r="DS10" s="1">
        <f>MIN(0,-(DB10+DR10)*Analysis!$C$28)-CS10*Analysis!$C$28</f>
        <v>5188.1418878700251</v>
      </c>
      <c r="DT10" s="1">
        <f>-Analysis!$C$116*DD10/12</f>
        <v>-1800.2961629718782</v>
      </c>
      <c r="DU10" s="53"/>
      <c r="DV10" s="1">
        <f t="shared" si="30"/>
        <v>-61805.001567626234</v>
      </c>
      <c r="DW10" s="64">
        <f>IF(OR($B10&lt;Analysis!$C$100, $B10&gt;=Analysis!$C$101),0,IF($B10=Analysis!$C$100,Analysis!$C$31,DW9))</f>
        <v>0.1275</v>
      </c>
      <c r="DX10" s="1">
        <f>IF(OR($B10&lt;Analysis!$C$100, $B10&gt;=Analysis!$C$101),0,CK10+DV10)</f>
        <v>422940.10876669711</v>
      </c>
      <c r="DY10" s="1">
        <f>IF(OR($B10&lt;Analysis!$C$100, $B10&gt;=Analysis!$C$101),0,IF($B10-Analysis!$C$100&gt;3,0,IF(CK10&gt;LOOKUP(Analysis!$C$100,$B:$B, CK:CK),$V10*(LOOKUP(Analysis!$C$100,$B:$B, CK:CK)-CK10),0)))</f>
        <v>0</v>
      </c>
      <c r="DZ10" s="1">
        <f t="shared" si="49"/>
        <v>422940.10876669711</v>
      </c>
      <c r="EA10" s="53"/>
      <c r="EB10" s="1">
        <f t="shared" si="31"/>
        <v>805961.74971248943</v>
      </c>
      <c r="EC10" s="64">
        <f t="shared" si="50"/>
        <v>1.9607843137254832E-2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-115870.96753735152</v>
      </c>
      <c r="FM10" s="1">
        <f>$M10+$R10+DD10+IF(AND($B10&lt;&gt;Analysis!$C$130,$B10=Analysis!$C$101),DZ9+CQ9+CT9+CZ9,0)</f>
        <v>135210.47719613719</v>
      </c>
      <c r="FN10" s="1">
        <f t="shared" si="34"/>
        <v>19339.509658785668</v>
      </c>
      <c r="FO10" s="1">
        <f>IF(FN10 &lt; 0,
    IF(FO9 + FN10 &gt; 0,
        FO9 + FN10, IF(FT9-ABS(FO9 + FN10)*(1+$V10) &gt;= FO9 + FN10,
        0, FO9 + FN10)),
    MIN(FO9 + FN10, Analysis!$C$7))+IF(FO9&lt;0, FO9*Analysis!$C$9,0)</f>
        <v>24000</v>
      </c>
      <c r="FP10" s="53"/>
      <c r="FQ10" s="1">
        <f t="shared" si="51"/>
        <v>4220.4295031635429</v>
      </c>
      <c r="FR10" s="1">
        <f>IF(OR($B10=Analysis!$C$100, $B10=Analysis!$C$130),0,IF(FN10 &gt;= 0,
    MAX(0, FO9 + FN10 - Analysis!$C$7),
    0))</f>
        <v>19339.509658785668</v>
      </c>
      <c r="FS10" s="1">
        <f>IF(OR($B10=Analysis!$C$100, $B10=Analysis!$C$130),0,MAX(0, FS9 + FR10 - IF(FN10 &lt; 0, MIN(ABS(FN10), FS9 + FR10), 0)))</f>
        <v>78727.480067088676</v>
      </c>
      <c r="FT10" s="1">
        <f>IF(OR($B10=Analysis!$C$100, $B10=Analysis!$C$130),0,IF(FN10 &lt; 0,
    IF(FN10 + FO9 &lt; 0,
        MAX(0, FT9 - (ABS(FN10 + FO9) * (1+$V9))),
        FT9 + FQ10),
    FT9 + FR10 + FQ10))</f>
        <v>88773.466370630835</v>
      </c>
      <c r="FU10" s="1">
        <f t="shared" si="35"/>
        <v>86123.837483071591</v>
      </c>
      <c r="FV10" s="36"/>
      <c r="FW10" s="1">
        <f t="shared" si="52"/>
        <v>484745.11033432337</v>
      </c>
      <c r="FX10" s="64">
        <f t="shared" si="53"/>
        <v>1.9607843137254832E-2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-10351.145319295816</v>
      </c>
      <c r="GC10" s="1">
        <f>IF($B10&lt;Analysis!$C$159,0,IF($B10=Analysis!$C$159,-FY10-GB10,MIN(0,GC9-GB10)))</f>
        <v>-306101.23794297955</v>
      </c>
      <c r="GD10" s="64">
        <f>IF($B10&lt;Analysis!$C$159,0,IF($B10=Analysis!$C$159,Analysis!$C$160,IF(($B10-Analysis!$C$159)&lt;LOOKUP(Analysis!$C$159,$B:$B,FZ:FZ),GD9,0)))</f>
        <v>3.6999999999999998E-2</v>
      </c>
      <c r="GE10" s="1">
        <f>IF($B10&lt;Analysis!$C$159,0,IF($B10=Analysis!$C$159,-GD10*FY10,GD9*GC9))</f>
        <v>-11708.738180704187</v>
      </c>
      <c r="GF10" s="1">
        <f>IF($B10&lt;Analysis!$C$159,0,IF($B10=Analysis!$C$159,PMT(GD10,FZ10,FY10)*FZ10-GG10-GC10,IF(($B10-Analysis!$C$159+1)&lt;LOOKUP(Analysis!$C$159,$B:$B,FZ:FZ),IF(GF9-GE10&lt;0, GF9-GE10,0),0)))</f>
        <v>-131266.99962614651</v>
      </c>
      <c r="GG10" s="1">
        <f>IF($B10&lt;Analysis!$C$159,0,IF($B10=Analysis!$C$159,GB10+GE10,IF(GC9&lt;0,IF(GC9&gt;LOOKUP(Analysis!$C$159,$B:$B,GG:GG), GC9*(1+GD9),GG9),0)))</f>
        <v>-22059.883500000004</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16189.318624659569</v>
      </c>
      <c r="GO10" s="64">
        <f>IF($B10&lt;Analysis!$C$159,0,((1+Analysis!$B$174)/(1+$S10))-1)</f>
        <v>1.9607843137254832E-2</v>
      </c>
      <c r="GP10" s="1">
        <f t="shared" si="7"/>
        <v>21603.553955662537</v>
      </c>
      <c r="GQ10" s="1">
        <f t="shared" si="36"/>
        <v>-1454.23533100297</v>
      </c>
      <c r="GR10" s="64">
        <f>IF($B10&lt;Analysis!$C$159,0,Analysis!$C$178)</f>
        <v>3.0000000000000001E-3</v>
      </c>
      <c r="GS10" s="1">
        <f t="shared" si="37"/>
        <v>-3635.5883275074252</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-1214.1988968494677</v>
      </c>
      <c r="HD10" s="1">
        <f t="shared" si="38"/>
        <v>-18564.022555359861</v>
      </c>
      <c r="HE10" s="1">
        <f>MIN(0,-(GN10+HD10)*Analysis!$C$28)-GE10*Analysis!$C$28</f>
        <v>5188.1418878700251</v>
      </c>
      <c r="HF10" s="1">
        <f>-Analysis!$C$176*GP10/12</f>
        <v>-1800.2961629718782</v>
      </c>
      <c r="HG10" s="38"/>
      <c r="HH10" s="1">
        <f>IF($B10&lt;Analysis!$C$159,0,-$HI10*$FW10)</f>
        <v>-61805.001567626234</v>
      </c>
      <c r="HI10" s="64">
        <f>IF($B10&lt;Analysis!$C$159,0,IF($B10=Analysis!$C$159,Analysis!$C$31,HI9))</f>
        <v>0.1275</v>
      </c>
      <c r="HJ10" s="1">
        <f>IF($B10&lt;Analysis!$C$159,0,$FW10+HH10)</f>
        <v>422940.10876669711</v>
      </c>
      <c r="HK10" s="1">
        <f>IF($B10-Analysis!$C$159&gt;10,0,IF($FW10&gt;LOOKUP(Analysis!$C$159,$B:$B, FW:FW),$V10*(LOOKUP(Analysis!$C$159,$B:$B, FW:FW)-FW10),0))</f>
        <v>-18395.272850677789</v>
      </c>
      <c r="HL10" s="1">
        <f t="shared" si="39"/>
        <v>404544.83591601934</v>
      </c>
      <c r="HM10" s="38"/>
      <c r="HN10" s="1">
        <f t="shared" si="40"/>
        <v>-115870.96753735152</v>
      </c>
      <c r="HO10" s="1">
        <f t="shared" si="8"/>
        <v>135210.47719613719</v>
      </c>
      <c r="HP10" s="1">
        <f t="shared" si="41"/>
        <v>19339.509658785668</v>
      </c>
      <c r="HQ10" s="1">
        <f>IF(HP10 &lt; 0,
    IF(HQ9 + HP10 &gt; 0,
        HQ9 + HP10, IF(HV9-ABS(HQ9 + HP10)*(1+$V10) &gt;= HQ9 + HP10,
        0, HQ9 + HP10)),
    MIN(HQ9 + HP10, Analysis!$C$7))+IF(HQ9&lt;0, HQ9*Analysis!$C$9,0)</f>
        <v>24000</v>
      </c>
      <c r="HR10" s="38"/>
      <c r="HS10" s="1">
        <f t="shared" si="54"/>
        <v>4220.4295031635447</v>
      </c>
      <c r="HT10" s="1">
        <f>IF($B10=Analysis!$C$159,0,IF(HP10 &gt;= 0,
    MAX(0, HQ9 + HP10 - Analysis!$C$7),
    0))</f>
        <v>19339.509658785668</v>
      </c>
      <c r="HU10" s="1">
        <f>IF($B10=Analysis!$C$159,0,MAX(0, HU9 + HT10 - IF(HP10 &lt; 0, MIN(ABS(HP10), HU9 + HT10), 0)))</f>
        <v>78727.480067088691</v>
      </c>
      <c r="HV10" s="1">
        <f>IF($B10=Analysis!$C$159,0,IF(HP10 &lt; 0,
    IF(HP10 + HQ9 &lt; 0,
        MAX(0, HV9 - (ABS(HP10 + HQ9) * (1+$V9))),
        HV9 + HS10),
    HV9 + HT10 + HS10))</f>
        <v>88773.466370630849</v>
      </c>
      <c r="HW10" s="1">
        <f t="shared" si="42"/>
        <v>86123.837483071606</v>
      </c>
      <c r="HX10" s="36"/>
    </row>
    <row r="11" spans="1:232" x14ac:dyDescent="0.35">
      <c r="A11">
        <f t="shared" si="0"/>
        <v>44</v>
      </c>
      <c r="B11">
        <v>2034</v>
      </c>
      <c r="C11" s="1">
        <f>IF($B11&lt;Analysis!C$66,0,$AN11)+$AT11+$AW11+$BC11+$CF11+$CA11</f>
        <v>-89150.371480953094</v>
      </c>
      <c r="D11" s="1">
        <f>IF($B11&lt;Analysis!C$66, 0, BV11)+AT11+AW11+BC11+CG11+CA11</f>
        <v>-193925.39894357676</v>
      </c>
      <c r="E11" s="1">
        <f t="shared" si="1"/>
        <v>373309.54993620951</v>
      </c>
      <c r="F11" s="1">
        <f t="shared" si="9"/>
        <v>350010.05775898445</v>
      </c>
      <c r="G11" s="1">
        <f>IF(AND($B11&gt;=Analysis!$C$100, $B11&lt;Analysis!$C$101),$CK11,0)+IF($B11&gt;=Analysis!$C$130,EB11,0)+CQ11+CT11+CZ11+EH11+EK11+EQ11+$FO11+$FT11</f>
        <v>219093.02348159798</v>
      </c>
      <c r="H11" s="1">
        <f t="shared" si="10"/>
        <v>151951.38255455659</v>
      </c>
      <c r="I11" s="1">
        <f>IF($B11&lt;Analysis!$C$159,0,$FW11)+$GC11+$GF11+$GL11+$HQ11+$HV11</f>
        <v>219093.02348159801</v>
      </c>
      <c r="J11" s="1">
        <f t="shared" si="2"/>
        <v>131049.21709896356</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-18864.864279715359</v>
      </c>
      <c r="Y11" s="64">
        <f t="shared" si="15"/>
        <v>1.9607843137254832E-2</v>
      </c>
      <c r="Z11" s="1">
        <f t="shared" si="16"/>
        <v>-3960</v>
      </c>
      <c r="AA11" s="64">
        <f t="shared" si="17"/>
        <v>0</v>
      </c>
      <c r="AB11" s="40"/>
      <c r="AC11" s="1">
        <f t="shared" si="3"/>
        <v>-81224.864279715359</v>
      </c>
      <c r="AD11" s="1">
        <f t="shared" si="4"/>
        <v>116391.40665323137</v>
      </c>
      <c r="AE11" s="1">
        <f t="shared" si="18"/>
        <v>35166.542373516015</v>
      </c>
      <c r="AF11" s="1">
        <f>IF(AE11 &lt; 0,
    IF(AF10 + AE11 &gt; 0,
        AF10 + AE11, IF(AK10-ABS(AF10 + AE11)*(1+$V11) &gt;= AF10 + AE11,
        0, AF10 + AE11)),
    MIN(AF10 + AE11, Analysis!$C$7))+IF(AF10&lt;0, AF10*Analysis!$C$9,0)</f>
        <v>24000</v>
      </c>
      <c r="AG11" s="40"/>
      <c r="AH11" s="1">
        <f t="shared" si="19"/>
        <v>18618.849741496855</v>
      </c>
      <c r="AI11" s="1">
        <f>IF(AE11 &gt;= 0,
    MAX(0, AF10 + AE11 - Analysis!$C$7),
    0)</f>
        <v>35166.542373516015</v>
      </c>
      <c r="AJ11" s="1">
        <f t="shared" si="44"/>
        <v>260970.24310312871</v>
      </c>
      <c r="AK11" s="1">
        <f t="shared" si="20"/>
        <v>349309.54993620951</v>
      </c>
      <c r="AL11" s="1">
        <f t="shared" si="5"/>
        <v>326010.05775898445</v>
      </c>
      <c r="AM11" s="36"/>
      <c r="AN11" s="1">
        <f t="shared" si="45"/>
        <v>821764.92127547937</v>
      </c>
      <c r="AO11" s="64">
        <f t="shared" si="21"/>
        <v>1.9607843137254832E-2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-19243.929403615413</v>
      </c>
      <c r="AT11" s="1">
        <f>IF($B11&lt;Analysis!$C$66,0,IF($B11=Analysis!$C$66,-AP11-AS11,MIN(0,AT10-AS11)))</f>
        <v>-529527.73536353582</v>
      </c>
      <c r="AU11" s="64">
        <f>IF($B11&lt;Analysis!$C$66,0,IF($B11=Analysis!$C$66,Analysis!$C$72,IF(($B11-Analysis!$C$66)&lt;LOOKUP(Analysis!$C$66,$B:$B,AQ:AQ),AU10,0)))</f>
        <v>3.6999999999999998E-2</v>
      </c>
      <c r="AV11" s="1">
        <f>IF($B11&lt;Analysis!$C$66,0,IF($B11=Analysis!$C$66,-AU11*AP11,AU10*AT10))</f>
        <v>-20304.551596384594</v>
      </c>
      <c r="AW11" s="1">
        <f>IF($B11&lt;Analysis!$C$66,0,IF($B11=Analysis!$C$66,PMT(AU11,AQ11,AP11)*AQ11-AX11-AT11,IF(($B11-Analysis!$C$66+1)&lt;LOOKUP(Analysis!$C$66,$B:$B,AQ:AQ),IF(AW10-AV11&lt;0, AW10-AV11,0),0)))</f>
        <v>-215028.08017574888</v>
      </c>
      <c r="AX11" s="1">
        <f>IF($B11&lt;Analysis!$C$66,0,IF($B11=Analysis!$C$66,AS11+AV11,IF(AT10&lt;0,IF(AT10&gt;LOOKUP(Analysis!$C$66,$B:$B,AX:AX), AT10*(1+AU10),AX10),0)))</f>
        <v>-39548.481000000007</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-2465.2947638264382</v>
      </c>
      <c r="BF11" s="64">
        <f>IF($B11&lt;Analysis!$C$66,0,Analysis!$C$78)</f>
        <v>3.0000000000000001E-3</v>
      </c>
      <c r="BG11" s="1">
        <f>IF($B11&lt;Analysis!$C$66,0,-BH11*AN11)</f>
        <v>-6163.2369095660952</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-104775.02746262362</v>
      </c>
      <c r="BS11" s="64">
        <f>IF($B11&lt;Analysis!C$66,0,Analysis!C$31)</f>
        <v>0.1275</v>
      </c>
      <c r="BT11" s="1">
        <f>IF($B11&lt;Analysis!$C$66,0,AN11+BR11)</f>
        <v>716989.89381285571</v>
      </c>
      <c r="BU11" s="1">
        <f>IF($B11-Analysis!$C$66&gt;3,0,IF($AN11&gt;LOOKUP(Analysis!$C$66,$B:$B, AN:AN),$V11*(LOOKUP(Analysis!$C$66,$B:$B, AN:AN)-AN11),0))</f>
        <v>0</v>
      </c>
      <c r="BV11" s="1">
        <f t="shared" si="23"/>
        <v>716989.89381285571</v>
      </c>
      <c r="BW11" s="42"/>
      <c r="BX11" s="1">
        <f>IF($B11&lt;Analysis!$C$66,$P11+$N11+$X11+$Z11,$P11+$N11+AS11+AV11+BB11+BE11+BG11+MAX(BI11,SUM(BJ11:BN11))+BP11)</f>
        <v>-116609.84145209998</v>
      </c>
      <c r="BY11" s="1">
        <f t="shared" si="24"/>
        <v>116391.40665323137</v>
      </c>
      <c r="BZ11" s="1">
        <f t="shared" si="46"/>
        <v>-218.43479886860587</v>
      </c>
      <c r="CA11" s="1">
        <f>IF(BZ11 &lt; 0,
    IF(CA10 + BZ11 &gt; 0,
        CA10 + BZ11, IF(CF10-ABS(CA10 + BZ11)*(1+$V11) &gt;= CA10 + BZ11,
        0, CA10 + BZ11)),
    MIN(CA10 + BZ11, Analysis!$C$7))+IF(CA10&lt;0, CA10*Analysis!$C$9,0)</f>
        <v>-166359.47721714777</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-18864.864279715359</v>
      </c>
      <c r="CJ11" s="1">
        <f>IF(OR($B11&lt;Analysis!$C$100, $B11&gt;=Analysis!$C$130),0,Z11)</f>
        <v>-3960</v>
      </c>
      <c r="CK11" s="1">
        <f t="shared" si="26"/>
        <v>494249.91641931009</v>
      </c>
      <c r="CL11" s="64">
        <f t="shared" si="48"/>
        <v>1.9607843137254832E-2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-10734.137696109761</v>
      </c>
      <c r="CQ11" s="1">
        <f>IF(OR($B11&lt;Analysis!$C$100, $B11&gt;=Analysis!$C$101),0,IF($B11=Analysis!$C$100,-CM11-CP11,MIN(0,CQ10-CP11)))</f>
        <v>-295367.10024686978</v>
      </c>
      <c r="CR11" s="64">
        <f>IF(OR($B11&lt;Analysis!$C$100, $B11&gt;=Analysis!$C$101),0,IF($B11=Analysis!$C$100,Analysis!$C$102,IF(($B11-Analysis!$C$100)&lt;LOOKUP(Analysis!$C$100,$B:$B,CN:CN),CR10,0)))</f>
        <v>3.6999999999999998E-2</v>
      </c>
      <c r="CS11" s="1">
        <f>IF(OR($B11&lt;Analysis!$C$100, $B11&gt;=Analysis!$C$101),0,IF($B11=Analysis!$C$100,-CR11*CM11,CR10*CQ10))</f>
        <v>-11325.745803890242</v>
      </c>
      <c r="CT11" s="1">
        <f>IF(OR($B11&lt;Analysis!$C$100, $B11&gt;=Analysis!$C$101),0,IF($B11=Analysis!$C$100,PMT(CR11,CN11,CM11)*CN11-CU11-CQ11,IF(($B11-Analysis!$C$100+1)&lt;LOOKUP(Analysis!$C$100,$B:$B,CN:CN),IF(CT10-CS11&lt;0, CT10-CS11,0),0)))</f>
        <v>-119941.25382225627</v>
      </c>
      <c r="CU11" s="1">
        <f>IF(OR($B11&lt;Analysis!$C$100, $B11&gt;=Analysis!$C$101),0,IF($B11=Analysis!$C$100,CP11+CS11,IF(CQ10&lt;0,IF(CQ10&gt;LOOKUP(Analysis!$C$100,$B:$B,CU:CU), CQ10*(1+CR10),CU10),0)))</f>
        <v>-22059.883500000004</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16506.75624475093</v>
      </c>
      <c r="DC11" s="64">
        <f>IF(OR($B11&lt;Analysis!$C$100, $B11&gt;=Analysis!$C$101),0,((1+Analysis!$B$114)/(1+$S11))-1)</f>
        <v>1.9607843137254832E-2</v>
      </c>
      <c r="DD11" s="1">
        <f t="shared" si="6"/>
        <v>21949.505994008861</v>
      </c>
      <c r="DE11" s="1">
        <f t="shared" si="27"/>
        <v>-1482.7497492579303</v>
      </c>
      <c r="DF11" s="64">
        <f>IF(OR($B11&lt;Analysis!$C$100, $B11&gt;=Analysis!$C$101),0,Analysis!$C$118)</f>
        <v>3.0000000000000001E-3</v>
      </c>
      <c r="DG11" s="1">
        <f t="shared" si="28"/>
        <v>-3706.8743731448253</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-1238.0067183563197</v>
      </c>
      <c r="DR11" s="1">
        <f t="shared" si="29"/>
        <v>-18687.630840759073</v>
      </c>
      <c r="DS11" s="1">
        <f>MIN(0,-(DB11+DR11)*Analysis!$C$28)-CS11*Analysis!$C$28</f>
        <v>5018.4379657037653</v>
      </c>
      <c r="DT11" s="1">
        <f>-Analysis!$C$116*DD11/12</f>
        <v>-1829.1254995007384</v>
      </c>
      <c r="DU11" s="53"/>
      <c r="DV11" s="1">
        <f t="shared" si="30"/>
        <v>-63016.864343462039</v>
      </c>
      <c r="DW11" s="64">
        <f>IF(OR($B11&lt;Analysis!$C$100, $B11&gt;=Analysis!$C$101),0,IF($B11=Analysis!$C$100,Analysis!$C$31,DW10))</f>
        <v>0.1275</v>
      </c>
      <c r="DX11" s="1">
        <f>IF(OR($B11&lt;Analysis!$C$100, $B11&gt;=Analysis!$C$101),0,CK11+DV11)</f>
        <v>431233.05207584804</v>
      </c>
      <c r="DY11" s="1">
        <f>IF(OR($B11&lt;Analysis!$C$100, $B11&gt;=Analysis!$C$101),0,IF($B11-Analysis!$C$100&gt;3,0,IF(CK11&gt;LOOKUP(Analysis!$C$100,$B:$B, CK:CK),$V11*(LOOKUP(Analysis!$C$100,$B:$B, CK:CK)-CK11),0)))</f>
        <v>0</v>
      </c>
      <c r="DZ11" s="1">
        <f t="shared" si="49"/>
        <v>431233.05207584804</v>
      </c>
      <c r="EA11" s="53"/>
      <c r="EB11" s="1">
        <f t="shared" si="31"/>
        <v>821764.92127547937</v>
      </c>
      <c r="EC11" s="64">
        <f t="shared" si="50"/>
        <v>1.9607843137254832E-2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-116555.89493297882</v>
      </c>
      <c r="FM11" s="1">
        <f>$M11+$R11+DD11+IF(AND($B11&lt;&gt;Analysis!$C$130,$B11=Analysis!$C$101),DZ10+CQ10+CT10+CZ10,0)</f>
        <v>138340.91264724024</v>
      </c>
      <c r="FN11" s="1">
        <f t="shared" si="34"/>
        <v>21785.017714261427</v>
      </c>
      <c r="FO11" s="1">
        <f>IF(FN11 &lt; 0,
    IF(FO10 + FN11 &gt; 0,
        FO10 + FN11, IF(FT10-ABS(FO10 + FN11)*(1+$V11) &gt;= FO10 + FN11,
        0, FO10 + FN11)),
    MIN(FO10 + FN11, Analysis!$C$7))+IF(FO10&lt;0, FO10*Analysis!$C$9,0)</f>
        <v>24000</v>
      </c>
      <c r="FP11" s="53"/>
      <c r="FQ11" s="1">
        <f t="shared" si="51"/>
        <v>5592.977046521667</v>
      </c>
      <c r="FR11" s="1">
        <f>IF(OR($B11=Analysis!$C$100, $B11=Analysis!$C$130),0,IF(FN11 &gt;= 0,
    MAX(0, FO10 + FN11 - Analysis!$C$7),
    0))</f>
        <v>21785.017714261427</v>
      </c>
      <c r="FS11" s="1">
        <f>IF(OR($B11=Analysis!$C$100, $B11=Analysis!$C$130),0,MAX(0, FS10 + FR11 - IF(FN11 &lt; 0, MIN(ABS(FN11), FS10 + FR11), 0)))</f>
        <v>100512.4977813501</v>
      </c>
      <c r="FT11" s="1">
        <f>IF(OR($B11=Analysis!$C$100, $B11=Analysis!$C$130),0,IF(FN11 &lt; 0,
    IF(FN11 + FO10 &lt; 0,
        MAX(0, FT10 - (ABS(FN11 + FO10) * (1+$V10))),
        FT10 + FQ11),
    FT10 + FR11 + FQ11))</f>
        <v>116151.46113141393</v>
      </c>
      <c r="FU11" s="1">
        <f t="shared" si="35"/>
        <v>112026.68454783459</v>
      </c>
      <c r="FV11" s="36"/>
      <c r="FW11" s="1">
        <f t="shared" si="52"/>
        <v>494249.91641931009</v>
      </c>
      <c r="FX11" s="64">
        <f t="shared" si="53"/>
        <v>1.9607843137254832E-2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-10734.137696109761</v>
      </c>
      <c r="GC11" s="1">
        <f>IF($B11&lt;Analysis!$C$159,0,IF($B11=Analysis!$C$159,-FY11-GB11,MIN(0,GC10-GB11)))</f>
        <v>-295367.10024686978</v>
      </c>
      <c r="GD11" s="64">
        <f>IF($B11&lt;Analysis!$C$159,0,IF($B11=Analysis!$C$159,Analysis!$C$160,IF(($B11-Analysis!$C$159)&lt;LOOKUP(Analysis!$C$159,$B:$B,FZ:FZ),GD10,0)))</f>
        <v>3.6999999999999998E-2</v>
      </c>
      <c r="GE11" s="1">
        <f>IF($B11&lt;Analysis!$C$159,0,IF($B11=Analysis!$C$159,-GD11*FY11,GD10*GC10))</f>
        <v>-11325.745803890242</v>
      </c>
      <c r="GF11" s="1">
        <f>IF($B11&lt;Analysis!$C$159,0,IF($B11=Analysis!$C$159,PMT(GD11,FZ11,FY11)*FZ11-GG11-GC11,IF(($B11-Analysis!$C$159+1)&lt;LOOKUP(Analysis!$C$159,$B:$B,FZ:FZ),IF(GF10-GE11&lt;0, GF10-GE11,0),0)))</f>
        <v>-119941.25382225627</v>
      </c>
      <c r="GG11" s="1">
        <f>IF($B11&lt;Analysis!$C$159,0,IF($B11=Analysis!$C$159,GB11+GE11,IF(GC10&lt;0,IF(GC10&gt;LOOKUP(Analysis!$C$159,$B:$B,GG:GG), GC10*(1+GD10),GG10),0)))</f>
        <v>-22059.883500000004</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16506.75624475093</v>
      </c>
      <c r="GO11" s="64">
        <f>IF($B11&lt;Analysis!$C$159,0,((1+Analysis!$B$174)/(1+$S11))-1)</f>
        <v>1.9607843137254832E-2</v>
      </c>
      <c r="GP11" s="1">
        <f t="shared" si="7"/>
        <v>21949.505994008861</v>
      </c>
      <c r="GQ11" s="1">
        <f t="shared" si="36"/>
        <v>-1482.7497492579303</v>
      </c>
      <c r="GR11" s="64">
        <f>IF($B11&lt;Analysis!$C$159,0,Analysis!$C$178)</f>
        <v>3.0000000000000001E-3</v>
      </c>
      <c r="GS11" s="1">
        <f t="shared" si="37"/>
        <v>-3706.8743731448253</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-1238.0067183563197</v>
      </c>
      <c r="HD11" s="1">
        <f t="shared" si="38"/>
        <v>-18687.630840759073</v>
      </c>
      <c r="HE11" s="1">
        <f>MIN(0,-(GN11+HD11)*Analysis!$C$28)-GE11*Analysis!$C$28</f>
        <v>5018.4379657037653</v>
      </c>
      <c r="HF11" s="1">
        <f>-Analysis!$C$176*GP11/12</f>
        <v>-1829.1254995007384</v>
      </c>
      <c r="HG11" s="38"/>
      <c r="HH11" s="1">
        <f>IF($B11&lt;Analysis!$C$159,0,-$HI11*$FW11)</f>
        <v>-63016.864343462039</v>
      </c>
      <c r="HI11" s="64">
        <f>IF($B11&lt;Analysis!$C$159,0,IF($B11=Analysis!$C$159,Analysis!$C$31,HI10))</f>
        <v>0.1275</v>
      </c>
      <c r="HJ11" s="1">
        <f>IF($B11&lt;Analysis!$C$159,0,$FW11+HH11)</f>
        <v>431233.05207584804</v>
      </c>
      <c r="HK11" s="1">
        <f>IF($B11-Analysis!$C$159&gt;10,0,IF($FW11&gt;LOOKUP(Analysis!$C$159,$B:$B, FW:FW),$V11*(LOOKUP(Analysis!$C$159,$B:$B, FW:FW)-FW11),0))</f>
        <v>-20902.165455593033</v>
      </c>
      <c r="HL11" s="1">
        <f t="shared" si="39"/>
        <v>410330.88662025501</v>
      </c>
      <c r="HM11" s="38"/>
      <c r="HN11" s="1">
        <f t="shared" si="40"/>
        <v>-116555.89493297882</v>
      </c>
      <c r="HO11" s="1">
        <f t="shared" si="8"/>
        <v>138340.91264724024</v>
      </c>
      <c r="HP11" s="1">
        <f t="shared" si="41"/>
        <v>21785.017714261427</v>
      </c>
      <c r="HQ11" s="1">
        <f>IF(HP11 &lt; 0,
    IF(HQ10 + HP11 &gt; 0,
        HQ10 + HP11, IF(HV10-ABS(HQ10 + HP11)*(1+$V11) &gt;= HQ10 + HP11,
        0, HQ10 + HP11)),
    MIN(HQ10 + HP11, Analysis!$C$7))+IF(HQ10&lt;0, HQ10*Analysis!$C$9,0)</f>
        <v>24000</v>
      </c>
      <c r="HR11" s="38"/>
      <c r="HS11" s="1">
        <f t="shared" si="54"/>
        <v>5592.9770465216679</v>
      </c>
      <c r="HT11" s="1">
        <f>IF($B11=Analysis!$C$159,0,IF(HP11 &gt;= 0,
    MAX(0, HQ10 + HP11 - Analysis!$C$7),
    0))</f>
        <v>21785.017714261427</v>
      </c>
      <c r="HU11" s="1">
        <f>IF($B11=Analysis!$C$159,0,MAX(0, HU10 + HT11 - IF(HP11 &lt; 0, MIN(ABS(HP11), HU10 + HT11), 0)))</f>
        <v>100512.49778135012</v>
      </c>
      <c r="HV11" s="1">
        <f>IF($B11=Analysis!$C$159,0,IF(HP11 &lt; 0,
    IF(HP11 + HQ10 &lt; 0,
        MAX(0, HV10 - (ABS(HP11 + HQ10) * (1+$V10))),
        HV10 + HS11),
    HV10 + HT11 + HS11))</f>
        <v>116151.46113141395</v>
      </c>
      <c r="HW11" s="1">
        <f t="shared" si="42"/>
        <v>112026.68454783461</v>
      </c>
      <c r="HX11" s="36"/>
    </row>
    <row r="12" spans="1:232" x14ac:dyDescent="0.35">
      <c r="A12">
        <f t="shared" si="0"/>
        <v>45</v>
      </c>
      <c r="B12">
        <v>2035</v>
      </c>
      <c r="C12" s="1">
        <f>IF($B12&lt;Analysis!C$66,0,$AN12)+$AT12+$AW12+$BC12+$CF12+$CA12</f>
        <v>-39686.038624361565</v>
      </c>
      <c r="D12" s="1">
        <f>IF($B12&lt;Analysis!C$66, 0, BV12)+AT12+AW12+BC12+CG12+CA12</f>
        <v>-146515.47839017393</v>
      </c>
      <c r="E12" s="1">
        <f t="shared" si="1"/>
        <v>430941.22202052153</v>
      </c>
      <c r="F12" s="1">
        <f t="shared" si="9"/>
        <v>401995.19478377438</v>
      </c>
      <c r="G12" s="1">
        <f>IF(AND($B12&gt;=Analysis!$C$100, $B12&lt;Analysis!$C$101),$CK12,0)+IF($B12&gt;=Analysis!$C$130,EB12,0)+CQ12+CT12+CZ12+EH12+EK12+EQ12+$FO12+$FT12</f>
        <v>286898.47074878355</v>
      </c>
      <c r="H12" s="1">
        <f t="shared" si="10"/>
        <v>216643.63455598737</v>
      </c>
      <c r="I12" s="1">
        <f>IF($B12&lt;Analysis!$C$159,0,$FW12)+$GC12+$GF12+$GL12+$HQ12+$HV12</f>
        <v>286898.47074878361</v>
      </c>
      <c r="J12" s="1">
        <f t="shared" si="2"/>
        <v>193185.42173852003</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-19234.76357931762</v>
      </c>
      <c r="Y12" s="64">
        <f t="shared" si="15"/>
        <v>1.9607843137254832E-2</v>
      </c>
      <c r="Z12" s="1">
        <f t="shared" si="16"/>
        <v>-3960</v>
      </c>
      <c r="AA12" s="64">
        <f t="shared" si="17"/>
        <v>0</v>
      </c>
      <c r="AB12" s="40"/>
      <c r="AC12" s="1">
        <f t="shared" si="3"/>
        <v>-81594.763579317616</v>
      </c>
      <c r="AD12" s="1">
        <f t="shared" si="4"/>
        <v>117817.77193084449</v>
      </c>
      <c r="AE12" s="1">
        <f t="shared" si="18"/>
        <v>36223.008351526878</v>
      </c>
      <c r="AF12" s="1">
        <f>IF(AE12 &lt; 0,
    IF(AF11 + AE12 &gt; 0,
        AF11 + AE12, IF(AK11-ABS(AF11 + AE12)*(1+$V12) &gt;= AF11 + AE12,
        0, AF11 + AE12)),
    MIN(AF11 + AE12, Analysis!$C$7))+IF(AF11&lt;0, AF11*Analysis!$C$9,0)</f>
        <v>24000</v>
      </c>
      <c r="AG12" s="40"/>
      <c r="AH12" s="1">
        <f t="shared" si="19"/>
        <v>21408.663732785124</v>
      </c>
      <c r="AI12" s="1">
        <f>IF(AE12 &gt;= 0,
    MAX(0, AF11 + AE12 - Analysis!$C$7),
    0)</f>
        <v>36223.008351526878</v>
      </c>
      <c r="AJ12" s="1">
        <f t="shared" si="44"/>
        <v>297193.2514546556</v>
      </c>
      <c r="AK12" s="1">
        <f t="shared" si="20"/>
        <v>406941.22202052153</v>
      </c>
      <c r="AL12" s="1">
        <f t="shared" si="5"/>
        <v>377995.19478377438</v>
      </c>
      <c r="AM12" s="36"/>
      <c r="AN12" s="1">
        <f t="shared" si="45"/>
        <v>837877.95894754748</v>
      </c>
      <c r="AO12" s="64">
        <f t="shared" si="21"/>
        <v>1.9607843137254832E-2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-19955.954791549182</v>
      </c>
      <c r="AT12" s="1">
        <f>IF($B12&lt;Analysis!$C$66,0,IF($B12=Analysis!$C$66,-AP12-AS12,MIN(0,AT11-AS12)))</f>
        <v>-509571.78057198663</v>
      </c>
      <c r="AU12" s="64">
        <f>IF($B12&lt;Analysis!$C$66,0,IF($B12=Analysis!$C$66,Analysis!$C$72,IF(($B12-Analysis!$C$66)&lt;LOOKUP(Analysis!$C$66,$B:$B,AQ:AQ),AU11,0)))</f>
        <v>3.6999999999999998E-2</v>
      </c>
      <c r="AV12" s="1">
        <f>IF($B12&lt;Analysis!$C$66,0,IF($B12=Analysis!$C$66,-AU12*AP12,AU11*AT11))</f>
        <v>-19592.526208450825</v>
      </c>
      <c r="AW12" s="1">
        <f>IF($B12&lt;Analysis!$C$66,0,IF($B12=Analysis!$C$66,PMT(AU12,AQ12,AP12)*AQ12-AX12-AT12,IF(($B12-Analysis!$C$66+1)&lt;LOOKUP(Analysis!$C$66,$B:$B,AQ:AQ),IF(AW11-AV12&lt;0, AW11-AV12,0),0)))</f>
        <v>-195435.55396729807</v>
      </c>
      <c r="AX12" s="1">
        <f>IF($B12&lt;Analysis!$C$66,0,IF($B12=Analysis!$C$66,AS12+AV12,IF(AT11&lt;0,IF(AT11&gt;LOOKUP(Analysis!$C$66,$B:$B,AX:AX), AT11*(1+AU11),AX11),0)))</f>
        <v>-39548.481000000007</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-2513.6338768426426</v>
      </c>
      <c r="BF12" s="64">
        <f>IF($B12&lt;Analysis!$C$66,0,Analysis!$C$78)</f>
        <v>3.0000000000000001E-3</v>
      </c>
      <c r="BG12" s="1">
        <f>IF($B12&lt;Analysis!$C$66,0,-BH12*AN12)</f>
        <v>-6284.0846921066059</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-106829.43976581231</v>
      </c>
      <c r="BS12" s="64">
        <f>IF($B12&lt;Analysis!C$66,0,Analysis!C$31)</f>
        <v>0.1275</v>
      </c>
      <c r="BT12" s="1">
        <f>IF($B12&lt;Analysis!$C$66,0,AN12+BR12)</f>
        <v>731048.51918173512</v>
      </c>
      <c r="BU12" s="1">
        <f>IF($B12-Analysis!$C$66&gt;3,0,IF($AN12&gt;LOOKUP(Analysis!$C$66,$B:$B, AN:AN),$V12*(LOOKUP(Analysis!$C$66,$B:$B, AN:AN)-AN12),0))</f>
        <v>0</v>
      </c>
      <c r="BV12" s="1">
        <f t="shared" si="23"/>
        <v>731048.51918173512</v>
      </c>
      <c r="BW12" s="42"/>
      <c r="BX12" s="1">
        <f>IF($B12&lt;Analysis!$C$66,$P12+$N12+$X12+$Z12,$P12+$N12+AS12+AV12+BB12+BE12+BG12+MAX(BI12,SUM(BJ12:BN12))+BP12)</f>
        <v>-110706.19956894926</v>
      </c>
      <c r="BY12" s="1">
        <f t="shared" si="24"/>
        <v>117817.77193084449</v>
      </c>
      <c r="BZ12" s="1">
        <f t="shared" si="46"/>
        <v>7111.5723618952325</v>
      </c>
      <c r="CA12" s="1">
        <f>IF(BZ12 &lt; 0,
    IF(CA11 + BZ12 &gt; 0,
        CA11 + BZ12, IF(CF11-ABS(CA11 + BZ12)*(1+$V12) &gt;= CA11 + BZ12,
        0, CA11 + BZ12)),
    MIN(CA11 + BZ12, Analysis!$C$7))+IF(CA11&lt;0, CA11*Analysis!$C$9,0)</f>
        <v>-172556.66303262435</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-19234.76357931762</v>
      </c>
      <c r="CJ12" s="1">
        <f>IF(OR($B12&lt;Analysis!$C$100, $B12&gt;=Analysis!$C$130),0,Z12)</f>
        <v>-3960</v>
      </c>
      <c r="CK12" s="1">
        <f t="shared" si="26"/>
        <v>503941.09125106124</v>
      </c>
      <c r="CL12" s="64">
        <f t="shared" si="48"/>
        <v>1.9607843137254832E-2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-11131.300790865822</v>
      </c>
      <c r="CQ12" s="1">
        <f>IF(OR($B12&lt;Analysis!$C$100, $B12&gt;=Analysis!$C$101),0,IF($B12=Analysis!$C$100,-CM12-CP12,MIN(0,CQ11-CP12)))</f>
        <v>-284235.79945600394</v>
      </c>
      <c r="CR12" s="64">
        <f>IF(OR($B12&lt;Analysis!$C$100, $B12&gt;=Analysis!$C$101),0,IF($B12=Analysis!$C$100,Analysis!$C$102,IF(($B12-Analysis!$C$100)&lt;LOOKUP(Analysis!$C$100,$B:$B,CN:CN),CR11,0)))</f>
        <v>3.6999999999999998E-2</v>
      </c>
      <c r="CS12" s="1">
        <f>IF(OR($B12&lt;Analysis!$C$100, $B12&gt;=Analysis!$C$101),0,IF($B12=Analysis!$C$100,-CR12*CM12,CR11*CQ11))</f>
        <v>-10928.582709134182</v>
      </c>
      <c r="CT12" s="1">
        <f>IF(OR($B12&lt;Analysis!$C$100, $B12&gt;=Analysis!$C$101),0,IF($B12=Analysis!$C$100,PMT(CR12,CN12,CM12)*CN12-CU12-CQ12,IF(($B12-Analysis!$C$100+1)&lt;LOOKUP(Analysis!$C$100,$B:$B,CN:CN),IF(CT11-CS12&lt;0, CT11-CS12,0),0)))</f>
        <v>-109012.67111312209</v>
      </c>
      <c r="CU12" s="1">
        <f>IF(OR($B12&lt;Analysis!$C$100, $B12&gt;=Analysis!$C$101),0,IF($B12=Analysis!$C$100,CP12+CS12,IF(CQ11&lt;0,IF(CQ11&gt;LOOKUP(Analysis!$C$100,$B:$B,CU:CU), CQ11*(1+CR11),CU11),0)))</f>
        <v>-22059.883500000004</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16830.418131902908</v>
      </c>
      <c r="DC12" s="64">
        <f>IF(OR($B12&lt;Analysis!$C$100, $B12&gt;=Analysis!$C$101),0,((1+Analysis!$B$114)/(1+$S12))-1)</f>
        <v>1.9607843137254832E-2</v>
      </c>
      <c r="DD12" s="1">
        <f t="shared" si="6"/>
        <v>22302.241405656092</v>
      </c>
      <c r="DE12" s="1">
        <f t="shared" si="27"/>
        <v>-1511.8232737531837</v>
      </c>
      <c r="DF12" s="64">
        <f>IF(OR($B12&lt;Analysis!$C$100, $B12&gt;=Analysis!$C$101),0,Analysis!$C$118)</f>
        <v>3.0000000000000001E-3</v>
      </c>
      <c r="DG12" s="1">
        <f t="shared" si="28"/>
        <v>-3779.5581843829591</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-1262.281359892718</v>
      </c>
      <c r="DR12" s="1">
        <f t="shared" si="29"/>
        <v>-18813.662818028861</v>
      </c>
      <c r="DS12" s="1">
        <f>MIN(0,-(DB12+DR12)*Analysis!$C$28)-CS12*Analysis!$C$28</f>
        <v>4842.4549984173555</v>
      </c>
      <c r="DT12" s="1">
        <f>-Analysis!$C$116*DD12/12</f>
        <v>-1858.5201171380077</v>
      </c>
      <c r="DU12" s="53"/>
      <c r="DV12" s="1">
        <f t="shared" si="30"/>
        <v>-64252.48913451031</v>
      </c>
      <c r="DW12" s="64">
        <f>IF(OR($B12&lt;Analysis!$C$100, $B12&gt;=Analysis!$C$101),0,IF($B12=Analysis!$C$100,Analysis!$C$31,DW11))</f>
        <v>0.1275</v>
      </c>
      <c r="DX12" s="1">
        <f>IF(OR($B12&lt;Analysis!$C$100, $B12&gt;=Analysis!$C$101),0,CK12+DV12)</f>
        <v>439688.6021165509</v>
      </c>
      <c r="DY12" s="1">
        <f>IF(OR($B12&lt;Analysis!$C$100, $B12&gt;=Analysis!$C$101),0,IF($B12-Analysis!$C$100&gt;3,0,IF(CK12&gt;LOOKUP(Analysis!$C$100,$B:$B, CK:CK),$V12*(LOOKUP(Analysis!$C$100,$B:$B, CK:CK)-CK12),0)))</f>
        <v>0</v>
      </c>
      <c r="DZ12" s="1">
        <f t="shared" si="49"/>
        <v>439688.6021165509</v>
      </c>
      <c r="EA12" s="53"/>
      <c r="EB12" s="1">
        <f t="shared" si="31"/>
        <v>837877.95894754748</v>
      </c>
      <c r="EC12" s="64">
        <f t="shared" si="50"/>
        <v>1.9607843137254832E-2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-111184.37501606712</v>
      </c>
      <c r="FM12" s="1">
        <f>$M12+$R12+DD12+IF(AND($B12&lt;&gt;Analysis!$C$130,$B12=Analysis!$C$101),DZ11+CQ11+CT11+CZ11,0)</f>
        <v>140120.01333650059</v>
      </c>
      <c r="FN12" s="1">
        <f t="shared" si="34"/>
        <v>28935.638320433471</v>
      </c>
      <c r="FO12" s="1">
        <f>IF(FN12 &lt; 0,
    IF(FO11 + FN12 &gt; 0,
        FO11 + FN12, IF(FT11-ABS(FO11 + FN12)*(1+$V12) &gt;= FO11 + FN12,
        0, FO11 + FN12)),
    MIN(FO11 + FN12, Analysis!$C$7))+IF(FO11&lt;0, FO11*Analysis!$C$9,0)</f>
        <v>24000</v>
      </c>
      <c r="FP12" s="53"/>
      <c r="FQ12" s="1">
        <f t="shared" si="51"/>
        <v>7118.7506150009667</v>
      </c>
      <c r="FR12" s="1">
        <f>IF(OR($B12=Analysis!$C$100, $B12=Analysis!$C$130),0,IF(FN12 &gt;= 0,
    MAX(0, FO11 + FN12 - Analysis!$C$7),
    0))</f>
        <v>28935.638320433471</v>
      </c>
      <c r="FS12" s="1">
        <f>IF(OR($B12=Analysis!$C$100, $B12=Analysis!$C$130),0,MAX(0, FS11 + FR12 - IF(FN12 &lt; 0, MIN(ABS(FN12), FS11 + FR12), 0)))</f>
        <v>129448.13610178357</v>
      </c>
      <c r="FT12" s="1">
        <f>IF(OR($B12=Analysis!$C$100, $B12=Analysis!$C$130),0,IF(FN12 &lt; 0,
    IF(FN12 + FO11 &lt; 0,
        MAX(0, FT11 - (ABS(FN12 + FO11) * (1+$V11))),
        FT11 + FQ12),
    FT11 + FR12 + FQ12))</f>
        <v>152205.85006684836</v>
      </c>
      <c r="FU12" s="1">
        <f>IF(FT12-FS12&gt;0, FT12-$V12*(FT12-FS12),FT12)</f>
        <v>146203.50300856252</v>
      </c>
      <c r="FV12" s="36"/>
      <c r="FW12" s="1">
        <f t="shared" si="52"/>
        <v>503941.09125106124</v>
      </c>
      <c r="FX12" s="64">
        <f t="shared" si="53"/>
        <v>1.9607843137254832E-2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-11131.300790865822</v>
      </c>
      <c r="GC12" s="1">
        <f>IF($B12&lt;Analysis!$C$159,0,IF($B12=Analysis!$C$159,-FY12-GB12,MIN(0,GC11-GB12)))</f>
        <v>-284235.79945600394</v>
      </c>
      <c r="GD12" s="64">
        <f>IF($B12&lt;Analysis!$C$159,0,IF($B12=Analysis!$C$159,Analysis!$C$160,IF(($B12-Analysis!$C$159)&lt;LOOKUP(Analysis!$C$159,$B:$B,FZ:FZ),GD11,0)))</f>
        <v>3.6999999999999998E-2</v>
      </c>
      <c r="GE12" s="1">
        <f>IF($B12&lt;Analysis!$C$159,0,IF($B12=Analysis!$C$159,-GD12*FY12,GD11*GC11))</f>
        <v>-10928.582709134182</v>
      </c>
      <c r="GF12" s="1">
        <f>IF($B12&lt;Analysis!$C$159,0,IF($B12=Analysis!$C$159,PMT(GD12,FZ12,FY12)*FZ12-GG12-GC12,IF(($B12-Analysis!$C$159+1)&lt;LOOKUP(Analysis!$C$159,$B:$B,FZ:FZ),IF(GF11-GE12&lt;0, GF11-GE12,0),0)))</f>
        <v>-109012.67111312209</v>
      </c>
      <c r="GG12" s="1">
        <f>IF($B12&lt;Analysis!$C$159,0,IF($B12=Analysis!$C$159,GB12+GE12,IF(GC11&lt;0,IF(GC11&gt;LOOKUP(Analysis!$C$159,$B:$B,GG:GG), GC11*(1+GD11),GG11),0)))</f>
        <v>-22059.883500000004</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16830.418131902908</v>
      </c>
      <c r="GO12" s="64">
        <f>IF($B12&lt;Analysis!$C$159,0,((1+Analysis!$B$174)/(1+$S12))-1)</f>
        <v>1.9607843137254832E-2</v>
      </c>
      <c r="GP12" s="1">
        <f t="shared" si="7"/>
        <v>22302.241405656092</v>
      </c>
      <c r="GQ12" s="1">
        <f t="shared" si="36"/>
        <v>-1511.8232737531837</v>
      </c>
      <c r="GR12" s="64">
        <f>IF($B12&lt;Analysis!$C$159,0,Analysis!$C$178)</f>
        <v>3.0000000000000001E-3</v>
      </c>
      <c r="GS12" s="1">
        <f t="shared" si="37"/>
        <v>-3779.5581843829591</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-1262.281359892718</v>
      </c>
      <c r="HD12" s="1">
        <f t="shared" si="38"/>
        <v>-18813.662818028861</v>
      </c>
      <c r="HE12" s="1">
        <f>MIN(0,-(GN12+HD12)*Analysis!$C$28)-GE12*Analysis!$C$28</f>
        <v>4842.4549984173555</v>
      </c>
      <c r="HF12" s="1">
        <f>-Analysis!$C$176*GP12/12</f>
        <v>-1858.5201171380077</v>
      </c>
      <c r="HG12" s="38"/>
      <c r="HH12" s="1">
        <f>IF($B12&lt;Analysis!$C$159,0,-$HI12*$FW12)</f>
        <v>-64252.48913451031</v>
      </c>
      <c r="HI12" s="64">
        <f>IF($B12&lt;Analysis!$C$159,0,IF($B12=Analysis!$C$159,Analysis!$C$31,HI11))</f>
        <v>0.1275</v>
      </c>
      <c r="HJ12" s="1">
        <f>IF($B12&lt;Analysis!$C$159,0,$FW12+HH12)</f>
        <v>439688.6021165509</v>
      </c>
      <c r="HK12" s="1">
        <f>IF($B12-Analysis!$C$159&gt;10,0,IF($FW12&gt;LOOKUP(Analysis!$C$159,$B:$B, FW:FW),$V12*(LOOKUP(Analysis!$C$159,$B:$B, FW:FW)-FW12),0))</f>
        <v>-23458.2128174674</v>
      </c>
      <c r="HL12" s="1">
        <f t="shared" si="39"/>
        <v>416230.3892990835</v>
      </c>
      <c r="HM12" s="38"/>
      <c r="HN12" s="1">
        <f t="shared" si="40"/>
        <v>-111184.37501606712</v>
      </c>
      <c r="HO12" s="1">
        <f t="shared" si="8"/>
        <v>140120.01333650059</v>
      </c>
      <c r="HP12" s="1">
        <f t="shared" si="41"/>
        <v>28935.638320433471</v>
      </c>
      <c r="HQ12" s="1">
        <f>IF(HP12 &lt; 0,
    IF(HQ11 + HP12 &gt; 0,
        HQ11 + HP12, IF(HV11-ABS(HQ11 + HP12)*(1+$V12) &gt;= HQ11 + HP12,
        0, HQ11 + HP12)),
    MIN(HQ11 + HP12, Analysis!$C$7))+IF(HQ11&lt;0, HQ11*Analysis!$C$9,0)</f>
        <v>24000</v>
      </c>
      <c r="HR12" s="38"/>
      <c r="HS12" s="1">
        <f t="shared" si="54"/>
        <v>7118.7506150009676</v>
      </c>
      <c r="HT12" s="1">
        <f>IF($B12=Analysis!$C$159,0,IF(HP12 &gt;= 0,
    MAX(0, HQ11 + HP12 - Analysis!$C$7),
    0))</f>
        <v>28935.638320433471</v>
      </c>
      <c r="HU12" s="1">
        <f>IF($B12=Analysis!$C$159,0,MAX(0, HU11 + HT12 - IF(HP12 &lt; 0, MIN(ABS(HP12), HU11 + HT12), 0)))</f>
        <v>129448.13610178359</v>
      </c>
      <c r="HV12" s="1">
        <f>IF($B12=Analysis!$C$159,0,IF(HP12 &lt; 0,
    IF(HP12 + HQ11 &lt; 0,
        MAX(0, HV11 - (ABS(HP12 + HQ11) * (1+$V11))),
        HV11 + HS12),
    HV11 + HT12 + HS12))</f>
        <v>152205.85006684839</v>
      </c>
      <c r="HW12" s="1">
        <f>IF(HV12-HU12&gt;0, HV12-$V12*(HV12-HU12),HV12)</f>
        <v>146203.50300856255</v>
      </c>
      <c r="HX12" s="36"/>
    </row>
    <row r="13" spans="1:232" x14ac:dyDescent="0.35">
      <c r="A13">
        <f t="shared" si="0"/>
        <v>46</v>
      </c>
      <c r="B13">
        <v>2036</v>
      </c>
      <c r="C13" s="1">
        <f>IF($B13&lt;Analysis!C$66,0,$AN13)+$AT13+$AW13+$BC13+$CF13+$CA13</f>
        <v>7119.8022407152748</v>
      </c>
      <c r="D13" s="1">
        <f>IF($B13&lt;Analysis!C$66, 0, BV13)+AT13+AW13+BC13+CG13+CA13</f>
        <v>-101804.33242246587</v>
      </c>
      <c r="E13" s="1">
        <f t="shared" si="1"/>
        <v>488724.13322099712</v>
      </c>
      <c r="F13" s="1">
        <f t="shared" si="9"/>
        <v>453383.95939112757</v>
      </c>
      <c r="G13" s="1">
        <f>IF(AND($B13&gt;=Analysis!$C$100, $B13&lt;Analysis!$C$101),$CK13,0)+IF($B13&gt;=Analysis!$C$130,EB13,0)+CQ13+CT13+CZ13+EH13+EK13+EQ13+$FO13+$FT13</f>
        <v>354178.11300641217</v>
      </c>
      <c r="H13" s="1">
        <f t="shared" si="10"/>
        <v>280271.85875616135</v>
      </c>
      <c r="I13" s="1">
        <f>IF($B13&lt;Analysis!$C$159,0,$FW13)+$GC13+$GF13+$GL13+$HQ13+$HV13</f>
        <v>354178.11300641217</v>
      </c>
      <c r="J13" s="1">
        <f t="shared" si="2"/>
        <v>280271.85875616141</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-19611.91580636306</v>
      </c>
      <c r="Y13" s="64">
        <f t="shared" si="15"/>
        <v>1.9607843137254832E-2</v>
      </c>
      <c r="Z13" s="1">
        <f t="shared" si="16"/>
        <v>-3960</v>
      </c>
      <c r="AA13" s="64">
        <f t="shared" si="17"/>
        <v>0</v>
      </c>
      <c r="AB13" s="40"/>
      <c r="AC13" s="1">
        <f t="shared" si="3"/>
        <v>-85721.91580636306</v>
      </c>
      <c r="AD13" s="1">
        <f t="shared" si="4"/>
        <v>119261.61717509503</v>
      </c>
      <c r="AE13" s="1">
        <f t="shared" si="18"/>
        <v>33539.70136873197</v>
      </c>
      <c r="AF13" s="1">
        <f>IF(AE13 &lt; 0,
    IF(AF12 + AE13 &gt; 0,
        AF12 + AE13, IF(AK12-ABS(AF12 + AE13)*(1+$V13) &gt;= AF12 + AE13,
        0, AF12 + AE13)),
    MIN(AF12 + AE13, Analysis!$C$7))+IF(AF12&lt;0, AF12*Analysis!$C$9,0)</f>
        <v>24000</v>
      </c>
      <c r="AG13" s="40"/>
      <c r="AH13" s="1">
        <f t="shared" si="19"/>
        <v>24243.209831743643</v>
      </c>
      <c r="AI13" s="1">
        <f>IF(AE13 &gt;= 0,
    MAX(0, AF12 + AE13 - Analysis!$C$7),
    0)</f>
        <v>33539.70136873197</v>
      </c>
      <c r="AJ13" s="1">
        <f t="shared" si="44"/>
        <v>330732.95282338758</v>
      </c>
      <c r="AK13" s="1">
        <f t="shared" si="20"/>
        <v>464724.13322099712</v>
      </c>
      <c r="AL13" s="1">
        <f t="shared" si="5"/>
        <v>429383.95939112757</v>
      </c>
      <c r="AM13" s="36"/>
      <c r="AN13" s="1">
        <f t="shared" si="45"/>
        <v>854306.93853475421</v>
      </c>
      <c r="AO13" s="64">
        <f t="shared" si="21"/>
        <v>1.9607843137254832E-2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-20694.325118836503</v>
      </c>
      <c r="AT13" s="1">
        <f>IF($B13&lt;Analysis!$C$66,0,IF($B13=Analysis!$C$66,-AP13-AS13,MIN(0,AT12-AS13)))</f>
        <v>-488877.45545315015</v>
      </c>
      <c r="AU13" s="64">
        <f>IF($B13&lt;Analysis!$C$66,0,IF($B13=Analysis!$C$66,Analysis!$C$72,IF(($B13-Analysis!$C$66)&lt;LOOKUP(Analysis!$C$66,$B:$B,AQ:AQ),AU12,0)))</f>
        <v>3.6999999999999998E-2</v>
      </c>
      <c r="AV13" s="1">
        <f>IF($B13&lt;Analysis!$C$66,0,IF($B13=Analysis!$C$66,-AU13*AP13,AU12*AT12))</f>
        <v>-18854.155881163504</v>
      </c>
      <c r="AW13" s="1">
        <f>IF($B13&lt;Analysis!$C$66,0,IF($B13=Analysis!$C$66,PMT(AU13,AQ13,AP13)*AQ13-AX13-AT13,IF(($B13-Analysis!$C$66+1)&lt;LOOKUP(Analysis!$C$66,$B:$B,AQ:AQ),IF(AW12-AV13&lt;0, AW12-AV13,0),0)))</f>
        <v>-176581.39808613458</v>
      </c>
      <c r="AX13" s="1">
        <f>IF($B13&lt;Analysis!$C$66,0,IF($B13=Analysis!$C$66,AS13+AV13,IF(AT12&lt;0,IF(AT12&gt;LOOKUP(Analysis!$C$66,$B:$B,AX:AX), AT12*(1+AU12),AX12),0)))</f>
        <v>-39548.481000000007</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-2562.9208156042628</v>
      </c>
      <c r="BF13" s="64">
        <f>IF($B13&lt;Analysis!$C$66,0,Analysis!$C$78)</f>
        <v>3.0000000000000001E-3</v>
      </c>
      <c r="BG13" s="1">
        <f>IF($B13&lt;Analysis!$C$66,0,-BH13*AN13)</f>
        <v>-6407.3020390106567</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-108924.13466318116</v>
      </c>
      <c r="BS13" s="64">
        <f>IF($B13&lt;Analysis!C$66,0,Analysis!C$31)</f>
        <v>0.1275</v>
      </c>
      <c r="BT13" s="1">
        <f>IF($B13&lt;Analysis!$C$66,0,AN13+BR13)</f>
        <v>745382.80387157307</v>
      </c>
      <c r="BU13" s="1">
        <f>IF($B13-Analysis!$C$66&gt;3,0,IF($AN13&gt;LOOKUP(Analysis!$C$66,$B:$B, AN:AN),$V13*(LOOKUP(Analysis!$C$66,$B:$B, AN:AN)-AN13),0))</f>
        <v>0</v>
      </c>
      <c r="BV13" s="1">
        <f t="shared" si="23"/>
        <v>745382.80387157307</v>
      </c>
      <c r="BW13" s="42"/>
      <c r="BX13" s="1">
        <f>IF($B13&lt;Analysis!$C$66,$P13+$N13+$X13+$Z13,$P13+$N13+AS13+AV13+BB13+BE13+BG13+MAX(BI13,SUM(BJ13:BN13))+BP13)</f>
        <v>-114628.70385461493</v>
      </c>
      <c r="BY13" s="1">
        <f t="shared" si="24"/>
        <v>119261.61717509503</v>
      </c>
      <c r="BZ13" s="1">
        <f t="shared" si="46"/>
        <v>4632.9133204801037</v>
      </c>
      <c r="CA13" s="1">
        <f>IF(BZ13 &lt; 0,
    IF(CA12 + BZ13 &gt; 0,
        CA12 + BZ13, IF(CF12-ABS(CA12 + BZ13)*(1+$V13) &gt;= CA12 + BZ13,
        0, CA12 + BZ13)),
    MIN(CA12 + BZ13, Analysis!$C$7))+IF(CA12&lt;0, CA12*Analysis!$C$9,0)</f>
        <v>-181728.28275475421</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-19611.91580636306</v>
      </c>
      <c r="CJ13" s="1">
        <f>IF(OR($B13&lt;Analysis!$C$100, $B13&gt;=Analysis!$C$130),0,Z13)</f>
        <v>-3960</v>
      </c>
      <c r="CK13" s="1">
        <f t="shared" si="26"/>
        <v>513822.28911872907</v>
      </c>
      <c r="CL13" s="64">
        <f t="shared" si="48"/>
        <v>1.9607843137254832E-2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-11543.158920127858</v>
      </c>
      <c r="CQ13" s="1">
        <f>IF(OR($B13&lt;Analysis!$C$100, $B13&gt;=Analysis!$C$101),0,IF($B13=Analysis!$C$100,-CM13-CP13,MIN(0,CQ12-CP13)))</f>
        <v>-272692.6405358761</v>
      </c>
      <c r="CR13" s="64">
        <f>IF(OR($B13&lt;Analysis!$C$100, $B13&gt;=Analysis!$C$101),0,IF($B13=Analysis!$C$100,Analysis!$C$102,IF(($B13-Analysis!$C$100)&lt;LOOKUP(Analysis!$C$100,$B:$B,CN:CN),CR12,0)))</f>
        <v>3.6999999999999998E-2</v>
      </c>
      <c r="CS13" s="1">
        <f>IF(OR($B13&lt;Analysis!$C$100, $B13&gt;=Analysis!$C$101),0,IF($B13=Analysis!$C$100,-CR13*CM13,CR12*CQ12))</f>
        <v>-10516.724579872145</v>
      </c>
      <c r="CT13" s="1">
        <f>IF(OR($B13&lt;Analysis!$C$100, $B13&gt;=Analysis!$C$101),0,IF($B13=Analysis!$C$100,PMT(CR13,CN13,CM13)*CN13-CU13-CQ13,IF(($B13-Analysis!$C$100+1)&lt;LOOKUP(Analysis!$C$100,$B:$B,CN:CN),IF(CT12-CS13&lt;0, CT12-CS13,0),0)))</f>
        <v>-98495.946533249953</v>
      </c>
      <c r="CU13" s="1">
        <f>IF(OR($B13&lt;Analysis!$C$100, $B13&gt;=Analysis!$C$101),0,IF($B13=Analysis!$C$100,CP13+CS13,IF(CQ12&lt;0,IF(CQ12&gt;LOOKUP(Analysis!$C$100,$B:$B,CU:CU), CQ12*(1+CR12),CU12),0)))</f>
        <v>-22059.883500000004</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17160.426330567669</v>
      </c>
      <c r="DC13" s="64">
        <f>IF(OR($B13&lt;Analysis!$C$100, $B13&gt;=Analysis!$C$101),0,((1+Analysis!$B$114)/(1+$S13))-1)</f>
        <v>1.9607843137254832E-2</v>
      </c>
      <c r="DD13" s="1">
        <f t="shared" si="6"/>
        <v>22661.893197923855</v>
      </c>
      <c r="DE13" s="1">
        <f t="shared" si="27"/>
        <v>-1541.4668673561873</v>
      </c>
      <c r="DF13" s="64">
        <f>IF(OR($B13&lt;Analysis!$C$100, $B13&gt;=Analysis!$C$101),0,Analysis!$C$118)</f>
        <v>3.0000000000000001E-3</v>
      </c>
      <c r="DG13" s="1">
        <f t="shared" si="28"/>
        <v>-3853.6671683904679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-1287.0319747925751</v>
      </c>
      <c r="DR13" s="1">
        <f t="shared" si="29"/>
        <v>-18942.166010539229</v>
      </c>
      <c r="DS13" s="1">
        <f>MIN(0,-(DB13+DR13)*Analysis!$C$28)-CS13*Analysis!$C$28</f>
        <v>4659.9606613413471</v>
      </c>
      <c r="DT13" s="1">
        <f>-Analysis!$C$116*DD13/12</f>
        <v>-1888.4910998269879</v>
      </c>
      <c r="DU13" s="53"/>
      <c r="DV13" s="1">
        <f t="shared" si="30"/>
        <v>-65512.341862637957</v>
      </c>
      <c r="DW13" s="64">
        <f>IF(OR($B13&lt;Analysis!$C$100, $B13&gt;=Analysis!$C$101),0,IF($B13=Analysis!$C$100,Analysis!$C$31,DW12))</f>
        <v>0.1275</v>
      </c>
      <c r="DX13" s="1">
        <f>IF(OR($B13&lt;Analysis!$C$100, $B13&gt;=Analysis!$C$101),0,CK13+DV13)</f>
        <v>448309.94725609111</v>
      </c>
      <c r="DY13" s="1">
        <f>IF(OR($B13&lt;Analysis!$C$100, $B13&gt;=Analysis!$C$101),0,IF($B13-Analysis!$C$100&gt;3,0,IF(CK13&gt;LOOKUP(Analysis!$C$100,$B:$B, CK:CK),$V13*(LOOKUP(Analysis!$C$100,$B:$B, CK:CK)-CK13),0)))</f>
        <v>0</v>
      </c>
      <c r="DZ13" s="1">
        <f t="shared" si="49"/>
        <v>448309.94725609111</v>
      </c>
      <c r="EA13" s="53"/>
      <c r="EB13" s="1">
        <f t="shared" si="31"/>
        <v>854306.93853475421</v>
      </c>
      <c r="EC13" s="64">
        <f t="shared" si="50"/>
        <v>1.9607843137254832E-2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-115652.49575538794</v>
      </c>
      <c r="FM13" s="1">
        <f>$M13+$R13+DD13+IF(AND($B13&lt;&gt;Analysis!$C$130,$B13=Analysis!$C$101),DZ12+CQ12+CT12+CZ12,0)</f>
        <v>141923.51037301889</v>
      </c>
      <c r="FN13" s="1">
        <f t="shared" si="34"/>
        <v>26271.01461763095</v>
      </c>
      <c r="FO13" s="1">
        <f>IF(FN13 &lt; 0,
    IF(FO12 + FN13 &gt; 0,
        FO12 + FN13, IF(FT12-ABS(FO12 + FN13)*(1+$V13) &gt;= FO12 + FN13,
        0, FO12 + FN13)),
    MIN(FO12 + FN13, Analysis!$C$7))+IF(FO12&lt;0, FO12*Analysis!$C$9,0)</f>
        <v>24000</v>
      </c>
      <c r="FP13" s="53"/>
      <c r="FQ13" s="1">
        <f t="shared" si="51"/>
        <v>9067.5462723298097</v>
      </c>
      <c r="FR13" s="1">
        <f>IF(OR($B13=Analysis!$C$100, $B13=Analysis!$C$130),0,IF(FN13 &gt;= 0,
    MAX(0, FO12 + FN13 - Analysis!$C$7),
    0))</f>
        <v>26271.01461763095</v>
      </c>
      <c r="FS13" s="1">
        <f>IF(OR($B13=Analysis!$C$100, $B13=Analysis!$C$130),0,MAX(0, FS12 + FR13 - IF(FN13 &lt; 0, MIN(ABS(FN13), FS12 + FR13), 0)))</f>
        <v>155719.15071941452</v>
      </c>
      <c r="FT13" s="1">
        <f>IF(OR($B13=Analysis!$C$100, $B13=Analysis!$C$130),0,IF(FN13 &lt; 0,
    IF(FN13 + FO12 &lt; 0,
        MAX(0, FT12 - (ABS(FN13 + FO12) * (1+$V12))),
        FT12 + FQ13),
    FT12 + FR13 + FQ13))</f>
        <v>187544.41095680912</v>
      </c>
      <c r="FU13" s="1">
        <f t="shared" ref="FU13:FU16" si="55">IF(FT13-FS13&gt;0, FT13-$V13*(FT13-FS13),FT13)</f>
        <v>179150.49856919629</v>
      </c>
      <c r="FV13" s="36"/>
      <c r="FW13" s="1">
        <f t="shared" si="52"/>
        <v>513822.28911872907</v>
      </c>
      <c r="FX13" s="64">
        <f t="shared" si="53"/>
        <v>1.9607843137254832E-2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-11543.158920127858</v>
      </c>
      <c r="GC13" s="1">
        <f>IF($B13&lt;Analysis!$C$159,0,IF($B13=Analysis!$C$159,-FY13-GB13,MIN(0,GC12-GB13)))</f>
        <v>-272692.6405358761</v>
      </c>
      <c r="GD13" s="64">
        <f>IF($B13&lt;Analysis!$C$159,0,IF($B13=Analysis!$C$159,Analysis!$C$160,IF(($B13-Analysis!$C$159)&lt;LOOKUP(Analysis!$C$159,$B:$B,FZ:FZ),GD12,0)))</f>
        <v>3.6999999999999998E-2</v>
      </c>
      <c r="GE13" s="1">
        <f>IF($B13&lt;Analysis!$C$159,0,IF($B13=Analysis!$C$159,-GD13*FY13,GD12*GC12))</f>
        <v>-10516.724579872145</v>
      </c>
      <c r="GF13" s="1">
        <f>IF($B13&lt;Analysis!$C$159,0,IF($B13=Analysis!$C$159,PMT(GD13,FZ13,FY13)*FZ13-GG13-GC13,IF(($B13-Analysis!$C$159+1)&lt;LOOKUP(Analysis!$C$159,$B:$B,FZ:FZ),IF(GF12-GE13&lt;0, GF12-GE13,0),0)))</f>
        <v>-98495.946533249953</v>
      </c>
      <c r="GG13" s="1">
        <f>IF($B13&lt;Analysis!$C$159,0,IF($B13=Analysis!$C$159,GB13+GE13,IF(GC12&lt;0,IF(GC12&gt;LOOKUP(Analysis!$C$159,$B:$B,GG:GG), GC12*(1+GD12),GG12),0)))</f>
        <v>-22059.883500000004</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17160.426330567669</v>
      </c>
      <c r="GO13" s="64">
        <f>IF($B13&lt;Analysis!$C$159,0,((1+Analysis!$B$174)/(1+$S13))-1)</f>
        <v>1.9607843137254832E-2</v>
      </c>
      <c r="GP13" s="1">
        <f t="shared" si="7"/>
        <v>22661.893197923855</v>
      </c>
      <c r="GQ13" s="1">
        <f t="shared" si="36"/>
        <v>-1541.4668673561873</v>
      </c>
      <c r="GR13" s="64">
        <f>IF($B13&lt;Analysis!$C$159,0,Analysis!$C$178)</f>
        <v>3.0000000000000001E-3</v>
      </c>
      <c r="GS13" s="1">
        <f t="shared" si="37"/>
        <v>-3853.6671683904679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-1287.0319747925751</v>
      </c>
      <c r="HD13" s="1">
        <f t="shared" si="38"/>
        <v>-18942.166010539229</v>
      </c>
      <c r="HE13" s="1">
        <f>MIN(0,-(GN13+HD13)*Analysis!$C$28)-GE13*Analysis!$C$28</f>
        <v>4659.9606613413471</v>
      </c>
      <c r="HF13" s="1">
        <f>-Analysis!$C$176*GP13/12</f>
        <v>-1888.4910998269879</v>
      </c>
      <c r="HG13" s="38"/>
      <c r="HH13" s="1">
        <f>IF($B13&lt;Analysis!$C$159,0,-$HI13*$FW13)</f>
        <v>-65512.341862637957</v>
      </c>
      <c r="HI13" s="64">
        <f>IF($B13&lt;Analysis!$C$159,0,IF($B13=Analysis!$C$159,Analysis!$C$31,HI12))</f>
        <v>0.1275</v>
      </c>
      <c r="HJ13" s="1">
        <f>IF($B13&lt;Analysis!$C$159,0,$FW13+HH13)</f>
        <v>448309.94725609111</v>
      </c>
      <c r="HK13" s="1">
        <f>IF($B13-Analysis!$C$159&gt;10,0,IF($FW13&gt;LOOKUP(Analysis!$C$159,$B:$B, FW:FW),$V13*(LOOKUP(Analysis!$C$159,$B:$B, FW:FW)-FW13),0))</f>
        <v>0</v>
      </c>
      <c r="HL13" s="1">
        <f t="shared" si="39"/>
        <v>448309.94725609111</v>
      </c>
      <c r="HM13" s="38"/>
      <c r="HN13" s="1">
        <f t="shared" si="40"/>
        <v>-115652.49575538794</v>
      </c>
      <c r="HO13" s="1">
        <f t="shared" si="8"/>
        <v>141923.51037301889</v>
      </c>
      <c r="HP13" s="1">
        <f t="shared" si="41"/>
        <v>26271.01461763095</v>
      </c>
      <c r="HQ13" s="1">
        <f>IF(HP13 &lt; 0,
    IF(HQ12 + HP13 &gt; 0,
        HQ12 + HP13, IF(HV12-ABS(HQ12 + HP13)*(1+$V13) &gt;= HQ12 + HP13,
        0, HQ12 + HP13)),
    MIN(HQ12 + HP13, Analysis!$C$7))+IF(HQ12&lt;0, HQ12*Analysis!$C$9,0)</f>
        <v>24000</v>
      </c>
      <c r="HR13" s="38"/>
      <c r="HS13" s="1">
        <f t="shared" si="54"/>
        <v>9067.5462723298115</v>
      </c>
      <c r="HT13" s="1">
        <f>IF($B13=Analysis!$C$159,0,IF(HP13 &gt;= 0,
    MAX(0, HQ12 + HP13 - Analysis!$C$7),
    0))</f>
        <v>26271.01461763095</v>
      </c>
      <c r="HU13" s="1">
        <f>IF($B13=Analysis!$C$159,0,MAX(0, HU12 + HT13 - IF(HP13 &lt; 0, MIN(ABS(HP13), HU12 + HT13), 0)))</f>
        <v>155719.15071941452</v>
      </c>
      <c r="HV13" s="1">
        <f>IF($B13=Analysis!$C$159,0,IF(HP13 &lt; 0,
    IF(HP13 + HQ12 &lt; 0,
        MAX(0, HV12 - (ABS(HP13 + HQ12) * (1+$V12))),
        HV12 + HS13),
    HV12 + HT13 + HS13))</f>
        <v>187544.41095680915</v>
      </c>
      <c r="HW13" s="1">
        <f t="shared" ref="HW13:HW16" si="56">IF(HV13-HU13&gt;0, HV13-$V13*(HV13-HU13),HV13)</f>
        <v>179150.49856919632</v>
      </c>
      <c r="HX13" s="36"/>
    </row>
    <row r="14" spans="1:232" x14ac:dyDescent="0.35">
      <c r="A14">
        <f t="shared" si="0"/>
        <v>47</v>
      </c>
      <c r="B14">
        <v>2037</v>
      </c>
      <c r="C14" s="1">
        <f>IF($B14&lt;Analysis!C$66,0,$AN14)+$AT14+$AW14+$BC14+$CF14+$CA14</f>
        <v>54799.703086198802</v>
      </c>
      <c r="D14" s="1">
        <f>IF($B14&lt;Analysis!C$66, 0, BV14)+AT14+AW14+BC14+CG14+CA14</f>
        <v>-56260.1989233192</v>
      </c>
      <c r="E14" s="1">
        <f t="shared" si="1"/>
        <v>550229.73896034376</v>
      </c>
      <c r="F14" s="1">
        <f t="shared" si="9"/>
        <v>507797.61450786737</v>
      </c>
      <c r="G14" s="1">
        <f>IF(AND($B14&gt;=Analysis!$C$100, $B14&lt;Analysis!$C$101),$CK14,0)+IF($B14&gt;=Analysis!$C$130,EB14,0)+CQ14+CT14+CZ14+EH14+EK14+EQ14+$FO14+$FT14</f>
        <v>424528.13478687161</v>
      </c>
      <c r="H14" s="1">
        <f t="shared" si="10"/>
        <v>346475.29203572619</v>
      </c>
      <c r="I14" s="1">
        <f>IF($B14&lt;Analysis!$C$159,0,$FW14)+$GC14+$GF14+$GL14+$HQ14+$HV14</f>
        <v>424528.13478687161</v>
      </c>
      <c r="J14" s="1">
        <f t="shared" si="2"/>
        <v>346475.29203572625</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-19996.463175115277</v>
      </c>
      <c r="Y14" s="64">
        <f t="shared" si="15"/>
        <v>1.9607843137254832E-2</v>
      </c>
      <c r="Z14" s="1">
        <f t="shared" si="16"/>
        <v>-3960</v>
      </c>
      <c r="AA14" s="64">
        <f t="shared" si="17"/>
        <v>0</v>
      </c>
      <c r="AB14" s="40"/>
      <c r="AC14" s="1">
        <f t="shared" si="3"/>
        <v>-86106.463175115277</v>
      </c>
      <c r="AD14" s="1">
        <f t="shared" si="4"/>
        <v>120723.1566012604</v>
      </c>
      <c r="AE14" s="1">
        <f t="shared" si="18"/>
        <v>34616.693426145124</v>
      </c>
      <c r="AF14" s="1">
        <f>IF(AE14 &lt; 0,
    IF(AF13 + AE14 &gt; 0,
        AF13 + AE14, IF(AK13-ABS(AF13 + AE14)*(1+$V14) &gt;= AF13 + AE14,
        0, AF13 + AE14)),
    MIN(AF13 + AE14, Analysis!$C$7))+IF(AF13&lt;0, AF13*Analysis!$C$9,0)</f>
        <v>24000</v>
      </c>
      <c r="AG14" s="40"/>
      <c r="AH14" s="1">
        <f t="shared" si="19"/>
        <v>26888.912313201537</v>
      </c>
      <c r="AI14" s="1">
        <f>IF(AE14 &gt;= 0,
    MAX(0, AF13 + AE14 - Analysis!$C$7),
    0)</f>
        <v>34616.693426145124</v>
      </c>
      <c r="AJ14" s="1">
        <f t="shared" si="44"/>
        <v>365349.6462495327</v>
      </c>
      <c r="AK14" s="1">
        <f t="shared" si="20"/>
        <v>526229.73896034376</v>
      </c>
      <c r="AL14" s="1">
        <f t="shared" si="5"/>
        <v>483797.61450786737</v>
      </c>
      <c r="AM14" s="36"/>
      <c r="AN14" s="1">
        <f t="shared" si="45"/>
        <v>871058.0549766121</v>
      </c>
      <c r="AO14" s="64">
        <f t="shared" si="21"/>
        <v>1.9607843137254832E-2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-21460.015148233451</v>
      </c>
      <c r="AT14" s="1">
        <f>IF($B14&lt;Analysis!$C$66,0,IF($B14=Analysis!$C$66,-AP14-AS14,MIN(0,AT13-AS14)))</f>
        <v>-467417.4403049167</v>
      </c>
      <c r="AU14" s="64">
        <f>IF($B14&lt;Analysis!$C$66,0,IF($B14=Analysis!$C$66,Analysis!$C$72,IF(($B14-Analysis!$C$66)&lt;LOOKUP(Analysis!$C$66,$B:$B,AQ:AQ),AU13,0)))</f>
        <v>3.6999999999999998E-2</v>
      </c>
      <c r="AV14" s="1">
        <f>IF($B14&lt;Analysis!$C$66,0,IF($B14=Analysis!$C$66,-AU14*AP14,AU13*AT13))</f>
        <v>-18088.465851766556</v>
      </c>
      <c r="AW14" s="1">
        <f>IF($B14&lt;Analysis!$C$66,0,IF($B14=Analysis!$C$66,PMT(AU14,AQ14,AP14)*AQ14-AX14-AT14,IF(($B14-Analysis!$C$66+1)&lt;LOOKUP(Analysis!$C$66,$B:$B,AQ:AQ),IF(AW13-AV14&lt;0, AW13-AV14,0),0)))</f>
        <v>-158492.93223436803</v>
      </c>
      <c r="AX14" s="1">
        <f>IF($B14&lt;Analysis!$C$66,0,IF($B14=Analysis!$C$66,AS14+AV14,IF(AT13&lt;0,IF(AT13&gt;LOOKUP(Analysis!$C$66,$B:$B,AX:AX), AT13*(1+AU13),AX13),0)))</f>
        <v>-39548.481000000007</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-2613.1741649298365</v>
      </c>
      <c r="BF14" s="64">
        <f>IF($B14&lt;Analysis!$C$66,0,Analysis!$C$78)</f>
        <v>3.0000000000000001E-3</v>
      </c>
      <c r="BG14" s="1">
        <f>IF($B14&lt;Analysis!$C$66,0,-BH14*AN14)</f>
        <v>-6532.9354123245903</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-111059.90200951805</v>
      </c>
      <c r="BS14" s="64">
        <f>IF($B14&lt;Analysis!C$66,0,Analysis!C$31)</f>
        <v>0.1275</v>
      </c>
      <c r="BT14" s="1">
        <f>IF($B14&lt;Analysis!$C$66,0,AN14+BR14)</f>
        <v>759998.15296709409</v>
      </c>
      <c r="BU14" s="1">
        <f>IF($B14-Analysis!$C$66&gt;3,0,IF($AN14&gt;LOOKUP(Analysis!$C$66,$B:$B, AN:AN),$V14*(LOOKUP(Analysis!$C$66,$B:$B, AN:AN)-AN14),0))</f>
        <v>0</v>
      </c>
      <c r="BV14" s="1">
        <f t="shared" si="23"/>
        <v>759998.15296709409</v>
      </c>
      <c r="BW14" s="42"/>
      <c r="BX14" s="1">
        <f>IF($B14&lt;Analysis!$C$66,$P14+$N14+$X14+$Z14,$P14+$N14+AS14+AV14+BB14+BE14+BG14+MAX(BI14,SUM(BJ14:BN14))+BP14)</f>
        <v>-114804.59057725442</v>
      </c>
      <c r="BY14" s="1">
        <f t="shared" si="24"/>
        <v>120723.1566012604</v>
      </c>
      <c r="BZ14" s="1">
        <f t="shared" si="46"/>
        <v>5918.5660240059806</v>
      </c>
      <c r="CA14" s="1">
        <f>IF(BZ14 &lt; 0,
    IF(CA13 + BZ14 &gt; 0,
        CA13 + BZ14, IF(CF13-ABS(CA13 + BZ14)*(1+$V14) &gt;= CA13 + BZ14,
        0, CA13 + BZ14)),
    MIN(CA13 + BZ14, Analysis!$C$7))+IF(CA13&lt;0, CA13*Analysis!$C$9,0)</f>
        <v>-190347.97935112857</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-19996.463175115277</v>
      </c>
      <c r="CJ14" s="1">
        <f>IF(OR($B14&lt;Analysis!$C$100, $B14&gt;=Analysis!$C$130),0,Z14)</f>
        <v>-3960</v>
      </c>
      <c r="CK14" s="1">
        <f t="shared" si="26"/>
        <v>523897.23596419429</v>
      </c>
      <c r="CL14" s="64">
        <f t="shared" si="48"/>
        <v>1.9607843137254832E-2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-11970.255800172588</v>
      </c>
      <c r="CQ14" s="1">
        <f>IF(OR($B14&lt;Analysis!$C$100, $B14&gt;=Analysis!$C$101),0,IF($B14=Analysis!$C$100,-CM14-CP14,MIN(0,CQ13-CP14)))</f>
        <v>-260722.3847357035</v>
      </c>
      <c r="CR14" s="64">
        <f>IF(OR($B14&lt;Analysis!$C$100, $B14&gt;=Analysis!$C$101),0,IF($B14=Analysis!$C$100,Analysis!$C$102,IF(($B14-Analysis!$C$100)&lt;LOOKUP(Analysis!$C$100,$B:$B,CN:CN),CR13,0)))</f>
        <v>3.6999999999999998E-2</v>
      </c>
      <c r="CS14" s="1">
        <f>IF(OR($B14&lt;Analysis!$C$100, $B14&gt;=Analysis!$C$101),0,IF($B14=Analysis!$C$100,-CR14*CM14,CR13*CQ13))</f>
        <v>-10089.627699827415</v>
      </c>
      <c r="CT14" s="1">
        <f>IF(OR($B14&lt;Analysis!$C$100, $B14&gt;=Analysis!$C$101),0,IF($B14=Analysis!$C$100,PMT(CR14,CN14,CM14)*CN14-CU14-CQ14,IF(($B14-Analysis!$C$100+1)&lt;LOOKUP(Analysis!$C$100,$B:$B,CN:CN),IF(CT13-CS14&lt;0, CT13-CS14,0),0)))</f>
        <v>-88406.318833422542</v>
      </c>
      <c r="CU14" s="1">
        <f>IF(OR($B14&lt;Analysis!$C$100, $B14&gt;=Analysis!$C$101),0,IF($B14=Analysis!$C$100,CP14+CS14,IF(CQ13&lt;0,IF(CQ13&gt;LOOKUP(Analysis!$C$100,$B:$B,CU:CU), CQ13*(1+CR13),CU13),0)))</f>
        <v>-22059.883500000004</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17496.905278225859</v>
      </c>
      <c r="DC14" s="64">
        <f>IF(OR($B14&lt;Analysis!$C$100, $B14&gt;=Analysis!$C$101),0,((1+Analysis!$B$114)/(1+$S14))-1)</f>
        <v>1.9607843137254832E-2</v>
      </c>
      <c r="DD14" s="1">
        <f t="shared" si="6"/>
        <v>23028.596986118442</v>
      </c>
      <c r="DE14" s="1">
        <f t="shared" si="27"/>
        <v>-1571.6917078925828</v>
      </c>
      <c r="DF14" s="64">
        <f>IF(OR($B14&lt;Analysis!$C$100, $B14&gt;=Analysis!$C$101),0,Analysis!$C$118)</f>
        <v>3.0000000000000001E-3</v>
      </c>
      <c r="DG14" s="1">
        <f t="shared" si="28"/>
        <v>-3929.229269731457</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-1312.2678958669394</v>
      </c>
      <c r="DR14" s="1">
        <f t="shared" si="29"/>
        <v>-19073.188873490977</v>
      </c>
      <c r="DS14" s="1">
        <f>MIN(0,-(DB14+DR14)*Analysis!$C$28)-CS14*Analysis!$C$28</f>
        <v>4470.7140337935271</v>
      </c>
      <c r="DT14" s="1">
        <f>-Analysis!$C$116*DD14/12</f>
        <v>-1919.0497488432036</v>
      </c>
      <c r="DU14" s="53"/>
      <c r="DV14" s="1">
        <f t="shared" si="30"/>
        <v>-66796.897585434766</v>
      </c>
      <c r="DW14" s="64">
        <f>IF(OR($B14&lt;Analysis!$C$100, $B14&gt;=Analysis!$C$101),0,IF($B14=Analysis!$C$100,Analysis!$C$31,DW13))</f>
        <v>0.1275</v>
      </c>
      <c r="DX14" s="1">
        <f>IF(OR($B14&lt;Analysis!$C$100, $B14&gt;=Analysis!$C$101),0,CK14+DV14)</f>
        <v>457100.33837875951</v>
      </c>
      <c r="DY14" s="1">
        <f>IF(OR($B14&lt;Analysis!$C$100, $B14&gt;=Analysis!$C$101),0,IF($B14-Analysis!$C$100&gt;3,0,IF(CK14&gt;LOOKUP(Analysis!$C$100,$B:$B, CK:CK),$V14*(LOOKUP(Analysis!$C$100,$B:$B, CK:CK)-CK14),0)))</f>
        <v>0</v>
      </c>
      <c r="DZ14" s="1">
        <f t="shared" si="49"/>
        <v>457100.33837875951</v>
      </c>
      <c r="EA14" s="53"/>
      <c r="EB14" s="1">
        <f t="shared" si="31"/>
        <v>871058.0549766121</v>
      </c>
      <c r="EC14" s="64">
        <f t="shared" si="50"/>
        <v>1.9607843137254832E-2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-116387.87126365592</v>
      </c>
      <c r="FM14" s="1">
        <f>$M14+$R14+DD14+IF(AND($B14&lt;&gt;Analysis!$C$130,$B14=Analysis!$C$101),DZ13+CQ13+CT13+CZ13,0)</f>
        <v>143751.75358737883</v>
      </c>
      <c r="FN14" s="1">
        <f t="shared" si="34"/>
        <v>27363.882323722908</v>
      </c>
      <c r="FO14" s="1">
        <f>IF(FN14 &lt; 0,
    IF(FO13 + FN14 &gt; 0,
        FO13 + FN14, IF(FT13-ABS(FO13 + FN14)*(1+$V14) &gt;= FO13 + FN14,
        0, FO13 + FN14)),
    MIN(FO13 + FN14, Analysis!$C$7))+IF(FO13&lt;0, FO13*Analysis!$C$9,0)</f>
        <v>24000</v>
      </c>
      <c r="FP14" s="53"/>
      <c r="FQ14" s="1">
        <f t="shared" si="51"/>
        <v>10851.309111271323</v>
      </c>
      <c r="FR14" s="1">
        <f>IF(OR($B14=Analysis!$C$100, $B14=Analysis!$C$130),0,IF(FN14 &gt;= 0,
    MAX(0, FO13 + FN14 - Analysis!$C$7),
    0))</f>
        <v>27363.882323722908</v>
      </c>
      <c r="FS14" s="1">
        <f>IF(OR($B14=Analysis!$C$100, $B14=Analysis!$C$130),0,MAX(0, FS13 + FR14 - IF(FN14 &lt; 0, MIN(ABS(FN14), FS13 + FR14), 0)))</f>
        <v>183083.03304313743</v>
      </c>
      <c r="FT14" s="1">
        <f>IF(OR($B14=Analysis!$C$100, $B14=Analysis!$C$130),0,IF(FN14 &lt; 0,
    IF(FN14 + FO13 &lt; 0,
        MAX(0, FT13 - (ABS(FN14 + FO13) * (1+$V13))),
        FT13 + FQ14),
    FT13 + FR14 + FQ14))</f>
        <v>225759.60239180335</v>
      </c>
      <c r="FU14" s="1">
        <f t="shared" si="55"/>
        <v>214503.65722609271</v>
      </c>
      <c r="FV14" s="36"/>
      <c r="FW14" s="1">
        <f t="shared" si="52"/>
        <v>523897.23596419429</v>
      </c>
      <c r="FX14" s="64">
        <f t="shared" si="53"/>
        <v>1.9607843137254832E-2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-11970.255800172588</v>
      </c>
      <c r="GC14" s="1">
        <f>IF($B14&lt;Analysis!$C$159,0,IF($B14=Analysis!$C$159,-FY14-GB14,MIN(0,GC13-GB14)))</f>
        <v>-260722.3847357035</v>
      </c>
      <c r="GD14" s="64">
        <f>IF($B14&lt;Analysis!$C$159,0,IF($B14=Analysis!$C$159,Analysis!$C$160,IF(($B14-Analysis!$C$159)&lt;LOOKUP(Analysis!$C$159,$B:$B,FZ:FZ),GD13,0)))</f>
        <v>3.6999999999999998E-2</v>
      </c>
      <c r="GE14" s="1">
        <f>IF($B14&lt;Analysis!$C$159,0,IF($B14=Analysis!$C$159,-GD14*FY14,GD13*GC13))</f>
        <v>-10089.627699827415</v>
      </c>
      <c r="GF14" s="1">
        <f>IF($B14&lt;Analysis!$C$159,0,IF($B14=Analysis!$C$159,PMT(GD14,FZ14,FY14)*FZ14-GG14-GC14,IF(($B14-Analysis!$C$159+1)&lt;LOOKUP(Analysis!$C$159,$B:$B,FZ:FZ),IF(GF13-GE14&lt;0, GF13-GE14,0),0)))</f>
        <v>-88406.318833422542</v>
      </c>
      <c r="GG14" s="1">
        <f>IF($B14&lt;Analysis!$C$159,0,IF($B14=Analysis!$C$159,GB14+GE14,IF(GC13&lt;0,IF(GC13&gt;LOOKUP(Analysis!$C$159,$B:$B,GG:GG), GC13*(1+GD13),GG13),0)))</f>
        <v>-22059.883500000004</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17496.905278225859</v>
      </c>
      <c r="GO14" s="64">
        <f>IF($B14&lt;Analysis!$C$159,0,((1+Analysis!$B$174)/(1+$S14))-1)</f>
        <v>1.9607843137254832E-2</v>
      </c>
      <c r="GP14" s="1">
        <f t="shared" si="7"/>
        <v>23028.596986118442</v>
      </c>
      <c r="GQ14" s="1">
        <f t="shared" si="36"/>
        <v>-1571.6917078925828</v>
      </c>
      <c r="GR14" s="64">
        <f>IF($B14&lt;Analysis!$C$159,0,Analysis!$C$178)</f>
        <v>3.0000000000000001E-3</v>
      </c>
      <c r="GS14" s="1">
        <f t="shared" si="37"/>
        <v>-3929.229269731457</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-1312.2678958669394</v>
      </c>
      <c r="HD14" s="1">
        <f t="shared" si="38"/>
        <v>-19073.188873490977</v>
      </c>
      <c r="HE14" s="1">
        <f>MIN(0,-(GN14+HD14)*Analysis!$C$28)-GE14*Analysis!$C$28</f>
        <v>4470.7140337935271</v>
      </c>
      <c r="HF14" s="1">
        <f>-Analysis!$C$176*GP14/12</f>
        <v>-1919.0497488432036</v>
      </c>
      <c r="HG14" s="38"/>
      <c r="HH14" s="1">
        <f>IF($B14&lt;Analysis!$C$159,0,-$HI14*$FW14)</f>
        <v>-66796.897585434766</v>
      </c>
      <c r="HI14" s="64">
        <f>IF($B14&lt;Analysis!$C$159,0,IF($B14=Analysis!$C$159,Analysis!$C$31,HI13))</f>
        <v>0.1275</v>
      </c>
      <c r="HJ14" s="1">
        <f>IF($B14&lt;Analysis!$C$159,0,$FW14+HH14)</f>
        <v>457100.33837875951</v>
      </c>
      <c r="HK14" s="1">
        <f>IF($B14-Analysis!$C$159&gt;10,0,IF($FW14&gt;LOOKUP(Analysis!$C$159,$B:$B, FW:FW),$V14*(LOOKUP(Analysis!$C$159,$B:$B, FW:FW)-FW14),0))</f>
        <v>0</v>
      </c>
      <c r="HL14" s="1">
        <f t="shared" si="39"/>
        <v>457100.33837875951</v>
      </c>
      <c r="HM14" s="38"/>
      <c r="HN14" s="1">
        <f t="shared" si="40"/>
        <v>-116387.87126365592</v>
      </c>
      <c r="HO14" s="1">
        <f t="shared" si="8"/>
        <v>143751.75358737883</v>
      </c>
      <c r="HP14" s="1">
        <f t="shared" si="41"/>
        <v>27363.882323722908</v>
      </c>
      <c r="HQ14" s="1">
        <f>IF(HP14 &lt; 0,
    IF(HQ13 + HP14 &gt; 0,
        HQ13 + HP14, IF(HV13-ABS(HQ13 + HP14)*(1+$V14) &gt;= HQ13 + HP14,
        0, HQ13 + HP14)),
    MIN(HQ13 + HP14, Analysis!$C$7))+IF(HQ13&lt;0, HQ13*Analysis!$C$9,0)</f>
        <v>24000</v>
      </c>
      <c r="HR14" s="38"/>
      <c r="HS14" s="1">
        <f t="shared" si="54"/>
        <v>10851.309111271325</v>
      </c>
      <c r="HT14" s="1">
        <f>IF($B14=Analysis!$C$159,0,IF(HP14 &gt;= 0,
    MAX(0, HQ13 + HP14 - Analysis!$C$7),
    0))</f>
        <v>27363.882323722908</v>
      </c>
      <c r="HU14" s="1">
        <f>IF($B14=Analysis!$C$159,0,MAX(0, HU13 + HT14 - IF(HP14 &lt; 0, MIN(ABS(HP14), HU13 + HT14), 0)))</f>
        <v>183083.03304313743</v>
      </c>
      <c r="HV14" s="1">
        <f>IF($B14=Analysis!$C$159,0,IF(HP14 &lt; 0,
    IF(HP14 + HQ13 &lt; 0,
        MAX(0, HV13 - (ABS(HP14 + HQ13) * (1+$V13))),
        HV13 + HS14),
    HV13 + HT14 + HS14))</f>
        <v>225759.60239180338</v>
      </c>
      <c r="HW14" s="1">
        <f t="shared" si="56"/>
        <v>214503.65722609274</v>
      </c>
      <c r="HX14" s="36"/>
    </row>
    <row r="15" spans="1:232" x14ac:dyDescent="0.35">
      <c r="A15">
        <f t="shared" si="0"/>
        <v>48</v>
      </c>
      <c r="B15">
        <v>2038</v>
      </c>
      <c r="C15" s="1">
        <f>IF($B15&lt;Analysis!C$66,0,$AN15)+$AT15+$AW15+$BC15+$CF15+$CA15</f>
        <v>99668.596434176085</v>
      </c>
      <c r="D15" s="1">
        <f>IF($B15&lt;Analysis!C$66, 0, BV15)+AT15+AW15+BC15+CG15+CA15</f>
        <v>-13568.950712783466</v>
      </c>
      <c r="E15" s="1">
        <f t="shared" si="1"/>
        <v>611729.3104134521</v>
      </c>
      <c r="F15" s="1">
        <f t="shared" si="9"/>
        <v>561504.55635555147</v>
      </c>
      <c r="G15" s="1">
        <f>IF(AND($B15&gt;=Analysis!$C$100, $B15&lt;Analysis!$C$101),$CK15,0)+IF($B15&gt;=Analysis!$C$130,EB15,0)+CQ15+CT15+CZ15+EH15+EK15+EQ15+$FO15+$FT15</f>
        <v>494250.07538315479</v>
      </c>
      <c r="H15" s="1">
        <f t="shared" si="10"/>
        <v>411544.34712528507</v>
      </c>
      <c r="I15" s="1">
        <f>IF($B15&lt;Analysis!$C$159,0,$FW15)+$GC15+$GF15+$GL15+$HQ15+$HV15</f>
        <v>494250.07538315479</v>
      </c>
      <c r="J15" s="1">
        <f t="shared" si="2"/>
        <v>411544.34712528507</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-20388.550688352829</v>
      </c>
      <c r="Y15" s="64">
        <f t="shared" si="15"/>
        <v>1.9607843137254832E-2</v>
      </c>
      <c r="Z15" s="1">
        <f t="shared" si="16"/>
        <v>-3960</v>
      </c>
      <c r="AA15" s="64">
        <f t="shared" si="17"/>
        <v>0</v>
      </c>
      <c r="AB15" s="40"/>
      <c r="AC15" s="1">
        <f t="shared" si="3"/>
        <v>-90248.550688352829</v>
      </c>
      <c r="AD15" s="1">
        <f t="shared" si="4"/>
        <v>122202.60704980526</v>
      </c>
      <c r="AE15" s="1">
        <f t="shared" si="18"/>
        <v>31954.056361452429</v>
      </c>
      <c r="AF15" s="1">
        <f>IF(AE15 &lt; 0,
    IF(AF14 + AE15 &gt; 0,
        AF14 + AE15, IF(AK14-ABS(AF14 + AE15)*(1+$V15) &gt;= AF14 + AE15,
        0, AF14 + AE15)),
    MIN(AF14 + AE15, Analysis!$C$7))+IF(AF14&lt;0, AF14*Analysis!$C$9,0)</f>
        <v>24000</v>
      </c>
      <c r="AG15" s="40"/>
      <c r="AH15" s="1">
        <f t="shared" si="19"/>
        <v>29545.515091655929</v>
      </c>
      <c r="AI15" s="1">
        <f>IF(AE15 &gt;= 0,
    MAX(0, AF14 + AE15 - Analysis!$C$7),
    0)</f>
        <v>31954.056361452429</v>
      </c>
      <c r="AJ15" s="1">
        <f t="shared" si="44"/>
        <v>397303.70261098514</v>
      </c>
      <c r="AK15" s="1">
        <f t="shared" si="20"/>
        <v>587729.3104134521</v>
      </c>
      <c r="AL15" s="1">
        <f t="shared" si="5"/>
        <v>537504.55635555147</v>
      </c>
      <c r="AM15" s="36"/>
      <c r="AN15" s="1">
        <f t="shared" si="45"/>
        <v>888137.62468203576</v>
      </c>
      <c r="AO15" s="64">
        <f t="shared" si="21"/>
        <v>1.9607843137254832E-2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-22254.035708718089</v>
      </c>
      <c r="AT15" s="1">
        <f>IF($B15&lt;Analysis!$C$66,0,IF($B15=Analysis!$C$66,-AP15-AS15,MIN(0,AT14-AS15)))</f>
        <v>-445163.40459619858</v>
      </c>
      <c r="AU15" s="64">
        <f>IF($B15&lt;Analysis!$C$66,0,IF($B15=Analysis!$C$66,Analysis!$C$72,IF(($B15-Analysis!$C$66)&lt;LOOKUP(Analysis!$C$66,$B:$B,AQ:AQ),AU14,0)))</f>
        <v>3.6999999999999998E-2</v>
      </c>
      <c r="AV15" s="1">
        <f>IF($B15&lt;Analysis!$C$66,0,IF($B15=Analysis!$C$66,-AU15*AP15,AU14*AT14))</f>
        <v>-17294.445291281918</v>
      </c>
      <c r="AW15" s="1">
        <f>IF($B15&lt;Analysis!$C$66,0,IF($B15=Analysis!$C$66,PMT(AU15,AQ15,AP15)*AQ15-AX15-AT15,IF(($B15-Analysis!$C$66+1)&lt;LOOKUP(Analysis!$C$66,$B:$B,AQ:AQ),IF(AW14-AV15&lt;0, AW14-AV15,0),0)))</f>
        <v>-141198.48694308611</v>
      </c>
      <c r="AX15" s="1">
        <f>IF($B15&lt;Analysis!$C$66,0,IF($B15=Analysis!$C$66,AS15+AV15,IF(AT14&lt;0,IF(AT14&gt;LOOKUP(Analysis!$C$66,$B:$B,AX:AX), AT14*(1+AU14),AX14),0)))</f>
        <v>-39548.481000000007</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-2664.4128740461074</v>
      </c>
      <c r="BF15" s="64">
        <f>IF($B15&lt;Analysis!$C$66,0,Analysis!$C$78)</f>
        <v>3.0000000000000001E-3</v>
      </c>
      <c r="BG15" s="1">
        <f>IF($B15&lt;Analysis!$C$66,0,-BH15*AN15)</f>
        <v>-6661.0321851152676</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-113237.54714695956</v>
      </c>
      <c r="BS15" s="64">
        <f>IF($B15&lt;Analysis!C$66,0,Analysis!C$31)</f>
        <v>0.1275</v>
      </c>
      <c r="BT15" s="1">
        <f>IF($B15&lt;Analysis!$C$66,0,AN15+BR15)</f>
        <v>774900.07753507618</v>
      </c>
      <c r="BU15" s="1">
        <f>IF($B15-Analysis!$C$66&gt;3,0,IF($AN15&gt;LOOKUP(Analysis!$C$66,$B:$B, AN:AN),$V15*(LOOKUP(Analysis!$C$66,$B:$B, AN:AN)-AN15),0))</f>
        <v>0</v>
      </c>
      <c r="BV15" s="1">
        <f t="shared" si="23"/>
        <v>774900.07753507618</v>
      </c>
      <c r="BW15" s="42"/>
      <c r="BX15" s="1">
        <f>IF($B15&lt;Analysis!$C$66,$P15+$N15+$X15+$Z15,$P15+$N15+AS15+AV15+BB15+BE15+BG15+MAX(BI15,SUM(BJ15:BN15))+BP15)</f>
        <v>-118733.92605916137</v>
      </c>
      <c r="BY15" s="1">
        <f t="shared" si="24"/>
        <v>122202.60704980526</v>
      </c>
      <c r="BZ15" s="1">
        <f t="shared" si="46"/>
        <v>3468.6809906438866</v>
      </c>
      <c r="CA15" s="1">
        <f>IF(BZ15 &lt; 0,
    IF(CA14 + BZ15 &gt; 0,
        CA14 + BZ15, IF(CF14-ABS(CA14 + BZ15)*(1+$V15) &gt;= CA14 + BZ15,
        0, CA14 + BZ15)),
    MIN(CA14 + BZ15, Analysis!$C$7))+IF(CA14&lt;0, CA14*Analysis!$C$9,0)</f>
        <v>-202107.13670857495</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-20388.550688352829</v>
      </c>
      <c r="CJ15" s="1">
        <f>IF(OR($B15&lt;Analysis!$C$100, $B15&gt;=Analysis!$C$130),0,Z15)</f>
        <v>-3960</v>
      </c>
      <c r="CK15" s="1">
        <f t="shared" si="26"/>
        <v>534169.73078702157</v>
      </c>
      <c r="CL15" s="64">
        <f t="shared" si="48"/>
        <v>1.9607843137254832E-2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-12413.155264778974</v>
      </c>
      <c r="CQ15" s="1">
        <f>IF(OR($B15&lt;Analysis!$C$100, $B15&gt;=Analysis!$C$101),0,IF($B15=Analysis!$C$100,-CM15-CP15,MIN(0,CQ14-CP15)))</f>
        <v>-248309.22947092453</v>
      </c>
      <c r="CR15" s="64">
        <f>IF(OR($B15&lt;Analysis!$C$100, $B15&gt;=Analysis!$C$101),0,IF($B15=Analysis!$C$100,Analysis!$C$102,IF(($B15-Analysis!$C$100)&lt;LOOKUP(Analysis!$C$100,$B:$B,CN:CN),CR14,0)))</f>
        <v>3.6999999999999998E-2</v>
      </c>
      <c r="CS15" s="1">
        <f>IF(OR($B15&lt;Analysis!$C$100, $B15&gt;=Analysis!$C$101),0,IF($B15=Analysis!$C$100,-CR15*CM15,CR14*CQ14))</f>
        <v>-9646.7282352210295</v>
      </c>
      <c r="CT15" s="1">
        <f>IF(OR($B15&lt;Analysis!$C$100, $B15&gt;=Analysis!$C$101),0,IF($B15=Analysis!$C$100,PMT(CR15,CN15,CM15)*CN15-CU15-CQ15,IF(($B15-Analysis!$C$100+1)&lt;LOOKUP(Analysis!$C$100,$B:$B,CN:CN),IF(CT14-CS15&lt;0, CT14-CS15,0),0)))</f>
        <v>-78759.59059820151</v>
      </c>
      <c r="CU15" s="1">
        <f>IF(OR($B15&lt;Analysis!$C$100, $B15&gt;=Analysis!$C$101),0,IF($B15=Analysis!$C$100,CP15+CS15,IF(CQ14&lt;0,IF(CQ14&gt;LOOKUP(Analysis!$C$100,$B:$B,CU:CU), CQ14*(1+CR14),CU14),0)))</f>
        <v>-22059.883500000004</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17839.981852308716</v>
      </c>
      <c r="DC15" s="64">
        <f>IF(OR($B15&lt;Analysis!$C$100, $B15&gt;=Analysis!$C$101),0,((1+Analysis!$B$114)/(1+$S15))-1)</f>
        <v>1.9607843137254832E-2</v>
      </c>
      <c r="DD15" s="1">
        <f t="shared" si="6"/>
        <v>23402.49104466978</v>
      </c>
      <c r="DE15" s="1">
        <f t="shared" si="27"/>
        <v>-1602.5091923610648</v>
      </c>
      <c r="DF15" s="64">
        <f>IF(OR($B15&lt;Analysis!$C$100, $B15&gt;=Analysis!$C$101),0,Analysis!$C$118)</f>
        <v>3.0000000000000001E-3</v>
      </c>
      <c r="DG15" s="1">
        <f t="shared" si="28"/>
        <v>-4006.2729809026619</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-1337.9986389231537</v>
      </c>
      <c r="DR15" s="1">
        <f t="shared" si="29"/>
        <v>-19206.78081218688</v>
      </c>
      <c r="DS15" s="1">
        <f>MIN(0,-(DB15+DR15)*Analysis!$C$28)-CS15*Analysis!$C$28</f>
        <v>4274.4652810264379</v>
      </c>
      <c r="DT15" s="1">
        <f>-Analysis!$C$116*DD15/12</f>
        <v>-1950.2075870558149</v>
      </c>
      <c r="DU15" s="53"/>
      <c r="DV15" s="1">
        <f t="shared" si="30"/>
        <v>-68106.640675345247</v>
      </c>
      <c r="DW15" s="64">
        <f>IF(OR($B15&lt;Analysis!$C$100, $B15&gt;=Analysis!$C$101),0,IF($B15=Analysis!$C$100,Analysis!$C$31,DW14))</f>
        <v>0.1275</v>
      </c>
      <c r="DX15" s="1">
        <f>IF(OR($B15&lt;Analysis!$C$100, $B15&gt;=Analysis!$C$101),0,CK15+DV15)</f>
        <v>466063.09011167631</v>
      </c>
      <c r="DY15" s="1">
        <f>IF(OR($B15&lt;Analysis!$C$100, $B15&gt;=Analysis!$C$101),0,IF($B15-Analysis!$C$100&gt;3,0,IF(CK15&gt;LOOKUP(Analysis!$C$100,$B:$B, CK:CK),$V15*(LOOKUP(Analysis!$C$100,$B:$B, CK:CK)-CK15),0)))</f>
        <v>0</v>
      </c>
      <c r="DZ15" s="1">
        <f t="shared" si="49"/>
        <v>466063.09011167631</v>
      </c>
      <c r="EA15" s="53"/>
      <c r="EB15" s="1">
        <f t="shared" si="31"/>
        <v>888137.62468203576</v>
      </c>
      <c r="EC15" s="64">
        <f t="shared" si="50"/>
        <v>1.9607843137254832E-2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-120890.95730656909</v>
      </c>
      <c r="FM15" s="1">
        <f>$M15+$R15+DD15+IF(AND($B15&lt;&gt;Analysis!$C$130,$B15=Analysis!$C$101),DZ14+CQ14+CT14+CZ14,0)</f>
        <v>145605.09809447505</v>
      </c>
      <c r="FN15" s="1">
        <f t="shared" si="34"/>
        <v>24714.140787905955</v>
      </c>
      <c r="FO15" s="1">
        <f>IF(FN15 &lt; 0,
    IF(FO14 + FN15 &gt; 0,
        FO14 + FN15, IF(FT14-ABS(FO14 + FN15)*(1+$V15) &gt;= FO14 + FN15,
        0, FO14 + FN15)),
    MIN(FO14 + FN15, Analysis!$C$7))+IF(FO14&lt;0, FO14*Analysis!$C$9,0)</f>
        <v>24000</v>
      </c>
      <c r="FP15" s="53"/>
      <c r="FQ15" s="1">
        <f t="shared" si="51"/>
        <v>12675.421485549921</v>
      </c>
      <c r="FR15" s="1">
        <f>IF(OR($B15=Analysis!$C$100, $B15=Analysis!$C$130),0,IF(FN15 &gt;= 0,
    MAX(0, FO14 + FN15 - Analysis!$C$7),
    0))</f>
        <v>24714.140787905955</v>
      </c>
      <c r="FS15" s="1">
        <f>IF(OR($B15=Analysis!$C$100, $B15=Analysis!$C$130),0,MAX(0, FS14 + FR15 - IF(FN15 &lt; 0, MIN(ABS(FN15), FS14 + FR15), 0)))</f>
        <v>207797.17383104339</v>
      </c>
      <c r="FT15" s="1">
        <f>IF(OR($B15=Analysis!$C$100, $B15=Analysis!$C$130),0,IF(FN15 &lt; 0,
    IF(FN15 + FO14 &lt; 0,
        MAX(0, FT14 - (ABS(FN15 + FO14) * (1+$V14))),
        FT14 + FQ15),
    FT14 + FR15 + FQ15))</f>
        <v>263149.16466525925</v>
      </c>
      <c r="FU15" s="1">
        <f t="shared" si="55"/>
        <v>248550.07708273482</v>
      </c>
      <c r="FV15" s="36"/>
      <c r="FW15" s="1">
        <f t="shared" si="52"/>
        <v>534169.73078702157</v>
      </c>
      <c r="FX15" s="64">
        <f t="shared" si="53"/>
        <v>1.9607843137254832E-2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-12413.155264778974</v>
      </c>
      <c r="GC15" s="1">
        <f>IF($B15&lt;Analysis!$C$159,0,IF($B15=Analysis!$C$159,-FY15-GB15,MIN(0,GC14-GB15)))</f>
        <v>-248309.22947092453</v>
      </c>
      <c r="GD15" s="64">
        <f>IF($B15&lt;Analysis!$C$159,0,IF($B15=Analysis!$C$159,Analysis!$C$160,IF(($B15-Analysis!$C$159)&lt;LOOKUP(Analysis!$C$159,$B:$B,FZ:FZ),GD14,0)))</f>
        <v>3.6999999999999998E-2</v>
      </c>
      <c r="GE15" s="1">
        <f>IF($B15&lt;Analysis!$C$159,0,IF($B15=Analysis!$C$159,-GD15*FY15,GD14*GC14))</f>
        <v>-9646.7282352210295</v>
      </c>
      <c r="GF15" s="1">
        <f>IF($B15&lt;Analysis!$C$159,0,IF($B15=Analysis!$C$159,PMT(GD15,FZ15,FY15)*FZ15-GG15-GC15,IF(($B15-Analysis!$C$159+1)&lt;LOOKUP(Analysis!$C$159,$B:$B,FZ:FZ),IF(GF14-GE15&lt;0, GF14-GE15,0),0)))</f>
        <v>-78759.59059820151</v>
      </c>
      <c r="GG15" s="1">
        <f>IF($B15&lt;Analysis!$C$159,0,IF($B15=Analysis!$C$159,GB15+GE15,IF(GC14&lt;0,IF(GC14&gt;LOOKUP(Analysis!$C$159,$B:$B,GG:GG), GC14*(1+GD14),GG14),0)))</f>
        <v>-22059.883500000004</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17839.981852308716</v>
      </c>
      <c r="GO15" s="64">
        <f>IF($B15&lt;Analysis!$C$159,0,((1+Analysis!$B$174)/(1+$S15))-1)</f>
        <v>1.9607843137254832E-2</v>
      </c>
      <c r="GP15" s="1">
        <f t="shared" si="7"/>
        <v>23402.49104466978</v>
      </c>
      <c r="GQ15" s="1">
        <f t="shared" si="36"/>
        <v>-1602.5091923610648</v>
      </c>
      <c r="GR15" s="64">
        <f>IF($B15&lt;Analysis!$C$159,0,Analysis!$C$178)</f>
        <v>3.0000000000000001E-3</v>
      </c>
      <c r="GS15" s="1">
        <f t="shared" si="37"/>
        <v>-4006.2729809026619</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-1337.9986389231537</v>
      </c>
      <c r="HD15" s="1">
        <f t="shared" si="38"/>
        <v>-19206.78081218688</v>
      </c>
      <c r="HE15" s="1">
        <f>MIN(0,-(GN15+HD15)*Analysis!$C$28)-GE15*Analysis!$C$28</f>
        <v>4274.4652810264379</v>
      </c>
      <c r="HF15" s="1">
        <f>-Analysis!$C$176*GP15/12</f>
        <v>-1950.2075870558149</v>
      </c>
      <c r="HG15" s="38"/>
      <c r="HH15" s="1">
        <f>IF($B15&lt;Analysis!$C$159,0,-$HI15*$FW15)</f>
        <v>-68106.640675345247</v>
      </c>
      <c r="HI15" s="64">
        <f>IF($B15&lt;Analysis!$C$159,0,IF($B15=Analysis!$C$159,Analysis!$C$31,HI14))</f>
        <v>0.1275</v>
      </c>
      <c r="HJ15" s="1">
        <f>IF($B15&lt;Analysis!$C$159,0,$FW15+HH15)</f>
        <v>466063.09011167631</v>
      </c>
      <c r="HK15" s="1">
        <f>IF($B15-Analysis!$C$159&gt;10,0,IF($FW15&gt;LOOKUP(Analysis!$C$159,$B:$B, FW:FW),$V15*(LOOKUP(Analysis!$C$159,$B:$B, FW:FW)-FW15),0))</f>
        <v>0</v>
      </c>
      <c r="HL15" s="1">
        <f t="shared" si="39"/>
        <v>466063.09011167631</v>
      </c>
      <c r="HM15" s="38"/>
      <c r="HN15" s="1">
        <f t="shared" si="40"/>
        <v>-120890.95730656909</v>
      </c>
      <c r="HO15" s="1">
        <f t="shared" si="8"/>
        <v>145605.09809447505</v>
      </c>
      <c r="HP15" s="1">
        <f t="shared" si="41"/>
        <v>24714.140787905955</v>
      </c>
      <c r="HQ15" s="1">
        <f>IF(HP15 &lt; 0,
    IF(HQ14 + HP15 &gt; 0,
        HQ14 + HP15, IF(HV14-ABS(HQ14 + HP15)*(1+$V15) &gt;= HQ14 + HP15,
        0, HQ14 + HP15)),
    MIN(HQ14 + HP15, Analysis!$C$7))+IF(HQ14&lt;0, HQ14*Analysis!$C$9,0)</f>
        <v>24000</v>
      </c>
      <c r="HR15" s="38"/>
      <c r="HS15" s="1">
        <f t="shared" si="54"/>
        <v>12675.421485549923</v>
      </c>
      <c r="HT15" s="1">
        <f>IF($B15=Analysis!$C$159,0,IF(HP15 &gt;= 0,
    MAX(0, HQ14 + HP15 - Analysis!$C$7),
    0))</f>
        <v>24714.140787905955</v>
      </c>
      <c r="HU15" s="1">
        <f>IF($B15=Analysis!$C$159,0,MAX(0, HU14 + HT15 - IF(HP15 &lt; 0, MIN(ABS(HP15), HU14 + HT15), 0)))</f>
        <v>207797.17383104339</v>
      </c>
      <c r="HV15" s="1">
        <f>IF($B15=Analysis!$C$159,0,IF(HP15 &lt; 0,
    IF(HP15 + HQ14 &lt; 0,
        MAX(0, HV14 - (ABS(HP15 + HQ14) * (1+$V14))),
        HV14 + HS15),
    HV14 + HT15 + HS15))</f>
        <v>263149.16466525925</v>
      </c>
      <c r="HW15" s="1">
        <f t="shared" si="56"/>
        <v>248550.07708273482</v>
      </c>
      <c r="HX15" s="36"/>
    </row>
    <row r="16" spans="1:232" x14ac:dyDescent="0.35">
      <c r="A16">
        <f t="shared" si="0"/>
        <v>49</v>
      </c>
      <c r="B16">
        <v>2039</v>
      </c>
      <c r="C16" s="1">
        <f>IF($B16&lt;Analysis!C$66,0,$AN16)+$AT16+$AW16+$BC16+$CF16+$CA16</f>
        <v>145246.37982203593</v>
      </c>
      <c r="D16" s="1">
        <f>IF($B16&lt;Analysis!C$66, 0, BV16)+AT16+AW16+BC16+CG16+CA16</f>
        <v>29788.48861337133</v>
      </c>
      <c r="E16" s="1">
        <f t="shared" si="1"/>
        <v>676772.08529305214</v>
      </c>
      <c r="F16" s="1">
        <f t="shared" si="9"/>
        <v>618109.72791739809</v>
      </c>
      <c r="G16" s="1">
        <f>IF(AND($B16&gt;=Analysis!$C$100, $B16&lt;Analysis!$C$101),$CK16,0)+IF($B16&gt;=Analysis!$C$130,EB16,0)+CQ16+CT16+CZ16+EH16+EK16+EQ16+$FO16+$FT16</f>
        <v>566929.12683720561</v>
      </c>
      <c r="H16" s="1">
        <f t="shared" si="10"/>
        <v>479110.13260740833</v>
      </c>
      <c r="I16" s="1">
        <f>IF($B16&lt;Analysis!$C$159,0,$FW16)+$GC16+$GF16+$GL16+$HQ16+$HV16</f>
        <v>566929.12683720561</v>
      </c>
      <c r="J16" s="1">
        <f t="shared" si="2"/>
        <v>479110.13260740833</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-20788.326192046021</v>
      </c>
      <c r="Y16" s="64">
        <f t="shared" si="15"/>
        <v>1.9607843137254832E-2</v>
      </c>
      <c r="Z16" s="1">
        <f t="shared" si="16"/>
        <v>-3960</v>
      </c>
      <c r="AA16" s="64">
        <f t="shared" si="17"/>
        <v>0</v>
      </c>
      <c r="AB16" s="40"/>
      <c r="AC16" s="1">
        <f t="shared" si="3"/>
        <v>-90648.326192046021</v>
      </c>
      <c r="AD16" s="1">
        <f t="shared" si="4"/>
        <v>123700.18801855287</v>
      </c>
      <c r="AE16" s="1">
        <f t="shared" si="18"/>
        <v>33051.861826506851</v>
      </c>
      <c r="AF16" s="1">
        <f>IF(AE16 &lt; 0,
    IF(AF15 + AE16 &gt; 0,
        AF15 + AE16, IF(AK15-ABS(AF15 + AE16)*(1+$V16) &gt;= AF15 + AE16,
        0, AF15 + AE16)),
    MIN(AF15 + AE16, Analysis!$C$7))+IF(AF15&lt;0, AF15*Analysis!$C$9,0)</f>
        <v>24000</v>
      </c>
      <c r="AG16" s="40"/>
      <c r="AH16" s="1">
        <f t="shared" si="19"/>
        <v>31990.913053093114</v>
      </c>
      <c r="AI16" s="1">
        <f>IF(AE16 &gt;= 0,
    MAX(0, AF15 + AE16 - Analysis!$C$7),
    0)</f>
        <v>33051.861826506851</v>
      </c>
      <c r="AJ16" s="1">
        <f t="shared" si="44"/>
        <v>430355.56443749199</v>
      </c>
      <c r="AK16" s="1">
        <f t="shared" si="20"/>
        <v>652772.08529305214</v>
      </c>
      <c r="AL16" s="1">
        <f t="shared" si="5"/>
        <v>594109.72791739809</v>
      </c>
      <c r="AM16" s="36"/>
      <c r="AN16" s="1">
        <f t="shared" si="45"/>
        <v>905552.08791109524</v>
      </c>
      <c r="AO16" s="64">
        <f t="shared" si="21"/>
        <v>1.9607843137254832E-2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-23077.435029940661</v>
      </c>
      <c r="AT16" s="1">
        <f>IF($B16&lt;Analysis!$C$66,0,IF($B16=Analysis!$C$66,-AP16-AS16,MIN(0,AT15-AS16)))</f>
        <v>-422085.9695662579</v>
      </c>
      <c r="AU16" s="64">
        <f>IF($B16&lt;Analysis!$C$66,0,IF($B16=Analysis!$C$66,Analysis!$C$72,IF(($B16-Analysis!$C$66)&lt;LOOKUP(Analysis!$C$66,$B:$B,AQ:AQ),AU15,0)))</f>
        <v>3.6999999999999998E-2</v>
      </c>
      <c r="AV16" s="1">
        <f>IF($B16&lt;Analysis!$C$66,0,IF($B16=Analysis!$C$66,-AU16*AP16,AU15*AT15))</f>
        <v>-16471.045970059346</v>
      </c>
      <c r="AW16" s="1">
        <f>IF($B16&lt;Analysis!$C$66,0,IF($B16=Analysis!$C$66,PMT(AU16,AQ16,AP16)*AQ16-AX16-AT16,IF(($B16-Analysis!$C$66+1)&lt;LOOKUP(Analysis!$C$66,$B:$B,AQ:AQ),IF(AW15-AV16&lt;0, AW15-AV16,0),0)))</f>
        <v>-124727.44097302677</v>
      </c>
      <c r="AX16" s="1">
        <f>IF($B16&lt;Analysis!$C$66,0,IF($B16=Analysis!$C$66,AS16+AV16,IF(AT15&lt;0,IF(AT15&gt;LOOKUP(Analysis!$C$66,$B:$B,AX:AX), AT15*(1+AU15),AX15),0)))</f>
        <v>-39548.481000000007</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-2716.6562637332859</v>
      </c>
      <c r="BF16" s="64">
        <f>IF($B16&lt;Analysis!$C$66,0,Analysis!$C$78)</f>
        <v>3.0000000000000001E-3</v>
      </c>
      <c r="BG16" s="1">
        <f>IF($B16&lt;Analysis!$C$66,0,-BH16*AN16)</f>
        <v>-6791.640659333214</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-115457.89120866465</v>
      </c>
      <c r="BS16" s="64">
        <f>IF($B16&lt;Analysis!C$66,0,Analysis!C$31)</f>
        <v>0.1275</v>
      </c>
      <c r="BT16" s="1">
        <f>IF($B16&lt;Analysis!$C$66,0,AN16+BR16)</f>
        <v>790094.19670243061</v>
      </c>
      <c r="BU16" s="1">
        <f>IF($B16-Analysis!$C$66&gt;3,0,IF($AN16&gt;LOOKUP(Analysis!$C$66,$B:$B, AN:AN),$V16*(LOOKUP(Analysis!$C$66,$B:$B, AN:AN)-AN16),0))</f>
        <v>0</v>
      </c>
      <c r="BV16" s="1">
        <f t="shared" si="23"/>
        <v>790094.19670243061</v>
      </c>
      <c r="BW16" s="42"/>
      <c r="BX16" s="1">
        <f>IF($B16&lt;Analysis!$C$66,$P16+$N16+$X16+$Z16,$P16+$N16+AS16+AV16+BB16+BE16+BG16+MAX(BI16,SUM(BJ16:BN16))+BP16)</f>
        <v>-118916.77792306652</v>
      </c>
      <c r="BY16" s="1">
        <f t="shared" si="24"/>
        <v>123700.18801855287</v>
      </c>
      <c r="BZ16" s="1">
        <f t="shared" si="46"/>
        <v>4783.4100954863534</v>
      </c>
      <c r="CA16" s="1">
        <f>IF(BZ16 &lt; 0,
    IF(CA15 + BZ16 &gt; 0,
        CA15 + BZ16, IF(CF15-ABS(CA15 + BZ16)*(1+$V16) &gt;= CA15 + BZ16,
        0, CA15 + BZ16)),
    MIN(CA15 + BZ16, Analysis!$C$7))+IF(CA15&lt;0, CA15*Analysis!$C$9,0)</f>
        <v>-213492.29754977461</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-20788.326192046021</v>
      </c>
      <c r="CJ16" s="1">
        <f>IF(OR($B16&lt;Analysis!$C$100, $B16&gt;=Analysis!$C$130),0,Z16)</f>
        <v>-3960</v>
      </c>
      <c r="CK16" s="1">
        <f t="shared" si="26"/>
        <v>544643.6470769631</v>
      </c>
      <c r="CL16" s="64">
        <f t="shared" si="48"/>
        <v>1.9607843137254832E-2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-12872.442009575796</v>
      </c>
      <c r="CQ16" s="1">
        <f>IF(OR($B16&lt;Analysis!$C$100, $B16&gt;=Analysis!$C$101),0,IF($B16=Analysis!$C$100,-CM16-CP16,MIN(0,CQ15-CP16)))</f>
        <v>-235436.78746134875</v>
      </c>
      <c r="CR16" s="64">
        <f>IF(OR($B16&lt;Analysis!$C$100, $B16&gt;=Analysis!$C$101),0,IF($B16=Analysis!$C$100,Analysis!$C$102,IF(($B16-Analysis!$C$100)&lt;LOOKUP(Analysis!$C$100,$B:$B,CN:CN),CR15,0)))</f>
        <v>3.6999999999999998E-2</v>
      </c>
      <c r="CS16" s="1">
        <f>IF(OR($B16&lt;Analysis!$C$100, $B16&gt;=Analysis!$C$101),0,IF($B16=Analysis!$C$100,-CR16*CM16,CR15*CQ15))</f>
        <v>-9187.4414904242076</v>
      </c>
      <c r="CT16" s="1">
        <f>IF(OR($B16&lt;Analysis!$C$100, $B16&gt;=Analysis!$C$101),0,IF($B16=Analysis!$C$100,PMT(CR16,CN16,CM16)*CN16-CU16-CQ16,IF(($B16-Analysis!$C$100+1)&lt;LOOKUP(Analysis!$C$100,$B:$B,CN:CN),IF(CT15-CS16&lt;0, CT15-CS16,0),0)))</f>
        <v>-69572.14910777731</v>
      </c>
      <c r="CU16" s="1">
        <f>IF(OR($B16&lt;Analysis!$C$100, $B16&gt;=Analysis!$C$101),0,IF($B16=Analysis!$C$100,CP16+CS16,IF(CQ15&lt;0,IF(CQ15&gt;LOOKUP(Analysis!$C$100,$B:$B,CU:CU), CQ15*(1+CR15),CU15),0)))</f>
        <v>-22059.883500000004</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18189.785418040257</v>
      </c>
      <c r="DC16" s="64">
        <f>IF(OR($B16&lt;Analysis!$C$100, $B16&gt;=Analysis!$C$101),0,((1+Analysis!$B$114)/(1+$S16))-1)</f>
        <v>1.9607843137254832E-2</v>
      </c>
      <c r="DD16" s="1">
        <f t="shared" si="6"/>
        <v>23783.716359271148</v>
      </c>
      <c r="DE16" s="1">
        <f t="shared" si="27"/>
        <v>-1633.9309412308894</v>
      </c>
      <c r="DF16" s="64">
        <f>IF(OR($B16&lt;Analysis!$C$100, $B16&gt;=Analysis!$C$101),0,Analysis!$C$118)</f>
        <v>3.0000000000000001E-3</v>
      </c>
      <c r="DG16" s="1">
        <f t="shared" si="28"/>
        <v>-4084.8273530772231</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-1364.2339063530192</v>
      </c>
      <c r="DR16" s="1">
        <f t="shared" si="29"/>
        <v>-19342.992200661134</v>
      </c>
      <c r="DS16" s="1">
        <f>MIN(0,-(DB16+DR16)*Analysis!$C$28)-CS16*Analysis!$C$28</f>
        <v>4070.9553244069657</v>
      </c>
      <c r="DT16" s="1">
        <f>-Analysis!$C$116*DD16/12</f>
        <v>-1981.9763632725956</v>
      </c>
      <c r="DU16" s="53"/>
      <c r="DV16" s="1">
        <f t="shared" si="30"/>
        <v>-69442.065002312796</v>
      </c>
      <c r="DW16" s="64">
        <f>IF(OR($B16&lt;Analysis!$C$100, $B16&gt;=Analysis!$C$101),0,IF($B16=Analysis!$C$100,Analysis!$C$31,DW15))</f>
        <v>0.1275</v>
      </c>
      <c r="DX16" s="1">
        <f>IF(OR($B16&lt;Analysis!$C$100, $B16&gt;=Analysis!$C$101),0,CK16+DV16)</f>
        <v>475201.58207465033</v>
      </c>
      <c r="DY16" s="1">
        <f>IF(OR($B16&lt;Analysis!$C$100, $B16&gt;=Analysis!$C$101),0,IF($B16-Analysis!$C$100&gt;3,0,IF(CK16&gt;LOOKUP(Analysis!$C$100,$B:$B, CK:CK),$V16*(LOOKUP(Analysis!$C$100,$B:$B, CK:CK)-CK16),0)))</f>
        <v>0</v>
      </c>
      <c r="DZ16" s="1">
        <f t="shared" si="49"/>
        <v>475201.58207465033</v>
      </c>
      <c r="EA16" s="53"/>
      <c r="EB16" s="1">
        <f t="shared" si="31"/>
        <v>905552.08791109524</v>
      </c>
      <c r="EC16" s="64">
        <f t="shared" si="50"/>
        <v>1.9607843137254832E-2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-121662.22293157279</v>
      </c>
      <c r="FM16" s="1">
        <f>$M16+$R16+DD16+IF(AND($B16&lt;&gt;Analysis!$C$130,$B16=Analysis!$C$101),DZ15+CQ15+CT15+CZ15,0)</f>
        <v>147483.90437782402</v>
      </c>
      <c r="FN16" s="1">
        <f t="shared" si="34"/>
        <v>25821.681446251227</v>
      </c>
      <c r="FO16" s="1">
        <f>IF(FN16 &lt; 0,
    IF(FO15 + FN16 &gt; 0,
        FO15 + FN16, IF(FT15-ABS(FO15 + FN16)*(1+$V16) &gt;= FO15 + FN16,
        0, FO15 + FN16)),
    MIN(FO15 + FN16, Analysis!$C$7))+IF(FO15&lt;0, FO15*Analysis!$C$9,0)</f>
        <v>24000</v>
      </c>
      <c r="FP16" s="53"/>
      <c r="FQ16" s="1">
        <f t="shared" si="51"/>
        <v>14323.570217858083</v>
      </c>
      <c r="FR16" s="1">
        <f>IF(OR($B16=Analysis!$C$100, $B16=Analysis!$C$130),0,IF(FN16 &gt;= 0,
    MAX(0, FO15 + FN16 - Analysis!$C$7),
    0))</f>
        <v>25821.681446251227</v>
      </c>
      <c r="FS16" s="1">
        <f>IF(OR($B16=Analysis!$C$100, $B16=Analysis!$C$130),0,MAX(0, FS15 + FR16 - IF(FN16 &lt; 0, MIN(ABS(FN16), FS15 + FR16), 0)))</f>
        <v>233618.85527729461</v>
      </c>
      <c r="FT16" s="1">
        <f>IF(OR($B16=Analysis!$C$100, $B16=Analysis!$C$130),0,IF(FN16 &lt; 0,
    IF(FN16 + FO15 &lt; 0,
        MAX(0, FT15 - (ABS(FN16 + FO15) * (1+$V15))),
        FT15 + FQ16),
    FT15 + FR16 + FQ16))</f>
        <v>303294.41632936854</v>
      </c>
      <c r="FU16" s="1">
        <f t="shared" si="55"/>
        <v>284917.48710188403</v>
      </c>
      <c r="FV16" s="36"/>
      <c r="FW16" s="1">
        <f t="shared" si="52"/>
        <v>544643.6470769631</v>
      </c>
      <c r="FX16" s="64">
        <f t="shared" si="53"/>
        <v>1.9607843137254832E-2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-12872.442009575796</v>
      </c>
      <c r="GC16" s="1">
        <f>IF($B16&lt;Analysis!$C$159,0,IF($B16=Analysis!$C$159,-FY16-GB16,MIN(0,GC15-GB16)))</f>
        <v>-235436.78746134875</v>
      </c>
      <c r="GD16" s="64">
        <f>IF($B16&lt;Analysis!$C$159,0,IF($B16=Analysis!$C$159,Analysis!$C$160,IF(($B16-Analysis!$C$159)&lt;LOOKUP(Analysis!$C$159,$B:$B,FZ:FZ),GD15,0)))</f>
        <v>3.6999999999999998E-2</v>
      </c>
      <c r="GE16" s="1">
        <f>IF($B16&lt;Analysis!$C$159,0,IF($B16=Analysis!$C$159,-GD16*FY16,GD15*GC15))</f>
        <v>-9187.4414904242076</v>
      </c>
      <c r="GF16" s="1">
        <f>IF($B16&lt;Analysis!$C$159,0,IF($B16=Analysis!$C$159,PMT(GD16,FZ16,FY16)*FZ16-GG16-GC16,IF(($B16-Analysis!$C$159+1)&lt;LOOKUP(Analysis!$C$159,$B:$B,FZ:FZ),IF(GF15-GE16&lt;0, GF15-GE16,0),0)))</f>
        <v>-69572.14910777731</v>
      </c>
      <c r="GG16" s="1">
        <f>IF($B16&lt;Analysis!$C$159,0,IF($B16=Analysis!$C$159,GB16+GE16,IF(GC15&lt;0,IF(GC15&gt;LOOKUP(Analysis!$C$159,$B:$B,GG:GG), GC15*(1+GD15),GG15),0)))</f>
        <v>-22059.883500000004</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18189.785418040257</v>
      </c>
      <c r="GO16" s="64">
        <f>IF($B16&lt;Analysis!$C$159,0,((1+Analysis!$B$174)/(1+$S16))-1)</f>
        <v>1.9607843137254832E-2</v>
      </c>
      <c r="GP16" s="1">
        <f t="shared" si="7"/>
        <v>23783.716359271148</v>
      </c>
      <c r="GQ16" s="1">
        <f t="shared" si="36"/>
        <v>-1633.9309412308894</v>
      </c>
      <c r="GR16" s="64">
        <f>IF($B16&lt;Analysis!$C$159,0,Analysis!$C$178)</f>
        <v>3.0000000000000001E-3</v>
      </c>
      <c r="GS16" s="1">
        <f t="shared" si="37"/>
        <v>-4084.8273530772231</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-1364.2339063530192</v>
      </c>
      <c r="HD16" s="1">
        <f t="shared" si="38"/>
        <v>-19342.992200661134</v>
      </c>
      <c r="HE16" s="1">
        <f>MIN(0,-(GN16+HD16)*Analysis!$C$28)-GE16*Analysis!$C$28</f>
        <v>4070.9553244069657</v>
      </c>
      <c r="HF16" s="1">
        <f>-Analysis!$C$176*GP16/12</f>
        <v>-1981.9763632725956</v>
      </c>
      <c r="HG16" s="38"/>
      <c r="HH16" s="1">
        <f>IF($B16&lt;Analysis!$C$159,0,-$HI16*$FW16)</f>
        <v>-69442.065002312796</v>
      </c>
      <c r="HI16" s="64">
        <f>IF($B16&lt;Analysis!$C$159,0,IF($B16=Analysis!$C$159,Analysis!$C$31,HI15))</f>
        <v>0.1275</v>
      </c>
      <c r="HJ16" s="1">
        <f>IF($B16&lt;Analysis!$C$159,0,$FW16+HH16)</f>
        <v>475201.58207465033</v>
      </c>
      <c r="HK16" s="1">
        <f>IF($B16-Analysis!$C$159&gt;10,0,IF($FW16&gt;LOOKUP(Analysis!$C$159,$B:$B, FW:FW),$V16*(LOOKUP(Analysis!$C$159,$B:$B, FW:FW)-FW16),0))</f>
        <v>0</v>
      </c>
      <c r="HL16" s="1">
        <f t="shared" si="39"/>
        <v>475201.58207465033</v>
      </c>
      <c r="HM16" s="38"/>
      <c r="HN16" s="1">
        <f t="shared" si="40"/>
        <v>-121662.22293157279</v>
      </c>
      <c r="HO16" s="1">
        <f t="shared" si="8"/>
        <v>147483.90437782402</v>
      </c>
      <c r="HP16" s="1">
        <f t="shared" si="41"/>
        <v>25821.681446251227</v>
      </c>
      <c r="HQ16" s="1">
        <f>IF(HP16 &lt; 0,
    IF(HQ15 + HP16 &gt; 0,
        HQ15 + HP16, IF(HV15-ABS(HQ15 + HP16)*(1+$V16) &gt;= HQ15 + HP16,
        0, HQ15 + HP16)),
    MIN(HQ15 + HP16, Analysis!$C$7))+IF(HQ15&lt;0, HQ15*Analysis!$C$9,0)</f>
        <v>24000</v>
      </c>
      <c r="HR16" s="38"/>
      <c r="HS16" s="1">
        <f t="shared" si="54"/>
        <v>14323.570217858083</v>
      </c>
      <c r="HT16" s="1">
        <f>IF($B16=Analysis!$C$159,0,IF(HP16 &gt;= 0,
    MAX(0, HQ15 + HP16 - Analysis!$C$7),
    0))</f>
        <v>25821.681446251227</v>
      </c>
      <c r="HU16" s="1">
        <f>IF($B16=Analysis!$C$159,0,MAX(0, HU15 + HT16 - IF(HP16 &lt; 0, MIN(ABS(HP16), HU15 + HT16), 0)))</f>
        <v>233618.85527729461</v>
      </c>
      <c r="HV16" s="1">
        <f>IF($B16=Analysis!$C$159,0,IF(HP16 &lt; 0,
    IF(HP16 + HQ15 &lt; 0,
        MAX(0, HV15 - (ABS(HP16 + HQ15) * (1+$V15))),
        HV15 + HS16),
    HV15 + HT16 + HS16))</f>
        <v>303294.41632936854</v>
      </c>
      <c r="HW16" s="1">
        <f t="shared" si="56"/>
        <v>284917.48710188403</v>
      </c>
      <c r="HX16" s="36"/>
    </row>
    <row r="17" spans="1:232" x14ac:dyDescent="0.35">
      <c r="A17">
        <f t="shared" si="0"/>
        <v>50</v>
      </c>
      <c r="B17">
        <v>2040</v>
      </c>
      <c r="C17" s="1">
        <f>IF($B17&lt;Analysis!C$66,0,$AN17)+$AT17+$AW17+$BC17+$CF17+$CA17</f>
        <v>191584.30688804266</v>
      </c>
      <c r="D17" s="1">
        <f>IF($B17&lt;Analysis!C$66, 0, BV17)+AT17+AW17+BC17+CG17+CA17</f>
        <v>73862.535459600389</v>
      </c>
      <c r="E17" s="1">
        <f t="shared" si="1"/>
        <v>745344.50926088146</v>
      </c>
      <c r="F17" s="1">
        <f t="shared" si="9"/>
        <v>677605.92287213076</v>
      </c>
      <c r="G17" s="1">
        <f>IF(AND($B17&gt;=Analysis!$C$100, $B17&lt;Analysis!$C$101),$CK17,0)+IF($B17&gt;=Analysis!$C$130,EB17,0)+CQ17+CT17+CZ17+EH17+EK17+EQ17+$FO17+$FT17</f>
        <v>642593.48310315295</v>
      </c>
      <c r="H17" s="1">
        <f t="shared" si="10"/>
        <v>549195.8342615026</v>
      </c>
      <c r="I17" s="1">
        <f>IF($B17&lt;Analysis!$C$159,0,$FW17)+$GC17+$GF17+$GL17+$HQ17+$HV17</f>
        <v>642593.48310315295</v>
      </c>
      <c r="J17" s="1">
        <f t="shared" si="2"/>
        <v>549195.8342615026</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-21195.940431105744</v>
      </c>
      <c r="Y17" s="64">
        <f t="shared" si="15"/>
        <v>1.9607843137254832E-2</v>
      </c>
      <c r="Z17" s="1">
        <f t="shared" si="16"/>
        <v>-3960</v>
      </c>
      <c r="AA17" s="64">
        <f t="shared" si="17"/>
        <v>0</v>
      </c>
      <c r="AB17" s="40"/>
      <c r="AC17" s="1">
        <f t="shared" si="3"/>
        <v>-91055.940431105744</v>
      </c>
      <c r="AD17" s="1">
        <f t="shared" si="4"/>
        <v>125216.12169525081</v>
      </c>
      <c r="AE17" s="1">
        <f t="shared" si="18"/>
        <v>34160.181264145067</v>
      </c>
      <c r="AF17" s="1">
        <f>IF(AE17 &lt; 0,
    IF(AF16 + AE17 &gt; 0,
        AF16 + AE17, IF(AK16-ABS(AF16 + AE17)*(1+$V17) &gt;= AF16 + AE17,
        0, AF16 + AE17)),
    MIN(AF16 + AE17, Analysis!$C$7))+IF(AF16&lt;0, AF16*Analysis!$C$9,0)</f>
        <v>24000</v>
      </c>
      <c r="AG17" s="40"/>
      <c r="AH17" s="1">
        <f t="shared" si="19"/>
        <v>34412.242703684271</v>
      </c>
      <c r="AI17" s="1">
        <f>IF(AE17 &gt;= 0,
    MAX(0, AF16 + AE17 - Analysis!$C$7),
    0)</f>
        <v>34160.181264145067</v>
      </c>
      <c r="AJ17" s="1">
        <f t="shared" si="44"/>
        <v>464515.74570163706</v>
      </c>
      <c r="AK17" s="1">
        <f t="shared" si="20"/>
        <v>721344.50926088146</v>
      </c>
      <c r="AL17" s="1">
        <f t="shared" si="5"/>
        <v>653605.92287213076</v>
      </c>
      <c r="AM17" s="36"/>
      <c r="AN17" s="1">
        <f t="shared" si="45"/>
        <v>923308.01120346959</v>
      </c>
      <c r="AO17" s="64">
        <f t="shared" si="21"/>
        <v>1.9607843137254832E-2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-23931.300126048467</v>
      </c>
      <c r="AT17" s="1">
        <f>IF($B17&lt;Analysis!$C$66,0,IF($B17=Analysis!$C$66,-AP17-AS17,MIN(0,AT16-AS17)))</f>
        <v>-398154.66944020946</v>
      </c>
      <c r="AU17" s="64">
        <f>IF($B17&lt;Analysis!$C$66,0,IF($B17=Analysis!$C$66,Analysis!$C$72,IF(($B17-Analysis!$C$66)&lt;LOOKUP(Analysis!$C$66,$B:$B,AQ:AQ),AU16,0)))</f>
        <v>3.6999999999999998E-2</v>
      </c>
      <c r="AV17" s="1">
        <f>IF($B17&lt;Analysis!$C$66,0,IF($B17=Analysis!$C$66,-AU17*AP17,AU16*AT16))</f>
        <v>-15617.180873951542</v>
      </c>
      <c r="AW17" s="1">
        <f>IF($B17&lt;Analysis!$C$66,0,IF($B17=Analysis!$C$66,PMT(AU17,AQ17,AP17)*AQ17-AX17-AT17,IF(($B17-Analysis!$C$66+1)&lt;LOOKUP(Analysis!$C$66,$B:$B,AQ:AQ),IF(AW16-AV17&lt;0, AW16-AV17,0),0)))</f>
        <v>-109110.26009907523</v>
      </c>
      <c r="AX17" s="1">
        <f>IF($B17&lt;Analysis!$C$66,0,IF($B17=Analysis!$C$66,AS17+AV17,IF(AT16&lt;0,IF(AT16&gt;LOOKUP(Analysis!$C$66,$B:$B,AX:AX), AT16*(1+AU16),AX16),0)))</f>
        <v>-39548.481000000007</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-2769.924033610409</v>
      </c>
      <c r="BF17" s="64">
        <f>IF($B17&lt;Analysis!$C$66,0,Analysis!$C$78)</f>
        <v>3.0000000000000001E-3</v>
      </c>
      <c r="BG17" s="1">
        <f>IF($B17&lt;Analysis!$C$66,0,-BH17*AN17)</f>
        <v>-6924.8100840260213</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-117721.77142844237</v>
      </c>
      <c r="BS17" s="64">
        <f>IF($B17&lt;Analysis!C$66,0,Analysis!C$31)</f>
        <v>0.1275</v>
      </c>
      <c r="BT17" s="1">
        <f>IF($B17&lt;Analysis!$C$66,0,AN17+BR17)</f>
        <v>805586.23977502726</v>
      </c>
      <c r="BU17" s="1">
        <f>IF($B17-Analysis!$C$66&gt;3,0,IF($AN17&gt;LOOKUP(Analysis!$C$66,$B:$B, AN:AN),$V17*(LOOKUP(Analysis!$C$66,$B:$B, AN:AN)-AN17),0))</f>
        <v>0</v>
      </c>
      <c r="BV17" s="1">
        <f t="shared" si="23"/>
        <v>805586.23977502726</v>
      </c>
      <c r="BW17" s="42"/>
      <c r="BX17" s="1">
        <f>IF($B17&lt;Analysis!$C$66,$P17+$N17+$X17+$Z17,$P17+$N17+AS17+AV17+BB17+BE17+BG17+MAX(BI17,SUM(BJ17:BN17))+BP17)</f>
        <v>-119103.21511763644</v>
      </c>
      <c r="BY17" s="1">
        <f t="shared" si="24"/>
        <v>125216.12169525081</v>
      </c>
      <c r="BZ17" s="1">
        <f t="shared" si="46"/>
        <v>6112.9065776143689</v>
      </c>
      <c r="CA17" s="1">
        <f>IF(BZ17 &lt; 0,
    IF(CA16 + BZ17 &gt; 0,
        CA16 + BZ17, IF(CF16-ABS(CA16 + BZ17)*(1+$V17) &gt;= CA16 + BZ17,
        0, CA16 + BZ17)),
    MIN(CA16 + BZ17, Analysis!$C$7))+IF(CA16&lt;0, CA16*Analysis!$C$9,0)</f>
        <v>-224458.77477614221</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-21195.940431105744</v>
      </c>
      <c r="CJ17" s="1">
        <f>IF(OR($B17&lt;Analysis!$C$100, $B17&gt;=Analysis!$C$130),0,Z17)</f>
        <v>-3960</v>
      </c>
      <c r="CK17" s="1">
        <f t="shared" si="26"/>
        <v>555322.93427455053</v>
      </c>
      <c r="CL17" s="64">
        <f t="shared" si="48"/>
        <v>1.9607843137254832E-2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-13348.722363930101</v>
      </c>
      <c r="CQ17" s="1">
        <f>IF(OR($B17&lt;Analysis!$C$100, $B17&gt;=Analysis!$C$101),0,IF($B17=Analysis!$C$100,-CM17-CP17,MIN(0,CQ16-CP17)))</f>
        <v>-222088.06509741864</v>
      </c>
      <c r="CR17" s="64">
        <f>IF(OR($B17&lt;Analysis!$C$100, $B17&gt;=Analysis!$C$101),0,IF($B17=Analysis!$C$100,Analysis!$C$102,IF(($B17-Analysis!$C$100)&lt;LOOKUP(Analysis!$C$100,$B:$B,CN:CN),CR16,0)))</f>
        <v>3.6999999999999998E-2</v>
      </c>
      <c r="CS17" s="1">
        <f>IF(OR($B17&lt;Analysis!$C$100, $B17&gt;=Analysis!$C$101),0,IF($B17=Analysis!$C$100,-CR17*CM17,CR16*CQ16))</f>
        <v>-8711.1611360699026</v>
      </c>
      <c r="CT17" s="1">
        <f>IF(OR($B17&lt;Analysis!$C$100, $B17&gt;=Analysis!$C$101),0,IF($B17=Analysis!$C$100,PMT(CR17,CN17,CM17)*CN17-CU17-CQ17,IF(($B17-Analysis!$C$100+1)&lt;LOOKUP(Analysis!$C$100,$B:$B,CN:CN),IF(CT16-CS17&lt;0, CT16-CS17,0),0)))</f>
        <v>-60860.987971707407</v>
      </c>
      <c r="CU17" s="1">
        <f>IF(OR($B17&lt;Analysis!$C$100, $B17&gt;=Analysis!$C$101),0,IF($B17=Analysis!$C$100,CP17+CS17,IF(CQ16&lt;0,IF(CQ16&gt;LOOKUP(Analysis!$C$100,$B:$B,CU:CU), CQ16*(1+CR16),CU16),0)))</f>
        <v>-22059.883500000004</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18546.447877217517</v>
      </c>
      <c r="DC17" s="64">
        <f>IF(OR($B17&lt;Analysis!$C$100, $B17&gt;=Analysis!$C$101),0,((1+Analysis!$B$114)/(1+$S17))-1)</f>
        <v>1.9607843137254832E-2</v>
      </c>
      <c r="DD17" s="1">
        <f t="shared" si="6"/>
        <v>24172.416680041169</v>
      </c>
      <c r="DE17" s="1">
        <f t="shared" si="27"/>
        <v>-1665.9688028236517</v>
      </c>
      <c r="DF17" s="64">
        <f>IF(OR($B17&lt;Analysis!$C$100, $B17&gt;=Analysis!$C$101),0,Analysis!$C$118)</f>
        <v>3.0000000000000001E-3</v>
      </c>
      <c r="DG17" s="1">
        <f t="shared" si="28"/>
        <v>-4164.9220070591291</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-1390.9835907913136</v>
      </c>
      <c r="DR17" s="1">
        <f t="shared" si="29"/>
        <v>-19481.874400674096</v>
      </c>
      <c r="DS17" s="1">
        <f>MIN(0,-(DB17+DR17)*Analysis!$C$28)-CS17*Analysis!$C$28</f>
        <v>3859.9154993925731</v>
      </c>
      <c r="DT17" s="1">
        <f>-Analysis!$C$116*DD17/12</f>
        <v>-2014.3680566700975</v>
      </c>
      <c r="DU17" s="53"/>
      <c r="DV17" s="1">
        <f t="shared" si="30"/>
        <v>-70803.674120005191</v>
      </c>
      <c r="DW17" s="64">
        <f>IF(OR($B17&lt;Analysis!$C$100, $B17&gt;=Analysis!$C$101),0,IF($B17=Analysis!$C$100,Analysis!$C$31,DW16))</f>
        <v>0.1275</v>
      </c>
      <c r="DX17" s="1">
        <f>IF(OR($B17&lt;Analysis!$C$100, $B17&gt;=Analysis!$C$101),0,CK17+DV17)</f>
        <v>484519.26015454531</v>
      </c>
      <c r="DY17" s="1">
        <f>IF(OR($B17&lt;Analysis!$C$100, $B17&gt;=Analysis!$C$101),0,IF($B17-Analysis!$C$100&gt;3,0,IF(CK17&gt;LOOKUP(Analysis!$C$100,$B:$B, CK:CK),$V17*(LOOKUP(Analysis!$C$100,$B:$B, CK:CK)-CK17),0)))</f>
        <v>0</v>
      </c>
      <c r="DZ17" s="1">
        <f t="shared" si="49"/>
        <v>484519.26015454531</v>
      </c>
      <c r="EA17" s="53"/>
      <c r="EB17" s="1">
        <f t="shared" si="31"/>
        <v>923308.01120346959</v>
      </c>
      <c r="EC17" s="64">
        <f t="shared" si="50"/>
        <v>1.9607843137254832E-2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-122452.15088905735</v>
      </c>
      <c r="FM17" s="1">
        <f>$M17+$R17+DD17+IF(AND($B17&lt;&gt;Analysis!$C$130,$B17=Analysis!$C$101),DZ16+CQ16+CT16+CZ16,0)</f>
        <v>149388.53837529197</v>
      </c>
      <c r="FN17" s="1">
        <f t="shared" si="34"/>
        <v>26936.387486234627</v>
      </c>
      <c r="FO17" s="1">
        <f>IF(FN17 &lt; 0,
    IF(FO16 + FN17 &gt; 0,
        FO16 + FN17, IF(FT16-ABS(FO16 + FN17)*(1+$V17) &gt;= FO16 + FN17,
        0, FO16 + FN17)),
    MIN(FO16 + FN17, Analysis!$C$7))+IF(FO16&lt;0, FO16*Analysis!$C$9,0)</f>
        <v>24000</v>
      </c>
      <c r="FP17" s="53"/>
      <c r="FQ17" s="1">
        <f t="shared" si="51"/>
        <v>15988.798082125313</v>
      </c>
      <c r="FR17" s="1">
        <f>IF(OR($B17=Analysis!$C$100, $B17=Analysis!$C$130),0,IF(FN17 &gt;= 0,
    MAX(0, FO16 + FN17 - Analysis!$C$7),
    0))</f>
        <v>26936.387486234627</v>
      </c>
      <c r="FS17" s="1">
        <f>IF(OR($B17=Analysis!$C$100, $B17=Analysis!$C$130),0,MAX(0, FS16 + FR17 - IF(FN17 &lt; 0, MIN(ABS(FN17), FS16 + FR17), 0)))</f>
        <v>260555.24276352924</v>
      </c>
      <c r="FT17" s="1">
        <f>IF(OR($B17=Analysis!$C$100, $B17=Analysis!$C$130),0,IF(FN17 &lt; 0,
    IF(FN17 + FO16 &lt; 0,
        MAX(0, FT16 - (ABS(FN17 + FO16) * (1+$V16))),
        FT16 + FQ17),
    FT16 + FR17 + FQ17))</f>
        <v>346219.60189772845</v>
      </c>
      <c r="FU17" s="1">
        <f>IF(FT17-FS17&gt;0, FT17-$V17*(FT17-FS17),FT17)</f>
        <v>323625.62717608339</v>
      </c>
      <c r="FV17" s="36"/>
      <c r="FW17" s="1">
        <f t="shared" si="52"/>
        <v>555322.93427455053</v>
      </c>
      <c r="FX17" s="64">
        <f t="shared" si="53"/>
        <v>1.9607843137254832E-2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-13348.722363930101</v>
      </c>
      <c r="GC17" s="1">
        <f>IF($B17&lt;Analysis!$C$159,0,IF($B17=Analysis!$C$159,-FY17-GB17,MIN(0,GC16-GB17)))</f>
        <v>-222088.06509741864</v>
      </c>
      <c r="GD17" s="64">
        <f>IF($B17&lt;Analysis!$C$159,0,IF($B17=Analysis!$C$159,Analysis!$C$160,IF(($B17-Analysis!$C$159)&lt;LOOKUP(Analysis!$C$159,$B:$B,FZ:FZ),GD16,0)))</f>
        <v>3.6999999999999998E-2</v>
      </c>
      <c r="GE17" s="1">
        <f>IF($B17&lt;Analysis!$C$159,0,IF($B17=Analysis!$C$159,-GD17*FY17,GD16*GC16))</f>
        <v>-8711.1611360699026</v>
      </c>
      <c r="GF17" s="1">
        <f>IF($B17&lt;Analysis!$C$159,0,IF($B17=Analysis!$C$159,PMT(GD17,FZ17,FY17)*FZ17-GG17-GC17,IF(($B17-Analysis!$C$159+1)&lt;LOOKUP(Analysis!$C$159,$B:$B,FZ:FZ),IF(GF16-GE17&lt;0, GF16-GE17,0),0)))</f>
        <v>-60860.987971707407</v>
      </c>
      <c r="GG17" s="1">
        <f>IF($B17&lt;Analysis!$C$159,0,IF($B17=Analysis!$C$159,GB17+GE17,IF(GC16&lt;0,IF(GC16&gt;LOOKUP(Analysis!$C$159,$B:$B,GG:GG), GC16*(1+GD16),GG16),0)))</f>
        <v>-22059.883500000004</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18546.447877217517</v>
      </c>
      <c r="GO17" s="64">
        <f>IF($B17&lt;Analysis!$C$159,0,((1+Analysis!$B$174)/(1+$S17))-1)</f>
        <v>1.9607843137254832E-2</v>
      </c>
      <c r="GP17" s="1">
        <f t="shared" si="7"/>
        <v>24172.416680041169</v>
      </c>
      <c r="GQ17" s="1">
        <f t="shared" si="36"/>
        <v>-1665.9688028236517</v>
      </c>
      <c r="GR17" s="64">
        <f>IF($B17&lt;Analysis!$C$159,0,Analysis!$C$178)</f>
        <v>3.0000000000000001E-3</v>
      </c>
      <c r="GS17" s="1">
        <f t="shared" si="37"/>
        <v>-4164.9220070591291</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-1390.9835907913136</v>
      </c>
      <c r="HD17" s="1">
        <f t="shared" si="38"/>
        <v>-19481.874400674096</v>
      </c>
      <c r="HE17" s="1">
        <f>MIN(0,-(GN17+HD17)*Analysis!$C$28)-GE17*Analysis!$C$28</f>
        <v>3859.9154993925731</v>
      </c>
      <c r="HF17" s="1">
        <f>-Analysis!$C$176*GP17/12</f>
        <v>-2014.3680566700975</v>
      </c>
      <c r="HG17" s="38"/>
      <c r="HH17" s="1">
        <f>IF($B17&lt;Analysis!$C$159,0,-$HI17*$FW17)</f>
        <v>-70803.674120005191</v>
      </c>
      <c r="HI17" s="64">
        <f>IF($B17&lt;Analysis!$C$159,0,IF($B17=Analysis!$C$159,Analysis!$C$31,HI16))</f>
        <v>0.1275</v>
      </c>
      <c r="HJ17" s="1">
        <f>IF($B17&lt;Analysis!$C$159,0,$FW17+HH17)</f>
        <v>484519.26015454531</v>
      </c>
      <c r="HK17" s="1">
        <f>IF($B17-Analysis!$C$159&gt;10,0,IF($FW17&gt;LOOKUP(Analysis!$C$159,$B:$B, FW:FW),$V17*(LOOKUP(Analysis!$C$159,$B:$B, FW:FW)-FW17),0))</f>
        <v>0</v>
      </c>
      <c r="HL17" s="1">
        <f t="shared" si="39"/>
        <v>484519.26015454531</v>
      </c>
      <c r="HM17" s="38"/>
      <c r="HN17" s="1">
        <f t="shared" si="40"/>
        <v>-122452.15088905735</v>
      </c>
      <c r="HO17" s="1">
        <f t="shared" si="8"/>
        <v>149388.53837529197</v>
      </c>
      <c r="HP17" s="1">
        <f t="shared" si="41"/>
        <v>26936.387486234627</v>
      </c>
      <c r="HQ17" s="1">
        <f>IF(HP17 &lt; 0,
    IF(HQ16 + HP17 &gt; 0,
        HQ16 + HP17, IF(HV16-ABS(HQ16 + HP17)*(1+$V17) &gt;= HQ16 + HP17,
        0, HQ16 + HP17)),
    MIN(HQ16 + HP17, Analysis!$C$7))+IF(HQ16&lt;0, HQ16*Analysis!$C$9,0)</f>
        <v>24000</v>
      </c>
      <c r="HR17" s="38"/>
      <c r="HS17" s="1">
        <f t="shared" si="54"/>
        <v>15988.798082125313</v>
      </c>
      <c r="HT17" s="1">
        <f>IF($B17=Analysis!$C$159,0,IF(HP17 &gt;= 0,
    MAX(0, HQ16 + HP17 - Analysis!$C$7),
    0))</f>
        <v>26936.387486234627</v>
      </c>
      <c r="HU17" s="1">
        <f>IF($B17=Analysis!$C$159,0,MAX(0, HU16 + HT17 - IF(HP17 &lt; 0, MIN(ABS(HP17), HU16 + HT17), 0)))</f>
        <v>260555.24276352924</v>
      </c>
      <c r="HV17" s="1">
        <f>IF($B17=Analysis!$C$159,0,IF(HP17 &lt; 0,
    IF(HP17 + HQ16 &lt; 0,
        MAX(0, HV16 - (ABS(HP17 + HQ16) * (1+$V16))),
        HV16 + HS17),
    HV16 + HT17 + HS17))</f>
        <v>346219.60189772845</v>
      </c>
      <c r="HW17" s="1">
        <f>IF(HV17-HU17&gt;0, HV17-$V17*(HV17-HU17),HV17)</f>
        <v>323625.62717608339</v>
      </c>
      <c r="HX17" s="36"/>
    </row>
    <row r="18" spans="1:232" x14ac:dyDescent="0.35">
      <c r="A18">
        <f t="shared" si="0"/>
        <v>51</v>
      </c>
      <c r="B18">
        <v>2041</v>
      </c>
      <c r="C18" s="1">
        <f>IF($B18&lt;Analysis!C$66,0,$AN18)+$AT18+$AW18+$BC18+$CF18+$CA18</f>
        <v>238737.48960406301</v>
      </c>
      <c r="D18" s="1">
        <f>IF($B18&lt;Analysis!C$66, 0, BV18)+AT18+AW18+BC18+CG18+CA18</f>
        <v>118707.44814761195</v>
      </c>
      <c r="E18" s="1">
        <f t="shared" si="1"/>
        <v>817414.18569035188</v>
      </c>
      <c r="F18" s="1">
        <f t="shared" si="9"/>
        <v>739972.08104531514</v>
      </c>
      <c r="G18" s="1">
        <f>IF(AND($B18&gt;=Analysis!$C$100, $B18&lt;Analysis!$C$101),$CK18,0)+IF($B18&gt;=Analysis!$C$130,EB18,0)+CQ18+CT18+CZ18+EH18+EK18+EQ18+$FO18+$FT18</f>
        <v>721258.35458702</v>
      </c>
      <c r="H18" s="1">
        <f t="shared" si="10"/>
        <v>621815.0562041665</v>
      </c>
      <c r="I18" s="1">
        <f>IF($B18&lt;Analysis!$C$159,0,$FW18)+$GC18+$GF18+$GL18+$HQ18+$HV18</f>
        <v>721258.35458702</v>
      </c>
      <c r="J18" s="1">
        <f t="shared" si="2"/>
        <v>621815.0562041665</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-21611.547106225462</v>
      </c>
      <c r="Y18" s="64">
        <f t="shared" si="15"/>
        <v>1.9607843137254832E-2</v>
      </c>
      <c r="Z18" s="1">
        <f t="shared" si="16"/>
        <v>-3960</v>
      </c>
      <c r="AA18" s="64">
        <f t="shared" si="17"/>
        <v>0</v>
      </c>
      <c r="AB18" s="40"/>
      <c r="AC18" s="1">
        <f t="shared" si="3"/>
        <v>-91471.547106225466</v>
      </c>
      <c r="AD18" s="1">
        <f t="shared" si="4"/>
        <v>126750.63299053574</v>
      </c>
      <c r="AE18" s="1">
        <f t="shared" si="18"/>
        <v>35279.085884310276</v>
      </c>
      <c r="AF18" s="1">
        <f>IF(AE18 &lt; 0,
    IF(AF17 + AE18 &gt; 0,
        AF17 + AE18, IF(AK17-ABS(AF17 + AE18)*(1+$V18) &gt;= AF17 + AE18,
        0, AF17 + AE18)),
    MIN(AF17 + AE18, Analysis!$C$7))+IF(AF17&lt;0, AF17*Analysis!$C$9,0)</f>
        <v>24000</v>
      </c>
      <c r="AG18" s="40"/>
      <c r="AH18" s="1">
        <f t="shared" si="19"/>
        <v>36790.590545160165</v>
      </c>
      <c r="AI18" s="1">
        <f>IF(AE18 &gt;= 0,
    MAX(0, AF17 + AE18 - Analysis!$C$7),
    0)</f>
        <v>35279.085884310276</v>
      </c>
      <c r="AJ18" s="1">
        <f t="shared" si="44"/>
        <v>499794.83158594731</v>
      </c>
      <c r="AK18" s="1">
        <f t="shared" si="20"/>
        <v>793414.18569035188</v>
      </c>
      <c r="AL18" s="1">
        <f t="shared" si="5"/>
        <v>715972.08104531514</v>
      </c>
      <c r="AM18" s="36"/>
      <c r="AN18" s="1">
        <f t="shared" si="45"/>
        <v>941412.08985451795</v>
      </c>
      <c r="AO18" s="64">
        <f t="shared" si="21"/>
        <v>1.9607843137254832E-2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-24816.758230712258</v>
      </c>
      <c r="AT18" s="1">
        <f>IF($B18&lt;Analysis!$C$66,0,IF($B18=Analysis!$C$66,-AP18-AS18,MIN(0,AT17-AS18)))</f>
        <v>-373337.91120949719</v>
      </c>
      <c r="AU18" s="64">
        <f>IF($B18&lt;Analysis!$C$66,0,IF($B18=Analysis!$C$66,Analysis!$C$72,IF(($B18-Analysis!$C$66)&lt;LOOKUP(Analysis!$C$66,$B:$B,AQ:AQ),AU17,0)))</f>
        <v>3.6999999999999998E-2</v>
      </c>
      <c r="AV18" s="1">
        <f>IF($B18&lt;Analysis!$C$66,0,IF($B18=Analysis!$C$66,-AU18*AP18,AU17*AT17))</f>
        <v>-14731.72276928775</v>
      </c>
      <c r="AW18" s="1">
        <f>IF($B18&lt;Analysis!$C$66,0,IF($B18=Analysis!$C$66,PMT(AU18,AQ18,AP18)*AQ18-AX18-AT18,IF(($B18-Analysis!$C$66+1)&lt;LOOKUP(Analysis!$C$66,$B:$B,AQ:AQ),IF(AW17-AV18&lt;0, AW17-AV18,0),0)))</f>
        <v>-94378.537329787476</v>
      </c>
      <c r="AX18" s="1">
        <f>IF($B18&lt;Analysis!$C$66,0,IF($B18=Analysis!$C$66,AS18+AV18,IF(AT17&lt;0,IF(AT17&gt;LOOKUP(Analysis!$C$66,$B:$B,AX:AX), AT17*(1+AU17),AX17),0)))</f>
        <v>-39548.481000000007</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-2824.2362695635538</v>
      </c>
      <c r="BF18" s="64">
        <f>IF($B18&lt;Analysis!$C$66,0,Analysis!$C$78)</f>
        <v>3.0000000000000001E-3</v>
      </c>
      <c r="BG18" s="1">
        <f>IF($B18&lt;Analysis!$C$66,0,-BH18*AN18)</f>
        <v>-7060.5906739088841</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-120030.04145645104</v>
      </c>
      <c r="BS18" s="64">
        <f>IF($B18&lt;Analysis!C$66,0,Analysis!C$31)</f>
        <v>0.1275</v>
      </c>
      <c r="BT18" s="1">
        <f>IF($B18&lt;Analysis!$C$66,0,AN18+BR18)</f>
        <v>821382.04839806689</v>
      </c>
      <c r="BU18" s="1">
        <f>IF($B18-Analysis!$C$66&gt;3,0,IF($AN18&gt;LOOKUP(Analysis!$C$66,$B:$B, AN:AN),$V18*(LOOKUP(Analysis!$C$66,$B:$B, AN:AN)-AN18),0))</f>
        <v>0</v>
      </c>
      <c r="BV18" s="1">
        <f t="shared" si="23"/>
        <v>821382.04839806689</v>
      </c>
      <c r="BW18" s="42"/>
      <c r="BX18" s="1">
        <f>IF($B18&lt;Analysis!$C$66,$P18+$N18+$X18+$Z18,$P18+$N18+AS18+AV18+BB18+BE18+BG18+MAX(BI18,SUM(BJ18:BN18))+BP18)</f>
        <v>-119293.30794347245</v>
      </c>
      <c r="BY18" s="1">
        <f t="shared" si="24"/>
        <v>126750.63299053574</v>
      </c>
      <c r="BZ18" s="1">
        <f t="shared" si="46"/>
        <v>7457.325047063292</v>
      </c>
      <c r="CA18" s="1">
        <f>IF(BZ18 &lt; 0,
    IF(CA17 + BZ18 &gt; 0,
        CA17 + BZ18, IF(CF17-ABS(CA17 + BZ18)*(1+$V18) &gt;= CA17 + BZ18,
        0, CA17 + BZ18)),
    MIN(CA17 + BZ18, Analysis!$C$7))+IF(CA17&lt;0, CA17*Analysis!$C$9,0)</f>
        <v>-234958.1517111703</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-21611.547106225462</v>
      </c>
      <c r="CJ18" s="1">
        <f>IF(OR($B18&lt;Analysis!$C$100, $B18&gt;=Analysis!$C$130),0,Z18)</f>
        <v>-3960</v>
      </c>
      <c r="CK18" s="1">
        <f t="shared" si="26"/>
        <v>566211.61926032603</v>
      </c>
      <c r="CL18" s="64">
        <f t="shared" si="48"/>
        <v>1.9607843137254832E-2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-13842.625091395514</v>
      </c>
      <c r="CQ18" s="1">
        <f>IF(OR($B18&lt;Analysis!$C$100, $B18&gt;=Analysis!$C$101),0,IF($B18=Analysis!$C$100,-CM18-CP18,MIN(0,CQ17-CP18)))</f>
        <v>-208245.44000602313</v>
      </c>
      <c r="CR18" s="64">
        <f>IF(OR($B18&lt;Analysis!$C$100, $B18&gt;=Analysis!$C$101),0,IF($B18=Analysis!$C$100,Analysis!$C$102,IF(($B18-Analysis!$C$100)&lt;LOOKUP(Analysis!$C$100,$B:$B,CN:CN),CR17,0)))</f>
        <v>3.6999999999999998E-2</v>
      </c>
      <c r="CS18" s="1">
        <f>IF(OR($B18&lt;Analysis!$C$100, $B18&gt;=Analysis!$C$101),0,IF($B18=Analysis!$C$100,-CR18*CM18,CR17*CQ17))</f>
        <v>-8217.2584086044899</v>
      </c>
      <c r="CT18" s="1">
        <f>IF(OR($B18&lt;Analysis!$C$100, $B18&gt;=Analysis!$C$101),0,IF($B18=Analysis!$C$100,PMT(CR18,CN18,CM18)*CN18-CU18-CQ18,IF(($B18-Analysis!$C$100+1)&lt;LOOKUP(Analysis!$C$100,$B:$B,CN:CN),IF(CT17-CS18&lt;0, CT17-CS18,0),0)))</f>
        <v>-52643.729563102919</v>
      </c>
      <c r="CU18" s="1">
        <f>IF(OR($B18&lt;Analysis!$C$100, $B18&gt;=Analysis!$C$101),0,IF($B18=Analysis!$C$100,CP18+CS18,IF(CQ17&lt;0,IF(CQ17&gt;LOOKUP(Analysis!$C$100,$B:$B,CU:CU), CQ17*(1+CR17),CU17),0)))</f>
        <v>-22059.883500000004</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18910.10371794727</v>
      </c>
      <c r="DC18" s="64">
        <f>IF(OR($B18&lt;Analysis!$C$100, $B18&gt;=Analysis!$C$101),0,((1+Analysis!$B$114)/(1+$S18))-1)</f>
        <v>1.9607843137254832E-2</v>
      </c>
      <c r="DD18" s="1">
        <f t="shared" si="6"/>
        <v>24568.738575728246</v>
      </c>
      <c r="DE18" s="1">
        <f t="shared" si="27"/>
        <v>-1698.6348577809781</v>
      </c>
      <c r="DF18" s="64">
        <f>IF(OR($B18&lt;Analysis!$C$100, $B18&gt;=Analysis!$C$101),0,Analysis!$C$118)</f>
        <v>3.0000000000000001E-3</v>
      </c>
      <c r="DG18" s="1">
        <f t="shared" si="28"/>
        <v>-4246.5871444524455</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-1418.2577788460451</v>
      </c>
      <c r="DR18" s="1">
        <f t="shared" si="29"/>
        <v>-19623.479781079466</v>
      </c>
      <c r="DS18" s="1">
        <f>MIN(0,-(DB18+DR18)*Analysis!$C$28)-CS18*Analysis!$C$28</f>
        <v>3641.067200852649</v>
      </c>
      <c r="DT18" s="1">
        <f>-Analysis!$C$116*DD18/12</f>
        <v>-2047.3948813106872</v>
      </c>
      <c r="DU18" s="53"/>
      <c r="DV18" s="1">
        <f t="shared" si="30"/>
        <v>-72191.981455691566</v>
      </c>
      <c r="DW18" s="64">
        <f>IF(OR($B18&lt;Analysis!$C$100, $B18&gt;=Analysis!$C$101),0,IF($B18=Analysis!$C$100,Analysis!$C$31,DW17))</f>
        <v>0.1275</v>
      </c>
      <c r="DX18" s="1">
        <f>IF(OR($B18&lt;Analysis!$C$100, $B18&gt;=Analysis!$C$101),0,CK18+DV18)</f>
        <v>494019.63780463446</v>
      </c>
      <c r="DY18" s="1">
        <f>IF(OR($B18&lt;Analysis!$C$100, $B18&gt;=Analysis!$C$101),0,IF($B18-Analysis!$C$100&gt;3,0,IF(CK18&gt;LOOKUP(Analysis!$C$100,$B:$B, CK:CK),$V18*(LOOKUP(Analysis!$C$100,$B:$B, CK:CK)-CK18),0)))</f>
        <v>0</v>
      </c>
      <c r="DZ18" s="1">
        <f t="shared" si="49"/>
        <v>494019.63780463446</v>
      </c>
      <c r="EA18" s="53"/>
      <c r="EB18" s="1">
        <f t="shared" si="31"/>
        <v>941412.08985451795</v>
      </c>
      <c r="EC18" s="64">
        <f t="shared" si="50"/>
        <v>1.9607843137254832E-2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-123261.238067763</v>
      </c>
      <c r="FM18" s="1">
        <f>$M18+$R18+DD18+IF(AND($B18&lt;&gt;Analysis!$C$130,$B18=Analysis!$C$101),DZ17+CQ17+CT17+CZ17,0)</f>
        <v>151319.37156626399</v>
      </c>
      <c r="FN18" s="1">
        <f t="shared" si="34"/>
        <v>28058.133498500989</v>
      </c>
      <c r="FO18" s="1">
        <f>IF(FN18 &lt; 0,
    IF(FO17 + FN18 &gt; 0,
        FO17 + FN18, IF(FT17-ABS(FO17 + FN18)*(1+$V18) &gt;= FO17 + FN18,
        0, FO17 + FN18)),
    MIN(FO17 + FN18, Analysis!$C$7))+IF(FO17&lt;0, FO17*Analysis!$C$9,0)</f>
        <v>24000</v>
      </c>
      <c r="FP18" s="53"/>
      <c r="FQ18" s="1">
        <f t="shared" si="51"/>
        <v>17658.169499590651</v>
      </c>
      <c r="FR18" s="1">
        <f>IF(OR($B18=Analysis!$C$100, $B18=Analysis!$C$130),0,IF(FN18 &gt;= 0,
    MAX(0, FO17 + FN18 - Analysis!$C$7),
    0))</f>
        <v>28058.133498500989</v>
      </c>
      <c r="FS18" s="1">
        <f>IF(OR($B18=Analysis!$C$100, $B18=Analysis!$C$130),0,MAX(0, FS17 + FR18 - IF(FN18 &lt; 0, MIN(ABS(FN18), FS17 + FR18), 0)))</f>
        <v>288613.37626203022</v>
      </c>
      <c r="FT18" s="1">
        <f>IF(OR($B18=Analysis!$C$100, $B18=Analysis!$C$130),0,IF(FN18 &lt; 0,
    IF(FN18 + FO17 &lt; 0,
        MAX(0, FT17 - (ABS(FN18 + FO17) * (1+$V17))),
        FT17 + FQ18),
    FT17 + FR18 + FQ18))</f>
        <v>391935.90489582007</v>
      </c>
      <c r="FU18" s="1">
        <f>IF(FT18-FS18&gt;0, FT18-$V18*(FT18-FS18),FT18)</f>
        <v>364684.58796865802</v>
      </c>
      <c r="FV18" s="36"/>
      <c r="FW18" s="1">
        <f t="shared" si="52"/>
        <v>566211.61926032603</v>
      </c>
      <c r="FX18" s="64">
        <f t="shared" si="53"/>
        <v>1.9607843137254832E-2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-13842.625091395514</v>
      </c>
      <c r="GC18" s="1">
        <f>IF($B18&lt;Analysis!$C$159,0,IF($B18=Analysis!$C$159,-FY18-GB18,MIN(0,GC17-GB18)))</f>
        <v>-208245.44000602313</v>
      </c>
      <c r="GD18" s="64">
        <f>IF($B18&lt;Analysis!$C$159,0,IF($B18=Analysis!$C$159,Analysis!$C$160,IF(($B18-Analysis!$C$159)&lt;LOOKUP(Analysis!$C$159,$B:$B,FZ:FZ),GD17,0)))</f>
        <v>3.6999999999999998E-2</v>
      </c>
      <c r="GE18" s="1">
        <f>IF($B18&lt;Analysis!$C$159,0,IF($B18=Analysis!$C$159,-GD18*FY18,GD17*GC17))</f>
        <v>-8217.2584086044899</v>
      </c>
      <c r="GF18" s="1">
        <f>IF($B18&lt;Analysis!$C$159,0,IF($B18=Analysis!$C$159,PMT(GD18,FZ18,FY18)*FZ18-GG18-GC18,IF(($B18-Analysis!$C$159+1)&lt;LOOKUP(Analysis!$C$159,$B:$B,FZ:FZ),IF(GF17-GE18&lt;0, GF17-GE18,0),0)))</f>
        <v>-52643.729563102919</v>
      </c>
      <c r="GG18" s="1">
        <f>IF($B18&lt;Analysis!$C$159,0,IF($B18=Analysis!$C$159,GB18+GE18,IF(GC17&lt;0,IF(GC17&gt;LOOKUP(Analysis!$C$159,$B:$B,GG:GG), GC17*(1+GD17),GG17),0)))</f>
        <v>-22059.883500000004</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18910.10371794727</v>
      </c>
      <c r="GO18" s="64">
        <f>IF($B18&lt;Analysis!$C$159,0,((1+Analysis!$B$174)/(1+$S18))-1)</f>
        <v>1.9607843137254832E-2</v>
      </c>
      <c r="GP18" s="1">
        <f t="shared" si="7"/>
        <v>24568.738575728246</v>
      </c>
      <c r="GQ18" s="1">
        <f t="shared" si="36"/>
        <v>-1698.6348577809781</v>
      </c>
      <c r="GR18" s="64">
        <f>IF($B18&lt;Analysis!$C$159,0,Analysis!$C$178)</f>
        <v>3.0000000000000001E-3</v>
      </c>
      <c r="GS18" s="1">
        <f t="shared" si="37"/>
        <v>-4246.5871444524455</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-1418.2577788460451</v>
      </c>
      <c r="HD18" s="1">
        <f t="shared" si="38"/>
        <v>-19623.479781079466</v>
      </c>
      <c r="HE18" s="1">
        <f>MIN(0,-(GN18+HD18)*Analysis!$C$28)-GE18*Analysis!$C$28</f>
        <v>3641.067200852649</v>
      </c>
      <c r="HF18" s="1">
        <f>-Analysis!$C$176*GP18/12</f>
        <v>-2047.3948813106872</v>
      </c>
      <c r="HG18" s="38"/>
      <c r="HH18" s="1">
        <f>IF($B18&lt;Analysis!$C$159,0,-$HI18*$FW18)</f>
        <v>-72191.981455691566</v>
      </c>
      <c r="HI18" s="64">
        <f>IF($B18&lt;Analysis!$C$159,0,IF($B18=Analysis!$C$159,Analysis!$C$31,HI17))</f>
        <v>0.1275</v>
      </c>
      <c r="HJ18" s="1">
        <f>IF($B18&lt;Analysis!$C$159,0,$FW18+HH18)</f>
        <v>494019.63780463446</v>
      </c>
      <c r="HK18" s="1">
        <f>IF($B18-Analysis!$C$159&gt;10,0,IF($FW18&gt;LOOKUP(Analysis!$C$159,$B:$B, FW:FW),$V18*(LOOKUP(Analysis!$C$159,$B:$B, FW:FW)-FW18),0))</f>
        <v>0</v>
      </c>
      <c r="HL18" s="1">
        <f t="shared" si="39"/>
        <v>494019.63780463446</v>
      </c>
      <c r="HM18" s="38"/>
      <c r="HN18" s="1">
        <f t="shared" si="40"/>
        <v>-123261.238067763</v>
      </c>
      <c r="HO18" s="1">
        <f t="shared" si="8"/>
        <v>151319.37156626399</v>
      </c>
      <c r="HP18" s="1">
        <f t="shared" si="41"/>
        <v>28058.133498500989</v>
      </c>
      <c r="HQ18" s="1">
        <f>IF(HP18 &lt; 0,
    IF(HQ17 + HP18 &gt; 0,
        HQ17 + HP18, IF(HV17-ABS(HQ17 + HP18)*(1+$V18) &gt;= HQ17 + HP18,
        0, HQ17 + HP18)),
    MIN(HQ17 + HP18, Analysis!$C$7))+IF(HQ17&lt;0, HQ17*Analysis!$C$9,0)</f>
        <v>24000</v>
      </c>
      <c r="HR18" s="38"/>
      <c r="HS18" s="1">
        <f t="shared" si="54"/>
        <v>17658.169499590651</v>
      </c>
      <c r="HT18" s="1">
        <f>IF($B18=Analysis!$C$159,0,IF(HP18 &gt;= 0,
    MAX(0, HQ17 + HP18 - Analysis!$C$7),
    0))</f>
        <v>28058.133498500989</v>
      </c>
      <c r="HU18" s="1">
        <f>IF($B18=Analysis!$C$159,0,MAX(0, HU17 + HT18 - IF(HP18 &lt; 0, MIN(ABS(HP18), HU17 + HT18), 0)))</f>
        <v>288613.37626203022</v>
      </c>
      <c r="HV18" s="1">
        <f>IF($B18=Analysis!$C$159,0,IF(HP18 &lt; 0,
    IF(HP18 + HQ17 &lt; 0,
        MAX(0, HV17 - (ABS(HP18 + HQ17) * (1+$V17))),
        HV17 + HS18),
    HV17 + HT18 + HS18))</f>
        <v>391935.90489582007</v>
      </c>
      <c r="HW18" s="1">
        <f>IF(HV18-HU18&gt;0, HV18-$V18*(HV18-HU18),HV18)</f>
        <v>364684.58796865802</v>
      </c>
      <c r="HX18" s="36"/>
    </row>
    <row r="19" spans="1:232" x14ac:dyDescent="0.35">
      <c r="A19">
        <f t="shared" si="0"/>
        <v>52</v>
      </c>
      <c r="B19">
        <v>2042</v>
      </c>
      <c r="C19" s="1">
        <f>IF($B19&lt;Analysis!C$66,0,$AN19)+$AT19+$AW19+$BC19+$CF19+$CA19</f>
        <v>286765.20054423518</v>
      </c>
      <c r="D19" s="1">
        <f>IF($B19&lt;Analysis!C$66, 0, BV19)+AT19+AW19+BC19+CG19+CA19</f>
        <v>164381.62886314778</v>
      </c>
      <c r="E19" s="1">
        <f t="shared" si="1"/>
        <v>892929.03964468325</v>
      </c>
      <c r="F19" s="1">
        <f t="shared" si="9"/>
        <v>805172.67282035039</v>
      </c>
      <c r="G19" s="1">
        <f>IF(AND($B19&gt;=Analysis!$C$100, $B19&lt;Analysis!$C$101),$CK19,0)+IF($B19&gt;=Analysis!$C$130,EB19,0)+CQ19+CT19+CZ19+EH19+EK19+EQ19+$FO19+$FT19</f>
        <v>802925.15070204297</v>
      </c>
      <c r="H19" s="1">
        <f t="shared" si="10"/>
        <v>696971.21688967512</v>
      </c>
      <c r="I19" s="1">
        <f>IF($B19&lt;Analysis!$C$159,0,$FW19)+$GC19+$GF19+$GL19+$HQ19+$HV19</f>
        <v>802925.15070204297</v>
      </c>
      <c r="J19" s="1">
        <f t="shared" si="2"/>
        <v>696971.21688967512</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-22035.302931837723</v>
      </c>
      <c r="Y19" s="64">
        <f t="shared" si="15"/>
        <v>1.9607843137254832E-2</v>
      </c>
      <c r="Z19" s="1">
        <f t="shared" si="16"/>
        <v>-3960</v>
      </c>
      <c r="AA19" s="64">
        <f t="shared" si="17"/>
        <v>0</v>
      </c>
      <c r="AB19" s="40"/>
      <c r="AC19" s="1">
        <f t="shared" si="3"/>
        <v>-91895.302931837723</v>
      </c>
      <c r="AD19" s="1">
        <f t="shared" si="4"/>
        <v>128303.9495713021</v>
      </c>
      <c r="AE19" s="1">
        <f t="shared" si="18"/>
        <v>36408.646639464379</v>
      </c>
      <c r="AF19" s="1">
        <f>IF(AE19 &lt; 0,
    IF(AF18 + AE19 &gt; 0,
        AF18 + AE19, IF(AK18-ABS(AF18 + AE19)*(1+$V19) &gt;= AF18 + AE19,
        0, AF18 + AE19)),
    MIN(AF18 + AE19, Analysis!$C$7))+IF(AF18&lt;0, AF18*Analysis!$C$9,0)</f>
        <v>24000</v>
      </c>
      <c r="AG19" s="40"/>
      <c r="AH19" s="1">
        <f t="shared" si="19"/>
        <v>39106.207314866901</v>
      </c>
      <c r="AI19" s="1">
        <f>IF(AE19 &gt;= 0,
    MAX(0, AF18 + AE19 - Analysis!$C$7),
    0)</f>
        <v>36408.646639464379</v>
      </c>
      <c r="AJ19" s="1">
        <f t="shared" si="44"/>
        <v>536203.47822541173</v>
      </c>
      <c r="AK19" s="1">
        <f t="shared" si="20"/>
        <v>868929.03964468325</v>
      </c>
      <c r="AL19" s="1">
        <f t="shared" si="5"/>
        <v>781172.67282035039</v>
      </c>
      <c r="AM19" s="36"/>
      <c r="AN19" s="1">
        <f t="shared" si="45"/>
        <v>959871.15043990058</v>
      </c>
      <c r="AO19" s="64">
        <f t="shared" si="21"/>
        <v>1.9607843137254832E-2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-25734.97828524861</v>
      </c>
      <c r="AT19" s="1">
        <f>IF($B19&lt;Analysis!$C$66,0,IF($B19=Analysis!$C$66,-AP19-AS19,MIN(0,AT18-AS19)))</f>
        <v>-347602.93292424857</v>
      </c>
      <c r="AU19" s="64">
        <f>IF($B19&lt;Analysis!$C$66,0,IF($B19=Analysis!$C$66,Analysis!$C$72,IF(($B19-Analysis!$C$66)&lt;LOOKUP(Analysis!$C$66,$B:$B,AQ:AQ),AU18,0)))</f>
        <v>3.6999999999999998E-2</v>
      </c>
      <c r="AV19" s="1">
        <f>IF($B19&lt;Analysis!$C$66,0,IF($B19=Analysis!$C$66,-AU19*AP19,AU18*AT18))</f>
        <v>-13813.502714751396</v>
      </c>
      <c r="AW19" s="1">
        <f>IF($B19&lt;Analysis!$C$66,0,IF($B19=Analysis!$C$66,PMT(AU19,AQ19,AP19)*AQ19-AX19-AT19,IF(($B19-Analysis!$C$66+1)&lt;LOOKUP(Analysis!$C$66,$B:$B,AQ:AQ),IF(AW18-AV19&lt;0, AW18-AV19,0),0)))</f>
        <v>-80565.034615036086</v>
      </c>
      <c r="AX19" s="1">
        <f>IF($B19&lt;Analysis!$C$66,0,IF($B19=Analysis!$C$66,AS19+AV19,IF(AT18&lt;0,IF(AT18&gt;LOOKUP(Analysis!$C$66,$B:$B,AX:AX), AT18*(1+AU18),AX18),0)))</f>
        <v>-39548.481000000007</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-2879.6134513197017</v>
      </c>
      <c r="BF19" s="64">
        <f>IF($B19&lt;Analysis!$C$66,0,Analysis!$C$78)</f>
        <v>3.0000000000000001E-3</v>
      </c>
      <c r="BG19" s="1">
        <f>IF($B19&lt;Analysis!$C$66,0,-BH19*AN19)</f>
        <v>-7199.0336282992539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-122383.57168108733</v>
      </c>
      <c r="BS19" s="64">
        <f>IF($B19&lt;Analysis!C$66,0,Analysis!C$31)</f>
        <v>0.1275</v>
      </c>
      <c r="BT19" s="1">
        <f>IF($B19&lt;Analysis!$C$66,0,AN19+BR19)</f>
        <v>837487.57875881321</v>
      </c>
      <c r="BU19" s="1">
        <f>IF($B19-Analysis!$C$66&gt;3,0,IF($AN19&gt;LOOKUP(Analysis!$C$66,$B:$B, AN:AN),$V19*(LOOKUP(Analysis!$C$66,$B:$B, AN:AN)-AN19),0))</f>
        <v>0</v>
      </c>
      <c r="BV19" s="1">
        <f t="shared" si="23"/>
        <v>837487.57875881321</v>
      </c>
      <c r="BW19" s="42"/>
      <c r="BX19" s="1">
        <f>IF($B19&lt;Analysis!$C$66,$P19+$N19+$X19+$Z19,$P19+$N19+AS19+AV19+BB19+BE19+BG19+MAX(BI19,SUM(BJ19:BN19))+BP19)</f>
        <v>-119487.12807961895</v>
      </c>
      <c r="BY19" s="1">
        <f t="shared" si="24"/>
        <v>128303.9495713021</v>
      </c>
      <c r="BZ19" s="1">
        <f t="shared" si="46"/>
        <v>8816.8214916831494</v>
      </c>
      <c r="CA19" s="1">
        <f>IF(BZ19 &lt; 0,
    IF(CA18 + BZ19 &gt; 0,
        CA18 + BZ19, IF(CF18-ABS(CA18 + BZ19)*(1+$V19) &gt;= CA18 + BZ19,
        0, CA18 + BZ19)),
    MIN(CA18 + BZ19, Analysis!$C$7))+IF(CA18&lt;0, CA18*Analysis!$C$9,0)</f>
        <v>-244937.98235638076</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-22035.302931837723</v>
      </c>
      <c r="CJ19" s="1">
        <f>IF(OR($B19&lt;Analysis!$C$100, $B19&gt;=Analysis!$C$130),0,Z19)</f>
        <v>-3960</v>
      </c>
      <c r="CK19" s="1">
        <f t="shared" si="26"/>
        <v>577313.8078732735</v>
      </c>
      <c r="CL19" s="64">
        <f t="shared" si="48"/>
        <v>1.9607843137254832E-2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-14354.802219777148</v>
      </c>
      <c r="CQ19" s="1">
        <f>IF(OR($B19&lt;Analysis!$C$100, $B19&gt;=Analysis!$C$101),0,IF($B19=Analysis!$C$100,-CM19-CP19,MIN(0,CQ18-CP19)))</f>
        <v>-193890.63778624599</v>
      </c>
      <c r="CR19" s="64">
        <f>IF(OR($B19&lt;Analysis!$C$100, $B19&gt;=Analysis!$C$101),0,IF($B19=Analysis!$C$100,Analysis!$C$102,IF(($B19-Analysis!$C$100)&lt;LOOKUP(Analysis!$C$100,$B:$B,CN:CN),CR18,0)))</f>
        <v>3.6999999999999998E-2</v>
      </c>
      <c r="CS19" s="1">
        <f>IF(OR($B19&lt;Analysis!$C$100, $B19&gt;=Analysis!$C$101),0,IF($B19=Analysis!$C$100,-CR19*CM19,CR18*CQ18))</f>
        <v>-7705.0812802228556</v>
      </c>
      <c r="CT19" s="1">
        <f>IF(OR($B19&lt;Analysis!$C$100, $B19&gt;=Analysis!$C$101),0,IF($B19=Analysis!$C$100,PMT(CR19,CN19,CM19)*CN19-CU19-CQ19,IF(($B19-Analysis!$C$100+1)&lt;LOOKUP(Analysis!$C$100,$B:$B,CN:CN),IF(CT18-CS19&lt;0, CT18-CS19,0),0)))</f>
        <v>-44938.648282880065</v>
      </c>
      <c r="CU19" s="1">
        <f>IF(OR($B19&lt;Analysis!$C$100, $B19&gt;=Analysis!$C$101),0,IF($B19=Analysis!$C$100,CP19+CS19,IF(CQ18&lt;0,IF(CQ18&gt;LOOKUP(Analysis!$C$100,$B:$B,CU:CU), CQ18*(1+CR18),CU18),0)))</f>
        <v>-22059.883500000004</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19280.890065357999</v>
      </c>
      <c r="DC19" s="64">
        <f>IF(OR($B19&lt;Analysis!$C$100, $B19&gt;=Analysis!$C$101),0,((1+Analysis!$B$114)/(1+$S19))-1)</f>
        <v>1.9607843137254832E-2</v>
      </c>
      <c r="DD19" s="1">
        <f t="shared" si="6"/>
        <v>24972.831488977819</v>
      </c>
      <c r="DE19" s="1">
        <f t="shared" si="27"/>
        <v>-1731.9414236198206</v>
      </c>
      <c r="DF19" s="64">
        <f>IF(OR($B19&lt;Analysis!$C$100, $B19&gt;=Analysis!$C$101),0,Analysis!$C$118)</f>
        <v>3.0000000000000001E-3</v>
      </c>
      <c r="DG19" s="1">
        <f t="shared" si="28"/>
        <v>-4329.8535590495512</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-1446.0667549018499</v>
      </c>
      <c r="DR19" s="1">
        <f t="shared" si="29"/>
        <v>-19767.861737571224</v>
      </c>
      <c r="DS19" s="1">
        <f>MIN(0,-(DB19+DR19)*Analysis!$C$28)-CS19*Analysis!$C$28</f>
        <v>3414.1215152667469</v>
      </c>
      <c r="DT19" s="1">
        <f>-Analysis!$C$116*DD19/12</f>
        <v>-2081.0692907481516</v>
      </c>
      <c r="DU19" s="53"/>
      <c r="DV19" s="1">
        <f t="shared" si="30"/>
        <v>-73607.510503842379</v>
      </c>
      <c r="DW19" s="64">
        <f>IF(OR($B19&lt;Analysis!$C$100, $B19&gt;=Analysis!$C$101),0,IF($B19=Analysis!$C$100,Analysis!$C$31,DW18))</f>
        <v>0.1275</v>
      </c>
      <c r="DX19" s="1">
        <f>IF(OR($B19&lt;Analysis!$C$100, $B19&gt;=Analysis!$C$101),0,CK19+DV19)</f>
        <v>503706.29736943112</v>
      </c>
      <c r="DY19" s="1">
        <f>IF(OR($B19&lt;Analysis!$C$100, $B19&gt;=Analysis!$C$101),0,IF($B19-Analysis!$C$100&gt;3,0,IF(CK19&gt;LOOKUP(Analysis!$C$100,$B:$B, CK:CK),$V19*(LOOKUP(Analysis!$C$100,$B:$B, CK:CK)-CK19),0)))</f>
        <v>0</v>
      </c>
      <c r="DZ19" s="1">
        <f t="shared" si="49"/>
        <v>503706.29736943112</v>
      </c>
      <c r="EA19" s="53"/>
      <c r="EB19" s="1">
        <f t="shared" si="31"/>
        <v>959871.15043990058</v>
      </c>
      <c r="EC19" s="64">
        <f t="shared" si="50"/>
        <v>1.9607843137254832E-2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-124089.99594489037</v>
      </c>
      <c r="FM19" s="1">
        <f>$M19+$R19+DD19+IF(AND($B19&lt;&gt;Analysis!$C$130,$B19=Analysis!$C$101),DZ18+CQ18+CT18+CZ18,0)</f>
        <v>153276.78106027993</v>
      </c>
      <c r="FN19" s="1">
        <f t="shared" si="34"/>
        <v>29186.785115389561</v>
      </c>
      <c r="FO19" s="1">
        <f>IF(FN19 &lt; 0,
    IF(FO18 + FN19 &gt; 0,
        FO18 + FN19, IF(FT18-ABS(FO18 + FN19)*(1+$V19) &gt;= FO18 + FN19,
        0, FO18 + FN19)),
    MIN(FO18 + FN19, Analysis!$C$7))+IF(FO18&lt;0, FO18*Analysis!$C$9,0)</f>
        <v>24000</v>
      </c>
      <c r="FP19" s="53"/>
      <c r="FQ19" s="1">
        <f t="shared" si="51"/>
        <v>19317.938886685926</v>
      </c>
      <c r="FR19" s="1">
        <f>IF(OR($B19=Analysis!$C$100, $B19=Analysis!$C$130),0,IF(FN19 &gt;= 0,
    MAX(0, FO18 + FN19 - Analysis!$C$7),
    0))</f>
        <v>29186.785115389561</v>
      </c>
      <c r="FS19" s="1">
        <f>IF(OR($B19=Analysis!$C$100, $B19=Analysis!$C$130),0,MAX(0, FS18 + FR19 - IF(FN19 &lt; 0, MIN(ABS(FN19), FS18 + FR19), 0)))</f>
        <v>317800.16137741978</v>
      </c>
      <c r="FT19" s="1">
        <f>IF(OR($B19=Analysis!$C$100, $B19=Analysis!$C$130),0,IF(FN19 &lt; 0,
    IF(FN19 + FO18 &lt; 0,
        MAX(0, FT18 - (ABS(FN19 + FO18) * (1+$V18))),
        FT18 + FQ19),
    FT18 + FR19 + FQ19))</f>
        <v>440440.62889789557</v>
      </c>
      <c r="FU19" s="1">
        <f t="shared" ref="FU19:FU52" si="57">IF(FT19-FS19&gt;0, FT19-$V19*(FT19-FS19),FT19)</f>
        <v>408094.2055893701</v>
      </c>
      <c r="FV19" s="36"/>
      <c r="FW19" s="1">
        <f t="shared" si="52"/>
        <v>577313.8078732735</v>
      </c>
      <c r="FX19" s="64">
        <f t="shared" si="53"/>
        <v>1.9607843137254832E-2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-14354.802219777148</v>
      </c>
      <c r="GC19" s="1">
        <f>IF($B19&lt;Analysis!$C$159,0,IF($B19=Analysis!$C$159,-FY19-GB19,MIN(0,GC18-GB19)))</f>
        <v>-193890.63778624599</v>
      </c>
      <c r="GD19" s="64">
        <f>IF($B19&lt;Analysis!$C$159,0,IF($B19=Analysis!$C$159,Analysis!$C$160,IF(($B19-Analysis!$C$159)&lt;LOOKUP(Analysis!$C$159,$B:$B,FZ:FZ),GD18,0)))</f>
        <v>3.6999999999999998E-2</v>
      </c>
      <c r="GE19" s="1">
        <f>IF($B19&lt;Analysis!$C$159,0,IF($B19=Analysis!$C$159,-GD19*FY19,GD18*GC18))</f>
        <v>-7705.0812802228556</v>
      </c>
      <c r="GF19" s="1">
        <f>IF($B19&lt;Analysis!$C$159,0,IF($B19=Analysis!$C$159,PMT(GD19,FZ19,FY19)*FZ19-GG19-GC19,IF(($B19-Analysis!$C$159+1)&lt;LOOKUP(Analysis!$C$159,$B:$B,FZ:FZ),IF(GF18-GE19&lt;0, GF18-GE19,0),0)))</f>
        <v>-44938.648282880065</v>
      </c>
      <c r="GG19" s="1">
        <f>IF($B19&lt;Analysis!$C$159,0,IF($B19=Analysis!$C$159,GB19+GE19,IF(GC18&lt;0,IF(GC18&gt;LOOKUP(Analysis!$C$159,$B:$B,GG:GG), GC18*(1+GD18),GG18),0)))</f>
        <v>-22059.883500000004</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19280.890065357999</v>
      </c>
      <c r="GO19" s="64">
        <f>IF($B19&lt;Analysis!$C$159,0,((1+Analysis!$B$174)/(1+$S19))-1)</f>
        <v>1.9607843137254832E-2</v>
      </c>
      <c r="GP19" s="1">
        <f t="shared" si="7"/>
        <v>24972.831488977819</v>
      </c>
      <c r="GQ19" s="1">
        <f t="shared" si="36"/>
        <v>-1731.9414236198206</v>
      </c>
      <c r="GR19" s="64">
        <f>IF($B19&lt;Analysis!$C$159,0,Analysis!$C$178)</f>
        <v>3.0000000000000001E-3</v>
      </c>
      <c r="GS19" s="1">
        <f t="shared" si="37"/>
        <v>-4329.8535590495512</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-1446.0667549018499</v>
      </c>
      <c r="HD19" s="1">
        <f t="shared" si="38"/>
        <v>-19767.861737571224</v>
      </c>
      <c r="HE19" s="1">
        <f>MIN(0,-(GN19+HD19)*Analysis!$C$28)-GE19*Analysis!$C$28</f>
        <v>3414.1215152667469</v>
      </c>
      <c r="HF19" s="1">
        <f>-Analysis!$C$176*GP19/12</f>
        <v>-2081.0692907481516</v>
      </c>
      <c r="HG19" s="38"/>
      <c r="HH19" s="1">
        <f>IF($B19&lt;Analysis!$C$159,0,-$HI19*$FW19)</f>
        <v>-73607.510503842379</v>
      </c>
      <c r="HI19" s="64">
        <f>IF($B19&lt;Analysis!$C$159,0,IF($B19=Analysis!$C$159,Analysis!$C$31,HI18))</f>
        <v>0.1275</v>
      </c>
      <c r="HJ19" s="1">
        <f>IF($B19&lt;Analysis!$C$159,0,$FW19+HH19)</f>
        <v>503706.29736943112</v>
      </c>
      <c r="HK19" s="1">
        <f>IF($B19-Analysis!$C$159&gt;10,0,IF($FW19&gt;LOOKUP(Analysis!$C$159,$B:$B, FW:FW),$V19*(LOOKUP(Analysis!$C$159,$B:$B, FW:FW)-FW19),0))</f>
        <v>0</v>
      </c>
      <c r="HL19" s="1">
        <f t="shared" si="39"/>
        <v>503706.29736943112</v>
      </c>
      <c r="HM19" s="38"/>
      <c r="HN19" s="1">
        <f t="shared" si="40"/>
        <v>-124089.99594489037</v>
      </c>
      <c r="HO19" s="1">
        <f t="shared" si="8"/>
        <v>153276.78106027993</v>
      </c>
      <c r="HP19" s="1">
        <f t="shared" si="41"/>
        <v>29186.785115389561</v>
      </c>
      <c r="HQ19" s="1">
        <f>IF(HP19 &lt; 0,
    IF(HQ18 + HP19 &gt; 0,
        HQ18 + HP19, IF(HV18-ABS(HQ18 + HP19)*(1+$V19) &gt;= HQ18 + HP19,
        0, HQ18 + HP19)),
    MIN(HQ18 + HP19, Analysis!$C$7))+IF(HQ18&lt;0, HQ18*Analysis!$C$9,0)</f>
        <v>24000</v>
      </c>
      <c r="HR19" s="38"/>
      <c r="HS19" s="1">
        <f t="shared" si="54"/>
        <v>19317.938886685926</v>
      </c>
      <c r="HT19" s="1">
        <f>IF($B19=Analysis!$C$159,0,IF(HP19 &gt;= 0,
    MAX(0, HQ18 + HP19 - Analysis!$C$7),
    0))</f>
        <v>29186.785115389561</v>
      </c>
      <c r="HU19" s="1">
        <f>IF($B19=Analysis!$C$159,0,MAX(0, HU18 + HT19 - IF(HP19 &lt; 0, MIN(ABS(HP19), HU18 + HT19), 0)))</f>
        <v>317800.16137741978</v>
      </c>
      <c r="HV19" s="1">
        <f>IF($B19=Analysis!$C$159,0,IF(HP19 &lt; 0,
    IF(HP19 + HQ18 &lt; 0,
        MAX(0, HV18 - (ABS(HP19 + HQ18) * (1+$V18))),
        HV18 + HS19),
    HV18 + HT19 + HS19))</f>
        <v>440440.62889789557</v>
      </c>
      <c r="HW19" s="1">
        <f t="shared" ref="HW19:HW52" si="58">IF(HV19-HU19&gt;0, HV19-$V19*(HV19-HU19),HV19)</f>
        <v>408094.2055893701</v>
      </c>
      <c r="HX19" s="36"/>
    </row>
    <row r="20" spans="1:232" x14ac:dyDescent="0.35">
      <c r="A20">
        <f t="shared" si="0"/>
        <v>53</v>
      </c>
      <c r="B20">
        <v>2043</v>
      </c>
      <c r="C20" s="1">
        <f>IF($B20&lt;Analysis!C$66,0,$AN20)+$AT20+$AW20+$BC20+$CF20+$CA20</f>
        <v>335731.19918941456</v>
      </c>
      <c r="D20" s="1">
        <f>IF($B20&lt;Analysis!C$66, 0, BV20)+AT20+AW20+BC20+CG20+CA20</f>
        <v>210947.94963222742</v>
      </c>
      <c r="E20" s="1">
        <f t="shared" si="1"/>
        <v>971816.60356195422</v>
      </c>
      <c r="F20" s="1">
        <f t="shared" si="9"/>
        <v>873157.17314949934</v>
      </c>
      <c r="G20" s="1">
        <f>IF(AND($B20&gt;=Analysis!$C$100, $B20&lt;Analysis!$C$101),$CK20,0)+IF($B20&gt;=Analysis!$C$130,EB20,0)+CQ20+CT20+CZ20+EH20+EK20+EQ20+$FO20+$FT20</f>
        <v>887580.73506834568</v>
      </c>
      <c r="H20" s="1">
        <f t="shared" si="10"/>
        <v>774656.9984999724</v>
      </c>
      <c r="I20" s="1">
        <f>IF($B20&lt;Analysis!$C$159,0,$FW20)+$GC20+$GF20+$GL20+$HQ20+$HV20</f>
        <v>887580.73506834568</v>
      </c>
      <c r="J20" s="1">
        <f t="shared" si="2"/>
        <v>774656.9984999724</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-22467.367695207089</v>
      </c>
      <c r="Y20" s="64">
        <f t="shared" si="15"/>
        <v>1.9607843137254832E-2</v>
      </c>
      <c r="Z20" s="1">
        <f t="shared" si="16"/>
        <v>-3960</v>
      </c>
      <c r="AA20" s="64">
        <f t="shared" si="17"/>
        <v>0</v>
      </c>
      <c r="AB20" s="40"/>
      <c r="AC20" s="1">
        <f t="shared" si="3"/>
        <v>-92327.367695207096</v>
      </c>
      <c r="AD20" s="1">
        <f t="shared" si="4"/>
        <v>129876.30189447982</v>
      </c>
      <c r="AE20" s="1">
        <f t="shared" si="18"/>
        <v>37548.934199272728</v>
      </c>
      <c r="AF20" s="1">
        <f>IF(AE20 &lt; 0,
    IF(AF19 + AE20 &gt; 0,
        AF19 + AE20, IF(AK19-ABS(AF19 + AE20)*(1+$V20) &gt;= AF19 + AE20,
        0, AF19 + AE20)),
    MIN(AF19 + AE20, Analysis!$C$7))+IF(AF19&lt;0, AF19*Analysis!$C$9,0)</f>
        <v>24000</v>
      </c>
      <c r="AG20" s="40"/>
      <c r="AH20" s="1">
        <f t="shared" si="19"/>
        <v>41338.629717998199</v>
      </c>
      <c r="AI20" s="1">
        <f>IF(AE20 &gt;= 0,
    MAX(0, AF19 + AE20 - Analysis!$C$7),
    0)</f>
        <v>37548.934199272728</v>
      </c>
      <c r="AJ20" s="1">
        <f t="shared" si="44"/>
        <v>573752.4124246845</v>
      </c>
      <c r="AK20" s="1">
        <f t="shared" si="20"/>
        <v>947816.60356195422</v>
      </c>
      <c r="AL20" s="1">
        <f t="shared" si="5"/>
        <v>849157.17314949934</v>
      </c>
      <c r="AM20" s="36"/>
      <c r="AN20" s="1">
        <f t="shared" si="45"/>
        <v>978692.15338970243</v>
      </c>
      <c r="AO20" s="64">
        <f t="shared" si="21"/>
        <v>1.9607843137254832E-2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-26687.172481802809</v>
      </c>
      <c r="AT20" s="1">
        <f>IF($B20&lt;Analysis!$C$66,0,IF($B20=Analysis!$C$66,-AP20-AS20,MIN(0,AT19-AS20)))</f>
        <v>-320915.76044244575</v>
      </c>
      <c r="AU20" s="64">
        <f>IF($B20&lt;Analysis!$C$66,0,IF($B20=Analysis!$C$66,Analysis!$C$72,IF(($B20-Analysis!$C$66)&lt;LOOKUP(Analysis!$C$66,$B:$B,AQ:AQ),AU19,0)))</f>
        <v>3.6999999999999998E-2</v>
      </c>
      <c r="AV20" s="1">
        <f>IF($B20&lt;Analysis!$C$66,0,IF($B20=Analysis!$C$66,-AU20*AP20,AU19*AT19))</f>
        <v>-12861.308518197196</v>
      </c>
      <c r="AW20" s="1">
        <f>IF($B20&lt;Analysis!$C$66,0,IF($B20=Analysis!$C$66,PMT(AU20,AQ20,AP20)*AQ20-AX20-AT20,IF(($B20-Analysis!$C$66+1)&lt;LOOKUP(Analysis!$C$66,$B:$B,AQ:AQ),IF(AW19-AV20&lt;0, AW19-AV20,0),0)))</f>
        <v>-67703.726096838887</v>
      </c>
      <c r="AX20" s="1">
        <f>IF($B20&lt;Analysis!$C$66,0,IF($B20=Analysis!$C$66,AS20+AV20,IF(AT19&lt;0,IF(AT19&gt;LOOKUP(Analysis!$C$66,$B:$B,AX:AX), AT19*(1+AU19),AX19),0)))</f>
        <v>-39548.481000000007</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-2936.0764601691076</v>
      </c>
      <c r="BF20" s="64">
        <f>IF($B20&lt;Analysis!$C$66,0,Analysis!$C$78)</f>
        <v>3.0000000000000001E-3</v>
      </c>
      <c r="BG20" s="1">
        <f>IF($B20&lt;Analysis!$C$66,0,-BH20*AN20)</f>
        <v>-7340.1911504227683</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-124783.24955718707</v>
      </c>
      <c r="BS20" s="64">
        <f>IF($B20&lt;Analysis!C$66,0,Analysis!C$31)</f>
        <v>0.1275</v>
      </c>
      <c r="BT20" s="1">
        <f>IF($B20&lt;Analysis!$C$66,0,AN20+BR20)</f>
        <v>853908.90383251535</v>
      </c>
      <c r="BU20" s="1">
        <f>IF($B20-Analysis!$C$66&gt;3,0,IF($AN20&gt;LOOKUP(Analysis!$C$66,$B:$B, AN:AN),$V20*(LOOKUP(Analysis!$C$66,$B:$B, AN:AN)-AN20),0))</f>
        <v>0</v>
      </c>
      <c r="BV20" s="1">
        <f t="shared" si="23"/>
        <v>853908.90383251535</v>
      </c>
      <c r="BW20" s="42"/>
      <c r="BX20" s="1">
        <f>IF($B20&lt;Analysis!$C$66,$P20+$N20+$X20+$Z20,$P20+$N20+AS20+AV20+BB20+BE20+BG20+MAX(BI20,SUM(BJ20:BN20))+BP20)</f>
        <v>-119684.74861059189</v>
      </c>
      <c r="BY20" s="1">
        <f t="shared" si="24"/>
        <v>129876.30189447982</v>
      </c>
      <c r="BZ20" s="1">
        <f t="shared" si="46"/>
        <v>10191.55328388793</v>
      </c>
      <c r="CA20" s="1">
        <f>IF(BZ20 &lt; 0,
    IF(CA19 + BZ20 &gt; 0,
        CA19 + BZ20, IF(CF19-ABS(CA19 + BZ20)*(1+$V20) &gt;= CA19 + BZ20,
        0, CA19 + BZ20)),
    MIN(CA19 + BZ20, Analysis!$C$7))+IF(CA19&lt;0, CA19*Analysis!$C$9,0)</f>
        <v>-254341.46766100329</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-22467.367695207089</v>
      </c>
      <c r="CJ20" s="1">
        <f>IF(OR($B20&lt;Analysis!$C$100, $B20&gt;=Analysis!$C$130),0,Z20)</f>
        <v>-3960</v>
      </c>
      <c r="CK20" s="1">
        <f t="shared" si="26"/>
        <v>588633.68645902397</v>
      </c>
      <c r="CL20" s="64">
        <f t="shared" si="48"/>
        <v>1.9607843137254832E-2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-14885.929901908901</v>
      </c>
      <c r="CQ20" s="1">
        <f>IF(OR($B20&lt;Analysis!$C$100, $B20&gt;=Analysis!$C$101),0,IF($B20=Analysis!$C$100,-CM20-CP20,MIN(0,CQ19-CP20)))</f>
        <v>-179004.70788433708</v>
      </c>
      <c r="CR20" s="64">
        <f>IF(OR($B20&lt;Analysis!$C$100, $B20&gt;=Analysis!$C$101),0,IF($B20=Analysis!$C$100,Analysis!$C$102,IF(($B20-Analysis!$C$100)&lt;LOOKUP(Analysis!$C$100,$B:$B,CN:CN),CR19,0)))</f>
        <v>3.6999999999999998E-2</v>
      </c>
      <c r="CS20" s="1">
        <f>IF(OR($B20&lt;Analysis!$C$100, $B20&gt;=Analysis!$C$101),0,IF($B20=Analysis!$C$100,-CR20*CM20,CR19*CQ19))</f>
        <v>-7173.9535980911014</v>
      </c>
      <c r="CT20" s="1">
        <f>IF(OR($B20&lt;Analysis!$C$100, $B20&gt;=Analysis!$C$101),0,IF($B20=Analysis!$C$100,PMT(CR20,CN20,CM20)*CN20-CU20-CQ20,IF(($B20-Analysis!$C$100+1)&lt;LOOKUP(Analysis!$C$100,$B:$B,CN:CN),IF(CT19-CS20&lt;0, CT19-CS20,0),0)))</f>
        <v>-37764.694684788963</v>
      </c>
      <c r="CU20" s="1">
        <f>IF(OR($B20&lt;Analysis!$C$100, $B20&gt;=Analysis!$C$101),0,IF($B20=Analysis!$C$100,CP20+CS20,IF(CQ19&lt;0,IF(CQ19&gt;LOOKUP(Analysis!$C$100,$B:$B,CU:CU), CQ19*(1+CR19),CU19),0)))</f>
        <v>-22059.883500000004</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19658.946733306195</v>
      </c>
      <c r="DC20" s="64">
        <f>IF(OR($B20&lt;Analysis!$C$100, $B20&gt;=Analysis!$C$101),0,((1+Analysis!$B$114)/(1+$S20))-1)</f>
        <v>1.9607843137254832E-2</v>
      </c>
      <c r="DD20" s="1">
        <f t="shared" si="6"/>
        <v>25384.847792683267</v>
      </c>
      <c r="DE20" s="1">
        <f t="shared" si="27"/>
        <v>-1765.901059377072</v>
      </c>
      <c r="DF20" s="64">
        <f>IF(OR($B20&lt;Analysis!$C$100, $B20&gt;=Analysis!$C$101),0,Analysis!$C$118)</f>
        <v>3.0000000000000001E-3</v>
      </c>
      <c r="DG20" s="1">
        <f t="shared" si="28"/>
        <v>-4414.7526484426799</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-1474.4210049979645</v>
      </c>
      <c r="DR20" s="1">
        <f t="shared" si="29"/>
        <v>-19915.074712817714</v>
      </c>
      <c r="DS20" s="1">
        <f>MIN(0,-(DB20+DR20)*Analysis!$C$28)-CS20*Analysis!$C$28</f>
        <v>3178.7788393141668</v>
      </c>
      <c r="DT20" s="1">
        <f>-Analysis!$C$116*DD20/12</f>
        <v>-2115.4039827236056</v>
      </c>
      <c r="DU20" s="53"/>
      <c r="DV20" s="1">
        <f t="shared" si="30"/>
        <v>-75050.795023525556</v>
      </c>
      <c r="DW20" s="64">
        <f>IF(OR($B20&lt;Analysis!$C$100, $B20&gt;=Analysis!$C$101),0,IF($B20=Analysis!$C$100,Analysis!$C$31,DW19))</f>
        <v>0.1275</v>
      </c>
      <c r="DX20" s="1">
        <f>IF(OR($B20&lt;Analysis!$C$100, $B20&gt;=Analysis!$C$101),0,CK20+DV20)</f>
        <v>513582.89143549843</v>
      </c>
      <c r="DY20" s="1">
        <f>IF(OR($B20&lt;Analysis!$C$100, $B20&gt;=Analysis!$C$101),0,IF($B20-Analysis!$C$100&gt;3,0,IF(CK20&gt;LOOKUP(Analysis!$C$100,$B:$B, CK:CK),$V20*(LOOKUP(Analysis!$C$100,$B:$B, CK:CK)-CK20),0)))</f>
        <v>0</v>
      </c>
      <c r="DZ20" s="1">
        <f t="shared" si="49"/>
        <v>513582.89143549843</v>
      </c>
      <c r="EA20" s="53"/>
      <c r="EB20" s="1">
        <f t="shared" si="31"/>
        <v>978692.15338970243</v>
      </c>
      <c r="EC20" s="64">
        <f t="shared" si="50"/>
        <v>1.9607843137254832E-2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-124938.95105143425</v>
      </c>
      <c r="FM20" s="1">
        <f>$M20+$R20+DD20+IF(AND($B20&lt;&gt;Analysis!$C$130,$B20=Analysis!$C$101),DZ19+CQ19+CT19+CZ19,0)</f>
        <v>155261.1496871631</v>
      </c>
      <c r="FN20" s="1">
        <f t="shared" si="34"/>
        <v>30322.198635728841</v>
      </c>
      <c r="FO20" s="1">
        <f>IF(FN20 &lt; 0,
    IF(FO19 + FN20 &gt; 0,
        FO19 + FN20, IF(FT19-ABS(FO19 + FN20)*(1+$V20) &gt;= FO19 + FN20,
        0, FO19 + FN20)),
    MIN(FO19 + FN20, Analysis!$C$7))+IF(FO19&lt;0, FO19*Analysis!$C$9,0)</f>
        <v>24000</v>
      </c>
      <c r="FP20" s="53"/>
      <c r="FQ20" s="1">
        <f t="shared" si="51"/>
        <v>20953.623644823212</v>
      </c>
      <c r="FR20" s="1">
        <f>IF(OR($B20=Analysis!$C$100, $B20=Analysis!$C$130),0,IF(FN20 &gt;= 0,
    MAX(0, FO19 + FN20 - Analysis!$C$7),
    0))</f>
        <v>30322.198635728841</v>
      </c>
      <c r="FS20" s="1">
        <f>IF(OR($B20=Analysis!$C$100, $B20=Analysis!$C$130),0,MAX(0, FS19 + FR20 - IF(FN20 &lt; 0, MIN(ABS(FN20), FS19 + FR20), 0)))</f>
        <v>348122.36001314863</v>
      </c>
      <c r="FT20" s="1">
        <f>IF(OR($B20=Analysis!$C$100, $B20=Analysis!$C$130),0,IF(FN20 &lt; 0,
    IF(FN20 + FO19 &lt; 0,
        MAX(0, FT19 - (ABS(FN20 + FO19) * (1+$V19))),
        FT19 + FQ20),
    FT19 + FR20 + FQ20))</f>
        <v>491716.45117844763</v>
      </c>
      <c r="FU20" s="1">
        <f t="shared" si="57"/>
        <v>453843.50963360001</v>
      </c>
      <c r="FV20" s="36"/>
      <c r="FW20" s="1">
        <f t="shared" si="52"/>
        <v>588633.68645902397</v>
      </c>
      <c r="FX20" s="64">
        <f t="shared" si="53"/>
        <v>1.9607843137254832E-2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-14885.929901908901</v>
      </c>
      <c r="GC20" s="1">
        <f>IF($B20&lt;Analysis!$C$159,0,IF($B20=Analysis!$C$159,-FY20-GB20,MIN(0,GC19-GB20)))</f>
        <v>-179004.70788433708</v>
      </c>
      <c r="GD20" s="64">
        <f>IF($B20&lt;Analysis!$C$159,0,IF($B20=Analysis!$C$159,Analysis!$C$160,IF(($B20-Analysis!$C$159)&lt;LOOKUP(Analysis!$C$159,$B:$B,FZ:FZ),GD19,0)))</f>
        <v>3.6999999999999998E-2</v>
      </c>
      <c r="GE20" s="1">
        <f>IF($B20&lt;Analysis!$C$159,0,IF($B20=Analysis!$C$159,-GD20*FY20,GD19*GC19))</f>
        <v>-7173.9535980911014</v>
      </c>
      <c r="GF20" s="1">
        <f>IF($B20&lt;Analysis!$C$159,0,IF($B20=Analysis!$C$159,PMT(GD20,FZ20,FY20)*FZ20-GG20-GC20,IF(($B20-Analysis!$C$159+1)&lt;LOOKUP(Analysis!$C$159,$B:$B,FZ:FZ),IF(GF19-GE20&lt;0, GF19-GE20,0),0)))</f>
        <v>-37764.694684788963</v>
      </c>
      <c r="GG20" s="1">
        <f>IF($B20&lt;Analysis!$C$159,0,IF($B20=Analysis!$C$159,GB20+GE20,IF(GC19&lt;0,IF(GC19&gt;LOOKUP(Analysis!$C$159,$B:$B,GG:GG), GC19*(1+GD19),GG19),0)))</f>
        <v>-22059.883500000004</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19658.946733306195</v>
      </c>
      <c r="GO20" s="64">
        <f>IF($B20&lt;Analysis!$C$159,0,((1+Analysis!$B$174)/(1+$S20))-1)</f>
        <v>1.9607843137254832E-2</v>
      </c>
      <c r="GP20" s="1">
        <f t="shared" si="7"/>
        <v>25384.847792683267</v>
      </c>
      <c r="GQ20" s="1">
        <f t="shared" si="36"/>
        <v>-1765.901059377072</v>
      </c>
      <c r="GR20" s="64">
        <f>IF($B20&lt;Analysis!$C$159,0,Analysis!$C$178)</f>
        <v>3.0000000000000001E-3</v>
      </c>
      <c r="GS20" s="1">
        <f t="shared" si="37"/>
        <v>-4414.7526484426799</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-1474.4210049979645</v>
      </c>
      <c r="HD20" s="1">
        <f t="shared" si="38"/>
        <v>-19915.074712817714</v>
      </c>
      <c r="HE20" s="1">
        <f>MIN(0,-(GN20+HD20)*Analysis!$C$28)-GE20*Analysis!$C$28</f>
        <v>3178.7788393141668</v>
      </c>
      <c r="HF20" s="1">
        <f>-Analysis!$C$176*GP20/12</f>
        <v>-2115.4039827236056</v>
      </c>
      <c r="HG20" s="38"/>
      <c r="HH20" s="1">
        <f>IF($B20&lt;Analysis!$C$159,0,-$HI20*$FW20)</f>
        <v>-75050.795023525556</v>
      </c>
      <c r="HI20" s="64">
        <f>IF($B20&lt;Analysis!$C$159,0,IF($B20=Analysis!$C$159,Analysis!$C$31,HI19))</f>
        <v>0.1275</v>
      </c>
      <c r="HJ20" s="1">
        <f>IF($B20&lt;Analysis!$C$159,0,$FW20+HH20)</f>
        <v>513582.89143549843</v>
      </c>
      <c r="HK20" s="1">
        <f>IF($B20-Analysis!$C$159&gt;10,0,IF($FW20&gt;LOOKUP(Analysis!$C$159,$B:$B, FW:FW),$V20*(LOOKUP(Analysis!$C$159,$B:$B, FW:FW)-FW20),0))</f>
        <v>0</v>
      </c>
      <c r="HL20" s="1">
        <f t="shared" si="39"/>
        <v>513582.89143549843</v>
      </c>
      <c r="HM20" s="38"/>
      <c r="HN20" s="1">
        <f t="shared" si="40"/>
        <v>-124938.95105143425</v>
      </c>
      <c r="HO20" s="1">
        <f t="shared" si="8"/>
        <v>155261.1496871631</v>
      </c>
      <c r="HP20" s="1">
        <f t="shared" si="41"/>
        <v>30322.198635728841</v>
      </c>
      <c r="HQ20" s="1">
        <f>IF(HP20 &lt; 0,
    IF(HQ19 + HP20 &gt; 0,
        HQ19 + HP20, IF(HV19-ABS(HQ19 + HP20)*(1+$V20) &gt;= HQ19 + HP20,
        0, HQ19 + HP20)),
    MIN(HQ19 + HP20, Analysis!$C$7))+IF(HQ19&lt;0, HQ19*Analysis!$C$9,0)</f>
        <v>24000</v>
      </c>
      <c r="HR20" s="38"/>
      <c r="HS20" s="1">
        <f t="shared" si="54"/>
        <v>20953.623644823212</v>
      </c>
      <c r="HT20" s="1">
        <f>IF($B20=Analysis!$C$159,0,IF(HP20 &gt;= 0,
    MAX(0, HQ19 + HP20 - Analysis!$C$7),
    0))</f>
        <v>30322.198635728841</v>
      </c>
      <c r="HU20" s="1">
        <f>IF($B20=Analysis!$C$159,0,MAX(0, HU19 + HT20 - IF(HP20 &lt; 0, MIN(ABS(HP20), HU19 + HT20), 0)))</f>
        <v>348122.36001314863</v>
      </c>
      <c r="HV20" s="1">
        <f>IF($B20=Analysis!$C$159,0,IF(HP20 &lt; 0,
    IF(HP20 + HQ19 &lt; 0,
        MAX(0, HV19 - (ABS(HP20 + HQ19) * (1+$V19))),
        HV19 + HS20),
    HV19 + HT20 + HS20))</f>
        <v>491716.45117844763</v>
      </c>
      <c r="HW20" s="1">
        <f t="shared" si="58"/>
        <v>453843.50963360001</v>
      </c>
      <c r="HX20" s="36"/>
    </row>
    <row r="21" spans="1:232" x14ac:dyDescent="0.35">
      <c r="A21">
        <f t="shared" si="0"/>
        <v>54</v>
      </c>
      <c r="B21">
        <v>2044</v>
      </c>
      <c r="C21" s="1">
        <f>IF($B21&lt;Analysis!C$66,0,$AN21)+$AT21+$AW21+$BC21+$CF21+$CA21</f>
        <v>381454.0841871507</v>
      </c>
      <c r="D21" s="1">
        <f>IF($B21&lt;Analysis!C$66, 0, BV21)+AT21+AW21+BC21+CG21+CA21</f>
        <v>254224.10424648947</v>
      </c>
      <c r="E21" s="1">
        <f t="shared" si="1"/>
        <v>1049733.4388268804</v>
      </c>
      <c r="F21" s="1">
        <f t="shared" si="9"/>
        <v>939609.63560464978</v>
      </c>
      <c r="G21" s="1">
        <f>IF(AND($B21&gt;=Analysis!$C$100, $B21&lt;Analysis!$C$101),$CK21,0)+IF($B21&gt;=Analysis!$C$130,EB21,0)+CQ21+CT21+CZ21+EH21+EK21+EQ21+$FO21+$FT21</f>
        <v>970946.76509703486</v>
      </c>
      <c r="H21" s="1">
        <f t="shared" si="10"/>
        <v>850603.85836410965</v>
      </c>
      <c r="I21" s="1">
        <f>IF($B21&lt;Analysis!$C$159,0,$FW21)+$GC21+$GF21+$GL21+$HQ21+$HV21</f>
        <v>970946.76509703486</v>
      </c>
      <c r="J21" s="1">
        <f t="shared" si="2"/>
        <v>850603.85836410965</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-22907.904316681736</v>
      </c>
      <c r="Y21" s="64">
        <f t="shared" si="15"/>
        <v>1.9607843137254832E-2</v>
      </c>
      <c r="Z21" s="1">
        <f t="shared" si="16"/>
        <v>-3960</v>
      </c>
      <c r="AA21" s="64">
        <f t="shared" si="17"/>
        <v>0</v>
      </c>
      <c r="AB21" s="40"/>
      <c r="AC21" s="1">
        <f t="shared" si="3"/>
        <v>-97017.904316681728</v>
      </c>
      <c r="AD21" s="1">
        <f t="shared" si="4"/>
        <v>131467.92324122589</v>
      </c>
      <c r="AE21" s="1">
        <f t="shared" si="18"/>
        <v>34450.018924544158</v>
      </c>
      <c r="AF21" s="1">
        <f>IF(AE21 &lt; 0,
    IF(AF20 + AE21 &gt; 0,
        AF20 + AE21, IF(AK20-ABS(AF20 + AE21)*(1+$V21) &gt;= AF20 + AE21,
        0, AF20 + AE21)),
    MIN(AF20 + AE21, Analysis!$C$7))+IF(AF20&lt;0, AF20*Analysis!$C$9,0)</f>
        <v>24000</v>
      </c>
      <c r="AG21" s="40"/>
      <c r="AH21" s="1">
        <f t="shared" si="19"/>
        <v>43466.816340382007</v>
      </c>
      <c r="AI21" s="1">
        <f>IF(AE21 &gt;= 0,
    MAX(0, AF20 + AE21 - Analysis!$C$7),
    0)</f>
        <v>34450.018924544158</v>
      </c>
      <c r="AJ21" s="1">
        <f t="shared" si="44"/>
        <v>608202.4313492286</v>
      </c>
      <c r="AK21" s="1">
        <f t="shared" si="20"/>
        <v>1025733.4388268804</v>
      </c>
      <c r="AL21" s="1">
        <f t="shared" si="5"/>
        <v>915609.63560464978</v>
      </c>
      <c r="AM21" s="36"/>
      <c r="AN21" s="1">
        <f t="shared" si="45"/>
        <v>997882.19561302988</v>
      </c>
      <c r="AO21" s="64">
        <f t="shared" si="21"/>
        <v>1.9607843137254832E-2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-27674.597863629515</v>
      </c>
      <c r="AT21" s="1">
        <f>IF($B21&lt;Analysis!$C$66,0,IF($B21=Analysis!$C$66,-AP21-AS21,MIN(0,AT20-AS21)))</f>
        <v>-293241.16257881623</v>
      </c>
      <c r="AU21" s="64">
        <f>IF($B21&lt;Analysis!$C$66,0,IF($B21=Analysis!$C$66,Analysis!$C$72,IF(($B21-Analysis!$C$66)&lt;LOOKUP(Analysis!$C$66,$B:$B,AQ:AQ),AU20,0)))</f>
        <v>3.6999999999999998E-2</v>
      </c>
      <c r="AV21" s="1">
        <f>IF($B21&lt;Analysis!$C$66,0,IF($B21=Analysis!$C$66,-AU21*AP21,AU20*AT20))</f>
        <v>-11873.883136370492</v>
      </c>
      <c r="AW21" s="1">
        <f>IF($B21&lt;Analysis!$C$66,0,IF($B21=Analysis!$C$66,PMT(AU21,AQ21,AP21)*AQ21-AX21-AT21,IF(($B21-Analysis!$C$66+1)&lt;LOOKUP(Analysis!$C$66,$B:$B,AQ:AQ),IF(AW20-AV21&lt;0, AW20-AV21,0),0)))</f>
        <v>-55829.842960468392</v>
      </c>
      <c r="AX21" s="1">
        <f>IF($B21&lt;Analysis!$C$66,0,IF($B21=Analysis!$C$66,AS21+AV21,IF(AT20&lt;0,IF(AT20&gt;LOOKUP(Analysis!$C$66,$B:$B,AX:AX), AT20*(1+AU20),AX20),0)))</f>
        <v>-39548.481000000007</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-2993.6465868390897</v>
      </c>
      <c r="BF21" s="64">
        <f>IF($B21&lt;Analysis!$C$66,0,Analysis!$C$78)</f>
        <v>3.0000000000000001E-3</v>
      </c>
      <c r="BG21" s="1">
        <f>IF($B21&lt;Analysis!$C$66,0,-BH21*AN21)</f>
        <v>-7484.1164670977241</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-127229.97994066132</v>
      </c>
      <c r="BS21" s="64">
        <f>IF($B21&lt;Analysis!C$66,0,Analysis!C$31)</f>
        <v>0.1275</v>
      </c>
      <c r="BT21" s="1">
        <f>IF($B21&lt;Analysis!$C$66,0,AN21+BR21)</f>
        <v>870652.21567236853</v>
      </c>
      <c r="BU21" s="1">
        <f>IF($B21-Analysis!$C$66&gt;3,0,IF($AN21&gt;LOOKUP(Analysis!$C$66,$B:$B, AN:AN),$V21*(LOOKUP(Analysis!$C$66,$B:$B, AN:AN)-AN21),0))</f>
        <v>0</v>
      </c>
      <c r="BV21" s="1">
        <f t="shared" si="23"/>
        <v>870652.21567236853</v>
      </c>
      <c r="BW21" s="42"/>
      <c r="BX21" s="1">
        <f>IF($B21&lt;Analysis!$C$66,$P21+$N21+$X21+$Z21,$P21+$N21+AS21+AV21+BB21+BE21+BG21+MAX(BI21,SUM(BJ21:BN21))+BP21)</f>
        <v>-124136.24405393684</v>
      </c>
      <c r="BY21" s="1">
        <f t="shared" si="24"/>
        <v>131467.92324122589</v>
      </c>
      <c r="BZ21" s="1">
        <f t="shared" si="46"/>
        <v>7331.6791872890462</v>
      </c>
      <c r="CA21" s="1">
        <f>IF(BZ21 &lt; 0,
    IF(CA20 + BZ21 &gt; 0,
        CA20 + BZ21, IF(CF20-ABS(CA20 + BZ21)*(1+$V21) &gt;= CA20 + BZ21,
        0, CA20 + BZ21)),
    MIN(CA20 + BZ21, Analysis!$C$7))+IF(CA20&lt;0, CA20*Analysis!$C$9,0)</f>
        <v>-267357.10588659451</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-22907.904316681736</v>
      </c>
      <c r="CJ21" s="1">
        <f>IF(OR($B21&lt;Analysis!$C$100, $B21&gt;=Analysis!$C$130),0,Z21)</f>
        <v>-3960</v>
      </c>
      <c r="CK21" s="1">
        <f t="shared" si="26"/>
        <v>600175.52344841661</v>
      </c>
      <c r="CL21" s="64">
        <f t="shared" si="48"/>
        <v>1.9607843137254832E-2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-15436.709308279533</v>
      </c>
      <c r="CQ21" s="1">
        <f>IF(OR($B21&lt;Analysis!$C$100, $B21&gt;=Analysis!$C$101),0,IF($B21=Analysis!$C$100,-CM21-CP21,MIN(0,CQ20-CP21)))</f>
        <v>-163567.99857605755</v>
      </c>
      <c r="CR21" s="64">
        <f>IF(OR($B21&lt;Analysis!$C$100, $B21&gt;=Analysis!$C$101),0,IF($B21=Analysis!$C$100,Analysis!$C$102,IF(($B21-Analysis!$C$100)&lt;LOOKUP(Analysis!$C$100,$B:$B,CN:CN),CR20,0)))</f>
        <v>3.6999999999999998E-2</v>
      </c>
      <c r="CS21" s="1">
        <f>IF(OR($B21&lt;Analysis!$C$100, $B21&gt;=Analysis!$C$101),0,IF($B21=Analysis!$C$100,-CR21*CM21,CR20*CQ20))</f>
        <v>-6623.1741917204718</v>
      </c>
      <c r="CT21" s="1">
        <f>IF(OR($B21&lt;Analysis!$C$100, $B21&gt;=Analysis!$C$101),0,IF($B21=Analysis!$C$100,PMT(CR21,CN21,CM21)*CN21-CU21-CQ21,IF(($B21-Analysis!$C$100+1)&lt;LOOKUP(Analysis!$C$100,$B:$B,CN:CN),IF(CT20-CS21&lt;0, CT20-CS21,0),0)))</f>
        <v>-31141.520493068492</v>
      </c>
      <c r="CU21" s="1">
        <f>IF(OR($B21&lt;Analysis!$C$100, $B21&gt;=Analysis!$C$101),0,IF($B21=Analysis!$C$100,CP21+CS21,IF(CQ20&lt;0,IF(CQ20&gt;LOOKUP(Analysis!$C$100,$B:$B,CU:CU), CQ20*(1+CR20),CU20),0)))</f>
        <v>-22059.883500000004</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20044.416277096512</v>
      </c>
      <c r="DC21" s="64">
        <f>IF(OR($B21&lt;Analysis!$C$100, $B21&gt;=Analysis!$C$101),0,((1+Analysis!$B$114)/(1+$S21))-1)</f>
        <v>1.9607843137254832E-2</v>
      </c>
      <c r="DD21" s="1">
        <f t="shared" si="6"/>
        <v>25804.942847441762</v>
      </c>
      <c r="DE21" s="1">
        <f t="shared" si="27"/>
        <v>-1800.5265703452499</v>
      </c>
      <c r="DF21" s="64">
        <f>IF(OR($B21&lt;Analysis!$C$100, $B21&gt;=Analysis!$C$101),0,Analysis!$C$118)</f>
        <v>3.0000000000000001E-3</v>
      </c>
      <c r="DG21" s="1">
        <f t="shared" si="28"/>
        <v>-4501.3164258631241</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-1503.3312207822385</v>
      </c>
      <c r="DR21" s="1">
        <f t="shared" si="29"/>
        <v>-20065.174216990614</v>
      </c>
      <c r="DS21" s="1">
        <f>MIN(0,-(DB21+DR21)*Analysis!$C$28)-CS21*Analysis!$C$28</f>
        <v>2934.7284843513407</v>
      </c>
      <c r="DT21" s="1">
        <f>-Analysis!$C$116*DD21/12</f>
        <v>-2150.4119039534803</v>
      </c>
      <c r="DU21" s="53"/>
      <c r="DV21" s="1">
        <f t="shared" si="30"/>
        <v>-76522.379239673115</v>
      </c>
      <c r="DW21" s="64">
        <f>IF(OR($B21&lt;Analysis!$C$100, $B21&gt;=Analysis!$C$101),0,IF($B21=Analysis!$C$100,Analysis!$C$31,DW20))</f>
        <v>0.1275</v>
      </c>
      <c r="DX21" s="1">
        <f>IF(OR($B21&lt;Analysis!$C$100, $B21&gt;=Analysis!$C$101),0,CK21+DV21)</f>
        <v>523653.14420874347</v>
      </c>
      <c r="DY21" s="1">
        <f>IF(OR($B21&lt;Analysis!$C$100, $B21&gt;=Analysis!$C$101),0,IF($B21-Analysis!$C$100&gt;3,0,IF(CK21&gt;LOOKUP(Analysis!$C$100,$B:$B, CK:CK),$V21*(LOOKUP(Analysis!$C$100,$B:$B, CK:CK)-CK21),0)))</f>
        <v>0</v>
      </c>
      <c r="DZ21" s="1">
        <f t="shared" si="49"/>
        <v>523653.14420874347</v>
      </c>
      <c r="EA21" s="53"/>
      <c r="EB21" s="1">
        <f t="shared" si="31"/>
        <v>997882.19561302988</v>
      </c>
      <c r="EC21" s="64">
        <f t="shared" si="50"/>
        <v>1.9607843137254832E-2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-130058.6454532745</v>
      </c>
      <c r="FM21" s="1">
        <f>$M21+$R21+DD21+IF(AND($B21&lt;&gt;Analysis!$C$130,$B21=Analysis!$C$101),DZ20+CQ20+CT20+CZ20,0)</f>
        <v>157272.86608866765</v>
      </c>
      <c r="FN21" s="1">
        <f t="shared" si="34"/>
        <v>27214.220635393154</v>
      </c>
      <c r="FO21" s="1">
        <f>IF(FN21 &lt; 0,
    IF(FO20 + FN21 &gt; 0,
        FO20 + FN21, IF(FT20-ABS(FO20 + FN21)*(1+$V21) &gt;= FO20 + FN21,
        0, FO20 + FN21)),
    MIN(FO20 + FN21, Analysis!$C$7))+IF(FO20&lt;0, FO20*Analysis!$C$9,0)</f>
        <v>24000</v>
      </c>
      <c r="FP21" s="53"/>
      <c r="FQ21" s="1">
        <f t="shared" si="51"/>
        <v>22550.088903903576</v>
      </c>
      <c r="FR21" s="1">
        <f>IF(OR($B21=Analysis!$C$100, $B21=Analysis!$C$130),0,IF(FN21 &gt;= 0,
    MAX(0, FO20 + FN21 - Analysis!$C$7),
    0))</f>
        <v>27214.220635393154</v>
      </c>
      <c r="FS21" s="1">
        <f>IF(OR($B21=Analysis!$C$100, $B21=Analysis!$C$130),0,MAX(0, FS20 + FR21 - IF(FN21 &lt; 0, MIN(ABS(FN21), FS20 + FR21), 0)))</f>
        <v>375336.5806485418</v>
      </c>
      <c r="FT21" s="1">
        <f>IF(OR($B21=Analysis!$C$100, $B21=Analysis!$C$130),0,IF(FN21 &lt; 0,
    IF(FN21 + FO20 &lt; 0,
        MAX(0, FT20 - (ABS(FN21 + FO20) * (1+$V20))),
        FT20 + FQ21),
    FT20 + FR21 + FQ21))</f>
        <v>541480.76071774436</v>
      </c>
      <c r="FU21" s="1">
        <f t="shared" si="57"/>
        <v>497660.23322449217</v>
      </c>
      <c r="FV21" s="36"/>
      <c r="FW21" s="1">
        <f t="shared" si="52"/>
        <v>600175.52344841661</v>
      </c>
      <c r="FX21" s="64">
        <f t="shared" si="53"/>
        <v>1.9607843137254832E-2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-15436.709308279533</v>
      </c>
      <c r="GC21" s="1">
        <f>IF($B21&lt;Analysis!$C$159,0,IF($B21=Analysis!$C$159,-FY21-GB21,MIN(0,GC20-GB21)))</f>
        <v>-163567.99857605755</v>
      </c>
      <c r="GD21" s="64">
        <f>IF($B21&lt;Analysis!$C$159,0,IF($B21=Analysis!$C$159,Analysis!$C$160,IF(($B21-Analysis!$C$159)&lt;LOOKUP(Analysis!$C$159,$B:$B,FZ:FZ),GD20,0)))</f>
        <v>3.6999999999999998E-2</v>
      </c>
      <c r="GE21" s="1">
        <f>IF($B21&lt;Analysis!$C$159,0,IF($B21=Analysis!$C$159,-GD21*FY21,GD20*GC20))</f>
        <v>-6623.1741917204718</v>
      </c>
      <c r="GF21" s="1">
        <f>IF($B21&lt;Analysis!$C$159,0,IF($B21=Analysis!$C$159,PMT(GD21,FZ21,FY21)*FZ21-GG21-GC21,IF(($B21-Analysis!$C$159+1)&lt;LOOKUP(Analysis!$C$159,$B:$B,FZ:FZ),IF(GF20-GE21&lt;0, GF20-GE21,0),0)))</f>
        <v>-31141.520493068492</v>
      </c>
      <c r="GG21" s="1">
        <f>IF($B21&lt;Analysis!$C$159,0,IF($B21=Analysis!$C$159,GB21+GE21,IF(GC20&lt;0,IF(GC20&gt;LOOKUP(Analysis!$C$159,$B:$B,GG:GG), GC20*(1+GD20),GG20),0)))</f>
        <v>-22059.883500000004</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20044.416277096512</v>
      </c>
      <c r="GO21" s="64">
        <f>IF($B21&lt;Analysis!$C$159,0,((1+Analysis!$B$174)/(1+$S21))-1)</f>
        <v>1.9607843137254832E-2</v>
      </c>
      <c r="GP21" s="1">
        <f t="shared" si="7"/>
        <v>25804.942847441762</v>
      </c>
      <c r="GQ21" s="1">
        <f t="shared" si="36"/>
        <v>-1800.5265703452499</v>
      </c>
      <c r="GR21" s="64">
        <f>IF($B21&lt;Analysis!$C$159,0,Analysis!$C$178)</f>
        <v>3.0000000000000001E-3</v>
      </c>
      <c r="GS21" s="1">
        <f t="shared" si="37"/>
        <v>-4501.3164258631241</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-1503.3312207822385</v>
      </c>
      <c r="HD21" s="1">
        <f t="shared" si="38"/>
        <v>-20065.174216990614</v>
      </c>
      <c r="HE21" s="1">
        <f>MIN(0,-(GN21+HD21)*Analysis!$C$28)-GE21*Analysis!$C$28</f>
        <v>2934.7284843513407</v>
      </c>
      <c r="HF21" s="1">
        <f>-Analysis!$C$176*GP21/12</f>
        <v>-2150.4119039534803</v>
      </c>
      <c r="HG21" s="38"/>
      <c r="HH21" s="1">
        <f>IF($B21&lt;Analysis!$C$159,0,-$HI21*$FW21)</f>
        <v>-76522.379239673115</v>
      </c>
      <c r="HI21" s="64">
        <f>IF($B21&lt;Analysis!$C$159,0,IF($B21=Analysis!$C$159,Analysis!$C$31,HI20))</f>
        <v>0.1275</v>
      </c>
      <c r="HJ21" s="1">
        <f>IF($B21&lt;Analysis!$C$159,0,$FW21+HH21)</f>
        <v>523653.14420874347</v>
      </c>
      <c r="HK21" s="1">
        <f>IF($B21-Analysis!$C$159&gt;10,0,IF($FW21&gt;LOOKUP(Analysis!$C$159,$B:$B, FW:FW),$V21*(LOOKUP(Analysis!$C$159,$B:$B, FW:FW)-FW21),0))</f>
        <v>0</v>
      </c>
      <c r="HL21" s="1">
        <f t="shared" si="39"/>
        <v>523653.14420874347</v>
      </c>
      <c r="HM21" s="38"/>
      <c r="HN21" s="1">
        <f t="shared" si="40"/>
        <v>-130058.6454532745</v>
      </c>
      <c r="HO21" s="1">
        <f t="shared" si="8"/>
        <v>157272.86608866765</v>
      </c>
      <c r="HP21" s="1">
        <f t="shared" si="41"/>
        <v>27214.220635393154</v>
      </c>
      <c r="HQ21" s="1">
        <f>IF(HP21 &lt; 0,
    IF(HQ20 + HP21 &gt; 0,
        HQ20 + HP21, IF(HV20-ABS(HQ20 + HP21)*(1+$V21) &gt;= HQ20 + HP21,
        0, HQ20 + HP21)),
    MIN(HQ20 + HP21, Analysis!$C$7))+IF(HQ20&lt;0, HQ20*Analysis!$C$9,0)</f>
        <v>24000</v>
      </c>
      <c r="HR21" s="38"/>
      <c r="HS21" s="1">
        <f t="shared" si="54"/>
        <v>22550.088903903576</v>
      </c>
      <c r="HT21" s="1">
        <f>IF($B21=Analysis!$C$159,0,IF(HP21 &gt;= 0,
    MAX(0, HQ20 + HP21 - Analysis!$C$7),
    0))</f>
        <v>27214.220635393154</v>
      </c>
      <c r="HU21" s="1">
        <f>IF($B21=Analysis!$C$159,0,MAX(0, HU20 + HT21 - IF(HP21 &lt; 0, MIN(ABS(HP21), HU20 + HT21), 0)))</f>
        <v>375336.5806485418</v>
      </c>
      <c r="HV21" s="1">
        <f>IF($B21=Analysis!$C$159,0,IF(HP21 &lt; 0,
    IF(HP21 + HQ20 &lt; 0,
        MAX(0, HV20 - (ABS(HP21 + HQ20) * (1+$V20))),
        HV20 + HS21),
    HV20 + HT21 + HS21))</f>
        <v>541480.76071774436</v>
      </c>
      <c r="HW21" s="1">
        <f t="shared" si="58"/>
        <v>497660.23322449217</v>
      </c>
      <c r="HX21" s="36"/>
    </row>
    <row r="22" spans="1:232" x14ac:dyDescent="0.35">
      <c r="A22">
        <f t="shared" si="0"/>
        <v>55</v>
      </c>
      <c r="B22">
        <v>2045</v>
      </c>
      <c r="C22" s="1">
        <f>IF($B22&lt;Analysis!C$66,0,$AN22)+$AT22+$AW22+$BC22+$CF22+$CA22</f>
        <v>476306.54713016102</v>
      </c>
      <c r="D22" s="1">
        <f>IF($B22&lt;Analysis!C$66, 0, BV22)+AT22+AW22+BC22+CG22+CA22</f>
        <v>346581.86170046713</v>
      </c>
      <c r="E22" s="1">
        <f t="shared" si="1"/>
        <v>1179015.9610166764</v>
      </c>
      <c r="F22" s="1">
        <f t="shared" si="9"/>
        <v>1056949.1152589507</v>
      </c>
      <c r="G22" s="1">
        <f>IF(AND($B22&gt;=Analysis!$C$100, $B22&lt;Analysis!$C$101),$CK22,0)+IF($B22&gt;=Analysis!$C$130,EB22,0)+CQ22+CT22+CZ22+EH22+EK22+EQ22+$FO22+$FT22</f>
        <v>1105333.2422155421</v>
      </c>
      <c r="H22" s="1">
        <f t="shared" si="10"/>
        <v>977185.21018078714</v>
      </c>
      <c r="I22" s="1">
        <f>IF($B22&lt;Analysis!$C$159,0,$FW22)+$GC22+$GF22+$GL22+$HQ22+$HV22</f>
        <v>1105333.2422155421</v>
      </c>
      <c r="J22" s="1">
        <f t="shared" si="2"/>
        <v>977185.21018078714</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-23357.078911126475</v>
      </c>
      <c r="Y22" s="64">
        <f t="shared" si="15"/>
        <v>1.9607843137254832E-2</v>
      </c>
      <c r="Z22" s="1">
        <f t="shared" si="16"/>
        <v>-3960</v>
      </c>
      <c r="AA22" s="64">
        <f t="shared" si="17"/>
        <v>0</v>
      </c>
      <c r="AB22" s="40"/>
      <c r="AC22" s="1">
        <f t="shared" si="3"/>
        <v>-97467.078911126475</v>
      </c>
      <c r="AD22" s="1">
        <f t="shared" si="4"/>
        <v>181467.92324122589</v>
      </c>
      <c r="AE22" s="1">
        <f t="shared" si="18"/>
        <v>84000.844330099411</v>
      </c>
      <c r="AF22" s="1">
        <f>IF(AE22 &lt; 0,
    IF(AF21 + AE22 &gt; 0,
        AF21 + AE22, IF(AK21-ABS(AF21 + AE22)*(1+$V22) &gt;= AF21 + AE22,
        0, AF21 + AE22)),
    MIN(AF21 + AE22, Analysis!$C$7))+IF(AF21&lt;0, AF21*Analysis!$C$9,0)</f>
        <v>24000</v>
      </c>
      <c r="AG22" s="40"/>
      <c r="AH22" s="1">
        <f t="shared" si="19"/>
        <v>45281.67785969664</v>
      </c>
      <c r="AI22" s="1">
        <f>IF(AE22 &gt;= 0,
    MAX(0, AF21 + AE22 - Analysis!$C$7),
    0)</f>
        <v>84000.844330099411</v>
      </c>
      <c r="AJ22" s="1">
        <f t="shared" si="44"/>
        <v>692203.27567932801</v>
      </c>
      <c r="AK22" s="1">
        <f t="shared" si="20"/>
        <v>1155015.9610166764</v>
      </c>
      <c r="AL22" s="1">
        <f t="shared" si="5"/>
        <v>1032949.1152589507</v>
      </c>
      <c r="AM22" s="36"/>
      <c r="AN22" s="1">
        <f t="shared" si="45"/>
        <v>1017448.5131740696</v>
      </c>
      <c r="AO22" s="64">
        <f t="shared" si="21"/>
        <v>1.9607843137254832E-2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-28698.557984583807</v>
      </c>
      <c r="AT22" s="1">
        <f>IF($B22&lt;Analysis!$C$66,0,IF($B22=Analysis!$C$66,-AP22-AS22,MIN(0,AT21-AS22)))</f>
        <v>-264542.6045942324</v>
      </c>
      <c r="AU22" s="64">
        <f>IF($B22&lt;Analysis!$C$66,0,IF($B22=Analysis!$C$66,Analysis!$C$72,IF(($B22-Analysis!$C$66)&lt;LOOKUP(Analysis!$C$66,$B:$B,AQ:AQ),AU21,0)))</f>
        <v>3.6999999999999998E-2</v>
      </c>
      <c r="AV22" s="1">
        <f>IF($B22&lt;Analysis!$C$66,0,IF($B22=Analysis!$C$66,-AU22*AP22,AU21*AT21))</f>
        <v>-10849.9230154162</v>
      </c>
      <c r="AW22" s="1">
        <f>IF($B22&lt;Analysis!$C$66,0,IF($B22=Analysis!$C$66,PMT(AU22,AQ22,AP22)*AQ22-AX22-AT22,IF(($B22-Analysis!$C$66+1)&lt;LOOKUP(Analysis!$C$66,$B:$B,AQ:AQ),IF(AW21-AV22&lt;0, AW21-AV22,0),0)))</f>
        <v>-44979.919945052192</v>
      </c>
      <c r="AX22" s="1">
        <f>IF($B22&lt;Analysis!$C$66,0,IF($B22=Analysis!$C$66,AS22+AV22,IF(AT21&lt;0,IF(AT21&gt;LOOKUP(Analysis!$C$66,$B:$B,AX:AX), AT21*(1+AU21),AX21),0)))</f>
        <v>-39548.481000000007</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-3052.3455395222086</v>
      </c>
      <c r="BF22" s="64">
        <f>IF($B22&lt;Analysis!$C$66,0,Analysis!$C$78)</f>
        <v>3.0000000000000001E-3</v>
      </c>
      <c r="BG22" s="1">
        <f>IF($B22&lt;Analysis!$C$66,0,-BH22*AN22)</f>
        <v>-7630.8638488055212</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-129724.68542969387</v>
      </c>
      <c r="BS22" s="64">
        <f>IF($B22&lt;Analysis!C$66,0,Analysis!C$31)</f>
        <v>0.1275</v>
      </c>
      <c r="BT22" s="1">
        <f>IF($B22&lt;Analysis!$C$66,0,AN22+BR22)</f>
        <v>887723.82774437568</v>
      </c>
      <c r="BU22" s="1">
        <f>IF($B22-Analysis!$C$66&gt;3,0,IF($AN22&gt;LOOKUP(Analysis!$C$66,$B:$B, AN:AN),$V22*(LOOKUP(Analysis!$C$66,$B:$B, AN:AN)-AN22),0))</f>
        <v>0</v>
      </c>
      <c r="BV22" s="1">
        <f t="shared" si="23"/>
        <v>887723.82774437568</v>
      </c>
      <c r="BW22" s="42"/>
      <c r="BX22" s="1">
        <f>IF($B22&lt;Analysis!$C$66,$P22+$N22+$X22+$Z22,$P22+$N22+AS22+AV22+BB22+BE22+BG22+MAX(BI22,SUM(BJ22:BN22))+BP22)</f>
        <v>-124341.69038832773</v>
      </c>
      <c r="BY22" s="1">
        <f t="shared" si="24"/>
        <v>181467.92324122589</v>
      </c>
      <c r="BZ22" s="1">
        <f t="shared" si="46"/>
        <v>57126.23285289816</v>
      </c>
      <c r="CA22" s="1">
        <f>IF(BZ22 &lt; 0,
    IF(CA21 + BZ22 &gt; 0,
        CA21 + BZ22, IF(CF21-ABS(CA21 + BZ22)*(1+$V22) &gt;= CA21 + BZ22,
        0, CA21 + BZ22)),
    MIN(CA21 + BZ22, Analysis!$C$7))+IF(CA21&lt;0, CA21*Analysis!$C$9,0)</f>
        <v>-231619.44150462392</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-23357.078911126475</v>
      </c>
      <c r="CJ22" s="1">
        <f>IF(OR($B22&lt;Analysis!$C$100, $B22&gt;=Analysis!$C$130),0,Z22)</f>
        <v>-3960</v>
      </c>
      <c r="CK22" s="1">
        <f t="shared" si="26"/>
        <v>611943.67096701299</v>
      </c>
      <c r="CL22" s="64">
        <f t="shared" si="48"/>
        <v>1.9607843137254832E-2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-16007.867552685875</v>
      </c>
      <c r="CQ22" s="1">
        <f>IF(OR($B22&lt;Analysis!$C$100, $B22&gt;=Analysis!$C$101),0,IF($B22=Analysis!$C$100,-CM22-CP22,MIN(0,CQ21-CP22)))</f>
        <v>-147560.13102337168</v>
      </c>
      <c r="CR22" s="64">
        <f>IF(OR($B22&lt;Analysis!$C$100, $B22&gt;=Analysis!$C$101),0,IF($B22=Analysis!$C$100,Analysis!$C$102,IF(($B22-Analysis!$C$100)&lt;LOOKUP(Analysis!$C$100,$B:$B,CN:CN),CR21,0)))</f>
        <v>3.6999999999999998E-2</v>
      </c>
      <c r="CS22" s="1">
        <f>IF(OR($B22&lt;Analysis!$C$100, $B22&gt;=Analysis!$C$101),0,IF($B22=Analysis!$C$100,-CR22*CM22,CR21*CQ21))</f>
        <v>-6052.0159473141293</v>
      </c>
      <c r="CT22" s="1">
        <f>IF(OR($B22&lt;Analysis!$C$100, $B22&gt;=Analysis!$C$101),0,IF($B22=Analysis!$C$100,PMT(CR22,CN22,CM22)*CN22-CU22-CQ22,IF(($B22-Analysis!$C$100+1)&lt;LOOKUP(Analysis!$C$100,$B:$B,CN:CN),IF(CT21-CS22&lt;0, CT21-CS22,0),0)))</f>
        <v>-25089.504545754364</v>
      </c>
      <c r="CU22" s="1">
        <f>IF(OR($B22&lt;Analysis!$C$100, $B22&gt;=Analysis!$C$101),0,IF($B22=Analysis!$C$100,CP22+CS22,IF(CQ21&lt;0,IF(CQ21&gt;LOOKUP(Analysis!$C$100,$B:$B,CU:CU), CQ21*(1+CR21),CU21),0)))</f>
        <v>-22059.883500000004</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20437.444047235658</v>
      </c>
      <c r="DC22" s="64">
        <f>IF(OR($B22&lt;Analysis!$C$100, $B22&gt;=Analysis!$C$101),0,((1+Analysis!$B$114)/(1+$S22))-1)</f>
        <v>1.9607843137254832E-2</v>
      </c>
      <c r="DD22" s="1">
        <f t="shared" si="6"/>
        <v>26233.275060136697</v>
      </c>
      <c r="DE22" s="1">
        <f t="shared" si="27"/>
        <v>-1835.831012901039</v>
      </c>
      <c r="DF22" s="64">
        <f>IF(OR($B22&lt;Analysis!$C$100, $B22&gt;=Analysis!$C$101),0,Analysis!$C$118)</f>
        <v>3.0000000000000001E-3</v>
      </c>
      <c r="DG22" s="1">
        <f t="shared" si="28"/>
        <v>-4589.5775322525969</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-1532.8083035426744</v>
      </c>
      <c r="DR22" s="1">
        <f t="shared" si="29"/>
        <v>-20218.216848696313</v>
      </c>
      <c r="DS22" s="1">
        <f>MIN(0,-(DB22+DR22)*Analysis!$C$28)-CS22*Analysis!$C$28</f>
        <v>2584.5086945821063</v>
      </c>
      <c r="DT22" s="1">
        <f>-Analysis!$C$116*DD22/12</f>
        <v>-2186.1062550113916</v>
      </c>
      <c r="DU22" s="53"/>
      <c r="DV22" s="1">
        <f t="shared" si="30"/>
        <v>-78022.818048294153</v>
      </c>
      <c r="DW22" s="64">
        <f>IF(OR($B22&lt;Analysis!$C$100, $B22&gt;=Analysis!$C$101),0,IF($B22=Analysis!$C$100,Analysis!$C$31,DW21))</f>
        <v>0.1275</v>
      </c>
      <c r="DX22" s="1">
        <f>IF(OR($B22&lt;Analysis!$C$100, $B22&gt;=Analysis!$C$101),0,CK22+DV22)</f>
        <v>533920.85291871883</v>
      </c>
      <c r="DY22" s="1">
        <f>IF(OR($B22&lt;Analysis!$C$100, $B22&gt;=Analysis!$C$101),0,IF($B22-Analysis!$C$100&gt;3,0,IF(CK22&gt;LOOKUP(Analysis!$C$100,$B:$B, CK:CK),$V22*(LOOKUP(Analysis!$C$100,$B:$B, CK:CK)-CK22),0)))</f>
        <v>0</v>
      </c>
      <c r="DZ22" s="1">
        <f t="shared" si="49"/>
        <v>533920.85291871883</v>
      </c>
      <c r="EA22" s="53"/>
      <c r="EB22" s="1">
        <f t="shared" si="31"/>
        <v>1017448.5131740696</v>
      </c>
      <c r="EC22" s="64">
        <f t="shared" si="50"/>
        <v>1.9607843137254832E-2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-131046.77682025207</v>
      </c>
      <c r="FM22" s="1">
        <f>$M22+$R22+DD22+IF(AND($B22&lt;&gt;Analysis!$C$130,$B22=Analysis!$C$101),DZ21+CQ21+CT21+CZ21,0)</f>
        <v>207701.19830136257</v>
      </c>
      <c r="FN22" s="1">
        <f t="shared" si="34"/>
        <v>76654.421481110505</v>
      </c>
      <c r="FO22" s="1">
        <f>IF(FN22 &lt; 0,
    IF(FO21 + FN22 &gt; 0,
        FO21 + FN22, IF(FT21-ABS(FO21 + FN22)*(1+$V22) &gt;= FO21 + FN22,
        0, FO21 + FN22)),
    MIN(FO21 + FN22, Analysis!$C$7))+IF(FO21&lt;0, FO21*Analysis!$C$9,0)</f>
        <v>24000</v>
      </c>
      <c r="FP22" s="53"/>
      <c r="FQ22" s="1">
        <f t="shared" si="51"/>
        <v>23904.024618800238</v>
      </c>
      <c r="FR22" s="1">
        <f>IF(OR($B22=Analysis!$C$100, $B22=Analysis!$C$130),0,IF(FN22 &gt;= 0,
    MAX(0, FO21 + FN22 - Analysis!$C$7),
    0))</f>
        <v>76654.421481110505</v>
      </c>
      <c r="FS22" s="1">
        <f>IF(OR($B22=Analysis!$C$100, $B22=Analysis!$C$130),0,MAX(0, FS21 + FR22 - IF(FN22 &lt; 0, MIN(ABS(FN22), FS21 + FR22), 0)))</f>
        <v>451991.0021296523</v>
      </c>
      <c r="FT22" s="1">
        <f>IF(OR($B22=Analysis!$C$100, $B22=Analysis!$C$130),0,IF(FN22 &lt; 0,
    IF(FN22 + FO21 &lt; 0,
        MAX(0, FT21 - (ABS(FN22 + FO21) * (1+$V21))),
        FT21 + FQ22),
    FT21 + FR22 + FQ22))</f>
        <v>642039.20681765513</v>
      </c>
      <c r="FU22" s="1">
        <f t="shared" si="57"/>
        <v>591913.99283119442</v>
      </c>
      <c r="FV22" s="36"/>
      <c r="FW22" s="1">
        <f t="shared" si="52"/>
        <v>611943.67096701299</v>
      </c>
      <c r="FX22" s="64">
        <f t="shared" si="53"/>
        <v>1.9607843137254832E-2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-16007.867552685875</v>
      </c>
      <c r="GC22" s="1">
        <f>IF($B22&lt;Analysis!$C$159,0,IF($B22=Analysis!$C$159,-FY22-GB22,MIN(0,GC21-GB22)))</f>
        <v>-147560.13102337168</v>
      </c>
      <c r="GD22" s="64">
        <f>IF($B22&lt;Analysis!$C$159,0,IF($B22=Analysis!$C$159,Analysis!$C$160,IF(($B22-Analysis!$C$159)&lt;LOOKUP(Analysis!$C$159,$B:$B,FZ:FZ),GD21,0)))</f>
        <v>3.6999999999999998E-2</v>
      </c>
      <c r="GE22" s="1">
        <f>IF($B22&lt;Analysis!$C$159,0,IF($B22=Analysis!$C$159,-GD22*FY22,GD21*GC21))</f>
        <v>-6052.0159473141293</v>
      </c>
      <c r="GF22" s="1">
        <f>IF($B22&lt;Analysis!$C$159,0,IF($B22=Analysis!$C$159,PMT(GD22,FZ22,FY22)*FZ22-GG22-GC22,IF(($B22-Analysis!$C$159+1)&lt;LOOKUP(Analysis!$C$159,$B:$B,FZ:FZ),IF(GF21-GE22&lt;0, GF21-GE22,0),0)))</f>
        <v>-25089.504545754364</v>
      </c>
      <c r="GG22" s="1">
        <f>IF($B22&lt;Analysis!$C$159,0,IF($B22=Analysis!$C$159,GB22+GE22,IF(GC21&lt;0,IF(GC21&gt;LOOKUP(Analysis!$C$159,$B:$B,GG:GG), GC21*(1+GD21),GG21),0)))</f>
        <v>-22059.883500000004</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20437.444047235658</v>
      </c>
      <c r="GO22" s="64">
        <f>IF($B22&lt;Analysis!$C$159,0,((1+Analysis!$B$174)/(1+$S22))-1)</f>
        <v>1.9607843137254832E-2</v>
      </c>
      <c r="GP22" s="1">
        <f t="shared" si="7"/>
        <v>26233.275060136697</v>
      </c>
      <c r="GQ22" s="1">
        <f t="shared" si="36"/>
        <v>-1835.831012901039</v>
      </c>
      <c r="GR22" s="64">
        <f>IF($B22&lt;Analysis!$C$159,0,Analysis!$C$178)</f>
        <v>3.0000000000000001E-3</v>
      </c>
      <c r="GS22" s="1">
        <f t="shared" si="37"/>
        <v>-4589.5775322525969</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-1532.8083035426744</v>
      </c>
      <c r="HD22" s="1">
        <f t="shared" si="38"/>
        <v>-20218.216848696313</v>
      </c>
      <c r="HE22" s="1">
        <f>MIN(0,-(GN22+HD22)*Analysis!$C$28)-GE22*Analysis!$C$28</f>
        <v>2584.5086945821063</v>
      </c>
      <c r="HF22" s="1">
        <f>-Analysis!$C$176*GP22/12</f>
        <v>-2186.1062550113916</v>
      </c>
      <c r="HG22" s="38"/>
      <c r="HH22" s="1">
        <f>IF($B22&lt;Analysis!$C$159,0,-$HI22*$FW22)</f>
        <v>-78022.818048294153</v>
      </c>
      <c r="HI22" s="64">
        <f>IF($B22&lt;Analysis!$C$159,0,IF($B22=Analysis!$C$159,Analysis!$C$31,HI21))</f>
        <v>0.1275</v>
      </c>
      <c r="HJ22" s="1">
        <f>IF($B22&lt;Analysis!$C$159,0,$FW22+HH22)</f>
        <v>533920.85291871883</v>
      </c>
      <c r="HK22" s="1">
        <f>IF($B22-Analysis!$C$159&gt;10,0,IF($FW22&gt;LOOKUP(Analysis!$C$159,$B:$B, FW:FW),$V22*(LOOKUP(Analysis!$C$159,$B:$B, FW:FW)-FW22),0))</f>
        <v>0</v>
      </c>
      <c r="HL22" s="1">
        <f t="shared" si="39"/>
        <v>533920.85291871883</v>
      </c>
      <c r="HM22" s="38"/>
      <c r="HN22" s="1">
        <f t="shared" si="40"/>
        <v>-131046.77682025207</v>
      </c>
      <c r="HO22" s="1">
        <f t="shared" si="8"/>
        <v>207701.19830136257</v>
      </c>
      <c r="HP22" s="1">
        <f t="shared" si="41"/>
        <v>76654.421481110505</v>
      </c>
      <c r="HQ22" s="1">
        <f>IF(HP22 &lt; 0,
    IF(HQ21 + HP22 &gt; 0,
        HQ21 + HP22, IF(HV21-ABS(HQ21 + HP22)*(1+$V22) &gt;= HQ21 + HP22,
        0, HQ21 + HP22)),
    MIN(HQ21 + HP22, Analysis!$C$7))+IF(HQ21&lt;0, HQ21*Analysis!$C$9,0)</f>
        <v>24000</v>
      </c>
      <c r="HR22" s="38"/>
      <c r="HS22" s="1">
        <f t="shared" si="54"/>
        <v>23904.024618800238</v>
      </c>
      <c r="HT22" s="1">
        <f>IF($B22=Analysis!$C$159,0,IF(HP22 &gt;= 0,
    MAX(0, HQ21 + HP22 - Analysis!$C$7),
    0))</f>
        <v>76654.421481110505</v>
      </c>
      <c r="HU22" s="1">
        <f>IF($B22=Analysis!$C$159,0,MAX(0, HU21 + HT22 - IF(HP22 &lt; 0, MIN(ABS(HP22), HU21 + HT22), 0)))</f>
        <v>451991.0021296523</v>
      </c>
      <c r="HV22" s="1">
        <f>IF($B22=Analysis!$C$159,0,IF(HP22 &lt; 0,
    IF(HP22 + HQ21 &lt; 0,
        MAX(0, HV21 - (ABS(HP22 + HQ21) * (1+$V21))),
        HV21 + HS22),
    HV21 + HT22 + HS22))</f>
        <v>642039.20681765513</v>
      </c>
      <c r="HW22" s="1">
        <f t="shared" si="58"/>
        <v>591913.99283119442</v>
      </c>
      <c r="HX22" s="36"/>
    </row>
    <row r="23" spans="1:232" x14ac:dyDescent="0.35">
      <c r="A23">
        <f t="shared" si="0"/>
        <v>56</v>
      </c>
      <c r="B23">
        <v>2046</v>
      </c>
      <c r="C23" s="1">
        <f>IF($B23&lt;Analysis!C$66,0,$AN23)+$AT23+$AW23+$BC23+$CF23+$CA23</f>
        <v>519942.2018153508</v>
      </c>
      <c r="D23" s="1">
        <f>IF($B23&lt;Analysis!C$66, 0, BV23)+AT23+AW23+BC23+CG23+CA23</f>
        <v>387673.89510272176</v>
      </c>
      <c r="E23" s="1">
        <f t="shared" si="1"/>
        <v>1257317.7359493047</v>
      </c>
      <c r="F23" s="1">
        <f t="shared" si="9"/>
        <v>1122324.7895086363</v>
      </c>
      <c r="G23" s="1">
        <f>IF(AND($B23&gt;=Analysis!$C$100, $B23&lt;Analysis!$C$101),$CK23,0)+IF($B23&gt;=Analysis!$C$130,EB23,0)+CQ23+CT23+CZ23+EH23+EK23+EQ23+$FO23+$FT23</f>
        <v>1188454.4920691934</v>
      </c>
      <c r="H23" s="1">
        <f t="shared" si="10"/>
        <v>1051591.3638474678</v>
      </c>
      <c r="I23" s="1">
        <f>IF($B23&lt;Analysis!$C$159,0,$FW23)+$GC23+$GF23+$GL23+$HQ23+$HV23</f>
        <v>1188454.4920691934</v>
      </c>
      <c r="J23" s="1">
        <f t="shared" si="2"/>
        <v>1051591.3638474678</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-23815.060850560327</v>
      </c>
      <c r="Y23" s="64">
        <f t="shared" si="15"/>
        <v>1.9607843137254832E-2</v>
      </c>
      <c r="Z23" s="1">
        <f t="shared" si="16"/>
        <v>-3960</v>
      </c>
      <c r="AA23" s="64">
        <f t="shared" si="17"/>
        <v>0</v>
      </c>
      <c r="AB23" s="40"/>
      <c r="AC23" s="1">
        <f t="shared" si="3"/>
        <v>-102175.06085056033</v>
      </c>
      <c r="AD23" s="1">
        <f t="shared" si="4"/>
        <v>131467.92324122589</v>
      </c>
      <c r="AE23" s="1">
        <f t="shared" si="18"/>
        <v>29292.862390665556</v>
      </c>
      <c r="AF23" s="1">
        <f>IF(AE23 &lt; 0,
    IF(AF22 + AE23 &gt; 0,
        AF22 + AE23, IF(AK22-ABS(AF22 + AE23)*(1+$V23) &gt;= AF22 + AE23,
        0, AF22 + AE23)),
    MIN(AF22 + AE23, Analysis!$C$7))+IF(AF22&lt;0, AF22*Analysis!$C$9,0)</f>
        <v>24000</v>
      </c>
      <c r="AG23" s="40"/>
      <c r="AH23" s="1">
        <f t="shared" si="19"/>
        <v>49008.912541962709</v>
      </c>
      <c r="AI23" s="1">
        <f>IF(AE23 &gt;= 0,
    MAX(0, AF22 + AE23 - Analysis!$C$7),
    0)</f>
        <v>29292.862390665556</v>
      </c>
      <c r="AJ23" s="1">
        <f t="shared" si="44"/>
        <v>721496.13806999358</v>
      </c>
      <c r="AK23" s="1">
        <f t="shared" si="20"/>
        <v>1233317.7359493047</v>
      </c>
      <c r="AL23" s="1">
        <f t="shared" si="5"/>
        <v>1098324.7895086363</v>
      </c>
      <c r="AM23" s="36"/>
      <c r="AN23" s="1">
        <f t="shared" si="45"/>
        <v>1037398.4840206199</v>
      </c>
      <c r="AO23" s="64">
        <f t="shared" si="21"/>
        <v>1.9607843137254832E-2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-29760.404630013407</v>
      </c>
      <c r="AT23" s="1">
        <f>IF($B23&lt;Analysis!$C$66,0,IF($B23=Analysis!$C$66,-AP23-AS23,MIN(0,AT22-AS23)))</f>
        <v>-234782.19996421901</v>
      </c>
      <c r="AU23" s="64">
        <f>IF($B23&lt;Analysis!$C$66,0,IF($B23=Analysis!$C$66,Analysis!$C$72,IF(($B23-Analysis!$C$66)&lt;LOOKUP(Analysis!$C$66,$B:$B,AQ:AQ),AU22,0)))</f>
        <v>3.6999999999999998E-2</v>
      </c>
      <c r="AV23" s="1">
        <f>IF($B23&lt;Analysis!$C$66,0,IF($B23=Analysis!$C$66,-AU23*AP23,AU22*AT22))</f>
        <v>-9788.0763699865984</v>
      </c>
      <c r="AW23" s="1">
        <f>IF($B23&lt;Analysis!$C$66,0,IF($B23=Analysis!$C$66,PMT(AU23,AQ23,AP23)*AQ23-AX23-AT23,IF(($B23-Analysis!$C$66+1)&lt;LOOKUP(Analysis!$C$66,$B:$B,AQ:AQ),IF(AW22-AV23&lt;0, AW22-AV23,0),0)))</f>
        <v>-35191.843575065592</v>
      </c>
      <c r="AX23" s="1">
        <f>IF($B23&lt;Analysis!$C$66,0,IF($B23=Analysis!$C$66,AS23+AV23,IF(AT22&lt;0,IF(AT22&gt;LOOKUP(Analysis!$C$66,$B:$B,AX:AX), AT22*(1+AU22),AX22),0)))</f>
        <v>-39548.481000000007</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-3112.1954520618597</v>
      </c>
      <c r="BF23" s="64">
        <f>IF($B23&lt;Analysis!$C$66,0,Analysis!$C$78)</f>
        <v>3.0000000000000001E-3</v>
      </c>
      <c r="BG23" s="1">
        <f>IF($B23&lt;Analysis!$C$66,0,-BH23*AN23)</f>
        <v>-7780.4886301546485</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-132268.30671262904</v>
      </c>
      <c r="BS23" s="64">
        <f>IF($B23&lt;Analysis!C$66,0,Analysis!C$31)</f>
        <v>0.1275</v>
      </c>
      <c r="BT23" s="1">
        <f>IF($B23&lt;Analysis!$C$66,0,AN23+BR23)</f>
        <v>905130.17730799085</v>
      </c>
      <c r="BU23" s="1">
        <f>IF($B23-Analysis!$C$66&gt;3,0,IF($AN23&gt;LOOKUP(Analysis!$C$66,$B:$B, AN:AN),$V23*(LOOKUP(Analysis!$C$66,$B:$B, AN:AN)-AN23),0))</f>
        <v>0</v>
      </c>
      <c r="BV23" s="1">
        <f t="shared" si="23"/>
        <v>905130.17730799085</v>
      </c>
      <c r="BW23" s="42"/>
      <c r="BX23" s="1">
        <f>IF($B23&lt;Analysis!$C$66,$P23+$N23+$X23+$Z23,$P23+$N23+AS23+AV23+BB23+BE23+BG23+MAX(BI23,SUM(BJ23:BN23))+BP23)</f>
        <v>-128801.16508221651</v>
      </c>
      <c r="BY23" s="1">
        <f t="shared" si="24"/>
        <v>131467.92324122589</v>
      </c>
      <c r="BZ23" s="1">
        <f t="shared" si="46"/>
        <v>2666.758159009376</v>
      </c>
      <c r="CA23" s="1">
        <f>IF(BZ23 &lt; 0,
    IF(CA22 + BZ23 &gt; 0,
        CA22 + BZ23, IF(CF22-ABS(CA22 + BZ23)*(1+$V23) &gt;= CA22 + BZ23,
        0, CA22 + BZ23)),
    MIN(CA22 + BZ23, Analysis!$C$7))+IF(CA22&lt;0, CA22*Analysis!$C$9,0)</f>
        <v>-247482.23866598445</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-23815.060850560327</v>
      </c>
      <c r="CJ23" s="1">
        <f>IF(OR($B23&lt;Analysis!$C$100, $B23&gt;=Analysis!$C$130),0,Z23)</f>
        <v>-3960</v>
      </c>
      <c r="CK23" s="1">
        <f t="shared" si="26"/>
        <v>623942.56647617009</v>
      </c>
      <c r="CL23" s="64">
        <f t="shared" si="48"/>
        <v>1.9607843137254832E-2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-16600.158652135251</v>
      </c>
      <c r="CQ23" s="1">
        <f>IF(OR($B23&lt;Analysis!$C$100, $B23&gt;=Analysis!$C$101),0,IF($B23=Analysis!$C$100,-CM23-CP23,MIN(0,CQ22-CP23)))</f>
        <v>-130959.97237123642</v>
      </c>
      <c r="CR23" s="64">
        <f>IF(OR($B23&lt;Analysis!$C$100, $B23&gt;=Analysis!$C$101),0,IF($B23=Analysis!$C$100,Analysis!$C$102,IF(($B23-Analysis!$C$100)&lt;LOOKUP(Analysis!$C$100,$B:$B,CN:CN),CR22,0)))</f>
        <v>3.6999999999999998E-2</v>
      </c>
      <c r="CS23" s="1">
        <f>IF(OR($B23&lt;Analysis!$C$100, $B23&gt;=Analysis!$C$101),0,IF($B23=Analysis!$C$100,-CR23*CM23,CR22*CQ22))</f>
        <v>-5459.7248478647516</v>
      </c>
      <c r="CT23" s="1">
        <f>IF(OR($B23&lt;Analysis!$C$100, $B23&gt;=Analysis!$C$101),0,IF($B23=Analysis!$C$100,PMT(CR23,CN23,CM23)*CN23-CU23-CQ23,IF(($B23-Analysis!$C$100+1)&lt;LOOKUP(Analysis!$C$100,$B:$B,CN:CN),IF(CT22-CS23&lt;0, CT22-CS23,0),0)))</f>
        <v>-19629.779697889611</v>
      </c>
      <c r="CU23" s="1">
        <f>IF(OR($B23&lt;Analysis!$C$100, $B23&gt;=Analysis!$C$101),0,IF($B23=Analysis!$C$100,CP23+CS23,IF(CQ22&lt;0,IF(CQ22&gt;LOOKUP(Analysis!$C$100,$B:$B,CU:CU), CQ22*(1+CR22),CU22),0)))</f>
        <v>-22059.883500000004</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20838.178244240276</v>
      </c>
      <c r="DC23" s="64">
        <f>IF(OR($B23&lt;Analysis!$C$100, $B23&gt;=Analysis!$C$101),0,((1+Analysis!$B$114)/(1+$S23))-1)</f>
        <v>1.9607843137254832E-2</v>
      </c>
      <c r="DD23" s="1">
        <f t="shared" si="6"/>
        <v>26670.005943668788</v>
      </c>
      <c r="DE23" s="1">
        <f t="shared" si="27"/>
        <v>-1871.8276994285104</v>
      </c>
      <c r="DF23" s="64">
        <f>IF(OR($B23&lt;Analysis!$C$100, $B23&gt;=Analysis!$C$101),0,Analysis!$C$118)</f>
        <v>3.0000000000000001E-3</v>
      </c>
      <c r="DG23" s="1">
        <f t="shared" si="28"/>
        <v>-4679.5692485712752</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-1562.8633683180208</v>
      </c>
      <c r="DR23" s="1">
        <f t="shared" si="29"/>
        <v>-20374.260316317806</v>
      </c>
      <c r="DS23" s="1">
        <f>MIN(0,-(DB23+DR23)*Analysis!$C$28)-CS23*Analysis!$C$28</f>
        <v>2213.642046226425</v>
      </c>
      <c r="DT23" s="1">
        <f>-Analysis!$C$116*DD23/12</f>
        <v>-2222.5004953057323</v>
      </c>
      <c r="DU23" s="53"/>
      <c r="DV23" s="1">
        <f t="shared" si="30"/>
        <v>-79552.677225711683</v>
      </c>
      <c r="DW23" s="64">
        <f>IF(OR($B23&lt;Analysis!$C$100, $B23&gt;=Analysis!$C$101),0,IF($B23=Analysis!$C$100,Analysis!$C$31,DW22))</f>
        <v>0.1275</v>
      </c>
      <c r="DX23" s="1">
        <f>IF(OR($B23&lt;Analysis!$C$100, $B23&gt;=Analysis!$C$101),0,CK23+DV23)</f>
        <v>544389.88925045845</v>
      </c>
      <c r="DY23" s="1">
        <f>IF(OR($B23&lt;Analysis!$C$100, $B23&gt;=Analysis!$C$101),0,IF($B23-Analysis!$C$100&gt;3,0,IF(CK23&gt;LOOKUP(Analysis!$C$100,$B:$B, CK:CK),$V23*(LOOKUP(Analysis!$C$100,$B:$B, CK:CK)-CK23),0)))</f>
        <v>0</v>
      </c>
      <c r="DZ23" s="1">
        <f t="shared" si="49"/>
        <v>544389.88925045845</v>
      </c>
      <c r="EA23" s="53"/>
      <c r="EB23" s="1">
        <f t="shared" si="31"/>
        <v>1037398.4840206199</v>
      </c>
      <c r="EC23" s="64">
        <f t="shared" si="50"/>
        <v>1.9607843137254832E-2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-136318.06311595743</v>
      </c>
      <c r="FM23" s="1">
        <f>$M23+$R23+DD23+IF(AND($B23&lt;&gt;Analysis!$C$130,$B23=Analysis!$C$101),DZ22+CQ22+CT22+CZ22,0)</f>
        <v>158137.92918489466</v>
      </c>
      <c r="FN23" s="1">
        <f t="shared" si="34"/>
        <v>21819.866068937234</v>
      </c>
      <c r="FO23" s="1">
        <f>IF(FN23 &lt; 0,
    IF(FO22 + FN23 &gt; 0,
        FO22 + FN23, IF(FT22-ABS(FO22 + FN23)*(1+$V23) &gt;= FO22 + FN23,
        0, FO22 + FN23)),
    MIN(FO22 + FN23, Analysis!$C$7))+IF(FO22&lt;0, FO22*Analysis!$C$9,0)</f>
        <v>24000</v>
      </c>
      <c r="FP23" s="53"/>
      <c r="FQ23" s="1">
        <f t="shared" si="51"/>
        <v>27242.604775557087</v>
      </c>
      <c r="FR23" s="1">
        <f>IF(OR($B23=Analysis!$C$100, $B23=Analysis!$C$130),0,IF(FN23 &gt;= 0,
    MAX(0, FO22 + FN23 - Analysis!$C$7),
    0))</f>
        <v>21819.866068937234</v>
      </c>
      <c r="FS23" s="1">
        <f>IF(OR($B23=Analysis!$C$100, $B23=Analysis!$C$130),0,MAX(0, FS22 + FR23 - IF(FN23 &lt; 0, MIN(ABS(FN23), FS22 + FR23), 0)))</f>
        <v>473810.86819858954</v>
      </c>
      <c r="FT23" s="1">
        <f>IF(OR($B23=Analysis!$C$100, $B23=Analysis!$C$130),0,IF(FN23 &lt; 0,
    IF(FN23 + FO22 &lt; 0,
        MAX(0, FT22 - (ABS(FN23 + FO22) * (1+$V22))),
        FT22 + FQ23),
    FT22 + FR23 + FQ23))</f>
        <v>691101.67766214942</v>
      </c>
      <c r="FU23" s="1">
        <f t="shared" si="57"/>
        <v>633791.22666613548</v>
      </c>
      <c r="FV23" s="36"/>
      <c r="FW23" s="1">
        <f t="shared" si="52"/>
        <v>623942.56647617009</v>
      </c>
      <c r="FX23" s="64">
        <f t="shared" si="53"/>
        <v>1.9607843137254832E-2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-16600.158652135251</v>
      </c>
      <c r="GC23" s="1">
        <f>IF($B23&lt;Analysis!$C$159,0,IF($B23=Analysis!$C$159,-FY23-GB23,MIN(0,GC22-GB23)))</f>
        <v>-130959.97237123642</v>
      </c>
      <c r="GD23" s="64">
        <f>IF($B23&lt;Analysis!$C$159,0,IF($B23=Analysis!$C$159,Analysis!$C$160,IF(($B23-Analysis!$C$159)&lt;LOOKUP(Analysis!$C$159,$B:$B,FZ:FZ),GD22,0)))</f>
        <v>3.6999999999999998E-2</v>
      </c>
      <c r="GE23" s="1">
        <f>IF($B23&lt;Analysis!$C$159,0,IF($B23=Analysis!$C$159,-GD23*FY23,GD22*GC22))</f>
        <v>-5459.7248478647516</v>
      </c>
      <c r="GF23" s="1">
        <f>IF($B23&lt;Analysis!$C$159,0,IF($B23=Analysis!$C$159,PMT(GD23,FZ23,FY23)*FZ23-GG23-GC23,IF(($B23-Analysis!$C$159+1)&lt;LOOKUP(Analysis!$C$159,$B:$B,FZ:FZ),IF(GF22-GE23&lt;0, GF22-GE23,0),0)))</f>
        <v>-19629.779697889611</v>
      </c>
      <c r="GG23" s="1">
        <f>IF($B23&lt;Analysis!$C$159,0,IF($B23=Analysis!$C$159,GB23+GE23,IF(GC22&lt;0,IF(GC22&gt;LOOKUP(Analysis!$C$159,$B:$B,GG:GG), GC22*(1+GD22),GG22),0)))</f>
        <v>-22059.883500000004</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20838.178244240276</v>
      </c>
      <c r="GO23" s="64">
        <f>IF($B23&lt;Analysis!$C$159,0,((1+Analysis!$B$174)/(1+$S23))-1)</f>
        <v>1.9607843137254832E-2</v>
      </c>
      <c r="GP23" s="1">
        <f t="shared" si="7"/>
        <v>26670.005943668788</v>
      </c>
      <c r="GQ23" s="1">
        <f t="shared" si="36"/>
        <v>-1871.8276994285104</v>
      </c>
      <c r="GR23" s="64">
        <f>IF($B23&lt;Analysis!$C$159,0,Analysis!$C$178)</f>
        <v>3.0000000000000001E-3</v>
      </c>
      <c r="GS23" s="1">
        <f t="shared" si="37"/>
        <v>-4679.5692485712752</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-1562.8633683180208</v>
      </c>
      <c r="HD23" s="1">
        <f t="shared" si="38"/>
        <v>-20374.260316317806</v>
      </c>
      <c r="HE23" s="1">
        <f>MIN(0,-(GN23+HD23)*Analysis!$C$28)-GE23*Analysis!$C$28</f>
        <v>2213.642046226425</v>
      </c>
      <c r="HF23" s="1">
        <f>-Analysis!$C$176*GP23/12</f>
        <v>-2222.5004953057323</v>
      </c>
      <c r="HG23" s="38"/>
      <c r="HH23" s="1">
        <f>IF($B23&lt;Analysis!$C$159,0,-$HI23*$FW23)</f>
        <v>-79552.677225711683</v>
      </c>
      <c r="HI23" s="64">
        <f>IF($B23&lt;Analysis!$C$159,0,IF($B23=Analysis!$C$159,Analysis!$C$31,HI22))</f>
        <v>0.1275</v>
      </c>
      <c r="HJ23" s="1">
        <f>IF($B23&lt;Analysis!$C$159,0,$FW23+HH23)</f>
        <v>544389.88925045845</v>
      </c>
      <c r="HK23" s="1">
        <f>IF($B23-Analysis!$C$159&gt;10,0,IF($FW23&gt;LOOKUP(Analysis!$C$159,$B:$B, FW:FW),$V23*(LOOKUP(Analysis!$C$159,$B:$B, FW:FW)-FW23),0))</f>
        <v>0</v>
      </c>
      <c r="HL23" s="1">
        <f t="shared" si="39"/>
        <v>544389.88925045845</v>
      </c>
      <c r="HM23" s="38"/>
      <c r="HN23" s="1">
        <f t="shared" si="40"/>
        <v>-136318.06311595743</v>
      </c>
      <c r="HO23" s="1">
        <f t="shared" si="8"/>
        <v>158137.92918489466</v>
      </c>
      <c r="HP23" s="1">
        <f t="shared" si="41"/>
        <v>21819.866068937234</v>
      </c>
      <c r="HQ23" s="1">
        <f>IF(HP23 &lt; 0,
    IF(HQ22 + HP23 &gt; 0,
        HQ22 + HP23, IF(HV22-ABS(HQ22 + HP23)*(1+$V23) &gt;= HQ22 + HP23,
        0, HQ22 + HP23)),
    MIN(HQ22 + HP23, Analysis!$C$7))+IF(HQ22&lt;0, HQ22*Analysis!$C$9,0)</f>
        <v>24000</v>
      </c>
      <c r="HR23" s="38"/>
      <c r="HS23" s="1">
        <f t="shared" si="54"/>
        <v>27242.604775557087</v>
      </c>
      <c r="HT23" s="1">
        <f>IF($B23=Analysis!$C$159,0,IF(HP23 &gt;= 0,
    MAX(0, HQ22 + HP23 - Analysis!$C$7),
    0))</f>
        <v>21819.866068937234</v>
      </c>
      <c r="HU23" s="1">
        <f>IF($B23=Analysis!$C$159,0,MAX(0, HU22 + HT23 - IF(HP23 &lt; 0, MIN(ABS(HP23), HU22 + HT23), 0)))</f>
        <v>473810.86819858954</v>
      </c>
      <c r="HV23" s="1">
        <f>IF($B23=Analysis!$C$159,0,IF(HP23 &lt; 0,
    IF(HP23 + HQ22 &lt; 0,
        MAX(0, HV22 - (ABS(HP23 + HQ22) * (1+$V22))),
        HV22 + HS23),
    HV22 + HT23 + HS23))</f>
        <v>691101.67766214942</v>
      </c>
      <c r="HW23" s="1">
        <f t="shared" si="58"/>
        <v>633791.22666613548</v>
      </c>
      <c r="HX23" s="36"/>
    </row>
    <row r="24" spans="1:232" x14ac:dyDescent="0.35">
      <c r="A24">
        <f t="shared" si="0"/>
        <v>57</v>
      </c>
      <c r="B24">
        <v>2047</v>
      </c>
      <c r="C24" s="1">
        <f>IF($B24&lt;Analysis!C$66,0,$AN24)+$AT24+$AW24+$BC24+$CF24+$CA24</f>
        <v>562486.42658575601</v>
      </c>
      <c r="D24" s="1">
        <f>IF($B24&lt;Analysis!C$66, 0, BV24)+AT24+AW24+BC24+CG24+CA24</f>
        <v>427624.62366307544</v>
      </c>
      <c r="E24" s="1">
        <f t="shared" si="1"/>
        <v>1336360.7417119737</v>
      </c>
      <c r="F24" s="1">
        <f t="shared" si="9"/>
        <v>1188123.0337353838</v>
      </c>
      <c r="G24" s="1">
        <f>IF(AND($B24&gt;=Analysis!$C$100, $B24&lt;Analysis!$C$101),$CK24,0)+IF($B24&gt;=Analysis!$C$130,EB24,0)+CQ24+CT24+CZ24+EH24+EK24+EQ24+$FO24+$FT24</f>
        <v>1272107.474875798</v>
      </c>
      <c r="H24" s="1">
        <f t="shared" si="10"/>
        <v>1126262.6583360932</v>
      </c>
      <c r="I24" s="1">
        <f>IF($B24&lt;Analysis!$C$159,0,$FW24)+$GC24+$GF24+$GL24+$HQ24+$HV24</f>
        <v>1272107.474875798</v>
      </c>
      <c r="J24" s="1">
        <f t="shared" si="2"/>
        <v>1126262.6583360932</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-24282.022828022291</v>
      </c>
      <c r="Y24" s="64">
        <f t="shared" si="15"/>
        <v>1.9607843137254832E-2</v>
      </c>
      <c r="Z24" s="1">
        <f t="shared" si="16"/>
        <v>-3960</v>
      </c>
      <c r="AA24" s="64">
        <f t="shared" si="17"/>
        <v>0</v>
      </c>
      <c r="AB24" s="40"/>
      <c r="AC24" s="1">
        <f t="shared" si="3"/>
        <v>-102642.02282802229</v>
      </c>
      <c r="AD24" s="1">
        <f t="shared" si="4"/>
        <v>131467.92324122589</v>
      </c>
      <c r="AE24" s="1">
        <f t="shared" si="18"/>
        <v>28825.900413203592</v>
      </c>
      <c r="AF24" s="1">
        <f>IF(AE24 &lt; 0,
    IF(AF23 + AE24 &gt; 0,
        AF23 + AE24, IF(AK23-ABS(AF23 + AE24)*(1+$V24) &gt;= AF23 + AE24,
        0, AF23 + AE24)),
    MIN(AF23 + AE24, Analysis!$C$7))+IF(AF23&lt;0, AF23*Analysis!$C$9,0)</f>
        <v>24000</v>
      </c>
      <c r="AG24" s="40"/>
      <c r="AH24" s="1">
        <f t="shared" si="19"/>
        <v>50217.105349465455</v>
      </c>
      <c r="AI24" s="1">
        <f>IF(AE24 &gt;= 0,
    MAX(0, AF23 + AE24 - Analysis!$C$7),
    0)</f>
        <v>28825.900413203592</v>
      </c>
      <c r="AJ24" s="1">
        <f t="shared" si="44"/>
        <v>750322.03848319722</v>
      </c>
      <c r="AK24" s="1">
        <f t="shared" si="20"/>
        <v>1312360.7417119737</v>
      </c>
      <c r="AL24" s="1">
        <f t="shared" si="5"/>
        <v>1164123.0337353838</v>
      </c>
      <c r="AM24" s="36"/>
      <c r="AN24" s="1">
        <f t="shared" si="45"/>
        <v>1057739.6307661221</v>
      </c>
      <c r="AO24" s="64">
        <f t="shared" si="21"/>
        <v>1.9607843137254832E-2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-30861.539601323904</v>
      </c>
      <c r="AT24" s="1">
        <f>IF($B24&lt;Analysis!$C$66,0,IF($B24=Analysis!$C$66,-AP24-AS24,MIN(0,AT23-AS24)))</f>
        <v>-203920.66036289511</v>
      </c>
      <c r="AU24" s="64">
        <f>IF($B24&lt;Analysis!$C$66,0,IF($B24=Analysis!$C$66,Analysis!$C$72,IF(($B24-Analysis!$C$66)&lt;LOOKUP(Analysis!$C$66,$B:$B,AQ:AQ),AU23,0)))</f>
        <v>3.6999999999999998E-2</v>
      </c>
      <c r="AV24" s="1">
        <f>IF($B24&lt;Analysis!$C$66,0,IF($B24=Analysis!$C$66,-AU24*AP24,AU23*AT23))</f>
        <v>-8686.9413986761028</v>
      </c>
      <c r="AW24" s="1">
        <f>IF($B24&lt;Analysis!$C$66,0,IF($B24=Analysis!$C$66,PMT(AU24,AQ24,AP24)*AQ24-AX24-AT24,IF(($B24-Analysis!$C$66+1)&lt;LOOKUP(Analysis!$C$66,$B:$B,AQ:AQ),IF(AW23-AV24&lt;0, AW23-AV24,0),0)))</f>
        <v>-26504.902176389489</v>
      </c>
      <c r="AX24" s="1">
        <f>IF($B24&lt;Analysis!$C$66,0,IF($B24=Analysis!$C$66,AS24+AV24,IF(AT23&lt;0,IF(AT23&gt;LOOKUP(Analysis!$C$66,$B:$B,AX:AX), AT23*(1+AU23),AX23),0)))</f>
        <v>-39548.481000000007</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-3173.2188922983664</v>
      </c>
      <c r="BF24" s="64">
        <f>IF($B24&lt;Analysis!$C$66,0,Analysis!$C$78)</f>
        <v>3.0000000000000001E-3</v>
      </c>
      <c r="BG24" s="1">
        <f>IF($B24&lt;Analysis!$C$66,0,-BH24*AN24)</f>
        <v>-7933.0472307459158</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-134861.80292268057</v>
      </c>
      <c r="BS24" s="64">
        <f>IF($B24&lt;Analysis!C$66,0,Analysis!C$31)</f>
        <v>0.1275</v>
      </c>
      <c r="BT24" s="1">
        <f>IF($B24&lt;Analysis!$C$66,0,AN24+BR24)</f>
        <v>922877.82784344163</v>
      </c>
      <c r="BU24" s="1">
        <f>IF($B24-Analysis!$C$66&gt;3,0,IF($AN24&gt;LOOKUP(Analysis!$C$66,$B:$B, AN:AN),$V24*(LOOKUP(Analysis!$C$66,$B:$B, AN:AN)-AN24),0))</f>
        <v>0</v>
      </c>
      <c r="BV24" s="1">
        <f t="shared" si="23"/>
        <v>922877.82784344163</v>
      </c>
      <c r="BW24" s="42"/>
      <c r="BX24" s="1">
        <f>IF($B24&lt;Analysis!$C$66,$P24+$N24+$X24+$Z24,$P24+$N24+AS24+AV24+BB24+BE24+BG24+MAX(BI24,SUM(BJ24:BN24))+BP24)</f>
        <v>-129014.74712304429</v>
      </c>
      <c r="BY24" s="1">
        <f t="shared" si="24"/>
        <v>131467.92324122589</v>
      </c>
      <c r="BZ24" s="1">
        <f t="shared" si="46"/>
        <v>2453.1761181815964</v>
      </c>
      <c r="CA24" s="1">
        <f>IF(BZ24 &lt; 0,
    IF(CA23 + BZ24 &gt; 0,
        CA23 + BZ24, IF(CF23-ABS(CA23 + BZ24)*(1+$V24) &gt;= CA23 + BZ24,
        0, CA23 + BZ24)),
    MIN(CA23 + BZ24, Analysis!$C$7))+IF(CA23&lt;0, CA23*Analysis!$C$9,0)</f>
        <v>-264827.6416410816</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-24282.022828022291</v>
      </c>
      <c r="CJ24" s="1">
        <f>IF(OR($B24&lt;Analysis!$C$100, $B24&gt;=Analysis!$C$130),0,Z24)</f>
        <v>-3960</v>
      </c>
      <c r="CK24" s="1">
        <f t="shared" si="26"/>
        <v>636176.734446291</v>
      </c>
      <c r="CL24" s="64">
        <f t="shared" si="48"/>
        <v>1.9607843137254832E-2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-17214.364522264255</v>
      </c>
      <c r="CQ24" s="1">
        <f>IF(OR($B24&lt;Analysis!$C$100, $B24&gt;=Analysis!$C$101),0,IF($B24=Analysis!$C$100,-CM24-CP24,MIN(0,CQ23-CP24)))</f>
        <v>-113745.60784897217</v>
      </c>
      <c r="CR24" s="64">
        <f>IF(OR($B24&lt;Analysis!$C$100, $B24&gt;=Analysis!$C$101),0,IF($B24=Analysis!$C$100,Analysis!$C$102,IF(($B24-Analysis!$C$100)&lt;LOOKUP(Analysis!$C$100,$B:$B,CN:CN),CR23,0)))</f>
        <v>3.6999999999999998E-2</v>
      </c>
      <c r="CS24" s="1">
        <f>IF(OR($B24&lt;Analysis!$C$100, $B24&gt;=Analysis!$C$101),0,IF($B24=Analysis!$C$100,-CR24*CM24,CR23*CQ23))</f>
        <v>-4845.5189777357473</v>
      </c>
      <c r="CT24" s="1">
        <f>IF(OR($B24&lt;Analysis!$C$100, $B24&gt;=Analysis!$C$101),0,IF($B24=Analysis!$C$100,PMT(CR24,CN24,CM24)*CN24-CU24-CQ24,IF(($B24-Analysis!$C$100+1)&lt;LOOKUP(Analysis!$C$100,$B:$B,CN:CN),IF(CT23-CS24&lt;0, CT23-CS24,0),0)))</f>
        <v>-14784.260720153863</v>
      </c>
      <c r="CU24" s="1">
        <f>IF(OR($B24&lt;Analysis!$C$100, $B24&gt;=Analysis!$C$101),0,IF($B24=Analysis!$C$100,CP24+CS24,IF(CQ23&lt;0,IF(CQ23&gt;LOOKUP(Analysis!$C$100,$B:$B,CU:CU), CQ23*(1+CR23),CU23),0)))</f>
        <v>-22059.883500000004</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21246.769974519495</v>
      </c>
      <c r="DC24" s="64">
        <f>IF(OR($B24&lt;Analysis!$C$100, $B24&gt;=Analysis!$C$101),0,((1+Analysis!$B$114)/(1+$S24))-1)</f>
        <v>1.9607843137254832E-2</v>
      </c>
      <c r="DD24" s="1">
        <f t="shared" si="6"/>
        <v>27115.300177858368</v>
      </c>
      <c r="DE24" s="1">
        <f t="shared" si="27"/>
        <v>-1908.530203338873</v>
      </c>
      <c r="DF24" s="64">
        <f>IF(OR($B24&lt;Analysis!$C$100, $B24&gt;=Analysis!$C$101),0,Analysis!$C$118)</f>
        <v>3.0000000000000001E-3</v>
      </c>
      <c r="DG24" s="1">
        <f t="shared" si="28"/>
        <v>-4771.3255083471822</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-1593.507748088962</v>
      </c>
      <c r="DR24" s="1">
        <f t="shared" si="29"/>
        <v>-20533.363459775017</v>
      </c>
      <c r="DS24" s="1">
        <f>MIN(0,-(DB24+DR24)*Analysis!$C$28)-CS24*Analysis!$C$28</f>
        <v>1830.9390323514313</v>
      </c>
      <c r="DT24" s="1">
        <f>-Analysis!$C$116*DD24/12</f>
        <v>-2259.608348154864</v>
      </c>
      <c r="DU24" s="53"/>
      <c r="DV24" s="1">
        <f t="shared" si="30"/>
        <v>-81112.533641902104</v>
      </c>
      <c r="DW24" s="64">
        <f>IF(OR($B24&lt;Analysis!$C$100, $B24&gt;=Analysis!$C$101),0,IF($B24=Analysis!$C$100,Analysis!$C$31,DW23))</f>
        <v>0.1275</v>
      </c>
      <c r="DX24" s="1">
        <f>IF(OR($B24&lt;Analysis!$C$100, $B24&gt;=Analysis!$C$101),0,CK24+DV24)</f>
        <v>555064.20080438885</v>
      </c>
      <c r="DY24" s="1">
        <f>IF(OR($B24&lt;Analysis!$C$100, $B24&gt;=Analysis!$C$101),0,IF($B24-Analysis!$C$100&gt;3,0,IF(CK24&gt;LOOKUP(Analysis!$C$100,$B:$B, CK:CK),$V24*(LOOKUP(Analysis!$C$100,$B:$B, CK:CK)-CK24),0)))</f>
        <v>0</v>
      </c>
      <c r="DZ24" s="1">
        <f t="shared" si="49"/>
        <v>555064.20080438885</v>
      </c>
      <c r="EA24" s="53"/>
      <c r="EB24" s="1">
        <f t="shared" si="31"/>
        <v>1057739.6307661221</v>
      </c>
      <c r="EC24" s="64">
        <f t="shared" si="50"/>
        <v>1.9607843137254832E-2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-137363.93910360077</v>
      </c>
      <c r="FM24" s="1">
        <f>$M24+$R24+DD24+IF(AND($B24&lt;&gt;Analysis!$C$130,$B24=Analysis!$C$101),DZ23+CQ23+CT23+CZ23,0)</f>
        <v>158583.22341908424</v>
      </c>
      <c r="FN24" s="1">
        <f t="shared" si="34"/>
        <v>21219.28431548347</v>
      </c>
      <c r="FO24" s="1">
        <f>IF(FN24 &lt; 0,
    IF(FO23 + FN24 &gt; 0,
        FO23 + FN24, IF(FT23-ABS(FO23 + FN24)*(1+$V24) &gt;= FO23 + FN24,
        0, FO23 + FN24)),
    MIN(FO23 + FN24, Analysis!$C$7))+IF(FO23&lt;0, FO23*Analysis!$C$9,0)</f>
        <v>24000</v>
      </c>
      <c r="FP24" s="53"/>
      <c r="FQ24" s="1">
        <f t="shared" si="51"/>
        <v>28139.647021000132</v>
      </c>
      <c r="FR24" s="1">
        <f>IF(OR($B24=Analysis!$C$100, $B24=Analysis!$C$130),0,IF(FN24 &gt;= 0,
    MAX(0, FO23 + FN24 - Analysis!$C$7),
    0))</f>
        <v>21219.28431548347</v>
      </c>
      <c r="FS24" s="1">
        <f>IF(OR($B24=Analysis!$C$100, $B24=Analysis!$C$130),0,MAX(0, FS23 + FR24 - IF(FN24 &lt; 0, MIN(ABS(FN24), FS23 + FR24), 0)))</f>
        <v>495030.15251407301</v>
      </c>
      <c r="FT24" s="1">
        <f>IF(OR($B24=Analysis!$C$100, $B24=Analysis!$C$130),0,IF(FN24 &lt; 0,
    IF(FN24 + FO23 &lt; 0,
        MAX(0, FT23 - (ABS(FN24 + FO23) * (1+$V23))),
        FT23 + FQ24),
    FT23 + FR24 + FQ24))</f>
        <v>740460.60899863311</v>
      </c>
      <c r="FU24" s="1">
        <f t="shared" si="57"/>
        <v>675728.32610083034</v>
      </c>
      <c r="FV24" s="36"/>
      <c r="FW24" s="1">
        <f t="shared" si="52"/>
        <v>636176.734446291</v>
      </c>
      <c r="FX24" s="64">
        <f t="shared" si="53"/>
        <v>1.9607843137254832E-2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-17214.364522264255</v>
      </c>
      <c r="GC24" s="1">
        <f>IF($B24&lt;Analysis!$C$159,0,IF($B24=Analysis!$C$159,-FY24-GB24,MIN(0,GC23-GB24)))</f>
        <v>-113745.60784897217</v>
      </c>
      <c r="GD24" s="64">
        <f>IF($B24&lt;Analysis!$C$159,0,IF($B24=Analysis!$C$159,Analysis!$C$160,IF(($B24-Analysis!$C$159)&lt;LOOKUP(Analysis!$C$159,$B:$B,FZ:FZ),GD23,0)))</f>
        <v>3.6999999999999998E-2</v>
      </c>
      <c r="GE24" s="1">
        <f>IF($B24&lt;Analysis!$C$159,0,IF($B24=Analysis!$C$159,-GD24*FY24,GD23*GC23))</f>
        <v>-4845.5189777357473</v>
      </c>
      <c r="GF24" s="1">
        <f>IF($B24&lt;Analysis!$C$159,0,IF($B24=Analysis!$C$159,PMT(GD24,FZ24,FY24)*FZ24-GG24-GC24,IF(($B24-Analysis!$C$159+1)&lt;LOOKUP(Analysis!$C$159,$B:$B,FZ:FZ),IF(GF23-GE24&lt;0, GF23-GE24,0),0)))</f>
        <v>-14784.260720153863</v>
      </c>
      <c r="GG24" s="1">
        <f>IF($B24&lt;Analysis!$C$159,0,IF($B24=Analysis!$C$159,GB24+GE24,IF(GC23&lt;0,IF(GC23&gt;LOOKUP(Analysis!$C$159,$B:$B,GG:GG), GC23*(1+GD23),GG23),0)))</f>
        <v>-22059.883500000004</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21246.769974519495</v>
      </c>
      <c r="GO24" s="64">
        <f>IF($B24&lt;Analysis!$C$159,0,((1+Analysis!$B$174)/(1+$S24))-1)</f>
        <v>1.9607843137254832E-2</v>
      </c>
      <c r="GP24" s="1">
        <f t="shared" si="7"/>
        <v>27115.300177858368</v>
      </c>
      <c r="GQ24" s="1">
        <f t="shared" si="36"/>
        <v>-1908.530203338873</v>
      </c>
      <c r="GR24" s="64">
        <f>IF($B24&lt;Analysis!$C$159,0,Analysis!$C$178)</f>
        <v>3.0000000000000001E-3</v>
      </c>
      <c r="GS24" s="1">
        <f t="shared" si="37"/>
        <v>-4771.3255083471822</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-1593.507748088962</v>
      </c>
      <c r="HD24" s="1">
        <f t="shared" si="38"/>
        <v>-20533.363459775017</v>
      </c>
      <c r="HE24" s="1">
        <f>MIN(0,-(GN24+HD24)*Analysis!$C$28)-GE24*Analysis!$C$28</f>
        <v>1830.9390323514313</v>
      </c>
      <c r="HF24" s="1">
        <f>-Analysis!$C$176*GP24/12</f>
        <v>-2259.608348154864</v>
      </c>
      <c r="HG24" s="38"/>
      <c r="HH24" s="1">
        <f>IF($B24&lt;Analysis!$C$159,0,-$HI24*$FW24)</f>
        <v>-81112.533641902104</v>
      </c>
      <c r="HI24" s="64">
        <f>IF($B24&lt;Analysis!$C$159,0,IF($B24=Analysis!$C$159,Analysis!$C$31,HI23))</f>
        <v>0.1275</v>
      </c>
      <c r="HJ24" s="1">
        <f>IF($B24&lt;Analysis!$C$159,0,$FW24+HH24)</f>
        <v>555064.20080438885</v>
      </c>
      <c r="HK24" s="1">
        <f>IF($B24-Analysis!$C$159&gt;10,0,IF($FW24&gt;LOOKUP(Analysis!$C$159,$B:$B, FW:FW),$V24*(LOOKUP(Analysis!$C$159,$B:$B, FW:FW)-FW24),0))</f>
        <v>0</v>
      </c>
      <c r="HL24" s="1">
        <f t="shared" si="39"/>
        <v>555064.20080438885</v>
      </c>
      <c r="HM24" s="38"/>
      <c r="HN24" s="1">
        <f t="shared" si="40"/>
        <v>-137363.93910360077</v>
      </c>
      <c r="HO24" s="1">
        <f t="shared" si="8"/>
        <v>158583.22341908424</v>
      </c>
      <c r="HP24" s="1">
        <f t="shared" si="41"/>
        <v>21219.28431548347</v>
      </c>
      <c r="HQ24" s="1">
        <f>IF(HP24 &lt; 0,
    IF(HQ23 + HP24 &gt; 0,
        HQ23 + HP24, IF(HV23-ABS(HQ23 + HP24)*(1+$V24) &gt;= HQ23 + HP24,
        0, HQ23 + HP24)),
    MIN(HQ23 + HP24, Analysis!$C$7))+IF(HQ23&lt;0, HQ23*Analysis!$C$9,0)</f>
        <v>24000</v>
      </c>
      <c r="HR24" s="38"/>
      <c r="HS24" s="1">
        <f t="shared" si="54"/>
        <v>28139.647021000132</v>
      </c>
      <c r="HT24" s="1">
        <f>IF($B24=Analysis!$C$159,0,IF(HP24 &gt;= 0,
    MAX(0, HQ23 + HP24 - Analysis!$C$7),
    0))</f>
        <v>21219.28431548347</v>
      </c>
      <c r="HU24" s="1">
        <f>IF($B24=Analysis!$C$159,0,MAX(0, HU23 + HT24 - IF(HP24 &lt; 0, MIN(ABS(HP24), HU23 + HT24), 0)))</f>
        <v>495030.15251407301</v>
      </c>
      <c r="HV24" s="1">
        <f>IF($B24=Analysis!$C$159,0,IF(HP24 &lt; 0,
    IF(HP24 + HQ23 &lt; 0,
        MAX(0, HV23 - (ABS(HP24 + HQ23) * (1+$V23))),
        HV23 + HS24),
    HV23 + HT24 + HS24))</f>
        <v>740460.60899863311</v>
      </c>
      <c r="HW24" s="1">
        <f t="shared" si="58"/>
        <v>675728.32610083034</v>
      </c>
      <c r="HX24" s="36"/>
    </row>
    <row r="25" spans="1:232" x14ac:dyDescent="0.35">
      <c r="A25">
        <f t="shared" si="0"/>
        <v>58</v>
      </c>
      <c r="B25">
        <v>2048</v>
      </c>
      <c r="C25" s="1">
        <f>IF($B25&lt;Analysis!C$66,0,$AN25)+$AT25+$AW25+$BC25+$CF25+$CA25</f>
        <v>603824.09520878969</v>
      </c>
      <c r="D25" s="1">
        <f>IF($B25&lt;Analysis!C$66, 0, BV25)+AT25+AW25+BC25+CG25+CA25</f>
        <v>466317.94320919382</v>
      </c>
      <c r="E25" s="1">
        <f t="shared" si="1"/>
        <v>1415896.2690377864</v>
      </c>
      <c r="F25" s="1">
        <f t="shared" si="9"/>
        <v>1254158.3208155276</v>
      </c>
      <c r="G25" s="1">
        <f>IF(AND($B25&gt;=Analysis!$C$100, $B25&lt;Analysis!$C$101),$CK25,0)+IF($B25&gt;=Analysis!$C$130,EB25,0)+CQ25+CT25+CZ25+EH25+EK25+EQ25+$FO25+$FT25</f>
        <v>1356123.6429560485</v>
      </c>
      <c r="H25" s="1">
        <f t="shared" si="10"/>
        <v>1201071.2745919363</v>
      </c>
      <c r="I25" s="1">
        <f>IF($B25&lt;Analysis!$C$159,0,$FW25)+$GC25+$GF25+$GL25+$HQ25+$HV25</f>
        <v>1356123.6429560485</v>
      </c>
      <c r="J25" s="1">
        <f t="shared" si="2"/>
        <v>1201071.2745919363</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-24758.140922689392</v>
      </c>
      <c r="Y25" s="64">
        <f t="shared" si="15"/>
        <v>1.9607843137254832E-2</v>
      </c>
      <c r="Z25" s="1">
        <f t="shared" si="16"/>
        <v>-3960</v>
      </c>
      <c r="AA25" s="64">
        <f t="shared" si="17"/>
        <v>0</v>
      </c>
      <c r="AB25" s="40"/>
      <c r="AC25" s="1">
        <f t="shared" si="3"/>
        <v>-103118.14092268939</v>
      </c>
      <c r="AD25" s="1">
        <f t="shared" si="4"/>
        <v>131467.92324122589</v>
      </c>
      <c r="AE25" s="1">
        <f t="shared" si="18"/>
        <v>28349.782318536498</v>
      </c>
      <c r="AF25" s="1">
        <f>IF(AE25 &lt; 0,
    IF(AF24 + AE25 &gt; 0,
        AF24 + AE25, IF(AK24-ABS(AF24 + AE25)*(1+$V25) &gt;= AF24 + AE25,
        0, AF24 + AE25)),
    MIN(AF24 + AE25, Analysis!$C$7))+IF(AF24&lt;0, AF24*Analysis!$C$9,0)</f>
        <v>24000</v>
      </c>
      <c r="AG25" s="40"/>
      <c r="AH25" s="1">
        <f t="shared" si="19"/>
        <v>51185.745007276193</v>
      </c>
      <c r="AI25" s="1">
        <f>IF(AE25 &gt;= 0,
    MAX(0, AF24 + AE25 - Analysis!$C$7),
    0)</f>
        <v>28349.782318536498</v>
      </c>
      <c r="AJ25" s="1">
        <f t="shared" si="44"/>
        <v>778671.82080173376</v>
      </c>
      <c r="AK25" s="1">
        <f t="shared" si="20"/>
        <v>1391896.2690377864</v>
      </c>
      <c r="AL25" s="1">
        <f t="shared" si="5"/>
        <v>1230158.3208155276</v>
      </c>
      <c r="AM25" s="36"/>
      <c r="AN25" s="1">
        <f t="shared" si="45"/>
        <v>1078479.6235262421</v>
      </c>
      <c r="AO25" s="64">
        <f t="shared" si="21"/>
        <v>1.9607843137254832E-2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-32003.416566572887</v>
      </c>
      <c r="AT25" s="1">
        <f>IF($B25&lt;Analysis!$C$66,0,IF($B25=Analysis!$C$66,-AP25-AS25,MIN(0,AT24-AS25)))</f>
        <v>-171917.24379632223</v>
      </c>
      <c r="AU25" s="64">
        <f>IF($B25&lt;Analysis!$C$66,0,IF($B25=Analysis!$C$66,Analysis!$C$72,IF(($B25-Analysis!$C$66)&lt;LOOKUP(Analysis!$C$66,$B:$B,AQ:AQ),AU24,0)))</f>
        <v>3.6999999999999998E-2</v>
      </c>
      <c r="AV25" s="1">
        <f>IF($B25&lt;Analysis!$C$66,0,IF($B25=Analysis!$C$66,-AU25*AP25,AU24*AT24))</f>
        <v>-7545.0644334271192</v>
      </c>
      <c r="AW25" s="1">
        <f>IF($B25&lt;Analysis!$C$66,0,IF($B25=Analysis!$C$66,PMT(AU25,AQ25,AP25)*AQ25-AX25-AT25,IF(($B25-Analysis!$C$66+1)&lt;LOOKUP(Analysis!$C$66,$B:$B,AQ:AQ),IF(AW24-AV25&lt;0, AW24-AV25,0),0)))</f>
        <v>-18959.837742962369</v>
      </c>
      <c r="AX25" s="1">
        <f>IF($B25&lt;Analysis!$C$66,0,IF($B25=Analysis!$C$66,AS25+AV25,IF(AT24&lt;0,IF(AT24&gt;LOOKUP(Analysis!$C$66,$B:$B,AX:AX), AT24*(1+AU24),AX24),0)))</f>
        <v>-39548.481000000007</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-3235.4388705787264</v>
      </c>
      <c r="BF25" s="64">
        <f>IF($B25&lt;Analysis!$C$66,0,Analysis!$C$78)</f>
        <v>3.0000000000000001E-3</v>
      </c>
      <c r="BG25" s="1">
        <f>IF($B25&lt;Analysis!$C$66,0,-BH25*AN25)</f>
        <v>-8088.5971764468159</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-137506.15199959587</v>
      </c>
      <c r="BS25" s="64">
        <f>IF($B25&lt;Analysis!C$66,0,Analysis!C$31)</f>
        <v>0.1275</v>
      </c>
      <c r="BT25" s="1">
        <f>IF($B25&lt;Analysis!$C$66,0,AN25+BR25)</f>
        <v>940973.47152664629</v>
      </c>
      <c r="BU25" s="1">
        <f>IF($B25-Analysis!$C$66&gt;3,0,IF($AN25&gt;LOOKUP(Analysis!$C$66,$B:$B, AN:AN),$V25*(LOOKUP(Analysis!$C$66,$B:$B, AN:AN)-AN25),0))</f>
        <v>0</v>
      </c>
      <c r="BV25" s="1">
        <f t="shared" si="23"/>
        <v>940973.47152664629</v>
      </c>
      <c r="BW25" s="42"/>
      <c r="BX25" s="1">
        <f>IF($B25&lt;Analysis!$C$66,$P25+$N25+$X25+$Z25,$P25+$N25+AS25+AV25+BB25+BE25+BG25+MAX(BI25,SUM(BJ25:BN25))+BP25)</f>
        <v>-129232.51704702554</v>
      </c>
      <c r="BY25" s="1">
        <f t="shared" si="24"/>
        <v>131467.92324122589</v>
      </c>
      <c r="BZ25" s="1">
        <f t="shared" si="46"/>
        <v>2235.4061942003464</v>
      </c>
      <c r="CA25" s="1">
        <f>IF(BZ25 &lt; 0,
    IF(CA24 + BZ25 &gt; 0,
        CA24 + BZ25, IF(CF24-ABS(CA24 + BZ25)*(1+$V25) &gt;= CA24 + BZ25,
        0, CA24 + BZ25)),
    MIN(CA24 + BZ25, Analysis!$C$7))+IF(CA24&lt;0, CA24*Analysis!$C$9,0)</f>
        <v>-283778.4467781678</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-24758.140922689392</v>
      </c>
      <c r="CJ25" s="1">
        <f>IF(OR($B25&lt;Analysis!$C$100, $B25&gt;=Analysis!$C$130),0,Z25)</f>
        <v>-3960</v>
      </c>
      <c r="CK25" s="1">
        <f t="shared" si="26"/>
        <v>648650.78806288494</v>
      </c>
      <c r="CL25" s="64">
        <f t="shared" si="48"/>
        <v>1.9607843137254832E-2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-17851.296009588033</v>
      </c>
      <c r="CQ25" s="1">
        <f>IF(OR($B25&lt;Analysis!$C$100, $B25&gt;=Analysis!$C$101),0,IF($B25=Analysis!$C$100,-CM25-CP25,MIN(0,CQ24-CP25)))</f>
        <v>-95894.311839384143</v>
      </c>
      <c r="CR25" s="64">
        <f>IF(OR($B25&lt;Analysis!$C$100, $B25&gt;=Analysis!$C$101),0,IF($B25=Analysis!$C$100,Analysis!$C$102,IF(($B25-Analysis!$C$100)&lt;LOOKUP(Analysis!$C$100,$B:$B,CN:CN),CR24,0)))</f>
        <v>3.6999999999999998E-2</v>
      </c>
      <c r="CS25" s="1">
        <f>IF(OR($B25&lt;Analysis!$C$100, $B25&gt;=Analysis!$C$101),0,IF($B25=Analysis!$C$100,-CR25*CM25,CR24*CQ24))</f>
        <v>-4208.5874904119701</v>
      </c>
      <c r="CT25" s="1">
        <f>IF(OR($B25&lt;Analysis!$C$100, $B25&gt;=Analysis!$C$101),0,IF($B25=Analysis!$C$100,PMT(CR25,CN25,CM25)*CN25-CU25-CQ25,IF(($B25-Analysis!$C$100+1)&lt;LOOKUP(Analysis!$C$100,$B:$B,CN:CN),IF(CT24-CS25&lt;0, CT24-CS25,0),0)))</f>
        <v>-10575.673229741893</v>
      </c>
      <c r="CU25" s="1">
        <f>IF(OR($B25&lt;Analysis!$C$100, $B25&gt;=Analysis!$C$101),0,IF($B25=Analysis!$C$100,CP25+CS25,IF(CQ24&lt;0,IF(CQ24&gt;LOOKUP(Analysis!$C$100,$B:$B,CU:CU), CQ24*(1+CR24),CU24),0)))</f>
        <v>-22059.883500000004</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21663.373307353209</v>
      </c>
      <c r="DC25" s="64">
        <f>IF(OR($B25&lt;Analysis!$C$100, $B25&gt;=Analysis!$C$101),0,((1+Analysis!$B$114)/(1+$S25))-1)</f>
        <v>1.9607843137254832E-2</v>
      </c>
      <c r="DD25" s="1">
        <f t="shared" si="6"/>
        <v>27569.325671541865</v>
      </c>
      <c r="DE25" s="1">
        <f t="shared" si="27"/>
        <v>-1945.9523641886549</v>
      </c>
      <c r="DF25" s="64">
        <f>IF(OR($B25&lt;Analysis!$C$100, $B25&gt;=Analysis!$C$101),0,Analysis!$C$118)</f>
        <v>3.0000000000000001E-3</v>
      </c>
      <c r="DG25" s="1">
        <f t="shared" si="28"/>
        <v>-4864.8809104716365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-1624.7529980514907</v>
      </c>
      <c r="DR25" s="1">
        <f t="shared" si="29"/>
        <v>-20695.586272711782</v>
      </c>
      <c r="DS25" s="1">
        <f>MIN(0,-(DB25+DR25)*Analysis!$C$28)-CS25*Analysis!$C$28</f>
        <v>1435.9986819519272</v>
      </c>
      <c r="DT25" s="1">
        <f>-Analysis!$C$116*DD25/12</f>
        <v>-2297.4438059618219</v>
      </c>
      <c r="DU25" s="53"/>
      <c r="DV25" s="1">
        <f t="shared" si="30"/>
        <v>-82702.975478017834</v>
      </c>
      <c r="DW25" s="64">
        <f>IF(OR($B25&lt;Analysis!$C$100, $B25&gt;=Analysis!$C$101),0,IF($B25=Analysis!$C$100,Analysis!$C$31,DW24))</f>
        <v>0.1275</v>
      </c>
      <c r="DX25" s="1">
        <f>IF(OR($B25&lt;Analysis!$C$100, $B25&gt;=Analysis!$C$101),0,CK25+DV25)</f>
        <v>565947.81258486712</v>
      </c>
      <c r="DY25" s="1">
        <f>IF(OR($B25&lt;Analysis!$C$100, $B25&gt;=Analysis!$C$101),0,IF($B25-Analysis!$C$100&gt;3,0,IF(CK25&gt;LOOKUP(Analysis!$C$100,$B:$B, CK:CK),$V25*(LOOKUP(Analysis!$C$100,$B:$B, CK:CK)-CK25),0)))</f>
        <v>0</v>
      </c>
      <c r="DZ25" s="1">
        <f t="shared" si="49"/>
        <v>565947.81258486712</v>
      </c>
      <c r="EA25" s="53"/>
      <c r="EB25" s="1">
        <f t="shared" si="31"/>
        <v>1078479.6235262421</v>
      </c>
      <c r="EC25" s="64">
        <f t="shared" si="50"/>
        <v>1.9607843137254832E-2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-138435.05581941106</v>
      </c>
      <c r="FM25" s="1">
        <f>$M25+$R25+DD25+IF(AND($B25&lt;&gt;Analysis!$C$130,$B25=Analysis!$C$101),DZ24+CQ24+CT24+CZ24,0)</f>
        <v>159037.24891276774</v>
      </c>
      <c r="FN25" s="1">
        <f t="shared" si="34"/>
        <v>20602.193093356676</v>
      </c>
      <c r="FO25" s="1">
        <f>IF(FN25 &lt; 0,
    IF(FO24 + FN25 &gt; 0,
        FO24 + FN25, IF(FT24-ABS(FO24 + FN25)*(1+$V25) &gt;= FO24 + FN25,
        0, FO24 + FN25)),
    MIN(FO24 + FN25, Analysis!$C$7))+IF(FO24&lt;0, FO24*Analysis!$C$9,0)</f>
        <v>24000</v>
      </c>
      <c r="FP25" s="53"/>
      <c r="FQ25" s="1">
        <f t="shared" si="51"/>
        <v>28880.037870299755</v>
      </c>
      <c r="FR25" s="1">
        <f>IF(OR($B25=Analysis!$C$100, $B25=Analysis!$C$130),0,IF(FN25 &gt;= 0,
    MAX(0, FO24 + FN25 - Analysis!$C$7),
    0))</f>
        <v>20602.193093356676</v>
      </c>
      <c r="FS25" s="1">
        <f>IF(OR($B25=Analysis!$C$100, $B25=Analysis!$C$130),0,MAX(0, FS24 + FR25 - IF(FN25 &lt; 0, MIN(ABS(FN25), FS24 + FR25), 0)))</f>
        <v>515632.34560742968</v>
      </c>
      <c r="FT25" s="1">
        <f>IF(OR($B25=Analysis!$C$100, $B25=Analysis!$C$130),0,IF(FN25 &lt; 0,
    IF(FN25 + FO24 &lt; 0,
        MAX(0, FT24 - (ABS(FN25 + FO24) * (1+$V24))),
        FT24 + FQ25),
    FT24 + FR25 + FQ25))</f>
        <v>789942.83996228955</v>
      </c>
      <c r="FU25" s="1">
        <f t="shared" si="57"/>
        <v>717593.44707619527</v>
      </c>
      <c r="FV25" s="36"/>
      <c r="FW25" s="1">
        <f t="shared" si="52"/>
        <v>648650.78806288494</v>
      </c>
      <c r="FX25" s="64">
        <f t="shared" si="53"/>
        <v>1.9607843137254832E-2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-17851.296009588033</v>
      </c>
      <c r="GC25" s="1">
        <f>IF($B25&lt;Analysis!$C$159,0,IF($B25=Analysis!$C$159,-FY25-GB25,MIN(0,GC24-GB25)))</f>
        <v>-95894.311839384143</v>
      </c>
      <c r="GD25" s="64">
        <f>IF($B25&lt;Analysis!$C$159,0,IF($B25=Analysis!$C$159,Analysis!$C$160,IF(($B25-Analysis!$C$159)&lt;LOOKUP(Analysis!$C$159,$B:$B,FZ:FZ),GD24,0)))</f>
        <v>3.6999999999999998E-2</v>
      </c>
      <c r="GE25" s="1">
        <f>IF($B25&lt;Analysis!$C$159,0,IF($B25=Analysis!$C$159,-GD25*FY25,GD24*GC24))</f>
        <v>-4208.5874904119701</v>
      </c>
      <c r="GF25" s="1">
        <f>IF($B25&lt;Analysis!$C$159,0,IF($B25=Analysis!$C$159,PMT(GD25,FZ25,FY25)*FZ25-GG25-GC25,IF(($B25-Analysis!$C$159+1)&lt;LOOKUP(Analysis!$C$159,$B:$B,FZ:FZ),IF(GF24-GE25&lt;0, GF24-GE25,0),0)))</f>
        <v>-10575.673229741893</v>
      </c>
      <c r="GG25" s="1">
        <f>IF($B25&lt;Analysis!$C$159,0,IF($B25=Analysis!$C$159,GB25+GE25,IF(GC24&lt;0,IF(GC24&gt;LOOKUP(Analysis!$C$159,$B:$B,GG:GG), GC24*(1+GD24),GG24),0)))</f>
        <v>-22059.883500000004</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21663.373307353209</v>
      </c>
      <c r="GO25" s="64">
        <f>IF($B25&lt;Analysis!$C$159,0,((1+Analysis!$B$174)/(1+$S25))-1)</f>
        <v>1.9607843137254832E-2</v>
      </c>
      <c r="GP25" s="1">
        <f t="shared" si="7"/>
        <v>27569.325671541865</v>
      </c>
      <c r="GQ25" s="1">
        <f t="shared" si="36"/>
        <v>-1945.9523641886549</v>
      </c>
      <c r="GR25" s="64">
        <f>IF($B25&lt;Analysis!$C$159,0,Analysis!$C$178)</f>
        <v>3.0000000000000001E-3</v>
      </c>
      <c r="GS25" s="1">
        <f t="shared" si="37"/>
        <v>-4864.8809104716365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-1624.7529980514907</v>
      </c>
      <c r="HD25" s="1">
        <f t="shared" si="38"/>
        <v>-20695.586272711782</v>
      </c>
      <c r="HE25" s="1">
        <f>MIN(0,-(GN25+HD25)*Analysis!$C$28)-GE25*Analysis!$C$28</f>
        <v>1435.9986819519272</v>
      </c>
      <c r="HF25" s="1">
        <f>-Analysis!$C$176*GP25/12</f>
        <v>-2297.4438059618219</v>
      </c>
      <c r="HG25" s="38"/>
      <c r="HH25" s="1">
        <f>IF($B25&lt;Analysis!$C$159,0,-$HI25*$FW25)</f>
        <v>-82702.975478017834</v>
      </c>
      <c r="HI25" s="64">
        <f>IF($B25&lt;Analysis!$C$159,0,IF($B25=Analysis!$C$159,Analysis!$C$31,HI24))</f>
        <v>0.1275</v>
      </c>
      <c r="HJ25" s="1">
        <f>IF($B25&lt;Analysis!$C$159,0,$FW25+HH25)</f>
        <v>565947.81258486712</v>
      </c>
      <c r="HK25" s="1">
        <f>IF($B25-Analysis!$C$159&gt;10,0,IF($FW25&gt;LOOKUP(Analysis!$C$159,$B:$B, FW:FW),$V25*(LOOKUP(Analysis!$C$159,$B:$B, FW:FW)-FW25),0))</f>
        <v>0</v>
      </c>
      <c r="HL25" s="1">
        <f t="shared" si="39"/>
        <v>565947.81258486712</v>
      </c>
      <c r="HM25" s="38"/>
      <c r="HN25" s="1">
        <f t="shared" si="40"/>
        <v>-138435.05581941106</v>
      </c>
      <c r="HO25" s="1">
        <f t="shared" si="8"/>
        <v>159037.24891276774</v>
      </c>
      <c r="HP25" s="1">
        <f t="shared" si="41"/>
        <v>20602.193093356676</v>
      </c>
      <c r="HQ25" s="1">
        <f>IF(HP25 &lt; 0,
    IF(HQ24 + HP25 &gt; 0,
        HQ24 + HP25, IF(HV24-ABS(HQ24 + HP25)*(1+$V25) &gt;= HQ24 + HP25,
        0, HQ24 + HP25)),
    MIN(HQ24 + HP25, Analysis!$C$7))+IF(HQ24&lt;0, HQ24*Analysis!$C$9,0)</f>
        <v>24000</v>
      </c>
      <c r="HR25" s="38"/>
      <c r="HS25" s="1">
        <f t="shared" si="54"/>
        <v>28880.037870299755</v>
      </c>
      <c r="HT25" s="1">
        <f>IF($B25=Analysis!$C$159,0,IF(HP25 &gt;= 0,
    MAX(0, HQ24 + HP25 - Analysis!$C$7),
    0))</f>
        <v>20602.193093356676</v>
      </c>
      <c r="HU25" s="1">
        <f>IF($B25=Analysis!$C$159,0,MAX(0, HU24 + HT25 - IF(HP25 &lt; 0, MIN(ABS(HP25), HU24 + HT25), 0)))</f>
        <v>515632.34560742968</v>
      </c>
      <c r="HV25" s="1">
        <f>IF($B25=Analysis!$C$159,0,IF(HP25 &lt; 0,
    IF(HP25 + HQ24 &lt; 0,
        MAX(0, HV24 - (ABS(HP25 + HQ24) * (1+$V24))),
        HV24 + HS25),
    HV24 + HT25 + HS25))</f>
        <v>789942.83996228955</v>
      </c>
      <c r="HW25" s="1">
        <f t="shared" si="58"/>
        <v>717593.44707619527</v>
      </c>
      <c r="HX25" s="36"/>
    </row>
    <row r="26" spans="1:232" x14ac:dyDescent="0.35">
      <c r="A26">
        <f t="shared" si="0"/>
        <v>59</v>
      </c>
      <c r="B26">
        <v>2049</v>
      </c>
      <c r="C26" s="1">
        <f>IF($B26&lt;Analysis!C$66,0,$AN26)+$AT26+$AW26+$BC26+$CF26+$CA26</f>
        <v>643830.3260230741</v>
      </c>
      <c r="D26" s="1">
        <f>IF($B26&lt;Analysis!C$66, 0, BV26)+AT26+AW26+BC26+CG26+CA26</f>
        <v>503627.97496466269</v>
      </c>
      <c r="E26" s="1">
        <f t="shared" si="1"/>
        <v>1495662.3430845365</v>
      </c>
      <c r="F26" s="1">
        <f t="shared" si="9"/>
        <v>1320235.3094940914</v>
      </c>
      <c r="G26" s="1">
        <f>IF(AND($B26&gt;=Analysis!$C$100, $B26&lt;Analysis!$C$101),$CK26,0)+IF($B26&gt;=Analysis!$C$130,EB26,0)+CQ26+CT26+CZ26+EH26+EK26+EQ26+$FO26+$FT26</f>
        <v>1440326.0586704817</v>
      </c>
      <c r="H26" s="1">
        <f t="shared" si="10"/>
        <v>1275883.0972050605</v>
      </c>
      <c r="I26" s="1">
        <f>IF($B26&lt;Analysis!$C$159,0,$FW26)+$GC26+$GF26+$GL26+$HQ26+$HV26</f>
        <v>1440326.0586704817</v>
      </c>
      <c r="J26" s="1">
        <f t="shared" si="2"/>
        <v>1275883.0972050605</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-25243.594666271536</v>
      </c>
      <c r="Y26" s="64">
        <f t="shared" si="15"/>
        <v>1.9607843137254832E-2</v>
      </c>
      <c r="Z26" s="1">
        <f t="shared" si="16"/>
        <v>-3960</v>
      </c>
      <c r="AA26" s="64">
        <f t="shared" si="17"/>
        <v>0</v>
      </c>
      <c r="AB26" s="40"/>
      <c r="AC26" s="1">
        <f t="shared" si="3"/>
        <v>-103603.59466627153</v>
      </c>
      <c r="AD26" s="1">
        <f t="shared" si="4"/>
        <v>131467.92324122589</v>
      </c>
      <c r="AE26" s="1">
        <f t="shared" si="18"/>
        <v>27864.328574954357</v>
      </c>
      <c r="AF26" s="1">
        <f>IF(AE26 &lt; 0,
    IF(AF25 + AE26 &gt; 0,
        AF25 + AE26, IF(AK25-ABS(AF25 + AE26)*(1+$V26) &gt;= AF25 + AE26,
        0, AF25 + AE26)),
    MIN(AF25 + AE26, Analysis!$C$7))+IF(AF25&lt;0, AF25*Analysis!$C$9,0)</f>
        <v>24000</v>
      </c>
      <c r="AG26" s="40"/>
      <c r="AH26" s="1">
        <f t="shared" si="19"/>
        <v>51901.745471795788</v>
      </c>
      <c r="AI26" s="1">
        <f>IF(AE26 &gt;= 0,
    MAX(0, AF25 + AE26 - Analysis!$C$7),
    0)</f>
        <v>27864.328574954357</v>
      </c>
      <c r="AJ26" s="1">
        <f t="shared" si="44"/>
        <v>806536.14937668806</v>
      </c>
      <c r="AK26" s="1">
        <f t="shared" si="20"/>
        <v>1471662.3430845365</v>
      </c>
      <c r="AL26" s="1">
        <f t="shared" si="5"/>
        <v>1296235.3094940914</v>
      </c>
      <c r="AM26" s="36"/>
      <c r="AN26" s="1">
        <f t="shared" si="45"/>
        <v>1099626.2828110703</v>
      </c>
      <c r="AO26" s="64">
        <f t="shared" si="21"/>
        <v>1.9607843137254832E-2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-33187.542979536083</v>
      </c>
      <c r="AT26" s="1">
        <f>IF($B26&lt;Analysis!$C$66,0,IF($B26=Analysis!$C$66,-AP26-AS26,MIN(0,AT25-AS26)))</f>
        <v>-138729.70081678615</v>
      </c>
      <c r="AU26" s="64">
        <f>IF($B26&lt;Analysis!$C$66,0,IF($B26=Analysis!$C$66,Analysis!$C$72,IF(($B26-Analysis!$C$66)&lt;LOOKUP(Analysis!$C$66,$B:$B,AQ:AQ),AU25,0)))</f>
        <v>3.6999999999999998E-2</v>
      </c>
      <c r="AV26" s="1">
        <f>IF($B26&lt;Analysis!$C$66,0,IF($B26=Analysis!$C$66,-AU26*AP26,AU25*AT25))</f>
        <v>-6360.9380204639219</v>
      </c>
      <c r="AW26" s="1">
        <f>IF($B26&lt;Analysis!$C$66,0,IF($B26=Analysis!$C$66,PMT(AU26,AQ26,AP26)*AQ26-AX26-AT26,IF(($B26-Analysis!$C$66+1)&lt;LOOKUP(Analysis!$C$66,$B:$B,AQ:AQ),IF(AW25-AV26&lt;0, AW25-AV26,0),0)))</f>
        <v>-12598.899722498447</v>
      </c>
      <c r="AX26" s="1">
        <f>IF($B26&lt;Analysis!$C$66,0,IF($B26=Analysis!$C$66,AS26+AV26,IF(AT25&lt;0,IF(AT25&gt;LOOKUP(Analysis!$C$66,$B:$B,AX:AX), AT25*(1+AU25),AX25),0)))</f>
        <v>-39548.481000000007</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-3298.8788484332113</v>
      </c>
      <c r="BF26" s="64">
        <f>IF($B26&lt;Analysis!$C$66,0,Analysis!$C$78)</f>
        <v>3.0000000000000001E-3</v>
      </c>
      <c r="BG26" s="1">
        <f>IF($B26&lt;Analysis!$C$66,0,-BH26*AN26)</f>
        <v>-8247.197121083027</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-140202.35105841147</v>
      </c>
      <c r="BS26" s="64">
        <f>IF($B26&lt;Analysis!C$66,0,Analysis!C$31)</f>
        <v>0.1275</v>
      </c>
      <c r="BT26" s="1">
        <f>IF($B26&lt;Analysis!$C$66,0,AN26+BR26)</f>
        <v>959423.93175265891</v>
      </c>
      <c r="BU26" s="1">
        <f>IF($B26-Analysis!$C$66&gt;3,0,IF($AN26&gt;LOOKUP(Analysis!$C$66,$B:$B, AN:AN),$V26*(LOOKUP(Analysis!$C$66,$B:$B, AN:AN)-AN26),0))</f>
        <v>0</v>
      </c>
      <c r="BV26" s="1">
        <f t="shared" si="23"/>
        <v>959423.93175265891</v>
      </c>
      <c r="BW26" s="42"/>
      <c r="BX26" s="1">
        <f>IF($B26&lt;Analysis!$C$66,$P26+$N26+$X26+$Z26,$P26+$N26+AS26+AV26+BB26+BE26+BG26+MAX(BI26,SUM(BJ26:BN26))+BP26)</f>
        <v>-129454.55696951624</v>
      </c>
      <c r="BY26" s="1">
        <f t="shared" si="24"/>
        <v>131467.92324122589</v>
      </c>
      <c r="BZ26" s="1">
        <f t="shared" si="46"/>
        <v>2013.3662717096449</v>
      </c>
      <c r="CA26" s="1">
        <f>IF(BZ26 &lt; 0,
    IF(CA25 + BZ26 &gt; 0,
        CA25 + BZ26, IF(CF25-ABS(CA25 + BZ26)*(1+$V26) &gt;= CA25 + BZ26,
        0, CA25 + BZ26)),
    MIN(CA25 + BZ26, Analysis!$C$7))+IF(CA25&lt;0, CA25*Analysis!$C$9,0)</f>
        <v>-304467.35624871159</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-25243.594666271536</v>
      </c>
      <c r="CJ26" s="1">
        <f>IF(OR($B26&lt;Analysis!$C$100, $B26&gt;=Analysis!$C$130),0,Z26)</f>
        <v>-3960</v>
      </c>
      <c r="CK26" s="1">
        <f t="shared" si="26"/>
        <v>661369.43096607877</v>
      </c>
      <c r="CL26" s="64">
        <f t="shared" si="48"/>
        <v>1.9607843137254832E-2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-18511.793961942789</v>
      </c>
      <c r="CQ26" s="1">
        <f>IF(OR($B26&lt;Analysis!$C$100, $B26&gt;=Analysis!$C$101),0,IF($B26=Analysis!$C$100,-CM26-CP26,MIN(0,CQ25-CP26)))</f>
        <v>-77382.517877441351</v>
      </c>
      <c r="CR26" s="64">
        <f>IF(OR($B26&lt;Analysis!$C$100, $B26&gt;=Analysis!$C$101),0,IF($B26=Analysis!$C$100,Analysis!$C$102,IF(($B26-Analysis!$C$100)&lt;LOOKUP(Analysis!$C$100,$B:$B,CN:CN),CR25,0)))</f>
        <v>3.6999999999999998E-2</v>
      </c>
      <c r="CS26" s="1">
        <f>IF(OR($B26&lt;Analysis!$C$100, $B26&gt;=Analysis!$C$101),0,IF($B26=Analysis!$C$100,-CR26*CM26,CR25*CQ25))</f>
        <v>-3548.0895380572133</v>
      </c>
      <c r="CT26" s="1">
        <f>IF(OR($B26&lt;Analysis!$C$100, $B26&gt;=Analysis!$C$101),0,IF($B26=Analysis!$C$100,PMT(CR26,CN26,CM26)*CN26-CU26-CQ26,IF(($B26-Analysis!$C$100+1)&lt;LOOKUP(Analysis!$C$100,$B:$B,CN:CN),IF(CT25-CS26&lt;0, CT25-CS26,0),0)))</f>
        <v>-7027.5836916846802</v>
      </c>
      <c r="CU26" s="1">
        <f>IF(OR($B26&lt;Analysis!$C$100, $B26&gt;=Analysis!$C$101),0,IF($B26=Analysis!$C$100,CP26+CS26,IF(CQ25&lt;0,IF(CQ25&gt;LOOKUP(Analysis!$C$100,$B:$B,CU:CU), CQ25*(1+CR25),CU25),0)))</f>
        <v>-22059.883500000004</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22088.145332987584</v>
      </c>
      <c r="DC26" s="64">
        <f>IF(OR($B26&lt;Analysis!$C$100, $B26&gt;=Analysis!$C$101),0,((1+Analysis!$B$114)/(1+$S26))-1)</f>
        <v>1.9607843137254832E-2</v>
      </c>
      <c r="DD26" s="1">
        <f t="shared" si="6"/>
        <v>28032.25362588582</v>
      </c>
      <c r="DE26" s="1">
        <f t="shared" si="27"/>
        <v>-1984.1082928982364</v>
      </c>
      <c r="DF26" s="64">
        <f>IF(OR($B26&lt;Analysis!$C$100, $B26&gt;=Analysis!$C$101),0,Analysis!$C$118)</f>
        <v>3.0000000000000001E-3</v>
      </c>
      <c r="DG26" s="1">
        <f t="shared" si="28"/>
        <v>-4960.2707322455908</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-1656.6108999740688</v>
      </c>
      <c r="DR26" s="1">
        <f t="shared" si="29"/>
        <v>-20860.989925117894</v>
      </c>
      <c r="DS26" s="1">
        <f>MIN(0,-(DB26+DR26)*Analysis!$C$28)-CS26*Analysis!$C$28</f>
        <v>1028.4059130860915</v>
      </c>
      <c r="DT26" s="1">
        <f>-Analysis!$C$116*DD26/12</f>
        <v>-2336.021135490485</v>
      </c>
      <c r="DU26" s="53"/>
      <c r="DV26" s="1">
        <f t="shared" si="30"/>
        <v>-84324.60244817505</v>
      </c>
      <c r="DW26" s="64">
        <f>IF(OR($B26&lt;Analysis!$C$100, $B26&gt;=Analysis!$C$101),0,IF($B26=Analysis!$C$100,Analysis!$C$31,DW25))</f>
        <v>0.1275</v>
      </c>
      <c r="DX26" s="1">
        <f>IF(OR($B26&lt;Analysis!$C$100, $B26&gt;=Analysis!$C$101),0,CK26+DV26)</f>
        <v>577044.82851790369</v>
      </c>
      <c r="DY26" s="1">
        <f>IF(OR($B26&lt;Analysis!$C$100, $B26&gt;=Analysis!$C$101),0,IF($B26-Analysis!$C$100&gt;3,0,IF(CK26&gt;LOOKUP(Analysis!$C$100,$B:$B, CK:CK),$V26*(LOOKUP(Analysis!$C$100,$B:$B, CK:CK)-CK26),0)))</f>
        <v>0</v>
      </c>
      <c r="DZ26" s="1">
        <f t="shared" si="49"/>
        <v>577044.82851790369</v>
      </c>
      <c r="EA26" s="53"/>
      <c r="EB26" s="1">
        <f t="shared" si="31"/>
        <v>1099626.2828110703</v>
      </c>
      <c r="EC26" s="64">
        <f t="shared" si="50"/>
        <v>1.9607843137254832E-2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-139532.08331379382</v>
      </c>
      <c r="FM26" s="1">
        <f>$M26+$R26+DD26+IF(AND($B26&lt;&gt;Analysis!$C$130,$B26=Analysis!$C$101),DZ25+CQ25+CT25+CZ25,0)</f>
        <v>159500.1768671117</v>
      </c>
      <c r="FN26" s="1">
        <f t="shared" si="34"/>
        <v>19968.093553317885</v>
      </c>
      <c r="FO26" s="1">
        <f>IF(FN26 &lt; 0,
    IF(FO25 + FN26 &gt; 0,
        FO25 + FN26, IF(FT25-ABS(FO25 + FN26)*(1+$V26) &gt;= FO25 + FN26,
        0, FO25 + FN26)),
    MIN(FO25 + FN26, Analysis!$C$7))+IF(FO25&lt;0, FO25*Analysis!$C$9,0)</f>
        <v>24000</v>
      </c>
      <c r="FP26" s="53"/>
      <c r="FQ26" s="1">
        <f t="shared" si="51"/>
        <v>29455.795757921696</v>
      </c>
      <c r="FR26" s="1">
        <f>IF(OR($B26=Analysis!$C$100, $B26=Analysis!$C$130),0,IF(FN26 &gt;= 0,
    MAX(0, FO25 + FN26 - Analysis!$C$7),
    0))</f>
        <v>19968.093553317885</v>
      </c>
      <c r="FS26" s="1">
        <f>IF(OR($B26=Analysis!$C$100, $B26=Analysis!$C$130),0,MAX(0, FS25 + FR26 - IF(FN26 &lt; 0, MIN(ABS(FN26), FS25 + FR26), 0)))</f>
        <v>535600.43916074757</v>
      </c>
      <c r="FT26" s="1">
        <f>IF(OR($B26=Analysis!$C$100, $B26=Analysis!$C$130),0,IF(FN26 &lt; 0,
    IF(FN26 + FO25 &lt; 0,
        MAX(0, FT25 - (ABS(FN26 + FO25) * (1+$V25))),
        FT25 + FQ26),
    FT25 + FR26 + FQ26))</f>
        <v>839366.72927352902</v>
      </c>
      <c r="FU26" s="1">
        <f t="shared" si="57"/>
        <v>759248.37025628297</v>
      </c>
      <c r="FV26" s="36"/>
      <c r="FW26" s="1">
        <f t="shared" si="52"/>
        <v>661369.43096607877</v>
      </c>
      <c r="FX26" s="64">
        <f t="shared" si="53"/>
        <v>1.9607843137254832E-2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-18511.793961942789</v>
      </c>
      <c r="GC26" s="1">
        <f>IF($B26&lt;Analysis!$C$159,0,IF($B26=Analysis!$C$159,-FY26-GB26,MIN(0,GC25-GB26)))</f>
        <v>-77382.517877441351</v>
      </c>
      <c r="GD26" s="64">
        <f>IF($B26&lt;Analysis!$C$159,0,IF($B26=Analysis!$C$159,Analysis!$C$160,IF(($B26-Analysis!$C$159)&lt;LOOKUP(Analysis!$C$159,$B:$B,FZ:FZ),GD25,0)))</f>
        <v>3.6999999999999998E-2</v>
      </c>
      <c r="GE26" s="1">
        <f>IF($B26&lt;Analysis!$C$159,0,IF($B26=Analysis!$C$159,-GD26*FY26,GD25*GC25))</f>
        <v>-3548.0895380572133</v>
      </c>
      <c r="GF26" s="1">
        <f>IF($B26&lt;Analysis!$C$159,0,IF($B26=Analysis!$C$159,PMT(GD26,FZ26,FY26)*FZ26-GG26-GC26,IF(($B26-Analysis!$C$159+1)&lt;LOOKUP(Analysis!$C$159,$B:$B,FZ:FZ),IF(GF25-GE26&lt;0, GF25-GE26,0),0)))</f>
        <v>-7027.5836916846802</v>
      </c>
      <c r="GG26" s="1">
        <f>IF($B26&lt;Analysis!$C$159,0,IF($B26=Analysis!$C$159,GB26+GE26,IF(GC25&lt;0,IF(GC25&gt;LOOKUP(Analysis!$C$159,$B:$B,GG:GG), GC25*(1+GD25),GG25),0)))</f>
        <v>-22059.883500000004</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22088.145332987584</v>
      </c>
      <c r="GO26" s="64">
        <f>IF($B26&lt;Analysis!$C$159,0,((1+Analysis!$B$174)/(1+$S26))-1)</f>
        <v>1.9607843137254832E-2</v>
      </c>
      <c r="GP26" s="1">
        <f t="shared" si="7"/>
        <v>28032.25362588582</v>
      </c>
      <c r="GQ26" s="1">
        <f t="shared" si="36"/>
        <v>-1984.1082928982364</v>
      </c>
      <c r="GR26" s="64">
        <f>IF($B26&lt;Analysis!$C$159,0,Analysis!$C$178)</f>
        <v>3.0000000000000001E-3</v>
      </c>
      <c r="GS26" s="1">
        <f t="shared" si="37"/>
        <v>-4960.2707322455908</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-1656.6108999740688</v>
      </c>
      <c r="HD26" s="1">
        <f t="shared" si="38"/>
        <v>-20860.989925117894</v>
      </c>
      <c r="HE26" s="1">
        <f>MIN(0,-(GN26+HD26)*Analysis!$C$28)-GE26*Analysis!$C$28</f>
        <v>1028.4059130860915</v>
      </c>
      <c r="HF26" s="1">
        <f>-Analysis!$C$176*GP26/12</f>
        <v>-2336.021135490485</v>
      </c>
      <c r="HG26" s="38"/>
      <c r="HH26" s="1">
        <f>IF($B26&lt;Analysis!$C$159,0,-$HI26*$FW26)</f>
        <v>-84324.60244817505</v>
      </c>
      <c r="HI26" s="64">
        <f>IF($B26&lt;Analysis!$C$159,0,IF($B26=Analysis!$C$159,Analysis!$C$31,HI25))</f>
        <v>0.1275</v>
      </c>
      <c r="HJ26" s="1">
        <f>IF($B26&lt;Analysis!$C$159,0,$FW26+HH26)</f>
        <v>577044.82851790369</v>
      </c>
      <c r="HK26" s="1">
        <f>IF($B26-Analysis!$C$159&gt;10,0,IF($FW26&gt;LOOKUP(Analysis!$C$159,$B:$B, FW:FW),$V26*(LOOKUP(Analysis!$C$159,$B:$B, FW:FW)-FW26),0))</f>
        <v>0</v>
      </c>
      <c r="HL26" s="1">
        <f t="shared" si="39"/>
        <v>577044.82851790369</v>
      </c>
      <c r="HM26" s="38"/>
      <c r="HN26" s="1">
        <f t="shared" si="40"/>
        <v>-139532.08331379382</v>
      </c>
      <c r="HO26" s="1">
        <f t="shared" si="8"/>
        <v>159500.1768671117</v>
      </c>
      <c r="HP26" s="1">
        <f t="shared" si="41"/>
        <v>19968.093553317885</v>
      </c>
      <c r="HQ26" s="1">
        <f>IF(HP26 &lt; 0,
    IF(HQ25 + HP26 &gt; 0,
        HQ25 + HP26, IF(HV25-ABS(HQ25 + HP26)*(1+$V26) &gt;= HQ25 + HP26,
        0, HQ25 + HP26)),
    MIN(HQ25 + HP26, Analysis!$C$7))+IF(HQ25&lt;0, HQ25*Analysis!$C$9,0)</f>
        <v>24000</v>
      </c>
      <c r="HR26" s="38"/>
      <c r="HS26" s="1">
        <f t="shared" si="54"/>
        <v>29455.795757921696</v>
      </c>
      <c r="HT26" s="1">
        <f>IF($B26=Analysis!$C$159,0,IF(HP26 &gt;= 0,
    MAX(0, HQ25 + HP26 - Analysis!$C$7),
    0))</f>
        <v>19968.093553317885</v>
      </c>
      <c r="HU26" s="1">
        <f>IF($B26=Analysis!$C$159,0,MAX(0, HU25 + HT26 - IF(HP26 &lt; 0, MIN(ABS(HP26), HU25 + HT26), 0)))</f>
        <v>535600.43916074757</v>
      </c>
      <c r="HV26" s="1">
        <f>IF($B26=Analysis!$C$159,0,IF(HP26 &lt; 0,
    IF(HP26 + HQ25 &lt; 0,
        MAX(0, HV25 - (ABS(HP26 + HQ25) * (1+$V25))),
        HV25 + HS26),
    HV25 + HT26 + HS26))</f>
        <v>839366.72927352902</v>
      </c>
      <c r="HW26" s="1">
        <f t="shared" si="58"/>
        <v>759248.37025628297</v>
      </c>
      <c r="HX26" s="36"/>
    </row>
    <row r="27" spans="1:232" x14ac:dyDescent="0.35">
      <c r="A27">
        <f t="shared" si="0"/>
        <v>60</v>
      </c>
      <c r="B27">
        <v>2050</v>
      </c>
      <c r="C27" s="1">
        <f>IF($B27&lt;Analysis!C$66,0,$AN27)+$AT27+$AW27+$BC27+$CF27+$CA27</f>
        <v>682369.69081138785</v>
      </c>
      <c r="D27" s="1">
        <f>IF($B27&lt;Analysis!C$66, 0, BV27)+AT27+AW27+BC27+CG27+CA27</f>
        <v>539418.27404594875</v>
      </c>
      <c r="E27" s="1">
        <f t="shared" si="1"/>
        <v>1575384.9534368291</v>
      </c>
      <c r="F27" s="1">
        <f t="shared" si="9"/>
        <v>1386149.7490453911</v>
      </c>
      <c r="G27" s="1">
        <f>IF(AND($B27&gt;=Analysis!$C$100, $B27&lt;Analysis!$C$101),$CK27,0)+IF($B27&gt;=Analysis!$C$130,EB27,0)+CQ27+CT27+CZ27+EH27+EK27+EQ27+$FO27+$FT27</f>
        <v>1524530.2656363426</v>
      </c>
      <c r="H27" s="1">
        <f t="shared" si="10"/>
        <v>1350558.3517964676</v>
      </c>
      <c r="I27" s="1">
        <f>IF($B27&lt;Analysis!$C$159,0,$FW27)+$GC27+$GF27+$GL27+$HQ27+$HV27</f>
        <v>1524530.2656363426</v>
      </c>
      <c r="J27" s="1">
        <f t="shared" si="2"/>
        <v>1350558.3517964676</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-25738.567110708231</v>
      </c>
      <c r="Y27" s="64">
        <f t="shared" si="15"/>
        <v>1.9607843137254832E-2</v>
      </c>
      <c r="Z27" s="1">
        <f t="shared" si="16"/>
        <v>-3960</v>
      </c>
      <c r="AA27" s="64">
        <f t="shared" si="17"/>
        <v>0</v>
      </c>
      <c r="AB27" s="40"/>
      <c r="AC27" s="1">
        <f t="shared" si="3"/>
        <v>-104098.56711070823</v>
      </c>
      <c r="AD27" s="1">
        <f t="shared" si="4"/>
        <v>131467.92324122589</v>
      </c>
      <c r="AE27" s="1">
        <f t="shared" si="18"/>
        <v>27369.356130517655</v>
      </c>
      <c r="AF27" s="1">
        <f>IF(AE27 &lt; 0,
    IF(AF26 + AE27 &gt; 0,
        AF26 + AE27, IF(AK26-ABS(AF26 + AE27)*(1+$V27) &gt;= AF26 + AE27,
        0, AF26 + AE27)),
    MIN(AF26 + AE27, Analysis!$C$7))+IF(AF26&lt;0, AF26*Analysis!$C$9,0)</f>
        <v>24000</v>
      </c>
      <c r="AG27" s="40"/>
      <c r="AH27" s="1">
        <f t="shared" si="19"/>
        <v>52353.254221775067</v>
      </c>
      <c r="AI27" s="1">
        <f>IF(AE27 &gt;= 0,
    MAX(0, AF26 + AE27 - Analysis!$C$7),
    0)</f>
        <v>27369.356130517655</v>
      </c>
      <c r="AJ27" s="1">
        <f t="shared" si="44"/>
        <v>833905.50550720573</v>
      </c>
      <c r="AK27" s="1">
        <f t="shared" si="20"/>
        <v>1551384.9534368291</v>
      </c>
      <c r="AL27" s="1">
        <f t="shared" si="5"/>
        <v>1362149.7490453911</v>
      </c>
      <c r="AM27" s="36"/>
      <c r="AN27" s="1">
        <f t="shared" si="45"/>
        <v>1121187.5824740324</v>
      </c>
      <c r="AO27" s="64">
        <f t="shared" si="21"/>
        <v>1.9607843137254832E-2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-34415.482069778918</v>
      </c>
      <c r="AT27" s="1">
        <f>IF($B27&lt;Analysis!$C$66,0,IF($B27=Analysis!$C$66,-AP27-AS27,MIN(0,AT26-AS27)))</f>
        <v>-104314.21874700722</v>
      </c>
      <c r="AU27" s="64">
        <f>IF($B27&lt;Analysis!$C$66,0,IF($B27=Analysis!$C$66,Analysis!$C$72,IF(($B27-Analysis!$C$66)&lt;LOOKUP(Analysis!$C$66,$B:$B,AQ:AQ),AU26,0)))</f>
        <v>3.6999999999999998E-2</v>
      </c>
      <c r="AV27" s="1">
        <f>IF($B27&lt;Analysis!$C$66,0,IF($B27=Analysis!$C$66,-AU27*AP27,AU26*AT26))</f>
        <v>-5132.998930221087</v>
      </c>
      <c r="AW27" s="1">
        <f>IF($B27&lt;Analysis!$C$66,0,IF($B27=Analysis!$C$66,PMT(AU27,AQ27,AP27)*AQ27-AX27-AT27,IF(($B27-Analysis!$C$66+1)&lt;LOOKUP(Analysis!$C$66,$B:$B,AQ:AQ),IF(AW26-AV27&lt;0, AW26-AV27,0),0)))</f>
        <v>-7465.9007922773599</v>
      </c>
      <c r="AX27" s="1">
        <f>IF($B27&lt;Analysis!$C$66,0,IF($B27=Analysis!$C$66,AS27+AV27,IF(AT26&lt;0,IF(AT26&gt;LOOKUP(Analysis!$C$66,$B:$B,AX:AX), AT26*(1+AU26),AX26),0)))</f>
        <v>-39548.481000000007</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-3363.5627474220973</v>
      </c>
      <c r="BF27" s="64">
        <f>IF($B27&lt;Analysis!$C$66,0,Analysis!$C$78)</f>
        <v>3.0000000000000001E-3</v>
      </c>
      <c r="BG27" s="1">
        <f>IF($B27&lt;Analysis!$C$66,0,-BH27*AN27)</f>
        <v>-8408.9068685552429</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-142951.41676543915</v>
      </c>
      <c r="BS27" s="64">
        <f>IF($B27&lt;Analysis!C$66,0,Analysis!C$31)</f>
        <v>0.1275</v>
      </c>
      <c r="BT27" s="1">
        <f>IF($B27&lt;Analysis!$C$66,0,AN27+BR27)</f>
        <v>978236.16570859333</v>
      </c>
      <c r="BU27" s="1">
        <f>IF($B27-Analysis!$C$66&gt;3,0,IF($AN27&gt;LOOKUP(Analysis!$C$66,$B:$B, AN:AN),$V27*(LOOKUP(Analysis!$C$66,$B:$B, AN:AN)-AN27),0))</f>
        <v>0</v>
      </c>
      <c r="BV27" s="1">
        <f t="shared" si="23"/>
        <v>978236.16570859333</v>
      </c>
      <c r="BW27" s="42"/>
      <c r="BX27" s="1">
        <f>IF($B27&lt;Analysis!$C$66,$P27+$N27+$X27+$Z27,$P27+$N27+AS27+AV27+BB27+BE27+BG27+MAX(BI27,SUM(BJ27:BN27))+BP27)</f>
        <v>-129680.95061597736</v>
      </c>
      <c r="BY27" s="1">
        <f t="shared" si="24"/>
        <v>131467.92324122589</v>
      </c>
      <c r="BZ27" s="1">
        <f t="shared" si="46"/>
        <v>1786.972625248527</v>
      </c>
      <c r="CA27" s="1">
        <f>IF(BZ27 &lt; 0,
    IF(CA26 + BZ27 &gt; 0,
        CA26 + BZ27, IF(CF26-ABS(CA26 + BZ27)*(1+$V27) &gt;= CA26 + BZ27,
        0, CA26 + BZ27)),
    MIN(CA26 + BZ27, Analysis!$C$7))+IF(CA26&lt;0, CA26*Analysis!$C$9,0)</f>
        <v>-327037.77212335996</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-25738.567110708231</v>
      </c>
      <c r="CJ27" s="1">
        <f>IF(OR($B27&lt;Analysis!$C$100, $B27&gt;=Analysis!$C$130),0,Z27)</f>
        <v>-3960</v>
      </c>
      <c r="CK27" s="1">
        <f t="shared" si="26"/>
        <v>674337.45902423712</v>
      </c>
      <c r="CL27" s="64">
        <f t="shared" si="48"/>
        <v>1.9607843137254832E-2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-19196.730338534675</v>
      </c>
      <c r="CQ27" s="1">
        <f>IF(OR($B27&lt;Analysis!$C$100, $B27&gt;=Analysis!$C$101),0,IF($B27=Analysis!$C$100,-CM27-CP27,MIN(0,CQ26-CP27)))</f>
        <v>-58185.787538906676</v>
      </c>
      <c r="CR27" s="64">
        <f>IF(OR($B27&lt;Analysis!$C$100, $B27&gt;=Analysis!$C$101),0,IF($B27=Analysis!$C$100,Analysis!$C$102,IF(($B27-Analysis!$C$100)&lt;LOOKUP(Analysis!$C$100,$B:$B,CN:CN),CR26,0)))</f>
        <v>3.6999999999999998E-2</v>
      </c>
      <c r="CS27" s="1">
        <f>IF(OR($B27&lt;Analysis!$C$100, $B27&gt;=Analysis!$C$101),0,IF($B27=Analysis!$C$100,-CR27*CM27,CR26*CQ26))</f>
        <v>-2863.15316146533</v>
      </c>
      <c r="CT27" s="1">
        <f>IF(OR($B27&lt;Analysis!$C$100, $B27&gt;=Analysis!$C$101),0,IF($B27=Analysis!$C$100,PMT(CR27,CN27,CM27)*CN27-CU27-CQ27,IF(($B27-Analysis!$C$100+1)&lt;LOOKUP(Analysis!$C$100,$B:$B,CN:CN),IF(CT26-CS27&lt;0, CT26-CS27,0),0)))</f>
        <v>-4164.4305302193497</v>
      </c>
      <c r="CU27" s="1">
        <f>IF(OR($B27&lt;Analysis!$C$100, $B27&gt;=Analysis!$C$101),0,IF($B27=Analysis!$C$100,CP27+CS27,IF(CQ26&lt;0,IF(CQ26&gt;LOOKUP(Analysis!$C$100,$B:$B,CU:CU), CQ26*(1+CR26),CU26),0)))</f>
        <v>-22059.883500000004</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22521.246221869693</v>
      </c>
      <c r="DC27" s="64">
        <f>IF(OR($B27&lt;Analysis!$C$100, $B27&gt;=Analysis!$C$101),0,((1+Analysis!$B$114)/(1+$S27))-1)</f>
        <v>1.9607843137254832E-2</v>
      </c>
      <c r="DD27" s="1">
        <f t="shared" si="6"/>
        <v>28504.258598942404</v>
      </c>
      <c r="DE27" s="1">
        <f t="shared" si="27"/>
        <v>-2023.0123770727114</v>
      </c>
      <c r="DF27" s="64">
        <f>IF(OR($B27&lt;Analysis!$C$100, $B27&gt;=Analysis!$C$101),0,Analysis!$C$118)</f>
        <v>3.0000000000000001E-3</v>
      </c>
      <c r="DG27" s="1">
        <f t="shared" si="28"/>
        <v>-5057.5309426817785</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-1689.093466640227</v>
      </c>
      <c r="DR27" s="1">
        <f t="shared" si="29"/>
        <v>-21029.63678639472</v>
      </c>
      <c r="DS27" s="1">
        <f>MIN(0,-(DB27+DR27)*Analysis!$C$28)-CS27*Analysis!$C$28</f>
        <v>607.73102498632704</v>
      </c>
      <c r="DT27" s="1">
        <f>-Analysis!$C$116*DD27/12</f>
        <v>-2375.3548832452002</v>
      </c>
      <c r="DU27" s="53"/>
      <c r="DV27" s="1">
        <f t="shared" si="30"/>
        <v>-85978.026025590239</v>
      </c>
      <c r="DW27" s="64">
        <f>IF(OR($B27&lt;Analysis!$C$100, $B27&gt;=Analysis!$C$101),0,IF($B27=Analysis!$C$100,Analysis!$C$31,DW26))</f>
        <v>0.1275</v>
      </c>
      <c r="DX27" s="1">
        <f>IF(OR($B27&lt;Analysis!$C$100, $B27&gt;=Analysis!$C$101),0,CK27+DV27)</f>
        <v>588359.43299864687</v>
      </c>
      <c r="DY27" s="1">
        <f>IF(OR($B27&lt;Analysis!$C$100, $B27&gt;=Analysis!$C$101),0,IF($B27-Analysis!$C$100&gt;3,0,IF(CK27&gt;LOOKUP(Analysis!$C$100,$B:$B, CK:CK),$V27*(LOOKUP(Analysis!$C$100,$B:$B, CK:CK)-CK27),0)))</f>
        <v>0</v>
      </c>
      <c r="DZ27" s="1">
        <f t="shared" si="49"/>
        <v>588359.43299864687</v>
      </c>
      <c r="EA27" s="53"/>
      <c r="EB27" s="1">
        <f t="shared" si="31"/>
        <v>1121187.5824740324</v>
      </c>
      <c r="EC27" s="64">
        <f t="shared" si="50"/>
        <v>1.9607843137254832E-2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-140655.71125536179</v>
      </c>
      <c r="FM27" s="1">
        <f>$M27+$R27+DD27+IF(AND($B27&lt;&gt;Analysis!$C$130,$B27=Analysis!$C$101),DZ26+CQ26+CT26+CZ26,0)</f>
        <v>159972.18184016828</v>
      </c>
      <c r="FN27" s="1">
        <f t="shared" si="34"/>
        <v>19316.470584806491</v>
      </c>
      <c r="FO27" s="1">
        <f>IF(FN27 &lt; 0,
    IF(FO26 + FN27 &gt; 0,
        FO26 + FN27, IF(FT26-ABS(FO26 + FN27)*(1+$V27) &gt;= FO26 + FN27,
        0, FO26 + FN27)),
    MIN(FO26 + FN27, Analysis!$C$7))+IF(FO26&lt;0, FO26*Analysis!$C$9,0)</f>
        <v>24000</v>
      </c>
      <c r="FP27" s="53"/>
      <c r="FQ27" s="1">
        <f t="shared" si="51"/>
        <v>29859.824822895989</v>
      </c>
      <c r="FR27" s="1">
        <f>IF(OR($B27=Analysis!$C$100, $B27=Analysis!$C$130),0,IF(FN27 &gt;= 0,
    MAX(0, FO26 + FN27 - Analysis!$C$7),
    0))</f>
        <v>19316.470584806491</v>
      </c>
      <c r="FS27" s="1">
        <f>IF(OR($B27=Analysis!$C$100, $B27=Analysis!$C$130),0,MAX(0, FS26 + FR27 - IF(FN27 &lt; 0, MIN(ABS(FN27), FS26 + FR27), 0)))</f>
        <v>554916.90974555409</v>
      </c>
      <c r="FT27" s="1">
        <f>IF(OR($B27=Analysis!$C$100, $B27=Analysis!$C$130),0,IF(FN27 &lt; 0,
    IF(FN27 + FO26 &lt; 0,
        MAX(0, FT26 - (ABS(FN27 + FO26) * (1+$V26))),
        FT26 + FQ27),
    FT26 + FR27 + FQ27))</f>
        <v>888543.02468123159</v>
      </c>
      <c r="FU27" s="1">
        <f t="shared" si="57"/>
        <v>800549.1368669467</v>
      </c>
      <c r="FV27" s="36"/>
      <c r="FW27" s="1">
        <f t="shared" si="52"/>
        <v>674337.45902423712</v>
      </c>
      <c r="FX27" s="64">
        <f t="shared" si="53"/>
        <v>1.9607843137254832E-2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-19196.730338534675</v>
      </c>
      <c r="GC27" s="1">
        <f>IF($B27&lt;Analysis!$C$159,0,IF($B27=Analysis!$C$159,-FY27-GB27,MIN(0,GC26-GB27)))</f>
        <v>-58185.787538906676</v>
      </c>
      <c r="GD27" s="64">
        <f>IF($B27&lt;Analysis!$C$159,0,IF($B27=Analysis!$C$159,Analysis!$C$160,IF(($B27-Analysis!$C$159)&lt;LOOKUP(Analysis!$C$159,$B:$B,FZ:FZ),GD26,0)))</f>
        <v>3.6999999999999998E-2</v>
      </c>
      <c r="GE27" s="1">
        <f>IF($B27&lt;Analysis!$C$159,0,IF($B27=Analysis!$C$159,-GD27*FY27,GD26*GC26))</f>
        <v>-2863.15316146533</v>
      </c>
      <c r="GF27" s="1">
        <f>IF($B27&lt;Analysis!$C$159,0,IF($B27=Analysis!$C$159,PMT(GD27,FZ27,FY27)*FZ27-GG27-GC27,IF(($B27-Analysis!$C$159+1)&lt;LOOKUP(Analysis!$C$159,$B:$B,FZ:FZ),IF(GF26-GE27&lt;0, GF26-GE27,0),0)))</f>
        <v>-4164.4305302193497</v>
      </c>
      <c r="GG27" s="1">
        <f>IF($B27&lt;Analysis!$C$159,0,IF($B27=Analysis!$C$159,GB27+GE27,IF(GC26&lt;0,IF(GC26&gt;LOOKUP(Analysis!$C$159,$B:$B,GG:GG), GC26*(1+GD26),GG26),0)))</f>
        <v>-22059.883500000004</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22521.246221869693</v>
      </c>
      <c r="GO27" s="64">
        <f>IF($B27&lt;Analysis!$C$159,0,((1+Analysis!$B$174)/(1+$S27))-1)</f>
        <v>1.9607843137254832E-2</v>
      </c>
      <c r="GP27" s="1">
        <f t="shared" si="7"/>
        <v>28504.258598942404</v>
      </c>
      <c r="GQ27" s="1">
        <f t="shared" si="36"/>
        <v>-2023.0123770727114</v>
      </c>
      <c r="GR27" s="64">
        <f>IF($B27&lt;Analysis!$C$159,0,Analysis!$C$178)</f>
        <v>3.0000000000000001E-3</v>
      </c>
      <c r="GS27" s="1">
        <f t="shared" si="37"/>
        <v>-5057.5309426817785</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-1689.093466640227</v>
      </c>
      <c r="HD27" s="1">
        <f t="shared" si="38"/>
        <v>-21029.63678639472</v>
      </c>
      <c r="HE27" s="1">
        <f>MIN(0,-(GN27+HD27)*Analysis!$C$28)-GE27*Analysis!$C$28</f>
        <v>607.73102498632704</v>
      </c>
      <c r="HF27" s="1">
        <f>-Analysis!$C$176*GP27/12</f>
        <v>-2375.3548832452002</v>
      </c>
      <c r="HG27" s="38"/>
      <c r="HH27" s="1">
        <f>IF($B27&lt;Analysis!$C$159,0,-$HI27*$FW27)</f>
        <v>-85978.026025590239</v>
      </c>
      <c r="HI27" s="64">
        <f>IF($B27&lt;Analysis!$C$159,0,IF($B27=Analysis!$C$159,Analysis!$C$31,HI26))</f>
        <v>0.1275</v>
      </c>
      <c r="HJ27" s="1">
        <f>IF($B27&lt;Analysis!$C$159,0,$FW27+HH27)</f>
        <v>588359.43299864687</v>
      </c>
      <c r="HK27" s="1">
        <f>IF($B27-Analysis!$C$159&gt;10,0,IF($FW27&gt;LOOKUP(Analysis!$C$159,$B:$B, FW:FW),$V27*(LOOKUP(Analysis!$C$159,$B:$B, FW:FW)-FW27),0))</f>
        <v>0</v>
      </c>
      <c r="HL27" s="1">
        <f t="shared" si="39"/>
        <v>588359.43299864687</v>
      </c>
      <c r="HM27" s="38"/>
      <c r="HN27" s="1">
        <f t="shared" si="40"/>
        <v>-140655.71125536179</v>
      </c>
      <c r="HO27" s="1">
        <f t="shared" si="8"/>
        <v>159972.18184016828</v>
      </c>
      <c r="HP27" s="1">
        <f t="shared" si="41"/>
        <v>19316.470584806491</v>
      </c>
      <c r="HQ27" s="1">
        <f>IF(HP27 &lt; 0,
    IF(HQ26 + HP27 &gt; 0,
        HQ26 + HP27, IF(HV26-ABS(HQ26 + HP27)*(1+$V27) &gt;= HQ26 + HP27,
        0, HQ26 + HP27)),
    MIN(HQ26 + HP27, Analysis!$C$7))+IF(HQ26&lt;0, HQ26*Analysis!$C$9,0)</f>
        <v>24000</v>
      </c>
      <c r="HR27" s="38"/>
      <c r="HS27" s="1">
        <f t="shared" si="54"/>
        <v>29859.824822895989</v>
      </c>
      <c r="HT27" s="1">
        <f>IF($B27=Analysis!$C$159,0,IF(HP27 &gt;= 0,
    MAX(0, HQ26 + HP27 - Analysis!$C$7),
    0))</f>
        <v>19316.470584806491</v>
      </c>
      <c r="HU27" s="1">
        <f>IF($B27=Analysis!$C$159,0,MAX(0, HU26 + HT27 - IF(HP27 &lt; 0, MIN(ABS(HP27), HU26 + HT27), 0)))</f>
        <v>554916.90974555409</v>
      </c>
      <c r="HV27" s="1">
        <f>IF($B27=Analysis!$C$159,0,IF(HP27 &lt; 0,
    IF(HP27 + HQ26 &lt; 0,
        MAX(0, HV26 - (ABS(HP27 + HQ26) * (1+$V26))),
        HV26 + HS27),
    HV26 + HT27 + HS27))</f>
        <v>888543.02468123159</v>
      </c>
      <c r="HW27" s="1">
        <f t="shared" si="58"/>
        <v>800549.1368669467</v>
      </c>
      <c r="HX27" s="36"/>
    </row>
    <row r="28" spans="1:232" x14ac:dyDescent="0.35">
      <c r="A28">
        <f t="shared" si="0"/>
        <v>61</v>
      </c>
      <c r="B28">
        <v>2051</v>
      </c>
      <c r="C28" s="1">
        <f>IF($B28&lt;Analysis!C$66,0,$AN28)+$AT28+$AW28+$BC28+$CF28+$CA28</f>
        <v>732495.36017378815</v>
      </c>
      <c r="D28" s="1">
        <f>IF($B28&lt;Analysis!C$66, 0, BV28)+AT28+AW28+BC28+CG28+CA28</f>
        <v>586740.97445216402</v>
      </c>
      <c r="E28" s="1">
        <f t="shared" si="1"/>
        <v>1667979.4393919113</v>
      </c>
      <c r="F28" s="1">
        <f t="shared" si="9"/>
        <v>1464889.498243059</v>
      </c>
      <c r="G28" s="1">
        <f>IF(AND($B28&gt;=Analysis!$C$100, $B28&lt;Analysis!$C$101),$CK28,0)+IF($B28&gt;=Analysis!$C$130,EB28,0)+CQ28+CT28+CZ28+EH28+EK28+EQ28+$FO28+$FT28</f>
        <v>1621745.2615491827</v>
      </c>
      <c r="H28" s="1">
        <f t="shared" si="10"/>
        <v>1438152.3170681365</v>
      </c>
      <c r="I28" s="1">
        <f>IF($B28&lt;Analysis!$C$159,0,$FW28)+$GC28+$GF28+$GL28+$HQ28+$HV28</f>
        <v>1621745.2615491827</v>
      </c>
      <c r="J28" s="1">
        <f t="shared" si="2"/>
        <v>1438152.3170681365</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-26243.244897192704</v>
      </c>
      <c r="Y28" s="64">
        <f t="shared" si="15"/>
        <v>1.9607843137254832E-2</v>
      </c>
      <c r="Z28" s="1">
        <f t="shared" si="16"/>
        <v>-3960</v>
      </c>
      <c r="AA28" s="64">
        <f t="shared" si="17"/>
        <v>0</v>
      </c>
      <c r="AB28" s="40"/>
      <c r="AC28" s="1">
        <f t="shared" si="3"/>
        <v>-91403.244897192708</v>
      </c>
      <c r="AD28" s="1">
        <f t="shared" si="4"/>
        <v>131467.92324122589</v>
      </c>
      <c r="AE28" s="1">
        <f t="shared" si="18"/>
        <v>40064.678344033178</v>
      </c>
      <c r="AF28" s="1">
        <f>IF(AE28 &lt; 0,
    IF(AF27 + AE28 &gt; 0,
        AF27 + AE28, IF(AK27-ABS(AF27 + AE28)*(1+$V28) &gt;= AF27 + AE28,
        0, AF27 + AE28)),
    MIN(AF27 + AE28, Analysis!$C$7))+IF(AF27&lt;0, AF27*Analysis!$C$9,0)</f>
        <v>24000</v>
      </c>
      <c r="AG28" s="40"/>
      <c r="AH28" s="1">
        <f t="shared" si="19"/>
        <v>52529.807611048964</v>
      </c>
      <c r="AI28" s="1">
        <f>IF(AE28 &gt;= 0,
    MAX(0, AF27 + AE28 - Analysis!$C$7),
    0)</f>
        <v>40064.678344033178</v>
      </c>
      <c r="AJ28" s="1">
        <f t="shared" si="44"/>
        <v>873970.18385123892</v>
      </c>
      <c r="AK28" s="1">
        <f t="shared" si="20"/>
        <v>1643979.4393919113</v>
      </c>
      <c r="AL28" s="1">
        <f t="shared" si="5"/>
        <v>1440889.498243059</v>
      </c>
      <c r="AM28" s="36"/>
      <c r="AN28" s="1">
        <f t="shared" si="45"/>
        <v>1143171.6527186213</v>
      </c>
      <c r="AO28" s="64">
        <f t="shared" si="21"/>
        <v>1.9607843137254832E-2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-35688.854906360742</v>
      </c>
      <c r="AT28" s="1">
        <f>IF($B28&lt;Analysis!$C$66,0,IF($B28=Analysis!$C$66,-AP28-AS28,MIN(0,AT27-AS28)))</f>
        <v>-68625.363840646489</v>
      </c>
      <c r="AU28" s="64">
        <f>IF($B28&lt;Analysis!$C$66,0,IF($B28=Analysis!$C$66,Analysis!$C$72,IF(($B28-Analysis!$C$66)&lt;LOOKUP(Analysis!$C$66,$B:$B,AQ:AQ),AU27,0)))</f>
        <v>3.6999999999999998E-2</v>
      </c>
      <c r="AV28" s="1">
        <f>IF($B28&lt;Analysis!$C$66,0,IF($B28=Analysis!$C$66,-AU28*AP28,AU27*AT27))</f>
        <v>-3859.6260936392673</v>
      </c>
      <c r="AW28" s="1">
        <f>IF($B28&lt;Analysis!$C$66,0,IF($B28=Analysis!$C$66,PMT(AU28,AQ28,AP28)*AQ28-AX28-AT28,IF(($B28-Analysis!$C$66+1)&lt;LOOKUP(Analysis!$C$66,$B:$B,AQ:AQ),IF(AW27-AV28&lt;0, AW27-AV28,0),0)))</f>
        <v>-3606.2746986380926</v>
      </c>
      <c r="AX28" s="1">
        <f>IF($B28&lt;Analysis!$C$66,0,IF($B28=Analysis!$C$66,AS28+AV28,IF(AT27&lt;0,IF(AT27&gt;LOOKUP(Analysis!$C$66,$B:$B,AX:AX), AT27*(1+AU27),AX27),0)))</f>
        <v>-39548.481000000007</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-3429.514958155864</v>
      </c>
      <c r="BF28" s="64">
        <f>IF($B28&lt;Analysis!$C$66,0,Analysis!$C$78)</f>
        <v>3.0000000000000001E-3</v>
      </c>
      <c r="BG28" s="1">
        <f>IF($B28&lt;Analysis!$C$66,0,-BH28*AN28)</f>
        <v>-8573.7873953896597</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-145754.38572162422</v>
      </c>
      <c r="BS28" s="64">
        <f>IF($B28&lt;Analysis!C$66,0,Analysis!C$31)</f>
        <v>0.1275</v>
      </c>
      <c r="BT28" s="1">
        <f>IF($B28&lt;Analysis!$C$66,0,AN28+BR28)</f>
        <v>997417.26699699706</v>
      </c>
      <c r="BU28" s="1">
        <f>IF($B28-Analysis!$C$66&gt;3,0,IF($AN28&gt;LOOKUP(Analysis!$C$66,$B:$B, AN:AN),$V28*(LOOKUP(Analysis!$C$66,$B:$B, AN:AN)-AN28),0))</f>
        <v>0</v>
      </c>
      <c r="BV28" s="1">
        <f t="shared" si="23"/>
        <v>997417.26699699706</v>
      </c>
      <c r="BW28" s="42"/>
      <c r="BX28" s="1">
        <f>IF($B28&lt;Analysis!$C$66,$P28+$N28+$X28+$Z28,$P28+$N28+AS28+AV28+BB28+BE28+BG28+MAX(BI28,SUM(BJ28:BN28))+BP28)</f>
        <v>-116711.78335354553</v>
      </c>
      <c r="BY28" s="1">
        <f t="shared" si="24"/>
        <v>131467.92324122589</v>
      </c>
      <c r="BZ28" s="1">
        <f t="shared" si="46"/>
        <v>14756.139887680358</v>
      </c>
      <c r="CA28" s="1">
        <f>IF(BZ28 &lt; 0,
    IF(CA27 + BZ28 &gt; 0,
        CA27 + BZ28, IF(CF27-ABS(CA27 + BZ28)*(1+$V28) &gt;= CA27 + BZ28,
        0, CA27 + BZ28)),
    MIN(CA27 + BZ28, Analysis!$C$7))+IF(CA27&lt;0, CA27*Analysis!$C$9,0)</f>
        <v>-338444.65400554839</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-26243.244897192704</v>
      </c>
      <c r="CJ28" s="1">
        <f>IF(OR($B28&lt;Analysis!$C$100, $B28&gt;=Analysis!$C$130),0,Z28)</f>
        <v>-3960</v>
      </c>
      <c r="CK28" s="1">
        <f t="shared" si="26"/>
        <v>687559.7621423594</v>
      </c>
      <c r="CL28" s="64">
        <f t="shared" si="48"/>
        <v>1.9607843137254832E-2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-19907.009361060456</v>
      </c>
      <c r="CQ28" s="1">
        <f>IF(OR($B28&lt;Analysis!$C$100, $B28&gt;=Analysis!$C$101),0,IF($B28=Analysis!$C$100,-CM28-CP28,MIN(0,CQ27-CP28)))</f>
        <v>-38278.778177846223</v>
      </c>
      <c r="CR28" s="64">
        <f>IF(OR($B28&lt;Analysis!$C$100, $B28&gt;=Analysis!$C$101),0,IF($B28=Analysis!$C$100,Analysis!$C$102,IF(($B28-Analysis!$C$100)&lt;LOOKUP(Analysis!$C$100,$B:$B,CN:CN),CR27,0)))</f>
        <v>3.6999999999999998E-2</v>
      </c>
      <c r="CS28" s="1">
        <f>IF(OR($B28&lt;Analysis!$C$100, $B28&gt;=Analysis!$C$101),0,IF($B28=Analysis!$C$100,-CR28*CM28,CR27*CQ27))</f>
        <v>-2152.8741389395468</v>
      </c>
      <c r="CT28" s="1">
        <f>IF(OR($B28&lt;Analysis!$C$100, $B28&gt;=Analysis!$C$101),0,IF($B28=Analysis!$C$100,PMT(CR28,CN28,CM28)*CN28-CU28-CQ28,IF(($B28-Analysis!$C$100+1)&lt;LOOKUP(Analysis!$C$100,$B:$B,CN:CN),IF(CT27-CS28&lt;0, CT27-CS28,0),0)))</f>
        <v>-2011.5563912798029</v>
      </c>
      <c r="CU28" s="1">
        <f>IF(OR($B28&lt;Analysis!$C$100, $B28&gt;=Analysis!$C$101),0,IF($B28=Analysis!$C$100,CP28+CS28,IF(CQ27&lt;0,IF(CQ27&gt;LOOKUP(Analysis!$C$100,$B:$B,CU:CU), CQ27*(1+CR27),CU27),0)))</f>
        <v>-22059.883500000004</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22962.839285043607</v>
      </c>
      <c r="DC28" s="64">
        <f>IF(OR($B28&lt;Analysis!$C$100, $B28&gt;=Analysis!$C$101),0,((1+Analysis!$B$114)/(1+$S28))-1)</f>
        <v>1.9607843137254832E-2</v>
      </c>
      <c r="DD28" s="1">
        <f t="shared" si="6"/>
        <v>28985.518571470686</v>
      </c>
      <c r="DE28" s="1">
        <f t="shared" si="27"/>
        <v>-2062.6792864270783</v>
      </c>
      <c r="DF28" s="64">
        <f>IF(OR($B28&lt;Analysis!$C$100, $B28&gt;=Analysis!$C$101),0,Analysis!$C$118)</f>
        <v>3.0000000000000001E-3</v>
      </c>
      <c r="DG28" s="1">
        <f t="shared" si="28"/>
        <v>-5156.6982160676953</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-1722.2129463782705</v>
      </c>
      <c r="DR28" s="1">
        <f t="shared" si="29"/>
        <v>-21201.590448873045</v>
      </c>
      <c r="DS28" s="1">
        <f>MIN(0,-(DB28+DR28)*Analysis!$C$28)-CS28*Analysis!$C$28</f>
        <v>173.52917165693725</v>
      </c>
      <c r="DT28" s="1">
        <f>-Analysis!$C$116*DD28/12</f>
        <v>-2415.4598809558906</v>
      </c>
      <c r="DU28" s="53"/>
      <c r="DV28" s="1">
        <f t="shared" si="30"/>
        <v>-87663.869673150824</v>
      </c>
      <c r="DW28" s="64">
        <f>IF(OR($B28&lt;Analysis!$C$100, $B28&gt;=Analysis!$C$101),0,IF($B28=Analysis!$C$100,Analysis!$C$31,DW27))</f>
        <v>0.1275</v>
      </c>
      <c r="DX28" s="1">
        <f>IF(OR($B28&lt;Analysis!$C$100, $B28&gt;=Analysis!$C$101),0,CK28+DV28)</f>
        <v>599895.89246920857</v>
      </c>
      <c r="DY28" s="1">
        <f>IF(OR($B28&lt;Analysis!$C$100, $B28&gt;=Analysis!$C$101),0,IF($B28-Analysis!$C$100&gt;3,0,IF(CK28&gt;LOOKUP(Analysis!$C$100,$B:$B, CK:CK),$V28*(LOOKUP(Analysis!$C$100,$B:$B, CK:CK)-CK28),0)))</f>
        <v>0</v>
      </c>
      <c r="DZ28" s="1">
        <f t="shared" si="49"/>
        <v>599895.89246920857</v>
      </c>
      <c r="EA28" s="53"/>
      <c r="EB28" s="1">
        <f t="shared" si="31"/>
        <v>1143171.6527186213</v>
      </c>
      <c r="EC28" s="64">
        <f t="shared" si="50"/>
        <v>1.9607843137254832E-2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-128606.64955536473</v>
      </c>
      <c r="FM28" s="1">
        <f>$M28+$R28+DD28+IF(AND($B28&lt;&gt;Analysis!$C$130,$B28=Analysis!$C$101),DZ27+CQ27+CT27+CZ27,0)</f>
        <v>160453.44181269658</v>
      </c>
      <c r="FN28" s="1">
        <f t="shared" si="34"/>
        <v>31846.79225733185</v>
      </c>
      <c r="FO28" s="1">
        <f>IF(FN28 &lt; 0,
    IF(FO27 + FN28 &gt; 0,
        FO27 + FN28, IF(FT27-ABS(FO27 + FN28)*(1+$V28) &gt;= FO27 + FN28,
        0, FO27 + FN28)),
    MIN(FO27 + FN28, Analysis!$C$7))+IF(FO27&lt;0, FO27*Analysis!$C$9,0)</f>
        <v>24000</v>
      </c>
      <c r="FP28" s="53"/>
      <c r="FQ28" s="1">
        <f t="shared" si="51"/>
        <v>30086.017037385936</v>
      </c>
      <c r="FR28" s="1">
        <f>IF(OR($B28=Analysis!$C$100, $B28=Analysis!$C$130),0,IF(FN28 &gt;= 0,
    MAX(0, FO27 + FN28 - Analysis!$C$7),
    0))</f>
        <v>31846.79225733185</v>
      </c>
      <c r="FS28" s="1">
        <f>IF(OR($B28=Analysis!$C$100, $B28=Analysis!$C$130),0,MAX(0, FS27 + FR28 - IF(FN28 &lt; 0, MIN(ABS(FN28), FS27 + FR28), 0)))</f>
        <v>586763.70200288598</v>
      </c>
      <c r="FT28" s="1">
        <f>IF(OR($B28=Analysis!$C$100, $B28=Analysis!$C$130),0,IF(FN28 &lt; 0,
    IF(FN28 + FO27 &lt; 0,
        MAX(0, FT27 - (ABS(FN28 + FO27) * (1+$V27))),
        FT27 + FQ28),
    FT27 + FR28 + FQ28))</f>
        <v>950475.83397594944</v>
      </c>
      <c r="FU28" s="1">
        <f t="shared" si="57"/>
        <v>854546.75916805398</v>
      </c>
      <c r="FV28" s="36"/>
      <c r="FW28" s="1">
        <f t="shared" si="52"/>
        <v>687559.7621423594</v>
      </c>
      <c r="FX28" s="64">
        <f t="shared" si="53"/>
        <v>1.9607843137254832E-2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-19907.009361060456</v>
      </c>
      <c r="GC28" s="1">
        <f>IF($B28&lt;Analysis!$C$159,0,IF($B28=Analysis!$C$159,-FY28-GB28,MIN(0,GC27-GB28)))</f>
        <v>-38278.778177846223</v>
      </c>
      <c r="GD28" s="64">
        <f>IF($B28&lt;Analysis!$C$159,0,IF($B28=Analysis!$C$159,Analysis!$C$160,IF(($B28-Analysis!$C$159)&lt;LOOKUP(Analysis!$C$159,$B:$B,FZ:FZ),GD27,0)))</f>
        <v>3.6999999999999998E-2</v>
      </c>
      <c r="GE28" s="1">
        <f>IF($B28&lt;Analysis!$C$159,0,IF($B28=Analysis!$C$159,-GD28*FY28,GD27*GC27))</f>
        <v>-2152.8741389395468</v>
      </c>
      <c r="GF28" s="1">
        <f>IF($B28&lt;Analysis!$C$159,0,IF($B28=Analysis!$C$159,PMT(GD28,FZ28,FY28)*FZ28-GG28-GC28,IF(($B28-Analysis!$C$159+1)&lt;LOOKUP(Analysis!$C$159,$B:$B,FZ:FZ),IF(GF27-GE28&lt;0, GF27-GE28,0),0)))</f>
        <v>-2011.5563912798029</v>
      </c>
      <c r="GG28" s="1">
        <f>IF($B28&lt;Analysis!$C$159,0,IF($B28=Analysis!$C$159,GB28+GE28,IF(GC27&lt;0,IF(GC27&gt;LOOKUP(Analysis!$C$159,$B:$B,GG:GG), GC27*(1+GD27),GG27),0)))</f>
        <v>-22059.883500000004</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22962.839285043607</v>
      </c>
      <c r="GO28" s="64">
        <f>IF($B28&lt;Analysis!$C$159,0,((1+Analysis!$B$174)/(1+$S28))-1)</f>
        <v>1.9607843137254832E-2</v>
      </c>
      <c r="GP28" s="1">
        <f t="shared" si="7"/>
        <v>28985.518571470686</v>
      </c>
      <c r="GQ28" s="1">
        <f t="shared" si="36"/>
        <v>-2062.6792864270783</v>
      </c>
      <c r="GR28" s="64">
        <f>IF($B28&lt;Analysis!$C$159,0,Analysis!$C$178)</f>
        <v>3.0000000000000001E-3</v>
      </c>
      <c r="GS28" s="1">
        <f t="shared" si="37"/>
        <v>-5156.6982160676953</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-1722.2129463782705</v>
      </c>
      <c r="HD28" s="1">
        <f t="shared" si="38"/>
        <v>-21201.590448873045</v>
      </c>
      <c r="HE28" s="1">
        <f>MIN(0,-(GN28+HD28)*Analysis!$C$28)-GE28*Analysis!$C$28</f>
        <v>173.52917165693725</v>
      </c>
      <c r="HF28" s="1">
        <f>-Analysis!$C$176*GP28/12</f>
        <v>-2415.4598809558906</v>
      </c>
      <c r="HG28" s="38"/>
      <c r="HH28" s="1">
        <f>IF($B28&lt;Analysis!$C$159,0,-$HI28*$FW28)</f>
        <v>-87663.869673150824</v>
      </c>
      <c r="HI28" s="64">
        <f>IF($B28&lt;Analysis!$C$159,0,IF($B28=Analysis!$C$159,Analysis!$C$31,HI27))</f>
        <v>0.1275</v>
      </c>
      <c r="HJ28" s="1">
        <f>IF($B28&lt;Analysis!$C$159,0,$FW28+HH28)</f>
        <v>599895.89246920857</v>
      </c>
      <c r="HK28" s="1">
        <f>IF($B28-Analysis!$C$159&gt;10,0,IF($FW28&gt;LOOKUP(Analysis!$C$159,$B:$B, FW:FW),$V28*(LOOKUP(Analysis!$C$159,$B:$B, FW:FW)-FW28),0))</f>
        <v>0</v>
      </c>
      <c r="HL28" s="1">
        <f t="shared" si="39"/>
        <v>599895.89246920857</v>
      </c>
      <c r="HM28" s="38"/>
      <c r="HN28" s="1">
        <f t="shared" si="40"/>
        <v>-128606.64955536473</v>
      </c>
      <c r="HO28" s="1">
        <f t="shared" si="8"/>
        <v>160453.44181269658</v>
      </c>
      <c r="HP28" s="1">
        <f t="shared" si="41"/>
        <v>31846.79225733185</v>
      </c>
      <c r="HQ28" s="1">
        <f>IF(HP28 &lt; 0,
    IF(HQ27 + HP28 &gt; 0,
        HQ27 + HP28, IF(HV27-ABS(HQ27 + HP28)*(1+$V28) &gt;= HQ27 + HP28,
        0, HQ27 + HP28)),
    MIN(HQ27 + HP28, Analysis!$C$7))+IF(HQ27&lt;0, HQ27*Analysis!$C$9,0)</f>
        <v>24000</v>
      </c>
      <c r="HR28" s="38"/>
      <c r="HS28" s="1">
        <f t="shared" si="54"/>
        <v>30086.017037385936</v>
      </c>
      <c r="HT28" s="1">
        <f>IF($B28=Analysis!$C$159,0,IF(HP28 &gt;= 0,
    MAX(0, HQ27 + HP28 - Analysis!$C$7),
    0))</f>
        <v>31846.79225733185</v>
      </c>
      <c r="HU28" s="1">
        <f>IF($B28=Analysis!$C$159,0,MAX(0, HU27 + HT28 - IF(HP28 &lt; 0, MIN(ABS(HP28), HU27 + HT28), 0)))</f>
        <v>586763.70200288598</v>
      </c>
      <c r="HV28" s="1">
        <f>IF($B28=Analysis!$C$159,0,IF(HP28 &lt; 0,
    IF(HP28 + HQ27 &lt; 0,
        MAX(0, HV27 - (ABS(HP28 + HQ27) * (1+$V27))),
        HV27 + HS28),
    HV27 + HT28 + HS28))</f>
        <v>950475.83397594944</v>
      </c>
      <c r="HW28" s="1">
        <f t="shared" si="58"/>
        <v>854546.75916805398</v>
      </c>
      <c r="HX28" s="36"/>
    </row>
    <row r="29" spans="1:232" x14ac:dyDescent="0.35">
      <c r="A29">
        <f t="shared" si="0"/>
        <v>62</v>
      </c>
      <c r="B29">
        <v>2052</v>
      </c>
      <c r="C29" s="1">
        <f>IF($B29&lt;Analysis!C$66,0,$AN29)+$AT29+$AW29+$BC29+$CF29+$CA29</f>
        <v>781904.18031681061</v>
      </c>
      <c r="D29" s="1">
        <f>IF($B29&lt;Analysis!C$66, 0, BV29)+AT29+AW29+BC29+CG29+CA29</f>
        <v>633291.86546338978</v>
      </c>
      <c r="E29" s="1">
        <f t="shared" si="1"/>
        <v>1760376.3455571805</v>
      </c>
      <c r="F29" s="1">
        <f t="shared" si="9"/>
        <v>1543348.0605784843</v>
      </c>
      <c r="G29" s="1">
        <f>IF(AND($B29&gt;=Analysis!$C$100, $B29&lt;Analysis!$C$101),$CK29,0)+IF($B29&gt;=Analysis!$C$130,EB29,0)+CQ29+CT29+CZ29+EH29+EK29+EQ29+$FO29+$FT29</f>
        <v>1718998.889601321</v>
      </c>
      <c r="H29" s="1">
        <f t="shared" si="10"/>
        <v>1525628.5148972736</v>
      </c>
      <c r="I29" s="1">
        <f>IF($B29&lt;Analysis!$C$159,0,$FW29)+$GC29+$GF29+$GL29+$HQ29+$HV29</f>
        <v>1718998.889601321</v>
      </c>
      <c r="J29" s="1">
        <f t="shared" si="2"/>
        <v>1525628.5148972736</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-26757.818326549423</v>
      </c>
      <c r="Y29" s="64">
        <f t="shared" si="15"/>
        <v>1.9607843137254832E-2</v>
      </c>
      <c r="Z29" s="1">
        <f t="shared" si="16"/>
        <v>-3960</v>
      </c>
      <c r="AA29" s="64">
        <f t="shared" si="17"/>
        <v>0</v>
      </c>
      <c r="AB29" s="40"/>
      <c r="AC29" s="1">
        <f t="shared" si="3"/>
        <v>-91917.81832654943</v>
      </c>
      <c r="AD29" s="1">
        <f t="shared" si="4"/>
        <v>131467.92324122589</v>
      </c>
      <c r="AE29" s="1">
        <f t="shared" si="18"/>
        <v>39550.104914676456</v>
      </c>
      <c r="AF29" s="1">
        <f>IF(AE29 &lt; 0,
    IF(AF28 + AE29 &gt; 0,
        AF28 + AE29, IF(AK28-ABS(AF28 + AE29)*(1+$V29) &gt;= AF28 + AE29,
        0, AF28 + AE29)),
    MIN(AF28 + AE29, Analysis!$C$7))+IF(AF28&lt;0, AF28*Analysis!$C$9,0)</f>
        <v>24000</v>
      </c>
      <c r="AG29" s="40"/>
      <c r="AH29" s="1">
        <f t="shared" si="19"/>
        <v>52846.801250592907</v>
      </c>
      <c r="AI29" s="1">
        <f>IF(AE29 &gt;= 0,
    MAX(0, AF28 + AE29 - Analysis!$C$7),
    0)</f>
        <v>39550.104914676456</v>
      </c>
      <c r="AJ29" s="1">
        <f t="shared" si="44"/>
        <v>913520.28876591544</v>
      </c>
      <c r="AK29" s="1">
        <f t="shared" si="20"/>
        <v>1736376.3455571805</v>
      </c>
      <c r="AL29" s="1">
        <f t="shared" si="5"/>
        <v>1519348.0605784843</v>
      </c>
      <c r="AM29" s="36"/>
      <c r="AN29" s="1">
        <f t="shared" si="45"/>
        <v>1165586.7831640844</v>
      </c>
      <c r="AO29" s="64">
        <f t="shared" si="21"/>
        <v>1.9607843137254832E-2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-37009.342537896089</v>
      </c>
      <c r="AT29" s="1">
        <f>IF($B29&lt;Analysis!$C$66,0,IF($B29=Analysis!$C$66,-AP29-AS29,MIN(0,AT28-AS29)))</f>
        <v>-31616.0213027504</v>
      </c>
      <c r="AU29" s="64">
        <f>IF($B29&lt;Analysis!$C$66,0,IF($B29=Analysis!$C$66,Analysis!$C$72,IF(($B29-Analysis!$C$66)&lt;LOOKUP(Analysis!$C$66,$B:$B,AQ:AQ),AU28,0)))</f>
        <v>3.6999999999999998E-2</v>
      </c>
      <c r="AV29" s="1">
        <f>IF($B29&lt;Analysis!$C$66,0,IF($B29=Analysis!$C$66,-AU29*AP29,AU28*AT28))</f>
        <v>-2539.1384621039201</v>
      </c>
      <c r="AW29" s="1">
        <f>IF($B29&lt;Analysis!$C$66,0,IF($B29=Analysis!$C$66,PMT(AU29,AQ29,AP29)*AQ29-AX29-AT29,IF(($B29-Analysis!$C$66+1)&lt;LOOKUP(Analysis!$C$66,$B:$B,AQ:AQ),IF(AW28-AV29&lt;0, AW28-AV29,0),0)))</f>
        <v>-1067.1362365341724</v>
      </c>
      <c r="AX29" s="1">
        <f>IF($B29&lt;Analysis!$C$66,0,IF($B29=Analysis!$C$66,AS29+AV29,IF(AT28&lt;0,IF(AT28&gt;LOOKUP(Analysis!$C$66,$B:$B,AX:AX), AT28*(1+AU28),AX28),0)))</f>
        <v>-39548.481000000007</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-3496.7603494922532</v>
      </c>
      <c r="BF29" s="64">
        <f>IF($B29&lt;Analysis!$C$66,0,Analysis!$C$78)</f>
        <v>3.0000000000000001E-3</v>
      </c>
      <c r="BG29" s="1">
        <f>IF($B29&lt;Analysis!$C$66,0,-BH29*AN29)</f>
        <v>-8741.9008737306322</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-148612.31485342077</v>
      </c>
      <c r="BS29" s="64">
        <f>IF($B29&lt;Analysis!C$66,0,Analysis!C$31)</f>
        <v>0.1275</v>
      </c>
      <c r="BT29" s="1">
        <f>IF($B29&lt;Analysis!$C$66,0,AN29+BR29)</f>
        <v>1016974.4683106637</v>
      </c>
      <c r="BU29" s="1">
        <f>IF($B29-Analysis!$C$66&gt;3,0,IF($AN29&gt;LOOKUP(Analysis!$C$66,$B:$B, AN:AN),$V29*(LOOKUP(Analysis!$C$66,$B:$B, AN:AN)-AN29),0))</f>
        <v>0</v>
      </c>
      <c r="BV29" s="1">
        <f t="shared" si="23"/>
        <v>1016974.4683106637</v>
      </c>
      <c r="BW29" s="42"/>
      <c r="BX29" s="1">
        <f>IF($B29&lt;Analysis!$C$66,$P29+$N29+$X29+$Z29,$P29+$N29+AS29+AV29+BB29+BE29+BG29+MAX(BI29,SUM(BJ29:BN29))+BP29)</f>
        <v>-116947.14222322289</v>
      </c>
      <c r="BY29" s="1">
        <f t="shared" si="24"/>
        <v>131467.92324122589</v>
      </c>
      <c r="BZ29" s="1">
        <f t="shared" si="46"/>
        <v>14520.781018002992</v>
      </c>
      <c r="CA29" s="1">
        <f>IF(BZ29 &lt; 0,
    IF(CA28 + BZ29 &gt; 0,
        CA28 + BZ29, IF(CF28-ABS(CA28 + BZ29)*(1+$V29) &gt;= CA28 + BZ29,
        0, CA28 + BZ29)),
    MIN(CA28 + BZ29, Analysis!$C$7))+IF(CA28&lt;0, CA28*Analysis!$C$9,0)</f>
        <v>-350999.44530798926</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-26757.818326549423</v>
      </c>
      <c r="CJ29" s="1">
        <f>IF(OR($B29&lt;Analysis!$C$100, $B29&gt;=Analysis!$C$130),0,Z29)</f>
        <v>-3960</v>
      </c>
      <c r="CK29" s="1">
        <f t="shared" si="26"/>
        <v>701041.32610593503</v>
      </c>
      <c r="CL29" s="64">
        <f t="shared" si="48"/>
        <v>1.9607843137254832E-2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-20643.568707419694</v>
      </c>
      <c r="CQ29" s="1">
        <f>IF(OR($B29&lt;Analysis!$C$100, $B29&gt;=Analysis!$C$101),0,IF($B29=Analysis!$C$100,-CM29-CP29,MIN(0,CQ28-CP29)))</f>
        <v>-17635.209470426529</v>
      </c>
      <c r="CR29" s="64">
        <f>IF(OR($B29&lt;Analysis!$C$100, $B29&gt;=Analysis!$C$101),0,IF($B29=Analysis!$C$100,Analysis!$C$102,IF(($B29-Analysis!$C$100)&lt;LOOKUP(Analysis!$C$100,$B:$B,CN:CN),CR28,0)))</f>
        <v>3.6999999999999998E-2</v>
      </c>
      <c r="CS29" s="1">
        <f>IF(OR($B29&lt;Analysis!$C$100, $B29&gt;=Analysis!$C$101),0,IF($B29=Analysis!$C$100,-CR29*CM29,CR28*CQ28))</f>
        <v>-1416.3147925803103</v>
      </c>
      <c r="CT29" s="1">
        <f>IF(OR($B29&lt;Analysis!$C$100, $B29&gt;=Analysis!$C$101),0,IF($B29=Analysis!$C$100,PMT(CR29,CN29,CM29)*CN29-CU29-CQ29,IF(($B29-Analysis!$C$100+1)&lt;LOOKUP(Analysis!$C$100,$B:$B,CN:CN),IF(CT28-CS29&lt;0, CT28-CS29,0),0)))</f>
        <v>-595.24159869949267</v>
      </c>
      <c r="CU29" s="1">
        <f>IF(OR($B29&lt;Analysis!$C$100, $B29&gt;=Analysis!$C$101),0,IF($B29=Analysis!$C$100,CP29+CS29,IF(CQ28&lt;0,IF(CQ28&gt;LOOKUP(Analysis!$C$100,$B:$B,CU:CU), CQ28*(1+CR28),CU28),0)))</f>
        <v>-22059.883500000004</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23413.091035730733</v>
      </c>
      <c r="DC29" s="64">
        <f>IF(OR($B29&lt;Analysis!$C$100, $B29&gt;=Analysis!$C$101),0,((1+Analysis!$B$114)/(1+$S29))-1)</f>
        <v>1.9607843137254832E-2</v>
      </c>
      <c r="DD29" s="1">
        <f t="shared" si="6"/>
        <v>29476.215014048539</v>
      </c>
      <c r="DE29" s="1">
        <f t="shared" si="27"/>
        <v>-2103.1239783178053</v>
      </c>
      <c r="DF29" s="64">
        <f>IF(OR($B29&lt;Analysis!$C$100, $B29&gt;=Analysis!$C$101),0,Analysis!$C$118)</f>
        <v>3.0000000000000001E-3</v>
      </c>
      <c r="DG29" s="1">
        <f t="shared" si="28"/>
        <v>-5257.8099457945127</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-1755.9818276798048</v>
      </c>
      <c r="DR29" s="1">
        <f t="shared" si="29"/>
        <v>-21376.915751792119</v>
      </c>
      <c r="DS29" s="1">
        <f>MIN(0,-(DB29+DR29)*Analysis!$C$28)-CS29*Analysis!$C$28</f>
        <v>-274.66018372086421</v>
      </c>
      <c r="DT29" s="1">
        <f>-Analysis!$C$116*DD29/12</f>
        <v>-2456.3512511707117</v>
      </c>
      <c r="DU29" s="53"/>
      <c r="DV29" s="1">
        <f t="shared" si="30"/>
        <v>-89382.769078506724</v>
      </c>
      <c r="DW29" s="64">
        <f>IF(OR($B29&lt;Analysis!$C$100, $B29&gt;=Analysis!$C$101),0,IF($B29=Analysis!$C$100,Analysis!$C$31,DW28))</f>
        <v>0.1275</v>
      </c>
      <c r="DX29" s="1">
        <f>IF(OR($B29&lt;Analysis!$C$100, $B29&gt;=Analysis!$C$101),0,CK29+DV29)</f>
        <v>611658.55702742829</v>
      </c>
      <c r="DY29" s="1">
        <f>IF(OR($B29&lt;Analysis!$C$100, $B29&gt;=Analysis!$C$101),0,IF($B29-Analysis!$C$100&gt;3,0,IF(CK29&gt;LOOKUP(Analysis!$C$100,$B:$B, CK:CK),$V29*(LOOKUP(Analysis!$C$100,$B:$B, CK:CK)-CK29),0)))</f>
        <v>0</v>
      </c>
      <c r="DZ29" s="1">
        <f t="shared" si="49"/>
        <v>611658.55702742829</v>
      </c>
      <c r="EA29" s="53"/>
      <c r="EB29" s="1">
        <f t="shared" si="31"/>
        <v>1165586.7831640844</v>
      </c>
      <c r="EC29" s="64">
        <f t="shared" si="50"/>
        <v>1.9607843137254832E-2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-129785.62901323311</v>
      </c>
      <c r="FM29" s="1">
        <f>$M29+$R29+DD29+IF(AND($B29&lt;&gt;Analysis!$C$130,$B29=Analysis!$C$101),DZ28+CQ28+CT28+CZ28,0)</f>
        <v>160944.13825527442</v>
      </c>
      <c r="FN29" s="1">
        <f t="shared" si="34"/>
        <v>31158.509242041313</v>
      </c>
      <c r="FO29" s="1">
        <f>IF(FN29 &lt; 0,
    IF(FO28 + FN29 &gt; 0,
        FO28 + FN29, IF(FT28-ABS(FO28 + FN29)*(1+$V29) &gt;= FO28 + FN29,
        0, FO28 + FN29)),
    MIN(FO28 + FN29, Analysis!$C$7))+IF(FO28&lt;0, FO28*Analysis!$C$9,0)</f>
        <v>24000</v>
      </c>
      <c r="FP29" s="53"/>
      <c r="FQ29" s="1">
        <f t="shared" si="51"/>
        <v>30553.671346521147</v>
      </c>
      <c r="FR29" s="1">
        <f>IF(OR($B29=Analysis!$C$100, $B29=Analysis!$C$130),0,IF(FN29 &gt;= 0,
    MAX(0, FO28 + FN29 - Analysis!$C$7),
    0))</f>
        <v>31158.509242041313</v>
      </c>
      <c r="FS29" s="1">
        <f>IF(OR($B29=Analysis!$C$100, $B29=Analysis!$C$130),0,MAX(0, FS28 + FR29 - IF(FN29 &lt; 0, MIN(ABS(FN29), FS28 + FR29), 0)))</f>
        <v>617922.21124492725</v>
      </c>
      <c r="FT29" s="1">
        <f>IF(OR($B29=Analysis!$C$100, $B29=Analysis!$C$130),0,IF(FN29 &lt; 0,
    IF(FN29 + FO28 &lt; 0,
        MAX(0, FT28 - (ABS(FN29 + FO28) * (1+$V28))),
        FT28 + FQ29),
    FT28 + FR29 + FQ29))</f>
        <v>1012188.0145645118</v>
      </c>
      <c r="FU29" s="1">
        <f t="shared" si="57"/>
        <v>908200.40893897135</v>
      </c>
      <c r="FV29" s="36"/>
      <c r="FW29" s="1">
        <f t="shared" si="52"/>
        <v>701041.32610593503</v>
      </c>
      <c r="FX29" s="64">
        <f t="shared" si="53"/>
        <v>1.9607843137254832E-2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-20643.568707419694</v>
      </c>
      <c r="GC29" s="1">
        <f>IF($B29&lt;Analysis!$C$159,0,IF($B29=Analysis!$C$159,-FY29-GB29,MIN(0,GC28-GB29)))</f>
        <v>-17635.209470426529</v>
      </c>
      <c r="GD29" s="64">
        <f>IF($B29&lt;Analysis!$C$159,0,IF($B29=Analysis!$C$159,Analysis!$C$160,IF(($B29-Analysis!$C$159)&lt;LOOKUP(Analysis!$C$159,$B:$B,FZ:FZ),GD28,0)))</f>
        <v>3.6999999999999998E-2</v>
      </c>
      <c r="GE29" s="1">
        <f>IF($B29&lt;Analysis!$C$159,0,IF($B29=Analysis!$C$159,-GD29*FY29,GD28*GC28))</f>
        <v>-1416.3147925803103</v>
      </c>
      <c r="GF29" s="1">
        <f>IF($B29&lt;Analysis!$C$159,0,IF($B29=Analysis!$C$159,PMT(GD29,FZ29,FY29)*FZ29-GG29-GC29,IF(($B29-Analysis!$C$159+1)&lt;LOOKUP(Analysis!$C$159,$B:$B,FZ:FZ),IF(GF28-GE29&lt;0, GF28-GE29,0),0)))</f>
        <v>-595.24159869949267</v>
      </c>
      <c r="GG29" s="1">
        <f>IF($B29&lt;Analysis!$C$159,0,IF($B29=Analysis!$C$159,GB29+GE29,IF(GC28&lt;0,IF(GC28&gt;LOOKUP(Analysis!$C$159,$B:$B,GG:GG), GC28*(1+GD28),GG28),0)))</f>
        <v>-22059.883500000004</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23413.091035730733</v>
      </c>
      <c r="GO29" s="64">
        <f>IF($B29&lt;Analysis!$C$159,0,((1+Analysis!$B$174)/(1+$S29))-1)</f>
        <v>1.9607843137254832E-2</v>
      </c>
      <c r="GP29" s="1">
        <f t="shared" si="7"/>
        <v>29476.215014048539</v>
      </c>
      <c r="GQ29" s="1">
        <f t="shared" si="36"/>
        <v>-2103.1239783178053</v>
      </c>
      <c r="GR29" s="64">
        <f>IF($B29&lt;Analysis!$C$159,0,Analysis!$C$178)</f>
        <v>3.0000000000000001E-3</v>
      </c>
      <c r="GS29" s="1">
        <f t="shared" si="37"/>
        <v>-5257.8099457945127</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-1755.9818276798048</v>
      </c>
      <c r="HD29" s="1">
        <f t="shared" si="38"/>
        <v>-21376.915751792119</v>
      </c>
      <c r="HE29" s="1">
        <f>MIN(0,-(GN29+HD29)*Analysis!$C$28)-GE29*Analysis!$C$28</f>
        <v>-274.66018372086421</v>
      </c>
      <c r="HF29" s="1">
        <f>-Analysis!$C$176*GP29/12</f>
        <v>-2456.3512511707117</v>
      </c>
      <c r="HG29" s="38"/>
      <c r="HH29" s="1">
        <f>IF($B29&lt;Analysis!$C$159,0,-$HI29*$FW29)</f>
        <v>-89382.769078506724</v>
      </c>
      <c r="HI29" s="64">
        <f>IF($B29&lt;Analysis!$C$159,0,IF($B29=Analysis!$C$159,Analysis!$C$31,HI28))</f>
        <v>0.1275</v>
      </c>
      <c r="HJ29" s="1">
        <f>IF($B29&lt;Analysis!$C$159,0,$FW29+HH29)</f>
        <v>611658.55702742829</v>
      </c>
      <c r="HK29" s="1">
        <f>IF($B29-Analysis!$C$159&gt;10,0,IF($FW29&gt;LOOKUP(Analysis!$C$159,$B:$B, FW:FW),$V29*(LOOKUP(Analysis!$C$159,$B:$B, FW:FW)-FW29),0))</f>
        <v>0</v>
      </c>
      <c r="HL29" s="1">
        <f t="shared" si="39"/>
        <v>611658.55702742829</v>
      </c>
      <c r="HM29" s="38"/>
      <c r="HN29" s="1">
        <f t="shared" si="40"/>
        <v>-129785.62901323311</v>
      </c>
      <c r="HO29" s="1">
        <f t="shared" si="8"/>
        <v>160944.13825527442</v>
      </c>
      <c r="HP29" s="1">
        <f t="shared" si="41"/>
        <v>31158.509242041313</v>
      </c>
      <c r="HQ29" s="1">
        <f>IF(HP29 &lt; 0,
    IF(HQ28 + HP29 &gt; 0,
        HQ28 + HP29, IF(HV28-ABS(HQ28 + HP29)*(1+$V29) &gt;= HQ28 + HP29,
        0, HQ28 + HP29)),
    MIN(HQ28 + HP29, Analysis!$C$7))+IF(HQ28&lt;0, HQ28*Analysis!$C$9,0)</f>
        <v>24000</v>
      </c>
      <c r="HR29" s="38"/>
      <c r="HS29" s="1">
        <f t="shared" si="54"/>
        <v>30553.671346521147</v>
      </c>
      <c r="HT29" s="1">
        <f>IF($B29=Analysis!$C$159,0,IF(HP29 &gt;= 0,
    MAX(0, HQ28 + HP29 - Analysis!$C$7),
    0))</f>
        <v>31158.509242041313</v>
      </c>
      <c r="HU29" s="1">
        <f>IF($B29=Analysis!$C$159,0,MAX(0, HU28 + HT29 - IF(HP29 &lt; 0, MIN(ABS(HP29), HU28 + HT29), 0)))</f>
        <v>617922.21124492725</v>
      </c>
      <c r="HV29" s="1">
        <f>IF($B29=Analysis!$C$159,0,IF(HP29 &lt; 0,
    IF(HP29 + HQ28 &lt; 0,
        MAX(0, HV28 - (ABS(HP29 + HQ28) * (1+$V28))),
        HV28 + HS29),
    HV28 + HT29 + HS29))</f>
        <v>1012188.0145645118</v>
      </c>
      <c r="HW29" s="1">
        <f t="shared" si="58"/>
        <v>908200.40893897135</v>
      </c>
      <c r="HX29" s="36"/>
    </row>
    <row r="30" spans="1:232" x14ac:dyDescent="0.35">
      <c r="A30">
        <f t="shared" si="0"/>
        <v>63</v>
      </c>
      <c r="B30">
        <v>2053</v>
      </c>
      <c r="C30" s="1">
        <f>IF($B30&lt;Analysis!C$66,0,$AN30)+$AT30+$AW30+$BC30+$CF30+$CA30</f>
        <v>843605.49921617075</v>
      </c>
      <c r="D30" s="1">
        <f>IF($B30&lt;Analysis!C$66, 0, BV30)+AT30+AW30+BC30+CG30+CA30</f>
        <v>692079.21740483982</v>
      </c>
      <c r="E30" s="1">
        <f t="shared" si="1"/>
        <v>1865442.1028243708</v>
      </c>
      <c r="F30" s="1">
        <f t="shared" si="9"/>
        <v>1634477.1846439026</v>
      </c>
      <c r="G30" s="1">
        <f>IF(AND($B30&gt;=Analysis!$C$100, $B30&lt;Analysis!$C$101),$CK30,0)+IF($B30&gt;=Analysis!$C$130,EB30,0)+CQ30+CT30+CZ30+EH30+EK30+EQ30+$FO30+$FT30</f>
        <v>1829200.7450782442</v>
      </c>
      <c r="H30" s="1">
        <f t="shared" si="10"/>
        <v>1625953.6681985043</v>
      </c>
      <c r="I30" s="1">
        <f>IF($B30&lt;Analysis!$C$159,0,$FW30)+$GC30+$GF30+$GL30+$HQ30+$HV30</f>
        <v>1829200.7450782442</v>
      </c>
      <c r="J30" s="1">
        <f t="shared" si="2"/>
        <v>1625953.6681985043</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-27282.481430991567</v>
      </c>
      <c r="Y30" s="64">
        <f t="shared" si="15"/>
        <v>1.9607843137254832E-2</v>
      </c>
      <c r="Z30" s="1">
        <f t="shared" si="16"/>
        <v>-3960</v>
      </c>
      <c r="AA30" s="64">
        <f t="shared" si="17"/>
        <v>0</v>
      </c>
      <c r="AB30" s="40"/>
      <c r="AC30" s="1">
        <f t="shared" si="3"/>
        <v>-79242.481430991567</v>
      </c>
      <c r="AD30" s="1">
        <f t="shared" si="4"/>
        <v>131467.92324122589</v>
      </c>
      <c r="AE30" s="1">
        <f t="shared" si="18"/>
        <v>52225.441810234319</v>
      </c>
      <c r="AF30" s="1">
        <f>IF(AE30 &lt; 0,
    IF(AF29 + AE30 &gt; 0,
        AF29 + AE30, IF(AK29-ABS(AF29 + AE30)*(1+$V30) &gt;= AF29 + AE30,
        0, AF29 + AE30)),
    MIN(AF29 + AE30, Analysis!$C$7))+IF(AF29&lt;0, AF29*Analysis!$C$9,0)</f>
        <v>24000</v>
      </c>
      <c r="AG30" s="40"/>
      <c r="AH30" s="1">
        <f t="shared" si="19"/>
        <v>52840.315456956043</v>
      </c>
      <c r="AI30" s="1">
        <f>IF(AE30 &gt;= 0,
    MAX(0, AF29 + AE30 - Analysis!$C$7),
    0)</f>
        <v>52225.441810234319</v>
      </c>
      <c r="AJ30" s="1">
        <f t="shared" si="44"/>
        <v>965745.73057614977</v>
      </c>
      <c r="AK30" s="1">
        <f t="shared" si="20"/>
        <v>1841442.1028243708</v>
      </c>
      <c r="AL30" s="1">
        <f t="shared" si="5"/>
        <v>1610477.1846439026</v>
      </c>
      <c r="AM30" s="36"/>
      <c r="AN30" s="1">
        <f t="shared" si="45"/>
        <v>1188441.4259712233</v>
      </c>
      <c r="AO30" s="64">
        <f t="shared" si="21"/>
        <v>1.9607843137254832E-2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-31616.021302750396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-1169.7927882017648</v>
      </c>
      <c r="AW30" s="1">
        <f>IF($B30&lt;Analysis!$C$66,0,IF($B30=Analysis!$C$66,PMT(AU30,AQ30,AP30)*AQ30-AX30-AT30,IF(($B30-Analysis!$C$66+1)&lt;LOOKUP(Analysis!$C$66,$B:$B,AQ:AQ),IF(AW29-AV30&lt;0, AW29-AV30,0),0)))</f>
        <v>0</v>
      </c>
      <c r="AX30" s="1">
        <f>IF($B30&lt;Analysis!$C$66,0,IF($B30=Analysis!$C$66,AS30+AV30,IF(AT29&lt;0,IF(AT29&gt;LOOKUP(Analysis!$C$66,$B:$B,AX:AX), AT29*(1+AU29),AX29),0)))</f>
        <v>-32785.814090952161</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-3565.3242779136699</v>
      </c>
      <c r="BF30" s="64">
        <f>IF($B30&lt;Analysis!$C$66,0,Analysis!$C$78)</f>
        <v>3.0000000000000001E-3</v>
      </c>
      <c r="BG30" s="1">
        <f>IF($B30&lt;Analysis!$C$66,0,-BH30*AN30)</f>
        <v>-8913.3106947841734</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-151526.28181133096</v>
      </c>
      <c r="BS30" s="64">
        <f>IF($B30&lt;Analysis!C$66,0,Analysis!C$31)</f>
        <v>0.1275</v>
      </c>
      <c r="BT30" s="1">
        <f>IF($B30&lt;Analysis!$C$66,0,AN30+BR30)</f>
        <v>1036915.1441598923</v>
      </c>
      <c r="BU30" s="1">
        <f>IF($B30-Analysis!$C$66&gt;3,0,IF($AN30&gt;LOOKUP(Analysis!$C$66,$B:$B, AN:AN),$V30*(LOOKUP(Analysis!$C$66,$B:$B, AN:AN)-AN30),0))</f>
        <v>0</v>
      </c>
      <c r="BV30" s="1">
        <f t="shared" si="23"/>
        <v>1036915.1441598923</v>
      </c>
      <c r="BW30" s="42"/>
      <c r="BX30" s="1">
        <f>IF($B30&lt;Analysis!$C$66,$P30+$N30+$X30+$Z30,$P30+$N30+AS30+AV30+BB30+BE30+BG30+MAX(BI30,SUM(BJ30:BN30))+BP30)</f>
        <v>-97224.449063649998</v>
      </c>
      <c r="BY30" s="1">
        <f t="shared" si="24"/>
        <v>131467.92324122589</v>
      </c>
      <c r="BZ30" s="1">
        <f t="shared" si="46"/>
        <v>34243.474177575888</v>
      </c>
      <c r="CA30" s="1">
        <f>IF(BZ30 &lt; 0,
    IF(CA29 + BZ30 &gt; 0,
        CA29 + BZ30, IF(CF29-ABS(CA29 + BZ30)*(1+$V30) &gt;= CA29 + BZ30,
        0, CA29 + BZ30)),
    MIN(CA29 + BZ30, Analysis!$C$7))+IF(CA29&lt;0, CA29*Analysis!$C$9,0)</f>
        <v>-344835.92675505247</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-27282.481430991567</v>
      </c>
      <c r="CJ30" s="1">
        <f>IF(OR($B30&lt;Analysis!$C$100, $B30&gt;=Analysis!$C$130),0,Z30)</f>
        <v>-3960</v>
      </c>
      <c r="CK30" s="1">
        <f t="shared" si="26"/>
        <v>714787.23446095327</v>
      </c>
      <c r="CL30" s="64">
        <f t="shared" si="48"/>
        <v>1.9607843137254832E-2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-17635.209470426529</v>
      </c>
      <c r="CQ30" s="1">
        <f>IF(OR($B30&lt;Analysis!$C$100, $B30&gt;=Analysis!$C$101),0,IF($B30=Analysis!$C$100,-CM30-CP30,MIN(0,CQ29-CP30)))</f>
        <v>0</v>
      </c>
      <c r="CR30" s="64">
        <f>IF(OR($B30&lt;Analysis!$C$100, $B30&gt;=Analysis!$C$101),0,IF($B30=Analysis!$C$100,Analysis!$C$102,IF(($B30-Analysis!$C$100)&lt;LOOKUP(Analysis!$C$100,$B:$B,CN:CN),CR29,0)))</f>
        <v>3.6999999999999998E-2</v>
      </c>
      <c r="CS30" s="1">
        <f>IF(OR($B30&lt;Analysis!$C$100, $B30&gt;=Analysis!$C$101),0,IF($B30=Analysis!$C$100,-CR30*CM30,CR29*CQ29))</f>
        <v>-652.50275040578151</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-18287.712220832309</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23872.171252117609</v>
      </c>
      <c r="DC30" s="64">
        <f>IF(OR($B30&lt;Analysis!$C$100, $B30&gt;=Analysis!$C$101),0,((1+Analysis!$B$114)/(1+$S30))-1)</f>
        <v>1.9607843137254832E-2</v>
      </c>
      <c r="DD30" s="1">
        <f t="shared" si="6"/>
        <v>29976.532955500468</v>
      </c>
      <c r="DE30" s="1">
        <f t="shared" si="27"/>
        <v>-2144.36170338286</v>
      </c>
      <c r="DF30" s="64">
        <f>IF(OR($B30&lt;Analysis!$C$100, $B30&gt;=Analysis!$C$101),0,Analysis!$C$118)</f>
        <v>3.0000000000000001E-3</v>
      </c>
      <c r="DG30" s="1">
        <f t="shared" si="28"/>
        <v>-5360.9042584571498</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-1790.4128439088206</v>
      </c>
      <c r="DR30" s="1">
        <f t="shared" si="29"/>
        <v>-21555.67880574883</v>
      </c>
      <c r="DS30" s="1">
        <f>MIN(0,-(DB30+DR30)*Analysis!$C$28)-CS30*Analysis!$C$28</f>
        <v>-737.31383428120387</v>
      </c>
      <c r="DT30" s="1">
        <f>-Analysis!$C$116*DD30/12</f>
        <v>-2498.0444129583725</v>
      </c>
      <c r="DU30" s="53"/>
      <c r="DV30" s="1">
        <f t="shared" si="30"/>
        <v>-91135.37239377154</v>
      </c>
      <c r="DW30" s="64">
        <f>IF(OR($B30&lt;Analysis!$C$100, $B30&gt;=Analysis!$C$101),0,IF($B30=Analysis!$C$100,Analysis!$C$31,DW29))</f>
        <v>0.1275</v>
      </c>
      <c r="DX30" s="1">
        <f>IF(OR($B30&lt;Analysis!$C$100, $B30&gt;=Analysis!$C$101),0,CK30+DV30)</f>
        <v>623651.86206718173</v>
      </c>
      <c r="DY30" s="1">
        <f>IF(OR($B30&lt;Analysis!$C$100, $B30&gt;=Analysis!$C$101),0,IF($B30-Analysis!$C$100&gt;3,0,IF(CK30&gt;LOOKUP(Analysis!$C$100,$B:$B, CK:CK),$V30*(LOOKUP(Analysis!$C$100,$B:$B, CK:CK)-CK30),0)))</f>
        <v>0</v>
      </c>
      <c r="DZ30" s="1">
        <f t="shared" si="49"/>
        <v>623651.86206718173</v>
      </c>
      <c r="EA30" s="53"/>
      <c r="EB30" s="1">
        <f t="shared" si="31"/>
        <v>1188441.4259712233</v>
      </c>
      <c r="EC30" s="64">
        <f t="shared" si="50"/>
        <v>1.9607843137254832E-2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-114021.23070481229</v>
      </c>
      <c r="FM30" s="1">
        <f>$M30+$R30+DD30+IF(AND($B30&lt;&gt;Analysis!$C$130,$B30=Analysis!$C$101),DZ29+CQ29+CT29+CZ29,0)</f>
        <v>161444.45619672636</v>
      </c>
      <c r="FN30" s="1">
        <f t="shared" si="34"/>
        <v>47423.225491914069</v>
      </c>
      <c r="FO30" s="1">
        <f>IF(FN30 &lt; 0,
    IF(FO29 + FN30 &gt; 0,
        FO29 + FN30, IF(FT29-ABS(FO29 + FN30)*(1+$V30) &gt;= FO29 + FN30,
        0, FO29 + FN30)),
    MIN(FO29 + FN30, Analysis!$C$7))+IF(FO29&lt;0, FO29*Analysis!$C$9,0)</f>
        <v>24000</v>
      </c>
      <c r="FP30" s="53"/>
      <c r="FQ30" s="1">
        <f t="shared" si="51"/>
        <v>30802.270560865309</v>
      </c>
      <c r="FR30" s="1">
        <f>IF(OR($B30=Analysis!$C$100, $B30=Analysis!$C$130),0,IF(FN30 &gt;= 0,
    MAX(0, FO29 + FN30 - Analysis!$C$7),
    0))</f>
        <v>47423.225491914069</v>
      </c>
      <c r="FS30" s="1">
        <f>IF(OR($B30=Analysis!$C$100, $B30=Analysis!$C$130),0,MAX(0, FS29 + FR30 - IF(FN30 &lt; 0, MIN(ABS(FN30), FS29 + FR30), 0)))</f>
        <v>665345.43673684134</v>
      </c>
      <c r="FT30" s="1">
        <f>IF(OR($B30=Analysis!$C$100, $B30=Analysis!$C$130),0,IF(FN30 &lt; 0,
    IF(FN30 + FO29 &lt; 0,
        MAX(0, FT29 - (ABS(FN30 + FO29) * (1+$V29))),
        FT29 + FQ30),
    FT29 + FR30 + FQ30))</f>
        <v>1090413.5106172911</v>
      </c>
      <c r="FU30" s="1">
        <f t="shared" si="57"/>
        <v>978301.80613132252</v>
      </c>
      <c r="FV30" s="36"/>
      <c r="FW30" s="1">
        <f t="shared" si="52"/>
        <v>714787.23446095327</v>
      </c>
      <c r="FX30" s="64">
        <f t="shared" si="53"/>
        <v>1.9607843137254832E-2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-17635.209470426529</v>
      </c>
      <c r="GC30" s="1">
        <f>IF($B30&lt;Analysis!$C$159,0,IF($B30=Analysis!$C$159,-FY30-GB30,MIN(0,GC29-GB30)))</f>
        <v>0</v>
      </c>
      <c r="GD30" s="64">
        <f>IF($B30&lt;Analysis!$C$159,0,IF($B30=Analysis!$C$159,Analysis!$C$160,IF(($B30-Analysis!$C$159)&lt;LOOKUP(Analysis!$C$159,$B:$B,FZ:FZ),GD29,0)))</f>
        <v>3.6999999999999998E-2</v>
      </c>
      <c r="GE30" s="1">
        <f>IF($B30&lt;Analysis!$C$159,0,IF($B30=Analysis!$C$159,-GD30*FY30,GD29*GC29))</f>
        <v>-652.50275040578151</v>
      </c>
      <c r="GF30" s="1">
        <f>IF($B30&lt;Analysis!$C$159,0,IF($B30=Analysis!$C$159,PMT(GD30,FZ30,FY30)*FZ30-GG30-GC30,IF(($B30-Analysis!$C$159+1)&lt;LOOKUP(Analysis!$C$159,$B:$B,FZ:FZ),IF(GF29-GE30&lt;0, GF29-GE30,0),0)))</f>
        <v>0</v>
      </c>
      <c r="GG30" s="1">
        <f>IF($B30&lt;Analysis!$C$159,0,IF($B30=Analysis!$C$159,GB30+GE30,IF(GC29&lt;0,IF(GC29&gt;LOOKUP(Analysis!$C$159,$B:$B,GG:GG), GC29*(1+GD29),GG29),0)))</f>
        <v>-18287.712220832309</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23872.171252117609</v>
      </c>
      <c r="GO30" s="64">
        <f>IF($B30&lt;Analysis!$C$159,0,((1+Analysis!$B$174)/(1+$S30))-1)</f>
        <v>1.9607843137254832E-2</v>
      </c>
      <c r="GP30" s="1">
        <f t="shared" si="7"/>
        <v>29976.532955500468</v>
      </c>
      <c r="GQ30" s="1">
        <f t="shared" si="36"/>
        <v>-2144.36170338286</v>
      </c>
      <c r="GR30" s="64">
        <f>IF($B30&lt;Analysis!$C$159,0,Analysis!$C$178)</f>
        <v>3.0000000000000001E-3</v>
      </c>
      <c r="GS30" s="1">
        <f t="shared" si="37"/>
        <v>-5360.9042584571498</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-1790.4128439088206</v>
      </c>
      <c r="HD30" s="1">
        <f t="shared" si="38"/>
        <v>-21555.67880574883</v>
      </c>
      <c r="HE30" s="1">
        <f>MIN(0,-(GN30+HD30)*Analysis!$C$28)-GE30*Analysis!$C$28</f>
        <v>-737.31383428120387</v>
      </c>
      <c r="HF30" s="1">
        <f>-Analysis!$C$176*GP30/12</f>
        <v>-2498.0444129583725</v>
      </c>
      <c r="HG30" s="38"/>
      <c r="HH30" s="1">
        <f>IF($B30&lt;Analysis!$C$159,0,-$HI30*$FW30)</f>
        <v>-91135.37239377154</v>
      </c>
      <c r="HI30" s="64">
        <f>IF($B30&lt;Analysis!$C$159,0,IF($B30=Analysis!$C$159,Analysis!$C$31,HI29))</f>
        <v>0.1275</v>
      </c>
      <c r="HJ30" s="1">
        <f>IF($B30&lt;Analysis!$C$159,0,$FW30+HH30)</f>
        <v>623651.86206718173</v>
      </c>
      <c r="HK30" s="1">
        <f>IF($B30-Analysis!$C$159&gt;10,0,IF($FW30&gt;LOOKUP(Analysis!$C$159,$B:$B, FW:FW),$V30*(LOOKUP(Analysis!$C$159,$B:$B, FW:FW)-FW30),0))</f>
        <v>0</v>
      </c>
      <c r="HL30" s="1">
        <f t="shared" si="39"/>
        <v>623651.86206718173</v>
      </c>
      <c r="HM30" s="38"/>
      <c r="HN30" s="1">
        <f t="shared" si="40"/>
        <v>-114021.23070481229</v>
      </c>
      <c r="HO30" s="1">
        <f t="shared" si="8"/>
        <v>161444.45619672636</v>
      </c>
      <c r="HP30" s="1">
        <f t="shared" si="41"/>
        <v>47423.225491914069</v>
      </c>
      <c r="HQ30" s="1">
        <f>IF(HP30 &lt; 0,
    IF(HQ29 + HP30 &gt; 0,
        HQ29 + HP30, IF(HV29-ABS(HQ29 + HP30)*(1+$V30) &gt;= HQ29 + HP30,
        0, HQ29 + HP30)),
    MIN(HQ29 + HP30, Analysis!$C$7))+IF(HQ29&lt;0, HQ29*Analysis!$C$9,0)</f>
        <v>24000</v>
      </c>
      <c r="HR30" s="38"/>
      <c r="HS30" s="1">
        <f t="shared" si="54"/>
        <v>30802.270560865309</v>
      </c>
      <c r="HT30" s="1">
        <f>IF($B30=Analysis!$C$159,0,IF(HP30 &gt;= 0,
    MAX(0, HQ29 + HP30 - Analysis!$C$7),
    0))</f>
        <v>47423.225491914069</v>
      </c>
      <c r="HU30" s="1">
        <f>IF($B30=Analysis!$C$159,0,MAX(0, HU29 + HT30 - IF(HP30 &lt; 0, MIN(ABS(HP30), HU29 + HT30), 0)))</f>
        <v>665345.43673684134</v>
      </c>
      <c r="HV30" s="1">
        <f>IF($B30=Analysis!$C$159,0,IF(HP30 &lt; 0,
    IF(HP30 + HQ29 &lt; 0,
        MAX(0, HV29 - (ABS(HP30 + HQ29) * (1+$V29))),
        HV29 + HS30),
    HV29 + HT30 + HS30))</f>
        <v>1090413.5106172911</v>
      </c>
      <c r="HW30" s="1">
        <f t="shared" si="58"/>
        <v>978301.80613132252</v>
      </c>
      <c r="HX30" s="36"/>
    </row>
    <row r="31" spans="1:232" x14ac:dyDescent="0.35">
      <c r="A31">
        <f t="shared" si="0"/>
        <v>64</v>
      </c>
      <c r="B31">
        <v>2054</v>
      </c>
      <c r="C31" s="1">
        <f>IF($B31&lt;Analysis!C$66,0,$AN31)+$AT31+$AW31+$BC31+$CF31+$CA31</f>
        <v>906106.00728544197</v>
      </c>
      <c r="D31" s="1">
        <f>IF($B31&lt;Analysis!C$66, 0, BV31)+AT31+AW31+BC31+CG31+CA31</f>
        <v>751608.62190918298</v>
      </c>
      <c r="E31" s="1">
        <f t="shared" si="1"/>
        <v>1970013.4467862539</v>
      </c>
      <c r="F31" s="1">
        <f t="shared" si="9"/>
        <v>1725101.2036882408</v>
      </c>
      <c r="G31" s="1">
        <f>IF(AND($B31&gt;=Analysis!$C$100, $B31&lt;Analysis!$C$101),$CK31,0)+IF($B31&gt;=Analysis!$C$130,EB31,0)+CQ31+CT31+CZ31+EH31+EK31+EQ31+$FO31+$FT31</f>
        <v>1939575.2488603666</v>
      </c>
      <c r="H31" s="1">
        <f t="shared" si="10"/>
        <v>1726282.2684092186</v>
      </c>
      <c r="I31" s="1">
        <f>IF($B31&lt;Analysis!$C$159,0,$FW31)+$GC31+$GF31+$GL31+$HQ31+$HV31</f>
        <v>1939575.2488603666</v>
      </c>
      <c r="J31" s="1">
        <f t="shared" si="2"/>
        <v>1726282.2684092186</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-27817.432047285518</v>
      </c>
      <c r="Y31" s="64">
        <f t="shared" si="15"/>
        <v>1.9607843137254832E-2</v>
      </c>
      <c r="Z31" s="1">
        <f t="shared" si="16"/>
        <v>-3960</v>
      </c>
      <c r="AA31" s="64">
        <f t="shared" si="17"/>
        <v>0</v>
      </c>
      <c r="AB31" s="40"/>
      <c r="AC31" s="1">
        <f t="shared" si="3"/>
        <v>-79777.432047285518</v>
      </c>
      <c r="AD31" s="1">
        <f t="shared" si="4"/>
        <v>131467.92324122589</v>
      </c>
      <c r="AE31" s="1">
        <f t="shared" si="18"/>
        <v>51690.491193940368</v>
      </c>
      <c r="AF31" s="1">
        <f>IF(AE31 &lt; 0,
    IF(AF30 + AE31 &gt; 0,
        AF30 + AE31, IF(AK30-ABS(AF30 + AE31)*(1+$V31) &gt;= AF30 + AE31,
        0, AF30 + AE31)),
    MIN(AF30 + AE31, Analysis!$C$7))+IF(AF30&lt;0, AF30*Analysis!$C$9,0)</f>
        <v>24000</v>
      </c>
      <c r="AG31" s="40"/>
      <c r="AH31" s="1">
        <f t="shared" si="19"/>
        <v>52880.852767942735</v>
      </c>
      <c r="AI31" s="1">
        <f>IF(AE31 &gt;= 0,
    MAX(0, AF30 + AE31 - Analysis!$C$7),
    0)</f>
        <v>51690.491193940368</v>
      </c>
      <c r="AJ31" s="1">
        <f t="shared" si="44"/>
        <v>1017436.2217700902</v>
      </c>
      <c r="AK31" s="1">
        <f t="shared" si="20"/>
        <v>1946013.4467862539</v>
      </c>
      <c r="AL31" s="1">
        <f t="shared" si="5"/>
        <v>1701101.2036882408</v>
      </c>
      <c r="AM31" s="36"/>
      <c r="AN31" s="1">
        <f t="shared" si="45"/>
        <v>1211744.1990294824</v>
      </c>
      <c r="AO31" s="64">
        <f t="shared" si="21"/>
        <v>1.9607843137254832E-2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-3635.2325970884472</v>
      </c>
      <c r="BF31" s="64">
        <f>IF($B31&lt;Analysis!$C$66,0,Analysis!$C$78)</f>
        <v>3.0000000000000001E-3</v>
      </c>
      <c r="BG31" s="1">
        <f>IF($B31&lt;Analysis!$C$66,0,-BH31*AN31)</f>
        <v>-9088.0814927211177</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-154497.38537625902</v>
      </c>
      <c r="BS31" s="64">
        <f>IF($B31&lt;Analysis!C$66,0,Analysis!C$31)</f>
        <v>0.1275</v>
      </c>
      <c r="BT31" s="1">
        <f>IF($B31&lt;Analysis!$C$66,0,AN31+BR31)</f>
        <v>1057246.8136532234</v>
      </c>
      <c r="BU31" s="1">
        <f>IF($B31-Analysis!$C$66&gt;3,0,IF($AN31&gt;LOOKUP(Analysis!$C$66,$B:$B, AN:AN),$V31*(LOOKUP(Analysis!$C$66,$B:$B, AN:AN)-AN31),0))</f>
        <v>0</v>
      </c>
      <c r="BV31" s="1">
        <f t="shared" si="23"/>
        <v>1057246.8136532234</v>
      </c>
      <c r="BW31" s="42"/>
      <c r="BX31" s="1">
        <f>IF($B31&lt;Analysis!$C$66,$P31+$N31+$X31+$Z31,$P31+$N31+AS31+AV31+BB31+BE31+BG31+MAX(BI31,SUM(BJ31:BN31))+BP31)</f>
        <v>-64683.314089809566</v>
      </c>
      <c r="BY31" s="1">
        <f t="shared" si="24"/>
        <v>131467.92324122589</v>
      </c>
      <c r="BZ31" s="1">
        <f t="shared" si="46"/>
        <v>66784.609151416313</v>
      </c>
      <c r="CA31" s="1">
        <f>IF(BZ31 &lt; 0,
    IF(CA30 + BZ31 &gt; 0,
        CA30 + BZ31, IF(CF30-ABS(CA30 + BZ31)*(1+$V31) &gt;= CA30 + BZ31,
        0, CA30 + BZ31)),
    MIN(CA30 + BZ31, Analysis!$C$7))+IF(CA30&lt;0, CA30*Analysis!$C$9,0)</f>
        <v>-305638.19174404041</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-27817.432047285518</v>
      </c>
      <c r="CJ31" s="1">
        <f>IF(OR($B31&lt;Analysis!$C$100, $B31&gt;=Analysis!$C$130),0,Z31)</f>
        <v>-3960</v>
      </c>
      <c r="CK31" s="1">
        <f t="shared" si="26"/>
        <v>728802.67043077585</v>
      </c>
      <c r="CL31" s="64">
        <f t="shared" si="48"/>
        <v>1.9607843137254832E-2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0</v>
      </c>
      <c r="CQ31" s="1">
        <f>IF(OR($B31&lt;Analysis!$C$100, $B31&gt;=Analysis!$C$101),0,IF($B31=Analysis!$C$100,-CM31-CP31,MIN(0,CQ30-CP31)))</f>
        <v>0</v>
      </c>
      <c r="CR31" s="64">
        <f>IF(OR($B31&lt;Analysis!$C$100, $B31&gt;=Analysis!$C$101),0,IF($B31=Analysis!$C$100,Analysis!$C$102,IF(($B31-Analysis!$C$100)&lt;LOOKUP(Analysis!$C$100,$B:$B,CN:CN),CR30,0)))</f>
        <v>0</v>
      </c>
      <c r="CS31" s="1">
        <f>IF(OR($B31&lt;Analysis!$C$100, $B31&gt;=Analysis!$C$101),0,IF($B31=Analysis!$C$100,-CR31*CM31,CR30*CQ30))</f>
        <v>0</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0</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24340.253041374814</v>
      </c>
      <c r="DC31" s="64">
        <f>IF(OR($B31&lt;Analysis!$C$100, $B31&gt;=Analysis!$C$101),0,((1+Analysis!$B$114)/(1+$S31))-1)</f>
        <v>1.9607843137254832E-2</v>
      </c>
      <c r="DD31" s="1">
        <f t="shared" si="6"/>
        <v>30486.661052667143</v>
      </c>
      <c r="DE31" s="1">
        <f t="shared" si="27"/>
        <v>-2186.4080112923275</v>
      </c>
      <c r="DF31" s="64">
        <f>IF(OR($B31&lt;Analysis!$C$100, $B31&gt;=Analysis!$C$101),0,Analysis!$C$118)</f>
        <v>3.0000000000000001E-3</v>
      </c>
      <c r="DG31" s="1">
        <f t="shared" si="28"/>
        <v>-5466.0200282308188</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-1825.5189781031111</v>
      </c>
      <c r="DR31" s="1">
        <f t="shared" si="29"/>
        <v>-21737.947017626258</v>
      </c>
      <c r="DS31" s="1">
        <f>MIN(0,-(DB31+DR31)*Analysis!$C$28)-CS31*Analysis!$C$28</f>
        <v>-1153.0817991229846</v>
      </c>
      <c r="DT31" s="1">
        <f>-Analysis!$C$116*DD31/12</f>
        <v>-2540.5550877222618</v>
      </c>
      <c r="DU31" s="53"/>
      <c r="DV31" s="1">
        <f t="shared" si="30"/>
        <v>-92922.340479923922</v>
      </c>
      <c r="DW31" s="64">
        <f>IF(OR($B31&lt;Analysis!$C$100, $B31&gt;=Analysis!$C$101),0,IF($B31=Analysis!$C$100,Analysis!$C$31,DW30))</f>
        <v>0.1275</v>
      </c>
      <c r="DX31" s="1">
        <f>IF(OR($B31&lt;Analysis!$C$100, $B31&gt;=Analysis!$C$101),0,CK31+DV31)</f>
        <v>635880.32995085197</v>
      </c>
      <c r="DY31" s="1">
        <f>IF(OR($B31&lt;Analysis!$C$100, $B31&gt;=Analysis!$C$101),0,IF($B31-Analysis!$C$100&gt;3,0,IF(CK31&gt;LOOKUP(Analysis!$C$100,$B:$B, CK:CK),$V31*(LOOKUP(Analysis!$C$100,$B:$B, CK:CK)-CK31),0)))</f>
        <v>0</v>
      </c>
      <c r="DZ31" s="1">
        <f t="shared" si="49"/>
        <v>635880.32995085197</v>
      </c>
      <c r="EA31" s="53"/>
      <c r="EB31" s="1">
        <f t="shared" si="31"/>
        <v>1211744.1990294824</v>
      </c>
      <c r="EC31" s="64">
        <f t="shared" si="50"/>
        <v>1.9607843137254832E-2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-96909.015951757014</v>
      </c>
      <c r="FM31" s="1">
        <f>$M31+$R31+DD31+IF(AND($B31&lt;&gt;Analysis!$C$130,$B31=Analysis!$C$101),DZ30+CQ30+CT30+CZ30,0)</f>
        <v>161954.58429389301</v>
      </c>
      <c r="FN31" s="1">
        <f t="shared" si="34"/>
        <v>65045.568342136001</v>
      </c>
      <c r="FO31" s="1">
        <f>IF(FN31 &lt; 0,
    IF(FO30 + FN31 &gt; 0,
        FO30 + FN31, IF(FT30-ABS(FO30 + FN31)*(1+$V31) &gt;= FO30 + FN31,
        0, FO30 + FN31)),
    MIN(FO30 + FN31, Analysis!$C$7))+IF(FO30&lt;0, FO30*Analysis!$C$9,0)</f>
        <v>24000</v>
      </c>
      <c r="FP31" s="53"/>
      <c r="FQ31" s="1">
        <f t="shared" si="51"/>
        <v>31313.499470163952</v>
      </c>
      <c r="FR31" s="1">
        <f>IF(OR($B31=Analysis!$C$100, $B31=Analysis!$C$130),0,IF(FN31 &gt;= 0,
    MAX(0, FO30 + FN31 - Analysis!$C$7),
    0))</f>
        <v>65045.568342136001</v>
      </c>
      <c r="FS31" s="1">
        <f>IF(OR($B31=Analysis!$C$100, $B31=Analysis!$C$130),0,MAX(0, FS30 + FR31 - IF(FN31 &lt; 0, MIN(ABS(FN31), FS30 + FR31), 0)))</f>
        <v>730391.00507897732</v>
      </c>
      <c r="FT31" s="1">
        <f>IF(OR($B31=Analysis!$C$100, $B31=Analysis!$C$130),0,IF(FN31 &lt; 0,
    IF(FN31 + FO30 &lt; 0,
        MAX(0, FT30 - (ABS(FN31 + FO30) * (1+$V30))),
        FT30 + FQ31),
    FT30 + FR31 + FQ31))</f>
        <v>1186772.5784295909</v>
      </c>
      <c r="FU31" s="1">
        <f t="shared" si="57"/>
        <v>1066401.9384583666</v>
      </c>
      <c r="FV31" s="36"/>
      <c r="FW31" s="1">
        <f t="shared" si="52"/>
        <v>728802.67043077585</v>
      </c>
      <c r="FX31" s="64">
        <f t="shared" si="53"/>
        <v>1.9607843137254832E-2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24340.253041374814</v>
      </c>
      <c r="GO31" s="64">
        <f>IF($B31&lt;Analysis!$C$159,0,((1+Analysis!$B$174)/(1+$S31))-1)</f>
        <v>1.9607843137254832E-2</v>
      </c>
      <c r="GP31" s="1">
        <f t="shared" si="7"/>
        <v>30486.661052667143</v>
      </c>
      <c r="GQ31" s="1">
        <f t="shared" si="36"/>
        <v>-2186.4080112923275</v>
      </c>
      <c r="GR31" s="64">
        <f>IF($B31&lt;Analysis!$C$159,0,Analysis!$C$178)</f>
        <v>3.0000000000000001E-3</v>
      </c>
      <c r="GS31" s="1">
        <f t="shared" si="37"/>
        <v>-5466.0200282308188</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-1825.5189781031111</v>
      </c>
      <c r="HD31" s="1">
        <f t="shared" si="38"/>
        <v>-21737.947017626258</v>
      </c>
      <c r="HE31" s="1">
        <f>MIN(0,-(GN31+HD31)*Analysis!$C$28)-GE31*Analysis!$C$28</f>
        <v>-1153.0817991229846</v>
      </c>
      <c r="HF31" s="1">
        <f>-Analysis!$C$176*GP31/12</f>
        <v>-2540.5550877222618</v>
      </c>
      <c r="HG31" s="38"/>
      <c r="HH31" s="1">
        <f>IF($B31&lt;Analysis!$C$159,0,-$HI31*$FW31)</f>
        <v>-92922.340479923922</v>
      </c>
      <c r="HI31" s="64">
        <f>IF($B31&lt;Analysis!$C$159,0,IF($B31=Analysis!$C$159,Analysis!$C$31,HI30))</f>
        <v>0.1275</v>
      </c>
      <c r="HJ31" s="1">
        <f>IF($B31&lt;Analysis!$C$159,0,$FW31+HH31)</f>
        <v>635880.32995085197</v>
      </c>
      <c r="HK31" s="1">
        <f>IF($B31-Analysis!$C$159&gt;10,0,IF($FW31&gt;LOOKUP(Analysis!$C$159,$B:$B, FW:FW),$V31*(LOOKUP(Analysis!$C$159,$B:$B, FW:FW)-FW31),0))</f>
        <v>0</v>
      </c>
      <c r="HL31" s="1">
        <f t="shared" si="39"/>
        <v>635880.32995085197</v>
      </c>
      <c r="HM31" s="38"/>
      <c r="HN31" s="1">
        <f t="shared" si="40"/>
        <v>-96909.015951757014</v>
      </c>
      <c r="HO31" s="1">
        <f t="shared" si="8"/>
        <v>161954.58429389301</v>
      </c>
      <c r="HP31" s="1">
        <f t="shared" si="41"/>
        <v>65045.568342136001</v>
      </c>
      <c r="HQ31" s="1">
        <f>IF(HP31 &lt; 0,
    IF(HQ30 + HP31 &gt; 0,
        HQ30 + HP31, IF(HV30-ABS(HQ30 + HP31)*(1+$V31) &gt;= HQ30 + HP31,
        0, HQ30 + HP31)),
    MIN(HQ30 + HP31, Analysis!$C$7))+IF(HQ30&lt;0, HQ30*Analysis!$C$9,0)</f>
        <v>24000</v>
      </c>
      <c r="HR31" s="38"/>
      <c r="HS31" s="1">
        <f t="shared" si="54"/>
        <v>31313.499470163952</v>
      </c>
      <c r="HT31" s="1">
        <f>IF($B31=Analysis!$C$159,0,IF(HP31 &gt;= 0,
    MAX(0, HQ30 + HP31 - Analysis!$C$7),
    0))</f>
        <v>65045.568342136001</v>
      </c>
      <c r="HU31" s="1">
        <f>IF($B31=Analysis!$C$159,0,MAX(0, HU30 + HT31 - IF(HP31 &lt; 0, MIN(ABS(HP31), HU30 + HT31), 0)))</f>
        <v>730391.00507897732</v>
      </c>
      <c r="HV31" s="1">
        <f>IF($B31=Analysis!$C$159,0,IF(HP31 &lt; 0,
    IF(HP31 + HQ30 &lt; 0,
        MAX(0, HV30 - (ABS(HP31 + HQ30) * (1+$V30))),
        HV30 + HS31),
    HV30 + HT31 + HS31))</f>
        <v>1186772.5784295909</v>
      </c>
      <c r="HW31" s="1">
        <f t="shared" si="58"/>
        <v>1066401.9384583666</v>
      </c>
      <c r="HX31" s="36"/>
    </row>
    <row r="32" spans="1:232" x14ac:dyDescent="0.35">
      <c r="A32">
        <f t="shared" si="0"/>
        <v>65</v>
      </c>
      <c r="B32">
        <v>2055</v>
      </c>
      <c r="C32" s="1">
        <f>IF($B32&lt;Analysis!C$66,0,$AN32)+$AT32+$AW32+$BC32+$CF32+$CA32</f>
        <v>971949.7745275246</v>
      </c>
      <c r="D32" s="1">
        <f>IF($B32&lt;Analysis!C$66, 0, BV32)+AT32+AW32+BC32+CG32+CA32</f>
        <v>814423.02865369199</v>
      </c>
      <c r="E32" s="1">
        <f t="shared" si="1"/>
        <v>2073706.3122174174</v>
      </c>
      <c r="F32" s="1">
        <f t="shared" si="9"/>
        <v>1814934.5831554646</v>
      </c>
      <c r="G32" s="1">
        <f>IF(AND($B32&gt;=Analysis!$C$100, $B32&lt;Analysis!$C$101),$CK32,0)+IF($B32&gt;=Analysis!$C$130,EB32,0)+CQ32+CT32+CZ32+EH32+EK32+EQ32+$FO32+$FT32</f>
        <v>2050573.6267901305</v>
      </c>
      <c r="H32" s="1">
        <f t="shared" si="10"/>
        <v>1827006.4586565013</v>
      </c>
      <c r="I32" s="1">
        <f>IF($B32&lt;Analysis!$C$159,0,$FW32)+$GC32+$GF32+$GL32+$HQ32+$HV32</f>
        <v>2050573.6267901305</v>
      </c>
      <c r="J32" s="1">
        <f t="shared" si="2"/>
        <v>1827006.4586565013</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-28362.87189134994</v>
      </c>
      <c r="Y32" s="64">
        <f t="shared" si="15"/>
        <v>1.9607843137254832E-2</v>
      </c>
      <c r="Z32" s="1">
        <f t="shared" si="16"/>
        <v>-3960</v>
      </c>
      <c r="AA32" s="64">
        <f t="shared" si="17"/>
        <v>0</v>
      </c>
      <c r="AB32" s="40"/>
      <c r="AC32" s="1">
        <f t="shared" si="3"/>
        <v>-80322.871891349932</v>
      </c>
      <c r="AD32" s="1">
        <f t="shared" si="4"/>
        <v>131467.92324122589</v>
      </c>
      <c r="AE32" s="1">
        <f t="shared" si="18"/>
        <v>51145.051349875954</v>
      </c>
      <c r="AF32" s="1">
        <f>IF(AE32 &lt; 0,
    IF(AF31 + AE32 &gt; 0,
        AF31 + AE32, IF(AK31-ABS(AF31 + AE32)*(1+$V32) &gt;= AF31 + AE32,
        0, AF31 + AE32)),
    MIN(AF31 + AE32, Analysis!$C$7))+IF(AF31&lt;0, AF31*Analysis!$C$9,0)</f>
        <v>24000</v>
      </c>
      <c r="AG32" s="40"/>
      <c r="AH32" s="1">
        <f t="shared" si="19"/>
        <v>52547.814081287397</v>
      </c>
      <c r="AI32" s="1">
        <f>IF(AE32 &gt;= 0,
    MAX(0, AF31 + AE32 - Analysis!$C$7),
    0)</f>
        <v>51145.051349875954</v>
      </c>
      <c r="AJ32" s="1">
        <f t="shared" si="44"/>
        <v>1068581.273119966</v>
      </c>
      <c r="AK32" s="1">
        <f t="shared" si="20"/>
        <v>2049706.3122174174</v>
      </c>
      <c r="AL32" s="1">
        <f t="shared" si="5"/>
        <v>1790934.5831554646</v>
      </c>
      <c r="AM32" s="36"/>
      <c r="AN32" s="1">
        <f t="shared" si="45"/>
        <v>1235503.889206531</v>
      </c>
      <c r="AO32" s="64">
        <f t="shared" si="21"/>
        <v>1.9607843137254832E-2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-3706.511667619593</v>
      </c>
      <c r="BF32" s="64">
        <f>IF($B32&lt;Analysis!$C$66,0,Analysis!$C$78)</f>
        <v>3.0000000000000001E-3</v>
      </c>
      <c r="BG32" s="1">
        <f>IF($B32&lt;Analysis!$C$66,0,-BH32*AN32)</f>
        <v>-9266.2791690489812</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-157526.7458738327</v>
      </c>
      <c r="BS32" s="64">
        <f>IF($B32&lt;Analysis!C$66,0,Analysis!C$31)</f>
        <v>0.1275</v>
      </c>
      <c r="BT32" s="1">
        <f>IF($B32&lt;Analysis!$C$66,0,AN32+BR32)</f>
        <v>1077977.1433326984</v>
      </c>
      <c r="BU32" s="1">
        <f>IF($B32-Analysis!$C$66&gt;3,0,IF($AN32&gt;LOOKUP(Analysis!$C$66,$B:$B, AN:AN),$V32*(LOOKUP(Analysis!$C$66,$B:$B, AN:AN)-AN32),0))</f>
        <v>0</v>
      </c>
      <c r="BV32" s="1">
        <f t="shared" si="23"/>
        <v>1077977.1433326984</v>
      </c>
      <c r="BW32" s="42"/>
      <c r="BX32" s="1">
        <f>IF($B32&lt;Analysis!$C$66,$P32+$N32+$X32+$Z32,$P32+$N32+AS32+AV32+BB32+BE32+BG32+MAX(BI32,SUM(BJ32:BN32))+BP32)</f>
        <v>-64932.790836668573</v>
      </c>
      <c r="BY32" s="1">
        <f t="shared" si="24"/>
        <v>131467.92324122589</v>
      </c>
      <c r="BZ32" s="1">
        <f t="shared" si="46"/>
        <v>66535.132404557313</v>
      </c>
      <c r="CA32" s="1">
        <f>IF(BZ32 &lt; 0,
    IF(CA31 + BZ32 &gt; 0,
        CA31 + BZ32, IF(CF31-ABS(CA31 + BZ32)*(1+$V32) &gt;= CA31 + BZ32,
        0, CA31 + BZ32)),
    MIN(CA31 + BZ32, Analysis!$C$7))+IF(CA31&lt;0, CA31*Analysis!$C$9,0)</f>
        <v>-263554.11467900634</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-28362.87189134994</v>
      </c>
      <c r="CJ32" s="1">
        <f>IF(OR($B32&lt;Analysis!$C$100, $B32&gt;=Analysis!$C$130),0,Z32)</f>
        <v>-3960</v>
      </c>
      <c r="CK32" s="1">
        <f t="shared" si="26"/>
        <v>743092.91887059493</v>
      </c>
      <c r="CL32" s="64">
        <f t="shared" si="48"/>
        <v>1.9607843137254832E-2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0</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0</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24817.51290493118</v>
      </c>
      <c r="DC32" s="64">
        <f>IF(OR($B32&lt;Analysis!$C$100, $B32&gt;=Analysis!$C$101),0,((1+Analysis!$B$114)/(1+$S32))-1)</f>
        <v>1.9607843137254832E-2</v>
      </c>
      <c r="DD32" s="1">
        <f t="shared" si="6"/>
        <v>31006.791661542964</v>
      </c>
      <c r="DE32" s="1">
        <f t="shared" si="27"/>
        <v>-2229.278756611785</v>
      </c>
      <c r="DF32" s="64">
        <f>IF(OR($B32&lt;Analysis!$C$100, $B32&gt;=Analysis!$C$101),0,Analysis!$C$118)</f>
        <v>3.0000000000000001E-3</v>
      </c>
      <c r="DG32" s="1">
        <f t="shared" si="28"/>
        <v>-5573.1968915294619</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-1861.3134678698384</v>
      </c>
      <c r="DR32" s="1">
        <f t="shared" si="29"/>
        <v>-21923.789116011085</v>
      </c>
      <c r="DS32" s="1">
        <f>MIN(0,-(DB32+DR32)*Analysis!$C$28)-CS32*Analysis!$C$28</f>
        <v>-1282.209010870494</v>
      </c>
      <c r="DT32" s="1">
        <f>-Analysis!$C$116*DD32/12</f>
        <v>-2583.8993051285802</v>
      </c>
      <c r="DU32" s="53"/>
      <c r="DV32" s="1">
        <f t="shared" si="30"/>
        <v>-94744.347156000862</v>
      </c>
      <c r="DW32" s="64">
        <f>IF(OR($B32&lt;Analysis!$C$100, $B32&gt;=Analysis!$C$101),0,IF($B32=Analysis!$C$100,Analysis!$C$31,DW31))</f>
        <v>0.1275</v>
      </c>
      <c r="DX32" s="1">
        <f>IF(OR($B32&lt;Analysis!$C$100, $B32&gt;=Analysis!$C$101),0,CK32+DV32)</f>
        <v>648348.57171459403</v>
      </c>
      <c r="DY32" s="1">
        <f>IF(OR($B32&lt;Analysis!$C$100, $B32&gt;=Analysis!$C$101),0,IF($B32-Analysis!$C$100&gt;3,0,IF(CK32&gt;LOOKUP(Analysis!$C$100,$B:$B, CK:CK),$V32*(LOOKUP(Analysis!$C$100,$B:$B, CK:CK)-CK32),0)))</f>
        <v>0</v>
      </c>
      <c r="DZ32" s="1">
        <f t="shared" si="49"/>
        <v>648348.57171459403</v>
      </c>
      <c r="EA32" s="53"/>
      <c r="EB32" s="1">
        <f t="shared" si="31"/>
        <v>1235503.889206531</v>
      </c>
      <c r="EC32" s="64">
        <f t="shared" si="50"/>
        <v>1.9607843137254832E-2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-97812.769323360088</v>
      </c>
      <c r="FM32" s="1">
        <f>$M32+$R32+DD32+IF(AND($B32&lt;&gt;Analysis!$C$130,$B32=Analysis!$C$101),DZ31+CQ31+CT31+CZ31,0)</f>
        <v>162474.71490276884</v>
      </c>
      <c r="FN32" s="1">
        <f t="shared" si="34"/>
        <v>64661.945579408755</v>
      </c>
      <c r="FO32" s="1">
        <f>IF(FN32 &lt; 0,
    IF(FO31 + FN32 &gt; 0,
        FO31 + FN32, IF(FT31-ABS(FO31 + FN32)*(1+$V32) &gt;= FO31 + FN32,
        0, FO31 + FN32)),
    MIN(FO31 + FN32, Analysis!$C$7))+IF(FO31&lt;0, FO31*Analysis!$C$9,0)</f>
        <v>24000</v>
      </c>
      <c r="FP32" s="53"/>
      <c r="FQ32" s="1">
        <f t="shared" si="51"/>
        <v>32046.183910535925</v>
      </c>
      <c r="FR32" s="1">
        <f>IF(OR($B32=Analysis!$C$100, $B32=Analysis!$C$130),0,IF(FN32 &gt;= 0,
    MAX(0, FO31 + FN32 - Analysis!$C$7),
    0))</f>
        <v>64661.945579408755</v>
      </c>
      <c r="FS32" s="1">
        <f>IF(OR($B32=Analysis!$C$100, $B32=Analysis!$C$130),0,MAX(0, FS31 + FR32 - IF(FN32 &lt; 0, MIN(ABS(FN32), FS31 + FR32), 0)))</f>
        <v>795052.95065838611</v>
      </c>
      <c r="FT32" s="1">
        <f>IF(OR($B32=Analysis!$C$100, $B32=Analysis!$C$130),0,IF(FN32 &lt; 0,
    IF(FN32 + FO31 &lt; 0,
        MAX(0, FT31 - (ABS(FN32 + FO31) * (1+$V31))),
        FT31 + FQ32),
    FT31 + FR32 + FQ32))</f>
        <v>1283480.7079195355</v>
      </c>
      <c r="FU32" s="1">
        <f t="shared" si="57"/>
        <v>1154657.8869419072</v>
      </c>
      <c r="FV32" s="36"/>
      <c r="FW32" s="1">
        <f t="shared" si="52"/>
        <v>743092.91887059493</v>
      </c>
      <c r="FX32" s="64">
        <f t="shared" si="53"/>
        <v>1.9607843137254832E-2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24817.51290493118</v>
      </c>
      <c r="GO32" s="64">
        <f>IF($B32&lt;Analysis!$C$159,0,((1+Analysis!$B$174)/(1+$S32))-1)</f>
        <v>1.9607843137254832E-2</v>
      </c>
      <c r="GP32" s="1">
        <f t="shared" si="7"/>
        <v>31006.791661542964</v>
      </c>
      <c r="GQ32" s="1">
        <f t="shared" si="36"/>
        <v>-2229.278756611785</v>
      </c>
      <c r="GR32" s="64">
        <f>IF($B32&lt;Analysis!$C$159,0,Analysis!$C$178)</f>
        <v>3.0000000000000001E-3</v>
      </c>
      <c r="GS32" s="1">
        <f t="shared" si="37"/>
        <v>-5573.1968915294619</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-1861.3134678698384</v>
      </c>
      <c r="HD32" s="1">
        <f t="shared" si="38"/>
        <v>-21923.789116011085</v>
      </c>
      <c r="HE32" s="1">
        <f>MIN(0,-(GN32+HD32)*Analysis!$C$28)-GE32*Analysis!$C$28</f>
        <v>-1282.209010870494</v>
      </c>
      <c r="HF32" s="1">
        <f>-Analysis!$C$176*GP32/12</f>
        <v>-2583.8993051285802</v>
      </c>
      <c r="HG32" s="38"/>
      <c r="HH32" s="1">
        <f>IF($B32&lt;Analysis!$C$159,0,-$HI32*$FW32)</f>
        <v>-94744.347156000862</v>
      </c>
      <c r="HI32" s="64">
        <f>IF($B32&lt;Analysis!$C$159,0,IF($B32=Analysis!$C$159,Analysis!$C$31,HI31))</f>
        <v>0.1275</v>
      </c>
      <c r="HJ32" s="1">
        <f>IF($B32&lt;Analysis!$C$159,0,$FW32+HH32)</f>
        <v>648348.57171459403</v>
      </c>
      <c r="HK32" s="1">
        <f>IF($B32-Analysis!$C$159&gt;10,0,IF($FW32&gt;LOOKUP(Analysis!$C$159,$B:$B, FW:FW),$V32*(LOOKUP(Analysis!$C$159,$B:$B, FW:FW)-FW32),0))</f>
        <v>0</v>
      </c>
      <c r="HL32" s="1">
        <f t="shared" si="39"/>
        <v>648348.57171459403</v>
      </c>
      <c r="HM32" s="38"/>
      <c r="HN32" s="1">
        <f t="shared" si="40"/>
        <v>-97812.769323360088</v>
      </c>
      <c r="HO32" s="1">
        <f t="shared" si="8"/>
        <v>162474.71490276884</v>
      </c>
      <c r="HP32" s="1">
        <f t="shared" si="41"/>
        <v>64661.945579408755</v>
      </c>
      <c r="HQ32" s="1">
        <f>IF(HP32 &lt; 0,
    IF(HQ31 + HP32 &gt; 0,
        HQ31 + HP32, IF(HV31-ABS(HQ31 + HP32)*(1+$V32) &gt;= HQ31 + HP32,
        0, HQ31 + HP32)),
    MIN(HQ31 + HP32, Analysis!$C$7))+IF(HQ31&lt;0, HQ31*Analysis!$C$9,0)</f>
        <v>24000</v>
      </c>
      <c r="HR32" s="38"/>
      <c r="HS32" s="1">
        <f t="shared" si="54"/>
        <v>32046.183910535925</v>
      </c>
      <c r="HT32" s="1">
        <f>IF($B32=Analysis!$C$159,0,IF(HP32 &gt;= 0,
    MAX(0, HQ31 + HP32 - Analysis!$C$7),
    0))</f>
        <v>64661.945579408755</v>
      </c>
      <c r="HU32" s="1">
        <f>IF($B32=Analysis!$C$159,0,MAX(0, HU31 + HT32 - IF(HP32 &lt; 0, MIN(ABS(HP32), HU31 + HT32), 0)))</f>
        <v>795052.95065838611</v>
      </c>
      <c r="HV32" s="1">
        <f>IF($B32=Analysis!$C$159,0,IF(HP32 &lt; 0,
    IF(HP32 + HQ31 &lt; 0,
        MAX(0, HV31 - (ABS(HP32 + HQ31) * (1+$V31))),
        HV31 + HS32),
    HV31 + HT32 + HS32))</f>
        <v>1283480.7079195355</v>
      </c>
      <c r="HW32" s="1">
        <f t="shared" si="58"/>
        <v>1154657.8869419072</v>
      </c>
      <c r="HX32" s="36"/>
    </row>
    <row r="33" spans="1:232" x14ac:dyDescent="0.35">
      <c r="A33">
        <f t="shared" si="0"/>
        <v>66</v>
      </c>
      <c r="B33">
        <v>2056</v>
      </c>
      <c r="C33" s="1">
        <f>IF($B33&lt;Analysis!C$66,0,$AN33)+$AT33+$AW33+$BC33+$CF33+$CA33</f>
        <v>1041371.7757650135</v>
      </c>
      <c r="D33" s="1">
        <f>IF($B33&lt;Analysis!C$66, 0, BV33)+AT33+AW33+BC33+CG33+CA33</f>
        <v>880756.2701681644</v>
      </c>
      <c r="E33" s="1">
        <f t="shared" si="1"/>
        <v>2176129.2584789447</v>
      </c>
      <c r="F33" s="1">
        <f t="shared" si="9"/>
        <v>1903686.3040955861</v>
      </c>
      <c r="G33" s="1">
        <f>IF(AND($B33&gt;=Analysis!$C$100, $B33&lt;Analysis!$C$101),$CK33,0)+IF($B33&gt;=Analysis!$C$130,EB33,0)+CQ33+CT33+CZ33+EH33+EK33+EQ33+$FO33+$FT33</f>
        <v>2161872.1986372117</v>
      </c>
      <c r="H33" s="1">
        <f t="shared" si="10"/>
        <v>1927886.6796197058</v>
      </c>
      <c r="I33" s="1">
        <f>IF($B33&lt;Analysis!$C$159,0,$FW33)+$GC33+$GF33+$GL33+$HQ33+$HV33</f>
        <v>2161872.1986372117</v>
      </c>
      <c r="J33" s="1">
        <f t="shared" si="2"/>
        <v>1927886.6796197058</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-28919.006634317582</v>
      </c>
      <c r="Y33" s="64">
        <f t="shared" si="15"/>
        <v>1.9607843137254832E-2</v>
      </c>
      <c r="Z33" s="1">
        <f t="shared" si="16"/>
        <v>-3960</v>
      </c>
      <c r="AA33" s="64">
        <f t="shared" si="17"/>
        <v>0</v>
      </c>
      <c r="AB33" s="40"/>
      <c r="AC33" s="1">
        <f t="shared" si="3"/>
        <v>-80879.006634317586</v>
      </c>
      <c r="AD33" s="1">
        <f t="shared" si="4"/>
        <v>131467.92324122589</v>
      </c>
      <c r="AE33" s="1">
        <f t="shared" si="18"/>
        <v>50588.9166069083</v>
      </c>
      <c r="AF33" s="1">
        <f>IF(AE33 &lt; 0,
    IF(AF32 + AE33 &gt; 0,
        AF32 + AE33, IF(AK32-ABS(AF32 + AE33)*(1+$V33) &gt;= AF32 + AE33,
        0, AF32 + AE33)),
    MIN(AF32 + AE33, Analysis!$C$7))+IF(AF32&lt;0, AF32*Analysis!$C$9,0)</f>
        <v>24000</v>
      </c>
      <c r="AG33" s="40"/>
      <c r="AH33" s="1">
        <f t="shared" si="19"/>
        <v>51834.029654618949</v>
      </c>
      <c r="AI33" s="1">
        <f>IF(AE33 &gt;= 0,
    MAX(0, AF32 + AE33 - Analysis!$C$7),
    0)</f>
        <v>50588.9166069083</v>
      </c>
      <c r="AJ33" s="1">
        <f t="shared" si="44"/>
        <v>1119170.1897268742</v>
      </c>
      <c r="AK33" s="1">
        <f t="shared" si="20"/>
        <v>2152129.2584789447</v>
      </c>
      <c r="AL33" s="1">
        <f t="shared" si="5"/>
        <v>1879686.3040955861</v>
      </c>
      <c r="AM33" s="36"/>
      <c r="AN33" s="1">
        <f t="shared" si="45"/>
        <v>1259729.4556615609</v>
      </c>
      <c r="AO33" s="64">
        <f t="shared" si="21"/>
        <v>1.9607843137254832E-2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-3779.1883669846825</v>
      </c>
      <c r="BF33" s="64">
        <f>IF($B33&lt;Analysis!$C$66,0,Analysis!$C$78)</f>
        <v>3.0000000000000001E-3</v>
      </c>
      <c r="BG33" s="1">
        <f>IF($B33&lt;Analysis!$C$66,0,-BH33*AN33)</f>
        <v>-9447.9709174617055</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-160615.50559684902</v>
      </c>
      <c r="BS33" s="64">
        <f>IF($B33&lt;Analysis!C$66,0,Analysis!C$31)</f>
        <v>0.1275</v>
      </c>
      <c r="BT33" s="1">
        <f>IF($B33&lt;Analysis!$C$66,0,AN33+BR33)</f>
        <v>1099113.9500647117</v>
      </c>
      <c r="BU33" s="1">
        <f>IF($B33-Analysis!$C$66&gt;3,0,IF($AN33&gt;LOOKUP(Analysis!$C$66,$B:$B, AN:AN),$V33*(LOOKUP(Analysis!$C$66,$B:$B, AN:AN)-AN33),0))</f>
        <v>0</v>
      </c>
      <c r="BV33" s="1">
        <f t="shared" si="23"/>
        <v>1099113.9500647117</v>
      </c>
      <c r="BW33" s="42"/>
      <c r="BX33" s="1">
        <f>IF($B33&lt;Analysis!$C$66,$P33+$N33+$X33+$Z33,$P33+$N33+AS33+AV33+BB33+BE33+BG33+MAX(BI33,SUM(BJ33:BN33))+BP33)</f>
        <v>-65187.159284446388</v>
      </c>
      <c r="BY33" s="1">
        <f t="shared" si="24"/>
        <v>131467.92324122589</v>
      </c>
      <c r="BZ33" s="1">
        <f t="shared" si="46"/>
        <v>66280.763956779498</v>
      </c>
      <c r="CA33" s="1">
        <f>IF(BZ33 &lt; 0,
    IF(CA32 + BZ33 &gt; 0,
        CA32 + BZ33, IF(CF32-ABS(CA32 + BZ33)*(1+$V33) &gt;= CA32 + BZ33,
        0, CA32 + BZ33)),
    MIN(CA32 + BZ33, Analysis!$C$7))+IF(CA32&lt;0, CA32*Analysis!$C$9,0)</f>
        <v>-218357.67989654734</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-28919.006634317582</v>
      </c>
      <c r="CJ33" s="1">
        <f>IF(OR($B33&lt;Analysis!$C$100, $B33&gt;=Analysis!$C$130),0,Z33)</f>
        <v>-3960</v>
      </c>
      <c r="CK33" s="1">
        <f t="shared" si="26"/>
        <v>757663.36826021434</v>
      </c>
      <c r="CL33" s="64">
        <f t="shared" si="48"/>
        <v>1.9607843137254832E-2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25304.130805027868</v>
      </c>
      <c r="DC33" s="64">
        <f>IF(OR($B33&lt;Analysis!$C$100, $B33&gt;=Analysis!$C$101),0,((1+Analysis!$B$114)/(1+$S33))-1)</f>
        <v>1.9607843137254832E-2</v>
      </c>
      <c r="DD33" s="1">
        <f t="shared" si="6"/>
        <v>31537.120909808509</v>
      </c>
      <c r="DE33" s="1">
        <f t="shared" si="27"/>
        <v>-2272.9901047806429</v>
      </c>
      <c r="DF33" s="64">
        <f>IF(OR($B33&lt;Analysis!$C$100, $B33&gt;=Analysis!$C$101),0,Analysis!$C$118)</f>
        <v>3.0000000000000001E-3</v>
      </c>
      <c r="DG33" s="1">
        <f t="shared" si="28"/>
        <v>-5682.4752619516075</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-1897.8098103770899</v>
      </c>
      <c r="DR33" s="1">
        <f t="shared" si="29"/>
        <v>-22113.275177109339</v>
      </c>
      <c r="DS33" s="1">
        <f>MIN(0,-(DB33+DR33)*Analysis!$C$28)-CS33*Analysis!$C$28</f>
        <v>-1413.8681287306999</v>
      </c>
      <c r="DT33" s="1">
        <f>-Analysis!$C$116*DD33/12</f>
        <v>-2628.0934091507092</v>
      </c>
      <c r="DU33" s="53"/>
      <c r="DV33" s="1">
        <f t="shared" si="30"/>
        <v>-96602.079453177328</v>
      </c>
      <c r="DW33" s="64">
        <f>IF(OR($B33&lt;Analysis!$C$100, $B33&gt;=Analysis!$C$101),0,IF($B33=Analysis!$C$100,Analysis!$C$31,DW32))</f>
        <v>0.1275</v>
      </c>
      <c r="DX33" s="1">
        <f>IF(OR($B33&lt;Analysis!$C$100, $B33&gt;=Analysis!$C$101),0,CK33+DV33)</f>
        <v>661061.28880703705</v>
      </c>
      <c r="DY33" s="1">
        <f>IF(OR($B33&lt;Analysis!$C$100, $B33&gt;=Analysis!$C$101),0,IF($B33-Analysis!$C$100&gt;3,0,IF(CK33&gt;LOOKUP(Analysis!$C$100,$B:$B, CK:CK),$V33*(LOOKUP(Analysis!$C$100,$B:$B, CK:CK)-CK33),0)))</f>
        <v>0</v>
      </c>
      <c r="DZ33" s="1">
        <f t="shared" si="49"/>
        <v>661061.28880703705</v>
      </c>
      <c r="EA33" s="53"/>
      <c r="EB33" s="1">
        <f t="shared" si="31"/>
        <v>1259729.4556615609</v>
      </c>
      <c r="EC33" s="64">
        <f t="shared" si="50"/>
        <v>1.9607843137254832E-2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-98734.243349308337</v>
      </c>
      <c r="FM33" s="1">
        <f>$M33+$R33+DD33+IF(AND($B33&lt;&gt;Analysis!$C$130,$B33=Analysis!$C$101),DZ32+CQ32+CT32+CZ32,0)</f>
        <v>163005.04415103438</v>
      </c>
      <c r="FN33" s="1">
        <f t="shared" si="34"/>
        <v>64270.800801726044</v>
      </c>
      <c r="FO33" s="1">
        <f>IF(FN33 &lt; 0,
    IF(FO32 + FN33 &gt; 0,
        FO32 + FN33, IF(FT32-ABS(FO32 + FN33)*(1+$V33) &gt;= FO32 + FN33,
        0, FO32 + FN33)),
    MIN(FO32 + FN33, Analysis!$C$7))+IF(FO32&lt;0, FO32*Analysis!$C$9,0)</f>
        <v>24000</v>
      </c>
      <c r="FP33" s="53"/>
      <c r="FQ33" s="1">
        <f t="shared" si="51"/>
        <v>32457.32165573569</v>
      </c>
      <c r="FR33" s="1">
        <f>IF(OR($B33=Analysis!$C$100, $B33=Analysis!$C$130),0,IF(FN33 &gt;= 0,
    MAX(0, FO32 + FN33 - Analysis!$C$7),
    0))</f>
        <v>64270.800801726044</v>
      </c>
      <c r="FS33" s="1">
        <f>IF(OR($B33=Analysis!$C$100, $B33=Analysis!$C$130),0,MAX(0, FS32 + FR33 - IF(FN33 &lt; 0, MIN(ABS(FN33), FS32 + FR33), 0)))</f>
        <v>859323.75146011217</v>
      </c>
      <c r="FT33" s="1">
        <f>IF(OR($B33=Analysis!$C$100, $B33=Analysis!$C$130),0,IF(FN33 &lt; 0,
    IF(FN33 + FO32 &lt; 0,
        MAX(0, FT32 - (ABS(FN33 + FO32) * (1+$V32))),
        FT32 + FQ33),
    FT32 + FR33 + FQ33))</f>
        <v>1380208.8303769971</v>
      </c>
      <c r="FU33" s="1">
        <f t="shared" si="57"/>
        <v>1242825.3908126687</v>
      </c>
      <c r="FV33" s="36"/>
      <c r="FW33" s="1">
        <f t="shared" si="52"/>
        <v>757663.36826021434</v>
      </c>
      <c r="FX33" s="64">
        <f t="shared" si="53"/>
        <v>1.9607843137254832E-2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25304.130805027868</v>
      </c>
      <c r="GO33" s="64">
        <f>IF($B33&lt;Analysis!$C$159,0,((1+Analysis!$B$174)/(1+$S33))-1)</f>
        <v>1.9607843137254832E-2</v>
      </c>
      <c r="GP33" s="1">
        <f t="shared" si="7"/>
        <v>31537.120909808509</v>
      </c>
      <c r="GQ33" s="1">
        <f t="shared" si="36"/>
        <v>-2272.9901047806429</v>
      </c>
      <c r="GR33" s="64">
        <f>IF($B33&lt;Analysis!$C$159,0,Analysis!$C$178)</f>
        <v>3.0000000000000001E-3</v>
      </c>
      <c r="GS33" s="1">
        <f t="shared" si="37"/>
        <v>-5682.4752619516075</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-1897.8098103770899</v>
      </c>
      <c r="HD33" s="1">
        <f t="shared" si="38"/>
        <v>-22113.275177109339</v>
      </c>
      <c r="HE33" s="1">
        <f>MIN(0,-(GN33+HD33)*Analysis!$C$28)-GE33*Analysis!$C$28</f>
        <v>-1413.8681287306999</v>
      </c>
      <c r="HF33" s="1">
        <f>-Analysis!$C$176*GP33/12</f>
        <v>-2628.0934091507092</v>
      </c>
      <c r="HG33" s="38"/>
      <c r="HH33" s="1">
        <f>IF($B33&lt;Analysis!$C$159,0,-$HI33*$FW33)</f>
        <v>-96602.079453177328</v>
      </c>
      <c r="HI33" s="64">
        <f>IF($B33&lt;Analysis!$C$159,0,IF($B33=Analysis!$C$159,Analysis!$C$31,HI32))</f>
        <v>0.1275</v>
      </c>
      <c r="HJ33" s="1">
        <f>IF($B33&lt;Analysis!$C$159,0,$FW33+HH33)</f>
        <v>661061.28880703705</v>
      </c>
      <c r="HK33" s="1">
        <f>IF($B33-Analysis!$C$159&gt;10,0,IF($FW33&gt;LOOKUP(Analysis!$C$159,$B:$B, FW:FW),$V33*(LOOKUP(Analysis!$C$159,$B:$B, FW:FW)-FW33),0))</f>
        <v>0</v>
      </c>
      <c r="HL33" s="1">
        <f t="shared" si="39"/>
        <v>661061.28880703705</v>
      </c>
      <c r="HM33" s="38"/>
      <c r="HN33" s="1">
        <f t="shared" si="40"/>
        <v>-98734.243349308337</v>
      </c>
      <c r="HO33" s="1">
        <f t="shared" si="8"/>
        <v>163005.04415103438</v>
      </c>
      <c r="HP33" s="1">
        <f t="shared" si="41"/>
        <v>64270.800801726044</v>
      </c>
      <c r="HQ33" s="1">
        <f>IF(HP33 &lt; 0,
    IF(HQ32 + HP33 &gt; 0,
        HQ32 + HP33, IF(HV32-ABS(HQ32 + HP33)*(1+$V33) &gt;= HQ32 + HP33,
        0, HQ32 + HP33)),
    MIN(HQ32 + HP33, Analysis!$C$7))+IF(HQ32&lt;0, HQ32*Analysis!$C$9,0)</f>
        <v>24000</v>
      </c>
      <c r="HR33" s="38"/>
      <c r="HS33" s="1">
        <f t="shared" si="54"/>
        <v>32457.32165573569</v>
      </c>
      <c r="HT33" s="1">
        <f>IF($B33=Analysis!$C$159,0,IF(HP33 &gt;= 0,
    MAX(0, HQ32 + HP33 - Analysis!$C$7),
    0))</f>
        <v>64270.800801726044</v>
      </c>
      <c r="HU33" s="1">
        <f>IF($B33=Analysis!$C$159,0,MAX(0, HU32 + HT33 - IF(HP33 &lt; 0, MIN(ABS(HP33), HU32 + HT33), 0)))</f>
        <v>859323.75146011217</v>
      </c>
      <c r="HV33" s="1">
        <f>IF($B33=Analysis!$C$159,0,IF(HP33 &lt; 0,
    IF(HP33 + HQ32 &lt; 0,
        MAX(0, HV32 - (ABS(HP33 + HQ32) * (1+$V32))),
        HV32 + HS33),
    HV32 + HT33 + HS33))</f>
        <v>1380208.8303769971</v>
      </c>
      <c r="HW33" s="1">
        <f t="shared" si="58"/>
        <v>1242825.3908126687</v>
      </c>
      <c r="HX33" s="36"/>
    </row>
    <row r="34" spans="1:232" x14ac:dyDescent="0.35">
      <c r="A34">
        <f t="shared" si="0"/>
        <v>67</v>
      </c>
      <c r="B34">
        <v>2057</v>
      </c>
      <c r="C34" s="1">
        <f>IF($B34&lt;Analysis!C$66,0,$AN34)+$AT34+$AW34+$BC34+$CF34+$CA34</f>
        <v>1114625.1468276596</v>
      </c>
      <c r="D34" s="1">
        <f>IF($B34&lt;Analysis!C$66, 0, BV34)+AT34+AW34+BC34+CG34+CA34</f>
        <v>950860.3175916567</v>
      </c>
      <c r="E34" s="1">
        <f t="shared" si="1"/>
        <v>2276885.9252060736</v>
      </c>
      <c r="F34" s="1">
        <f t="shared" si="9"/>
        <v>1991061.6701010596</v>
      </c>
      <c r="G34" s="1">
        <f>IF(AND($B34&gt;=Analysis!$C$100, $B34&lt;Analysis!$C$101),$CK34,0)+IF($B34&gt;=Analysis!$C$130,EB34,0)+CQ34+CT34+CZ34+EH34+EK34+EQ34+$FO34+$FT34</f>
        <v>2273137.6896215645</v>
      </c>
      <c r="H34" s="1">
        <f t="shared" si="10"/>
        <v>2028676.2834860289</v>
      </c>
      <c r="I34" s="1">
        <f>IF($B34&lt;Analysis!$C$159,0,$FW34)+$GC34+$GF34+$GL34+$HQ34+$HV34</f>
        <v>2273137.6896215645</v>
      </c>
      <c r="J34" s="1">
        <f t="shared" ref="J34:J52" si="59">$HL34+$GC34+$GF34+$GL34+$HQ34+$HW34</f>
        <v>2028676.2834860289</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-29486.045980088515</v>
      </c>
      <c r="Y34" s="64">
        <f t="shared" si="15"/>
        <v>1.9607843137254832E-2</v>
      </c>
      <c r="Z34" s="1">
        <f t="shared" si="16"/>
        <v>-3960</v>
      </c>
      <c r="AA34" s="64">
        <f t="shared" si="17"/>
        <v>0</v>
      </c>
      <c r="AB34" s="40"/>
      <c r="AC34" s="1">
        <f t="shared" si="3"/>
        <v>-81446.045980088515</v>
      </c>
      <c r="AD34" s="1">
        <f t="shared" si="4"/>
        <v>131467.92324122589</v>
      </c>
      <c r="AE34" s="1">
        <f t="shared" si="18"/>
        <v>50021.877261137372</v>
      </c>
      <c r="AF34" s="1">
        <f>IF(AE34 &lt; 0,
    IF(AF33 + AE34 &gt; 0,
        AF33 + AE34, IF(AK33-ABS(AF33 + AE34)*(1+$V34) &gt;= AF33 + AE34,
        0, AF33 + AE34)),
    MIN(AF33 + AE34, Analysis!$C$7))+IF(AF33&lt;0, AF33*Analysis!$C$9,0)</f>
        <v>24000</v>
      </c>
      <c r="AG34" s="40"/>
      <c r="AH34" s="1">
        <f t="shared" si="19"/>
        <v>50734.789465991387</v>
      </c>
      <c r="AI34" s="1">
        <f>IF(AE34 &gt;= 0,
    MAX(0, AF33 + AE34 - Analysis!$C$7),
    0)</f>
        <v>50021.877261137372</v>
      </c>
      <c r="AJ34" s="1">
        <f t="shared" si="44"/>
        <v>1169192.0669880116</v>
      </c>
      <c r="AK34" s="1">
        <f t="shared" si="20"/>
        <v>2252885.9252060736</v>
      </c>
      <c r="AL34" s="1">
        <f t="shared" si="5"/>
        <v>1967061.6701010596</v>
      </c>
      <c r="AM34" s="36"/>
      <c r="AN34" s="1">
        <f t="shared" si="45"/>
        <v>1284430.0332235522</v>
      </c>
      <c r="AO34" s="64">
        <f t="shared" si="21"/>
        <v>1.9607843137254832E-2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-3853.2900996706567</v>
      </c>
      <c r="BF34" s="64">
        <f>IF($B34&lt;Analysis!$C$66,0,Analysis!$C$78)</f>
        <v>3.0000000000000001E-3</v>
      </c>
      <c r="BG34" s="1">
        <f>IF($B34&lt;Analysis!$C$66,0,-BH34*AN34)</f>
        <v>-9633.2252491766412</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-163764.8292360029</v>
      </c>
      <c r="BS34" s="64">
        <f>IF($B34&lt;Analysis!C$66,0,Analysis!C$31)</f>
        <v>0.1275</v>
      </c>
      <c r="BT34" s="1">
        <f>IF($B34&lt;Analysis!$C$66,0,AN34+BR34)</f>
        <v>1120665.2039875493</v>
      </c>
      <c r="BU34" s="1">
        <f>IF($B34-Analysis!$C$66&gt;3,0,IF($AN34&gt;LOOKUP(Analysis!$C$66,$B:$B, AN:AN),$V34*(LOOKUP(Analysis!$C$66,$B:$B, AN:AN)-AN34),0))</f>
        <v>0</v>
      </c>
      <c r="BV34" s="1">
        <f t="shared" si="23"/>
        <v>1120665.2039875493</v>
      </c>
      <c r="BW34" s="42"/>
      <c r="BX34" s="1">
        <f>IF($B34&lt;Analysis!$C$66,$P34+$N34+$X34+$Z34,$P34+$N34+AS34+AV34+BB34+BE34+BG34+MAX(BI34,SUM(BJ34:BN34))+BP34)</f>
        <v>-65446.515348847301</v>
      </c>
      <c r="BY34" s="1">
        <f t="shared" si="24"/>
        <v>131467.92324122589</v>
      </c>
      <c r="BZ34" s="1">
        <f t="shared" si="46"/>
        <v>66021.407892378586</v>
      </c>
      <c r="CA34" s="1">
        <f>IF(BZ34 &lt; 0,
    IF(CA33 + BZ34 &gt; 0,
        CA33 + BZ34, IF(CF33-ABS(CA33 + BZ34)*(1+$V34) &gt;= CA33 + BZ34,
        0, CA33 + BZ34)),
    MIN(CA33 + BZ34, Analysis!$C$7))+IF(CA33&lt;0, CA33*Analysis!$C$9,0)</f>
        <v>-169804.88639589256</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-29486.045980088515</v>
      </c>
      <c r="CJ34" s="1">
        <f>IF(OR($B34&lt;Analysis!$C$100, $B34&gt;=Analysis!$C$130),0,Z34)</f>
        <v>-3960</v>
      </c>
      <c r="CK34" s="1">
        <f t="shared" si="26"/>
        <v>772519.51273590478</v>
      </c>
      <c r="CL34" s="64">
        <f t="shared" si="48"/>
        <v>1.9607843137254832E-2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25800.29023257743</v>
      </c>
      <c r="DC34" s="64">
        <f>IF(OR($B34&lt;Analysis!$C$100, $B34&gt;=Analysis!$C$101),0,((1+Analysis!$B$114)/(1+$S34))-1)</f>
        <v>1.9607843137254832E-2</v>
      </c>
      <c r="DD34" s="1">
        <f t="shared" si="6"/>
        <v>32077.848770785145</v>
      </c>
      <c r="DE34" s="1">
        <f t="shared" si="27"/>
        <v>-2317.5585382077143</v>
      </c>
      <c r="DF34" s="64">
        <f>IF(OR($B34&lt;Analysis!$C$100, $B34&gt;=Analysis!$C$101),0,Analysis!$C$118)</f>
        <v>3.0000000000000001E-3</v>
      </c>
      <c r="DG34" s="1">
        <f t="shared" si="28"/>
        <v>-5793.8963455192852</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-1935.0217674433072</v>
      </c>
      <c r="DR34" s="1">
        <f t="shared" si="29"/>
        <v>-22306.476651170306</v>
      </c>
      <c r="DS34" s="1">
        <f>MIN(0,-(DB34+DR34)*Analysis!$C$28)-CS34*Analysis!$C$28</f>
        <v>-1548.1087979214967</v>
      </c>
      <c r="DT34" s="1">
        <f>-Analysis!$C$116*DD34/12</f>
        <v>-2673.1540642320956</v>
      </c>
      <c r="DU34" s="53"/>
      <c r="DV34" s="1">
        <f t="shared" si="30"/>
        <v>-98496.237873827864</v>
      </c>
      <c r="DW34" s="64">
        <f>IF(OR($B34&lt;Analysis!$C$100, $B34&gt;=Analysis!$C$101),0,IF($B34=Analysis!$C$100,Analysis!$C$31,DW33))</f>
        <v>0.1275</v>
      </c>
      <c r="DX34" s="1">
        <f>IF(OR($B34&lt;Analysis!$C$100, $B34&gt;=Analysis!$C$101),0,CK34+DV34)</f>
        <v>674023.27486207685</v>
      </c>
      <c r="DY34" s="1">
        <f>IF(OR($B34&lt;Analysis!$C$100, $B34&gt;=Analysis!$C$101),0,IF($B34-Analysis!$C$100&gt;3,0,IF(CK34&gt;LOOKUP(Analysis!$C$100,$B:$B, CK:CK),$V34*(LOOKUP(Analysis!$C$100,$B:$B, CK:CK)-CK34),0)))</f>
        <v>0</v>
      </c>
      <c r="DZ34" s="1">
        <f t="shared" si="49"/>
        <v>674023.27486207685</v>
      </c>
      <c r="EA34" s="53"/>
      <c r="EB34" s="1">
        <f t="shared" si="31"/>
        <v>1284430.0332235522</v>
      </c>
      <c r="EC34" s="64">
        <f t="shared" si="50"/>
        <v>1.9607843137254832E-2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-99673.785493412404</v>
      </c>
      <c r="FM34" s="1">
        <f>$M34+$R34+DD34+IF(AND($B34&lt;&gt;Analysis!$C$130,$B34=Analysis!$C$101),DZ33+CQ33+CT33+CZ33,0)</f>
        <v>163545.77201201103</v>
      </c>
      <c r="FN34" s="1">
        <f t="shared" si="34"/>
        <v>63871.986518598627</v>
      </c>
      <c r="FO34" s="1">
        <f>IF(FN34 &lt; 0,
    IF(FO33 + FN34 &gt; 0,
        FO33 + FN34, IF(FT33-ABS(FO33 + FN34)*(1+$V34) &gt;= FO33 + FN34,
        0, FO33 + FN34)),
    MIN(FO33 + FN34, Analysis!$C$7))+IF(FO33&lt;0, FO33*Analysis!$C$9,0)</f>
        <v>24000</v>
      </c>
      <c r="FP34" s="53"/>
      <c r="FQ34" s="1">
        <f t="shared" si="51"/>
        <v>32537.359990064117</v>
      </c>
      <c r="FR34" s="1">
        <f>IF(OR($B34=Analysis!$C$100, $B34=Analysis!$C$130),0,IF(FN34 &gt;= 0,
    MAX(0, FO33 + FN34 - Analysis!$C$7),
    0))</f>
        <v>63871.986518598627</v>
      </c>
      <c r="FS34" s="1">
        <f>IF(OR($B34=Analysis!$C$100, $B34=Analysis!$C$130),0,MAX(0, FS33 + FR34 - IF(FN34 &lt; 0, MIN(ABS(FN34), FS33 + FR34), 0)))</f>
        <v>923195.73797871079</v>
      </c>
      <c r="FT34" s="1">
        <f>IF(OR($B34=Analysis!$C$100, $B34=Analysis!$C$130),0,IF(FN34 &lt; 0,
    IF(FN34 + FO33 &lt; 0,
        MAX(0, FT33 - (ABS(FN34 + FO33) * (1+$V33))),
        FT33 + FQ34),
    FT33 + FR34 + FQ34))</f>
        <v>1476618.1768856598</v>
      </c>
      <c r="FU34" s="1">
        <f t="shared" si="57"/>
        <v>1330653.008623952</v>
      </c>
      <c r="FV34" s="36"/>
      <c r="FW34" s="1">
        <f t="shared" si="52"/>
        <v>772519.51273590478</v>
      </c>
      <c r="FX34" s="64">
        <f t="shared" si="53"/>
        <v>1.9607843137254832E-2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25800.29023257743</v>
      </c>
      <c r="GO34" s="64">
        <f>IF($B34&lt;Analysis!$C$159,0,((1+Analysis!$B$174)/(1+$S34))-1)</f>
        <v>1.9607843137254832E-2</v>
      </c>
      <c r="GP34" s="1">
        <f t="shared" si="7"/>
        <v>32077.848770785145</v>
      </c>
      <c r="GQ34" s="1">
        <f t="shared" si="36"/>
        <v>-2317.5585382077143</v>
      </c>
      <c r="GR34" s="64">
        <f>IF($B34&lt;Analysis!$C$159,0,Analysis!$C$178)</f>
        <v>3.0000000000000001E-3</v>
      </c>
      <c r="GS34" s="1">
        <f t="shared" si="37"/>
        <v>-5793.8963455192852</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-1935.0217674433072</v>
      </c>
      <c r="HD34" s="1">
        <f t="shared" si="38"/>
        <v>-22306.476651170306</v>
      </c>
      <c r="HE34" s="1">
        <f>MIN(0,-(GN34+HD34)*Analysis!$C$28)-GE34*Analysis!$C$28</f>
        <v>-1548.1087979214967</v>
      </c>
      <c r="HF34" s="1">
        <f>-Analysis!$C$176*GP34/12</f>
        <v>-2673.1540642320956</v>
      </c>
      <c r="HG34" s="38"/>
      <c r="HH34" s="1">
        <f>IF($B34&lt;Analysis!$C$159,0,-$HI34*$FW34)</f>
        <v>-98496.237873827864</v>
      </c>
      <c r="HI34" s="64">
        <f>IF($B34&lt;Analysis!$C$159,0,IF($B34=Analysis!$C$159,Analysis!$C$31,HI33))</f>
        <v>0.1275</v>
      </c>
      <c r="HJ34" s="1">
        <f>IF($B34&lt;Analysis!$C$159,0,$FW34+HH34)</f>
        <v>674023.27486207685</v>
      </c>
      <c r="HK34" s="1">
        <f>IF($B34-Analysis!$C$159&gt;10,0,IF($FW34&gt;LOOKUP(Analysis!$C$159,$B:$B, FW:FW),$V34*(LOOKUP(Analysis!$C$159,$B:$B, FW:FW)-FW34),0))</f>
        <v>0</v>
      </c>
      <c r="HL34" s="1">
        <f t="shared" si="39"/>
        <v>674023.27486207685</v>
      </c>
      <c r="HM34" s="38"/>
      <c r="HN34" s="1">
        <f t="shared" si="40"/>
        <v>-99673.785493412404</v>
      </c>
      <c r="HO34" s="1">
        <f t="shared" si="8"/>
        <v>163545.77201201103</v>
      </c>
      <c r="HP34" s="1">
        <f t="shared" si="41"/>
        <v>63871.986518598627</v>
      </c>
      <c r="HQ34" s="1">
        <f>IF(HP34 &lt; 0,
    IF(HQ33 + HP34 &gt; 0,
        HQ33 + HP34, IF(HV33-ABS(HQ33 + HP34)*(1+$V34) &gt;= HQ33 + HP34,
        0, HQ33 + HP34)),
    MIN(HQ33 + HP34, Analysis!$C$7))+IF(HQ33&lt;0, HQ33*Analysis!$C$9,0)</f>
        <v>24000</v>
      </c>
      <c r="HR34" s="38"/>
      <c r="HS34" s="1">
        <f t="shared" si="54"/>
        <v>32537.359990064117</v>
      </c>
      <c r="HT34" s="1">
        <f>IF($B34=Analysis!$C$159,0,IF(HP34 &gt;= 0,
    MAX(0, HQ33 + HP34 - Analysis!$C$7),
    0))</f>
        <v>63871.986518598627</v>
      </c>
      <c r="HU34" s="1">
        <f>IF($B34=Analysis!$C$159,0,MAX(0, HU33 + HT34 - IF(HP34 &lt; 0, MIN(ABS(HP34), HU33 + HT34), 0)))</f>
        <v>923195.73797871079</v>
      </c>
      <c r="HV34" s="1">
        <f>IF($B34=Analysis!$C$159,0,IF(HP34 &lt; 0,
    IF(HP34 + HQ33 &lt; 0,
        MAX(0, HV33 - (ABS(HP34 + HQ33) * (1+$V33))),
        HV33 + HS34),
    HV33 + HT34 + HS34))</f>
        <v>1476618.1768856598</v>
      </c>
      <c r="HW34" s="1">
        <f t="shared" si="58"/>
        <v>1330653.008623952</v>
      </c>
      <c r="HX34" s="36"/>
    </row>
    <row r="35" spans="1:232" x14ac:dyDescent="0.35">
      <c r="A35">
        <f t="shared" si="0"/>
        <v>68</v>
      </c>
      <c r="B35">
        <v>2058</v>
      </c>
      <c r="C35" s="1">
        <f>IF($B35&lt;Analysis!C$66,0,$AN35)+$AT35+$AW35+$BC35+$CF35+$CA35</f>
        <v>1191982.6249431646</v>
      </c>
      <c r="D35" s="1">
        <f>IF($B35&lt;Analysis!C$66, 0, BV35)+AT35+AW35+BC35+CG35+CA35</f>
        <v>1025006.7206241031</v>
      </c>
      <c r="E35" s="1">
        <f t="shared" si="1"/>
        <v>2375577.6048158039</v>
      </c>
      <c r="F35" s="1">
        <f t="shared" si="9"/>
        <v>2076764.2002310106</v>
      </c>
      <c r="G35" s="1">
        <f>IF(AND($B35&gt;=Analysis!$C$100, $B35&lt;Analysis!$C$101),$CK35,0)+IF($B35&gt;=Analysis!$C$130,EB35,0)+CQ35+CT35+CZ35+EH35+EK35+EQ35+$FO35+$FT35</f>
        <v>2384029.2740183389</v>
      </c>
      <c r="H35" s="1">
        <f t="shared" si="10"/>
        <v>2129123.0380741437</v>
      </c>
      <c r="I35" s="1">
        <f>IF($B35&lt;Analysis!$C$159,0,$FW35)+$GC35+$GF35+$GL35+$HQ35+$HV35</f>
        <v>2384029.2740183389</v>
      </c>
      <c r="J35" s="1">
        <f t="shared" si="59"/>
        <v>2129123.0380741437</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-30064.203744403974</v>
      </c>
      <c r="Y35" s="64">
        <f t="shared" si="15"/>
        <v>1.9607843137254832E-2</v>
      </c>
      <c r="Z35" s="1">
        <f t="shared" si="16"/>
        <v>-3960</v>
      </c>
      <c r="AA35" s="64">
        <f t="shared" si="17"/>
        <v>0</v>
      </c>
      <c r="AB35" s="40"/>
      <c r="AC35" s="1">
        <f t="shared" si="3"/>
        <v>-82024.203744403974</v>
      </c>
      <c r="AD35" s="1">
        <f t="shared" si="4"/>
        <v>131467.92324122589</v>
      </c>
      <c r="AE35" s="1">
        <f t="shared" si="18"/>
        <v>49443.719496821912</v>
      </c>
      <c r="AF35" s="1">
        <f>IF(AE35 &lt; 0,
    IF(AF34 + AE35 &gt; 0,
        AF34 + AE35, IF(AK34-ABS(AF34 + AE35)*(1+$V35) &gt;= AF34 + AE35,
        0, AF34 + AE35)),
    MIN(AF34 + AE35, Analysis!$C$7))+IF(AF34&lt;0, AF34*Analysis!$C$9,0)</f>
        <v>24000</v>
      </c>
      <c r="AG35" s="40"/>
      <c r="AH35" s="1">
        <f t="shared" si="19"/>
        <v>49247.960112908491</v>
      </c>
      <c r="AI35" s="1">
        <f>IF(AE35 &gt;= 0,
    MAX(0, AF34 + AE35 - Analysis!$C$7),
    0)</f>
        <v>49443.719496821912</v>
      </c>
      <c r="AJ35" s="1">
        <f t="shared" si="44"/>
        <v>1218635.7864848336</v>
      </c>
      <c r="AK35" s="1">
        <f t="shared" si="20"/>
        <v>2351577.6048158039</v>
      </c>
      <c r="AL35" s="1">
        <f t="shared" si="5"/>
        <v>2052764.2002310106</v>
      </c>
      <c r="AM35" s="36"/>
      <c r="AN35" s="1">
        <f t="shared" si="45"/>
        <v>1309614.9358357785</v>
      </c>
      <c r="AO35" s="64">
        <f t="shared" si="21"/>
        <v>1.9607843137254832E-2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-3928.8448075073356</v>
      </c>
      <c r="BF35" s="64">
        <f>IF($B35&lt;Analysis!$C$66,0,Analysis!$C$78)</f>
        <v>3.0000000000000001E-3</v>
      </c>
      <c r="BG35" s="1">
        <f>IF($B35&lt;Analysis!$C$66,0,-BH35*AN35)</f>
        <v>-9822.1120187683391</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-166975.90431906175</v>
      </c>
      <c r="BS35" s="64">
        <f>IF($B35&lt;Analysis!C$66,0,Analysis!C$31)</f>
        <v>0.1275</v>
      </c>
      <c r="BT35" s="1">
        <f>IF($B35&lt;Analysis!$C$66,0,AN35+BR35)</f>
        <v>1142639.0315167168</v>
      </c>
      <c r="BU35" s="1">
        <f>IF($B35-Analysis!$C$66&gt;3,0,IF($AN35&gt;LOOKUP(Analysis!$C$66,$B:$B, AN:AN),$V35*(LOOKUP(Analysis!$C$66,$B:$B, AN:AN)-AN35),0))</f>
        <v>0</v>
      </c>
      <c r="BV35" s="1">
        <f t="shared" si="23"/>
        <v>1142639.0315167168</v>
      </c>
      <c r="BW35" s="42"/>
      <c r="BX35" s="1">
        <f>IF($B35&lt;Analysis!$C$66,$P35+$N35+$X35+$Z35,$P35+$N35+AS35+AV35+BB35+BE35+BG35+MAX(BI35,SUM(BJ35:BN35))+BP35)</f>
        <v>-65710.95682627568</v>
      </c>
      <c r="BY35" s="1">
        <f t="shared" si="24"/>
        <v>131467.92324122589</v>
      </c>
      <c r="BZ35" s="1">
        <f t="shared" si="46"/>
        <v>65756.966414950206</v>
      </c>
      <c r="CA35" s="1">
        <f>IF(BZ35 &lt; 0,
    IF(CA34 + BZ35 &gt; 0,
        CA34 + BZ35, IF(CF34-ABS(CA34 + BZ35)*(1+$V35) &gt;= CA34 + BZ35,
        0, CA34 + BZ35)),
    MIN(CA34 + BZ35, Analysis!$C$7))+IF(CA34&lt;0, CA34*Analysis!$C$9,0)</f>
        <v>-117632.31089261376</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-30064.203744403974</v>
      </c>
      <c r="CJ35" s="1">
        <f>IF(OR($B35&lt;Analysis!$C$100, $B35&gt;=Analysis!$C$130),0,Z35)</f>
        <v>-3960</v>
      </c>
      <c r="CK35" s="1">
        <f t="shared" ref="CK35:CK52" si="60">CK34*(1+$CL34)</f>
        <v>787666.95416209893</v>
      </c>
      <c r="CL35" s="64">
        <f t="shared" si="48"/>
        <v>1.9607843137254832E-2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26306.178276353457</v>
      </c>
      <c r="DC35" s="64">
        <f>IF(OR($B35&lt;Analysis!$C$100, $B35&gt;=Analysis!$C$101),0,((1+Analysis!$B$114)/(1+$S35))-1)</f>
        <v>1.9607843137254832E-2</v>
      </c>
      <c r="DD35" s="1">
        <f t="shared" si="6"/>
        <v>32629.179138839754</v>
      </c>
      <c r="DE35" s="1">
        <f t="shared" si="27"/>
        <v>-2363.0008624862967</v>
      </c>
      <c r="DF35" s="64">
        <f>IF(OR($B35&lt;Analysis!$C$100, $B35&gt;=Analysis!$C$101),0,Analysis!$C$118)</f>
        <v>3.0000000000000001E-3</v>
      </c>
      <c r="DG35" s="1">
        <f t="shared" si="28"/>
        <v>-5907.5021562157417</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-1972.9633707265093</v>
      </c>
      <c r="DR35" s="1">
        <f t="shared" si="29"/>
        <v>-22503.466389428548</v>
      </c>
      <c r="DS35" s="1">
        <f>MIN(0,-(DB35+DR35)*Analysis!$C$28)-CS35*Analysis!$C$28</f>
        <v>-1684.9816370964272</v>
      </c>
      <c r="DT35" s="1">
        <f>-Analysis!$C$116*DD35/12</f>
        <v>-2719.0982615699795</v>
      </c>
      <c r="DU35" s="53"/>
      <c r="DV35" s="1">
        <f t="shared" si="30"/>
        <v>-100427.53665566762</v>
      </c>
      <c r="DW35" s="64">
        <f>IF(OR($B35&lt;Analysis!$C$100, $B35&gt;=Analysis!$C$101),0,IF($B35=Analysis!$C$100,Analysis!$C$31,DW34))</f>
        <v>0.1275</v>
      </c>
      <c r="DX35" s="1">
        <f>IF(OR($B35&lt;Analysis!$C$100, $B35&gt;=Analysis!$C$101),0,CK35+DV35)</f>
        <v>687239.41750643135</v>
      </c>
      <c r="DY35" s="1">
        <f>IF(OR($B35&lt;Analysis!$C$100, $B35&gt;=Analysis!$C$101),0,IF($B35-Analysis!$C$100&gt;3,0,IF(CK35&gt;LOOKUP(Analysis!$C$100,$B:$B, CK:CK),$V35*(LOOKUP(Analysis!$C$100,$B:$B, CK:CK)-CK35),0)))</f>
        <v>0</v>
      </c>
      <c r="DZ35" s="1">
        <f t="shared" si="49"/>
        <v>687239.41750643135</v>
      </c>
      <c r="EA35" s="53"/>
      <c r="EB35" s="1">
        <f t="shared" si="31"/>
        <v>1309614.9358357785</v>
      </c>
      <c r="EC35" s="64">
        <f t="shared" si="50"/>
        <v>1.9607843137254832E-2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-100631.75003249892</v>
      </c>
      <c r="FM35" s="1">
        <f>$M35+$R35+DD35+IF(AND($B35&lt;&gt;Analysis!$C$130,$B35=Analysis!$C$101),DZ34+CQ34+CT34+CZ34,0)</f>
        <v>164097.10238006565</v>
      </c>
      <c r="FN35" s="1">
        <f t="shared" si="34"/>
        <v>63465.352347566732</v>
      </c>
      <c r="FO35" s="1">
        <f>IF(FN35 &lt; 0,
    IF(FO34 + FN35 &gt; 0,
        FO34 + FN35, IF(FT34-ABS(FO34 + FN35)*(1+$V35) &gt;= FO34 + FN35,
        0, FO34 + FN35)),
    MIN(FO34 + FN35, Analysis!$C$7))+IF(FO34&lt;0, FO34*Analysis!$C$9,0)</f>
        <v>24000</v>
      </c>
      <c r="FP35" s="53"/>
      <c r="FQ35" s="1">
        <f t="shared" si="51"/>
        <v>32278.790623013381</v>
      </c>
      <c r="FR35" s="1">
        <f>IF(OR($B35=Analysis!$C$100, $B35=Analysis!$C$130),0,IF(FN35 &gt;= 0,
    MAX(0, FO34 + FN35 - Analysis!$C$7),
    0))</f>
        <v>63465.352347566732</v>
      </c>
      <c r="FS35" s="1">
        <f>IF(OR($B35=Analysis!$C$100, $B35=Analysis!$C$130),0,MAX(0, FS34 + FR35 - IF(FN35 &lt; 0, MIN(ABS(FN35), FS34 + FR35), 0)))</f>
        <v>986661.09032627754</v>
      </c>
      <c r="FT35" s="1">
        <f>IF(OR($B35=Analysis!$C$100, $B35=Analysis!$C$130),0,IF(FN35 &lt; 0,
    IF(FN35 + FO34 &lt; 0,
        MAX(0, FT34 - (ABS(FN35 + FO34) * (1+$V34))),
        FT34 + FQ35),
    FT34 + FR35 + FQ35))</f>
        <v>1572362.3198562399</v>
      </c>
      <c r="FU35" s="1">
        <f t="shared" si="57"/>
        <v>1417883.6205677125</v>
      </c>
      <c r="FV35" s="36"/>
      <c r="FW35" s="1">
        <f t="shared" si="52"/>
        <v>787666.95416209893</v>
      </c>
      <c r="FX35" s="64">
        <f t="shared" si="53"/>
        <v>1.9607843137254832E-2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26306.178276353457</v>
      </c>
      <c r="GO35" s="64">
        <f>IF($B35&lt;Analysis!$C$159,0,((1+Analysis!$B$174)/(1+$S35))-1)</f>
        <v>1.9607843137254832E-2</v>
      </c>
      <c r="GP35" s="1">
        <f t="shared" si="7"/>
        <v>32629.179138839754</v>
      </c>
      <c r="GQ35" s="1">
        <f t="shared" si="36"/>
        <v>-2363.0008624862967</v>
      </c>
      <c r="GR35" s="64">
        <f>IF($B35&lt;Analysis!$C$159,0,Analysis!$C$178)</f>
        <v>3.0000000000000001E-3</v>
      </c>
      <c r="GS35" s="1">
        <f t="shared" si="37"/>
        <v>-5907.5021562157417</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-1972.9633707265093</v>
      </c>
      <c r="HD35" s="1">
        <f t="shared" si="38"/>
        <v>-22503.466389428548</v>
      </c>
      <c r="HE35" s="1">
        <f>MIN(0,-(GN35+HD35)*Analysis!$C$28)-GE35*Analysis!$C$28</f>
        <v>-1684.9816370964272</v>
      </c>
      <c r="HF35" s="1">
        <f>-Analysis!$C$176*GP35/12</f>
        <v>-2719.0982615699795</v>
      </c>
      <c r="HG35" s="38"/>
      <c r="HH35" s="1">
        <f>IF($B35&lt;Analysis!$C$159,0,-$HI35*$FW35)</f>
        <v>-100427.53665566762</v>
      </c>
      <c r="HI35" s="64">
        <f>IF($B35&lt;Analysis!$C$159,0,IF($B35=Analysis!$C$159,Analysis!$C$31,HI34))</f>
        <v>0.1275</v>
      </c>
      <c r="HJ35" s="1">
        <f>IF($B35&lt;Analysis!$C$159,0,$FW35+HH35)</f>
        <v>687239.41750643135</v>
      </c>
      <c r="HK35" s="1">
        <f>IF($B35-Analysis!$C$159&gt;10,0,IF($FW35&gt;LOOKUP(Analysis!$C$159,$B:$B, FW:FW),$V35*(LOOKUP(Analysis!$C$159,$B:$B, FW:FW)-FW35),0))</f>
        <v>0</v>
      </c>
      <c r="HL35" s="1">
        <f t="shared" si="39"/>
        <v>687239.41750643135</v>
      </c>
      <c r="HM35" s="38"/>
      <c r="HN35" s="1">
        <f t="shared" si="40"/>
        <v>-100631.75003249892</v>
      </c>
      <c r="HO35" s="1">
        <f t="shared" si="8"/>
        <v>164097.10238006565</v>
      </c>
      <c r="HP35" s="1">
        <f t="shared" si="41"/>
        <v>63465.352347566732</v>
      </c>
      <c r="HQ35" s="1">
        <f>IF(HP35 &lt; 0,
    IF(HQ34 + HP35 &gt; 0,
        HQ34 + HP35, IF(HV34-ABS(HQ34 + HP35)*(1+$V35) &gt;= HQ34 + HP35,
        0, HQ34 + HP35)),
    MIN(HQ34 + HP35, Analysis!$C$7))+IF(HQ34&lt;0, HQ34*Analysis!$C$9,0)</f>
        <v>24000</v>
      </c>
      <c r="HR35" s="38"/>
      <c r="HS35" s="1">
        <f t="shared" si="54"/>
        <v>32278.790623013381</v>
      </c>
      <c r="HT35" s="1">
        <f>IF($B35=Analysis!$C$159,0,IF(HP35 &gt;= 0,
    MAX(0, HQ34 + HP35 - Analysis!$C$7),
    0))</f>
        <v>63465.352347566732</v>
      </c>
      <c r="HU35" s="1">
        <f>IF($B35=Analysis!$C$159,0,MAX(0, HU34 + HT35 - IF(HP35 &lt; 0, MIN(ABS(HP35), HU34 + HT35), 0)))</f>
        <v>986661.09032627754</v>
      </c>
      <c r="HV35" s="1">
        <f>IF($B35=Analysis!$C$159,0,IF(HP35 &lt; 0,
    IF(HP35 + HQ34 &lt; 0,
        MAX(0, HV34 - (ABS(HP35 + HQ34) * (1+$V34))),
        HV34 + HS35),
    HV34 + HT35 + HS35))</f>
        <v>1572362.3198562399</v>
      </c>
      <c r="HW35" s="1">
        <f t="shared" si="58"/>
        <v>1417883.6205677125</v>
      </c>
      <c r="HX35" s="36"/>
    </row>
    <row r="36" spans="1:232" x14ac:dyDescent="0.35">
      <c r="A36">
        <f t="shared" si="0"/>
        <v>69</v>
      </c>
      <c r="B36">
        <v>2059</v>
      </c>
      <c r="C36" s="1">
        <f>IF($B36&lt;Analysis!C$66,0,$AN36)+$AT36+$AW36+$BC36+$CF36+$CA36</f>
        <v>1273738.1041143432</v>
      </c>
      <c r="D36" s="1">
        <f>IF($B36&lt;Analysis!C$66, 0, BV36)+AT36+AW36+BC36+CG36+CA36</f>
        <v>1103488.162455692</v>
      </c>
      <c r="E36" s="1">
        <f t="shared" si="1"/>
        <v>2471805.9089278206</v>
      </c>
      <c r="F36" s="1">
        <f t="shared" si="9"/>
        <v>2160497.5910578757</v>
      </c>
      <c r="G36" s="1">
        <f>IF(AND($B36&gt;=Analysis!$C$100, $B36&lt;Analysis!$C$101),$CK36,0)+IF($B36&gt;=Analysis!$C$130,EB36,0)+CQ36+CT36+CZ36+EH36+EK36+EQ36+$FO36+$FT36</f>
        <v>2494200.7430193657</v>
      </c>
      <c r="H36" s="1">
        <f t="shared" si="10"/>
        <v>2228970.7224323084</v>
      </c>
      <c r="I36" s="1">
        <f>IF($B36&lt;Analysis!$C$159,0,$FW36)+$GC36+$GF36+$GL36+$HQ36+$HV36</f>
        <v>2494200.7430193657</v>
      </c>
      <c r="J36" s="1">
        <f t="shared" si="59"/>
        <v>2228970.7224323084</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-30653.697935470718</v>
      </c>
      <c r="Y36" s="64">
        <f t="shared" si="15"/>
        <v>1.9607843137254832E-2</v>
      </c>
      <c r="Z36" s="1">
        <f t="shared" si="16"/>
        <v>-3960</v>
      </c>
      <c r="AA36" s="64">
        <f t="shared" si="17"/>
        <v>0</v>
      </c>
      <c r="AB36" s="40"/>
      <c r="AC36" s="1">
        <f t="shared" si="3"/>
        <v>-82613.697935470715</v>
      </c>
      <c r="AD36" s="1">
        <f t="shared" si="4"/>
        <v>131467.92324122589</v>
      </c>
      <c r="AE36" s="1">
        <f t="shared" si="18"/>
        <v>48854.225305755172</v>
      </c>
      <c r="AF36" s="1">
        <f>IF(AE36 &lt; 0,
    IF(AF35 + AE36 &gt; 0,
        AF35 + AE36, IF(AK35-ABS(AF35 + AE36)*(1+$V36) &gt;= AF35 + AE36,
        0, AF35 + AE36)),
    MIN(AF35 + AE36, Analysis!$C$7))+IF(AF35&lt;0, AF35*Analysis!$C$9,0)</f>
        <v>24000</v>
      </c>
      <c r="AG36" s="40"/>
      <c r="AH36" s="1">
        <f t="shared" si="19"/>
        <v>47374.078806261627</v>
      </c>
      <c r="AI36" s="1">
        <f>IF(AE36 &gt;= 0,
    MAX(0, AF35 + AE36 - Analysis!$C$7),
    0)</f>
        <v>48854.225305755172</v>
      </c>
      <c r="AJ36" s="1">
        <f t="shared" si="44"/>
        <v>1267490.0117905887</v>
      </c>
      <c r="AK36" s="1">
        <f t="shared" si="20"/>
        <v>2447805.9089278206</v>
      </c>
      <c r="AL36" s="1">
        <f t="shared" si="5"/>
        <v>2136497.5910578757</v>
      </c>
      <c r="AM36" s="36"/>
      <c r="AN36" s="1">
        <f t="shared" si="45"/>
        <v>1335293.6600678526</v>
      </c>
      <c r="AO36" s="64">
        <f t="shared" si="21"/>
        <v>1.9607843137254832E-2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-4005.880980203558</v>
      </c>
      <c r="BF36" s="64">
        <f>IF($B36&lt;Analysis!$C$66,0,Analysis!$C$78)</f>
        <v>3.0000000000000001E-3</v>
      </c>
      <c r="BG36" s="1">
        <f>IF($B36&lt;Analysis!$C$66,0,-BH36*AN36)</f>
        <v>-10014.702450508894</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-170249.94165865119</v>
      </c>
      <c r="BS36" s="64">
        <f>IF($B36&lt;Analysis!C$66,0,Analysis!C$31)</f>
        <v>0.1275</v>
      </c>
      <c r="BT36" s="1">
        <f>IF($B36&lt;Analysis!$C$66,0,AN36+BR36)</f>
        <v>1165043.7184092014</v>
      </c>
      <c r="BU36" s="1">
        <f>IF($B36-Analysis!$C$66&gt;3,0,IF($AN36&gt;LOOKUP(Analysis!$C$66,$B:$B, AN:AN),$V36*(LOOKUP(Analysis!$C$66,$B:$B, AN:AN)-AN36),0))</f>
        <v>0</v>
      </c>
      <c r="BV36" s="1">
        <f t="shared" si="23"/>
        <v>1165043.7184092014</v>
      </c>
      <c r="BW36" s="42"/>
      <c r="BX36" s="1">
        <f>IF($B36&lt;Analysis!$C$66,$P36+$N36+$X36+$Z36,$P36+$N36+AS36+AV36+BB36+BE36+BG36+MAX(BI36,SUM(BJ36:BN36))+BP36)</f>
        <v>-65980.583430712461</v>
      </c>
      <c r="BY36" s="1">
        <f t="shared" si="24"/>
        <v>131467.92324122589</v>
      </c>
      <c r="BZ36" s="1">
        <f t="shared" si="46"/>
        <v>65487.339810513426</v>
      </c>
      <c r="CA36" s="1">
        <f>IF(BZ36 &lt; 0,
    IF(CA35 + BZ36 &gt; 0,
        CA35 + BZ36, IF(CF35-ABS(CA35 + BZ36)*(1+$V36) &gt;= CA35 + BZ36,
        0, CA35 + BZ36)),
    MIN(CA35 + BZ36, Analysis!$C$7))+IF(CA35&lt;0, CA35*Analysis!$C$9,0)</f>
        <v>-61555.555953509436</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-30653.697935470718</v>
      </c>
      <c r="CJ36" s="1">
        <f>IF(OR($B36&lt;Analysis!$C$100, $B36&gt;=Analysis!$C$130),0,Z36)</f>
        <v>-3960</v>
      </c>
      <c r="CK36" s="1">
        <f t="shared" si="60"/>
        <v>803111.4042437087</v>
      </c>
      <c r="CL36" s="64">
        <f t="shared" si="48"/>
        <v>1.9607843137254832E-2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26821.985693536855</v>
      </c>
      <c r="DC36" s="64">
        <f>IF(OR($B36&lt;Analysis!$C$100, $B36&gt;=Analysis!$C$101),0,((1+Analysis!$B$114)/(1+$S36))-1)</f>
        <v>1.9607843137254832E-2</v>
      </c>
      <c r="DD36" s="1">
        <f t="shared" si="6"/>
        <v>33191.319906267978</v>
      </c>
      <c r="DE36" s="1">
        <f t="shared" si="27"/>
        <v>-2409.3342127311262</v>
      </c>
      <c r="DF36" s="64">
        <f>IF(OR($B36&lt;Analysis!$C$100, $B36&gt;=Analysis!$C$101),0,Analysis!$C$118)</f>
        <v>3.0000000000000001E-3</v>
      </c>
      <c r="DG36" s="1">
        <f t="shared" si="28"/>
        <v>-6023.3355318278154</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-2011.648927015264</v>
      </c>
      <c r="DR36" s="1">
        <f t="shared" si="29"/>
        <v>-22704.318671574205</v>
      </c>
      <c r="DS36" s="1">
        <f>MIN(0,-(DB36+DR36)*Analysis!$C$28)-CS36*Analysis!$C$28</f>
        <v>-1824.5382574316502</v>
      </c>
      <c r="DT36" s="1">
        <f>-Analysis!$C$116*DD36/12</f>
        <v>-2765.9433255223316</v>
      </c>
      <c r="DU36" s="53"/>
      <c r="DV36" s="1">
        <f t="shared" si="30"/>
        <v>-102396.70404107287</v>
      </c>
      <c r="DW36" s="64">
        <f>IF(OR($B36&lt;Analysis!$C$100, $B36&gt;=Analysis!$C$101),0,IF($B36=Analysis!$C$100,Analysis!$C$31,DW35))</f>
        <v>0.1275</v>
      </c>
      <c r="DX36" s="1">
        <f>IF(OR($B36&lt;Analysis!$C$100, $B36&gt;=Analysis!$C$101),0,CK36+DV36)</f>
        <v>700714.70020263584</v>
      </c>
      <c r="DY36" s="1">
        <f>IF(OR($B36&lt;Analysis!$C$100, $B36&gt;=Analysis!$C$101),0,IF($B36-Analysis!$C$100&gt;3,0,IF(CK36&gt;LOOKUP(Analysis!$C$100,$B:$B, CK:CK),$V36*(LOOKUP(Analysis!$C$100,$B:$B, CK:CK)-CK36),0)))</f>
        <v>0</v>
      </c>
      <c r="DZ36" s="1">
        <f t="shared" si="49"/>
        <v>700714.70020263584</v>
      </c>
      <c r="EA36" s="53"/>
      <c r="EB36" s="1">
        <f t="shared" si="31"/>
        <v>1335293.6600678526</v>
      </c>
      <c r="EC36" s="64">
        <f t="shared" si="50"/>
        <v>1.9607843137254832E-2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-101608.49818999889</v>
      </c>
      <c r="FM36" s="1">
        <f>$M36+$R36+DD36+IF(AND($B36&lt;&gt;Analysis!$C$130,$B36=Analysis!$C$101),DZ35+CQ35+CT35+CZ35,0)</f>
        <v>164659.24314749386</v>
      </c>
      <c r="FN36" s="1">
        <f t="shared" si="34"/>
        <v>63050.744957494971</v>
      </c>
      <c r="FO36" s="1">
        <f>IF(FN36 &lt; 0,
    IF(FO35 + FN36 &gt; 0,
        FO35 + FN36, IF(FT35-ABS(FO35 + FN36)*(1+$V36) &gt;= FO35 + FN36,
        0, FO35 + FN36)),
    MIN(FO35 + FN36, Analysis!$C$7))+IF(FO35&lt;0, FO35*Analysis!$C$9,0)</f>
        <v>24000</v>
      </c>
      <c r="FP36" s="53"/>
      <c r="FQ36" s="1">
        <f t="shared" si="51"/>
        <v>31676.273961922048</v>
      </c>
      <c r="FR36" s="1">
        <f>IF(OR($B36=Analysis!$C$100, $B36=Analysis!$C$130),0,IF(FN36 &gt;= 0,
    MAX(0, FO35 + FN36 - Analysis!$C$7),
    0))</f>
        <v>63050.744957494971</v>
      </c>
      <c r="FS36" s="1">
        <f>IF(OR($B36=Analysis!$C$100, $B36=Analysis!$C$130),0,MAX(0, FS35 + FR36 - IF(FN36 &lt; 0, MIN(ABS(FN36), FS35 + FR36), 0)))</f>
        <v>1049711.8352837726</v>
      </c>
      <c r="FT36" s="1">
        <f>IF(OR($B36=Analysis!$C$100, $B36=Analysis!$C$130),0,IF(FN36 &lt; 0,
    IF(FN36 + FO35 &lt; 0,
        MAX(0, FT35 - (ABS(FN36 + FO35) * (1+$V35))),
        FT35 + FQ36),
    FT35 + FR36 + FQ36))</f>
        <v>1667089.3387756571</v>
      </c>
      <c r="FU36" s="1">
        <f t="shared" si="57"/>
        <v>1504256.0222296726</v>
      </c>
      <c r="FV36" s="36"/>
      <c r="FW36" s="1">
        <f t="shared" si="52"/>
        <v>803111.4042437087</v>
      </c>
      <c r="FX36" s="64">
        <f t="shared" si="53"/>
        <v>1.9607843137254832E-2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26821.985693536855</v>
      </c>
      <c r="GO36" s="64">
        <f>IF($B36&lt;Analysis!$C$159,0,((1+Analysis!$B$174)/(1+$S36))-1)</f>
        <v>1.9607843137254832E-2</v>
      </c>
      <c r="GP36" s="1">
        <f t="shared" si="7"/>
        <v>33191.319906267978</v>
      </c>
      <c r="GQ36" s="1">
        <f t="shared" si="36"/>
        <v>-2409.3342127311262</v>
      </c>
      <c r="GR36" s="64">
        <f>IF($B36&lt;Analysis!$C$159,0,Analysis!$C$178)</f>
        <v>3.0000000000000001E-3</v>
      </c>
      <c r="GS36" s="1">
        <f t="shared" si="37"/>
        <v>-6023.3355318278154</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-2011.648927015264</v>
      </c>
      <c r="HD36" s="1">
        <f t="shared" si="38"/>
        <v>-22704.318671574205</v>
      </c>
      <c r="HE36" s="1">
        <f>MIN(0,-(GN36+HD36)*Analysis!$C$28)-GE36*Analysis!$C$28</f>
        <v>-1824.5382574316502</v>
      </c>
      <c r="HF36" s="1">
        <f>-Analysis!$C$176*GP36/12</f>
        <v>-2765.9433255223316</v>
      </c>
      <c r="HG36" s="38"/>
      <c r="HH36" s="1">
        <f>IF($B36&lt;Analysis!$C$159,0,-$HI36*$FW36)</f>
        <v>-102396.70404107287</v>
      </c>
      <c r="HI36" s="64">
        <f>IF($B36&lt;Analysis!$C$159,0,IF($B36=Analysis!$C$159,Analysis!$C$31,HI35))</f>
        <v>0.1275</v>
      </c>
      <c r="HJ36" s="1">
        <f>IF($B36&lt;Analysis!$C$159,0,$FW36+HH36)</f>
        <v>700714.70020263584</v>
      </c>
      <c r="HK36" s="1">
        <f>IF($B36-Analysis!$C$159&gt;10,0,IF($FW36&gt;LOOKUP(Analysis!$C$159,$B:$B, FW:FW),$V36*(LOOKUP(Analysis!$C$159,$B:$B, FW:FW)-FW36),0))</f>
        <v>0</v>
      </c>
      <c r="HL36" s="1">
        <f t="shared" si="39"/>
        <v>700714.70020263584</v>
      </c>
      <c r="HM36" s="38"/>
      <c r="HN36" s="1">
        <f t="shared" si="40"/>
        <v>-101608.49818999889</v>
      </c>
      <c r="HO36" s="1">
        <f t="shared" si="8"/>
        <v>164659.24314749386</v>
      </c>
      <c r="HP36" s="1">
        <f t="shared" si="41"/>
        <v>63050.744957494971</v>
      </c>
      <c r="HQ36" s="1">
        <f>IF(HP36 &lt; 0,
    IF(HQ35 + HP36 &gt; 0,
        HQ35 + HP36, IF(HV35-ABS(HQ35 + HP36)*(1+$V36) &gt;= HQ35 + HP36,
        0, HQ35 + HP36)),
    MIN(HQ35 + HP36, Analysis!$C$7))+IF(HQ35&lt;0, HQ35*Analysis!$C$9,0)</f>
        <v>24000</v>
      </c>
      <c r="HR36" s="38"/>
      <c r="HS36" s="1">
        <f t="shared" si="54"/>
        <v>31676.273961922048</v>
      </c>
      <c r="HT36" s="1">
        <f>IF($B36=Analysis!$C$159,0,IF(HP36 &gt;= 0,
    MAX(0, HQ35 + HP36 - Analysis!$C$7),
    0))</f>
        <v>63050.744957494971</v>
      </c>
      <c r="HU36" s="1">
        <f>IF($B36=Analysis!$C$159,0,MAX(0, HU35 + HT36 - IF(HP36 &lt; 0, MIN(ABS(HP36), HU35 + HT36), 0)))</f>
        <v>1049711.8352837726</v>
      </c>
      <c r="HV36" s="1">
        <f>IF($B36=Analysis!$C$159,0,IF(HP36 &lt; 0,
    IF(HP36 + HQ35 &lt; 0,
        MAX(0, HV35 - (ABS(HP36 + HQ35) * (1+$V35))),
        HV35 + HS36),
    HV35 + HT36 + HS36))</f>
        <v>1667089.3387756571</v>
      </c>
      <c r="HW36" s="1">
        <f t="shared" si="58"/>
        <v>1504256.0222296726</v>
      </c>
      <c r="HX36" s="36"/>
    </row>
    <row r="37" spans="1:232" x14ac:dyDescent="0.35">
      <c r="A37">
        <f t="shared" si="0"/>
        <v>70</v>
      </c>
      <c r="B37">
        <v>2060</v>
      </c>
      <c r="C37" s="1">
        <f>IF($B37&lt;Analysis!C$66,0,$AN37)+$AT37+$AW37+$BC37+$CF37+$CA37</f>
        <v>1294474.3530561421</v>
      </c>
      <c r="D37" s="1">
        <f>IF($B37&lt;Analysis!C$66, 0, BV37)+AT37+AW37+BC37+CG37+CA37</f>
        <v>1120886.1772473212</v>
      </c>
      <c r="E37" s="1">
        <f t="shared" si="1"/>
        <v>2502321.3140049698</v>
      </c>
      <c r="F37" s="1">
        <f t="shared" si="9"/>
        <v>2173743.4417347223</v>
      </c>
      <c r="G37" s="1">
        <f>IF(AND($B37&gt;=Analysis!$C$100, $B37&lt;Analysis!$C$101),$CK37,0)+IF($B37&gt;=Analysis!$C$130,EB37,0)+CQ37+CT37+CZ37+EH37+EK37+EQ37+$FO37+$FT37</f>
        <v>1320822.3759771164</v>
      </c>
      <c r="H37" s="1">
        <f t="shared" si="10"/>
        <v>1147234.2001682955</v>
      </c>
      <c r="I37" s="1">
        <f>IF($B37&lt;Analysis!$C$159,0,$FW37)+$GC37+$GF37+$GL37+$HQ37+$HV37</f>
        <v>2539530.0980961621</v>
      </c>
      <c r="J37" s="1">
        <f t="shared" si="59"/>
        <v>2262851.6368103251</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-31254.750836166219</v>
      </c>
      <c r="Y37" s="64">
        <f t="shared" si="15"/>
        <v>1.9607843137254832E-2</v>
      </c>
      <c r="Z37" s="1">
        <f t="shared" si="16"/>
        <v>-3960</v>
      </c>
      <c r="AA37" s="64">
        <f t="shared" si="17"/>
        <v>0</v>
      </c>
      <c r="AB37" s="40"/>
      <c r="AC37" s="1">
        <f t="shared" si="3"/>
        <v>-83214.750836166219</v>
      </c>
      <c r="AD37" s="1">
        <f t="shared" si="4"/>
        <v>65733.961620612943</v>
      </c>
      <c r="AE37" s="1">
        <f t="shared" si="18"/>
        <v>-17480.789215553275</v>
      </c>
      <c r="AF37" s="1">
        <f>IF(AE37 &lt; 0,
    IF(AF36 + AE37 &gt; 0,
        AF36 + AE37, IF(AK36-ABS(AF36 + AE37)*(1+$V37) &gt;= AF36 + AE37,
        0, AF36 + AE37)),
    MIN(AF36 + AE37, Analysis!$C$7))+IF(AF36&lt;0, AF36*Analysis!$C$9,0)</f>
        <v>6519.2107844467246</v>
      </c>
      <c r="AG37" s="40"/>
      <c r="AH37" s="1">
        <f t="shared" si="19"/>
        <v>47996.194292702196</v>
      </c>
      <c r="AI37" s="1">
        <f>IF(AE37 &gt;= 0,
    MAX(0, AF36 + AE37 - Analysis!$C$7),
    0)</f>
        <v>0</v>
      </c>
      <c r="AJ37" s="1">
        <f t="shared" si="44"/>
        <v>1250009.2225750354</v>
      </c>
      <c r="AK37" s="1">
        <f t="shared" si="20"/>
        <v>2495802.1032205229</v>
      </c>
      <c r="AL37" s="1">
        <f t="shared" si="5"/>
        <v>2167224.2309502754</v>
      </c>
      <c r="AM37" s="36"/>
      <c r="AN37" s="1">
        <f t="shared" si="45"/>
        <v>1361475.888696634</v>
      </c>
      <c r="AO37" s="64">
        <f t="shared" si="21"/>
        <v>1.9607843137254832E-2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-4084.4276660899022</v>
      </c>
      <c r="BF37" s="64">
        <f>IF($B37&lt;Analysis!$C$66,0,Analysis!$C$78)</f>
        <v>3.0000000000000001E-3</v>
      </c>
      <c r="BG37" s="1">
        <f>IF($B37&lt;Analysis!$C$66,0,-BH37*AN37)</f>
        <v>-10211.069165224755</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-173588.17580882084</v>
      </c>
      <c r="BS37" s="64">
        <f>IF($B37&lt;Analysis!C$66,0,Analysis!C$31)</f>
        <v>0.1275</v>
      </c>
      <c r="BT37" s="1">
        <f>IF($B37&lt;Analysis!$C$66,0,AN37+BR37)</f>
        <v>1187887.7128878131</v>
      </c>
      <c r="BU37" s="1">
        <f>IF($B37-Analysis!$C$66&gt;3,0,IF($AN37&gt;LOOKUP(Analysis!$C$66,$B:$B, AN:AN),$V37*(LOOKUP(Analysis!$C$66,$B:$B, AN:AN)-AN37),0))</f>
        <v>0</v>
      </c>
      <c r="BV37" s="1">
        <f t="shared" si="23"/>
        <v>1187887.7128878131</v>
      </c>
      <c r="BW37" s="42"/>
      <c r="BX37" s="1">
        <f>IF($B37&lt;Analysis!$C$66,$P37+$N37+$X37+$Z37,$P37+$N37+AS37+AV37+BB37+BE37+BG37+MAX(BI37,SUM(BJ37:BN37))+BP37)</f>
        <v>-66255.496831314667</v>
      </c>
      <c r="BY37" s="1">
        <f t="shared" si="24"/>
        <v>65733.961620612943</v>
      </c>
      <c r="BZ37" s="1">
        <f t="shared" si="46"/>
        <v>-521.53521070172428</v>
      </c>
      <c r="CA37" s="1">
        <f>IF(BZ37 &lt; 0,
    IF(CA36 + BZ37 &gt; 0,
        CA36 + BZ37, IF(CF36-ABS(CA36 + BZ37)*(1+$V37) &gt;= CA36 + BZ37,
        0, CA36 + BZ37)),
    MIN(CA36 + BZ37, Analysis!$C$7))+IF(CA36&lt;0, CA36*Analysis!$C$9,0)</f>
        <v>-67001.535640491915</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818858.68667985976</v>
      </c>
      <c r="CL37" s="64">
        <f t="shared" si="48"/>
        <v>1.9607843137254832E-2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$B37&gt;=Analysis!$C$101),0,((1+Analysis!$B$114)/(1+$S37))-1)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1361475.888696634</v>
      </c>
      <c r="EC37" s="64">
        <f t="shared" si="50"/>
        <v>1.9607843137254832E-2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-4084.4276660899022</v>
      </c>
      <c r="ET37" s="64">
        <f>IF($B37&lt;Analysis!$C$130,0,Analysis!$C$142)</f>
        <v>3.0000000000000001E-3</v>
      </c>
      <c r="EU37" s="1">
        <f>IF($B37&lt;Analysis!$C$130,0,-EV37*EB37)</f>
        <v>-13614.75888696634</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-173588.17580882084</v>
      </c>
      <c r="FG37" s="64">
        <f>IF($B37&lt;Analysis!$C$130,0,Analysis!$C$31)</f>
        <v>0.1275</v>
      </c>
      <c r="FH37" s="1">
        <f>IF($B37&lt;Analysis!$C$130,0,EB37+FF37)</f>
        <v>1187887.7128878131</v>
      </c>
      <c r="FI37" s="1">
        <f>IF($B37-Analysis!$C$130&gt;3,0,IF(EB37&gt;LOOKUP(Analysis!$C$130,$B:$B, EB:EB),$V37*(LOOKUP(Analysis!$C$130,$B:$B, EB:EB)-EB37),0))</f>
        <v>0</v>
      </c>
      <c r="FJ37" s="1">
        <f t="shared" si="33"/>
        <v>1187887.7128878131</v>
      </c>
      <c r="FK37" s="53"/>
      <c r="FL37" s="1">
        <f>$P37+$N37+IF($B37&lt;Analysis!$C$130,$X37+$Z37,0)+CP37+CS37+CY37+DE37+DG37+MIN(DI37,SUM(DJ37:DN37))+DQ37+DS37+DT37+EG37+EJ37+EP37+ES37+EU37+MIN(EW37,SUM(EX37:FB37))+FD37</f>
        <v>-75732.015331763672</v>
      </c>
      <c r="FM37" s="1">
        <f>$M37+$R37+DD37+IF(AND($B37&lt;&gt;Analysis!$C$130,$B37=Analysis!$C$101),DZ36+CQ36+CT36+CZ36,0)</f>
        <v>65733.961620612943</v>
      </c>
      <c r="FN37" s="1">
        <f t="shared" si="34"/>
        <v>-9998.0537111507292</v>
      </c>
      <c r="FO37" s="1">
        <f>IF(FN37 &lt; 0,
    IF(FO36 + FN37 &gt; 0,
        FO36 + FN37, IF(FT36-ABS(FO36 + FN37)*(1+$V37) &gt;= FO36 + FN37,
        0, FO36 + FN37)),
    MIN(FO36 + FN37, Analysis!$C$7))+IF(FO36&lt;0, FO36*Analysis!$C$9,0)</f>
        <v>14001.946288849271</v>
      </c>
      <c r="FP37" s="53"/>
      <c r="FQ37" s="1">
        <f t="shared" si="51"/>
        <v>32688.026250502964</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818858.68667985976</v>
      </c>
      <c r="FX37" s="64">
        <f t="shared" si="53"/>
        <v>1.9607843137254832E-2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27347.906981645418</v>
      </c>
      <c r="GO37" s="64">
        <f>IF($B37&lt;Analysis!$C$159,0,((1+Analysis!$B$174)/(1+$S37))-1)</f>
        <v>1.9607843137254832E-2</v>
      </c>
      <c r="GP37" s="1">
        <f t="shared" si="7"/>
        <v>33764.483041684995</v>
      </c>
      <c r="GQ37" s="1">
        <f t="shared" si="36"/>
        <v>-2456.5760600395793</v>
      </c>
      <c r="GR37" s="64">
        <f>IF($B37&lt;Analysis!$C$159,0,Analysis!$C$178)</f>
        <v>3.0000000000000001E-3</v>
      </c>
      <c r="GS37" s="1">
        <f t="shared" si="37"/>
        <v>-6141.4401500989479</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-2051.0930236234062</v>
      </c>
      <c r="HD37" s="1">
        <f t="shared" si="38"/>
        <v>-22909.109233761934</v>
      </c>
      <c r="HE37" s="1">
        <f>MIN(0,-(GN37+HD37)*Analysis!$C$28)-GE37*Analysis!$C$28</f>
        <v>-1966.8312820871713</v>
      </c>
      <c r="HF37" s="1">
        <f>-Analysis!$C$176*GP37/12</f>
        <v>-2813.7069201404161</v>
      </c>
      <c r="HG37" s="38"/>
      <c r="HH37" s="1">
        <f>IF($B37&lt;Analysis!$C$159,0,-$HI37*$FW37)</f>
        <v>-104404.48255168211</v>
      </c>
      <c r="HI37" s="64">
        <f>IF($B37&lt;Analysis!$C$159,0,IF($B37=Analysis!$C$159,Analysis!$C$31,HI36))</f>
        <v>0.1275</v>
      </c>
      <c r="HJ37" s="1">
        <f>IF($B37&lt;Analysis!$C$159,0,$FW37+HH37)</f>
        <v>714454.2041281776</v>
      </c>
      <c r="HK37" s="1">
        <f>IF($B37-Analysis!$C$159&gt;10,0,IF($FW37&gt;LOOKUP(Analysis!$C$159,$B:$B, FW:FW),$V37*(LOOKUP(Analysis!$C$159,$B:$B, FW:FW)-FW37),0))</f>
        <v>0</v>
      </c>
      <c r="HL37" s="1">
        <f t="shared" si="39"/>
        <v>714454.2041281776</v>
      </c>
      <c r="HM37" s="38"/>
      <c r="HN37" s="1">
        <f t="shared" si="40"/>
        <v>-102604.39827215574</v>
      </c>
      <c r="HO37" s="1">
        <f t="shared" si="8"/>
        <v>99498.44466229793</v>
      </c>
      <c r="HP37" s="1">
        <f t="shared" si="41"/>
        <v>-3105.9536098578101</v>
      </c>
      <c r="HQ37" s="1">
        <f>IF(HP37 &lt; 0,
    IF(HQ36 + HP37 &gt; 0,
        HQ36 + HP37, IF(HV36-ABS(HQ36 + HP37)*(1+$V37) &gt;= HQ36 + HP37,
        0, HQ36 + HP37)),
    MIN(HQ36 + HP37, Analysis!$C$7))+IF(HQ36&lt;0, HQ36*Analysis!$C$9,0)</f>
        <v>20894.04639014219</v>
      </c>
      <c r="HR37" s="38"/>
      <c r="HS37" s="1">
        <f t="shared" si="54"/>
        <v>32688.026250502964</v>
      </c>
      <c r="HT37" s="1">
        <f>IF($B37=Analysis!$C$159,0,IF(HP37 &gt;= 0,
    MAX(0, HQ36 + HP37 - Analysis!$C$7),
    0))</f>
        <v>0</v>
      </c>
      <c r="HU37" s="1">
        <f>IF($B37=Analysis!$C$159,0,MAX(0, HU36 + HT37 - IF(HP37 &lt; 0, MIN(ABS(HP37), HU36 + HT37), 0)))</f>
        <v>1046605.8816739147</v>
      </c>
      <c r="HV37" s="1">
        <f>IF($B37=Analysis!$C$159,0,IF(HP37 &lt; 0,
    IF(HP37 + HQ36 &lt; 0,
        MAX(0, HV36 - (ABS(HP37 + HQ36) * (1+$V36))),
        HV36 + HS37),
    HV36 + HT37 + HS37))</f>
        <v>1699777.3650261601</v>
      </c>
      <c r="HW37" s="1">
        <f t="shared" si="58"/>
        <v>1527503.3862920054</v>
      </c>
      <c r="HX37" s="36"/>
    </row>
    <row r="38" spans="1:232" x14ac:dyDescent="0.35">
      <c r="A38">
        <f t="shared" si="0"/>
        <v>71</v>
      </c>
      <c r="B38">
        <v>2061</v>
      </c>
      <c r="C38" s="1">
        <f>IF($B38&lt;Analysis!C$66,0,$AN38)+$AT38+$AW38+$BC38+$CF38+$CA38</f>
        <v>1313693.3175630693</v>
      </c>
      <c r="D38" s="1">
        <f>IF($B38&lt;Analysis!C$66, 0, BV38)+AT38+AW38+BC38+CG38+CA38</f>
        <v>1136701.4520325069</v>
      </c>
      <c r="E38" s="1">
        <f t="shared" si="1"/>
        <v>2479513.5082576782</v>
      </c>
      <c r="F38" s="1">
        <f t="shared" si="9"/>
        <v>2150112.8120168471</v>
      </c>
      <c r="G38" s="1">
        <f>IF(AND($B38&gt;=Analysis!$C$100, $B38&lt;Analysis!$C$101),$CK38,0)+IF($B38&gt;=Analysis!$C$130,EB38,0)+CQ38+CT38+CZ38+EH38+EK38+EQ38+$FO38+$FT38</f>
        <v>1341931.0345993896</v>
      </c>
      <c r="H38" s="1">
        <f t="shared" si="10"/>
        <v>1157898.2030758129</v>
      </c>
      <c r="I38" s="1">
        <f>IF($B38&lt;Analysis!$C$159,0,$FW38)+$GC38+$GF38+$GL38+$HQ38+$HV38</f>
        <v>2584063.4599690987</v>
      </c>
      <c r="J38" s="1">
        <f t="shared" si="59"/>
        <v>2295267.7116769589</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-31867.589087855751</v>
      </c>
      <c r="Y38" s="64">
        <f t="shared" si="15"/>
        <v>1.9607843137254832E-2</v>
      </c>
      <c r="Z38" s="1">
        <f t="shared" si="16"/>
        <v>-3960</v>
      </c>
      <c r="AA38" s="64">
        <f t="shared" si="17"/>
        <v>0</v>
      </c>
      <c r="AB38" s="40"/>
      <c r="AC38" s="1">
        <f t="shared" si="3"/>
        <v>-83827.589087855755</v>
      </c>
      <c r="AD38" s="1">
        <f t="shared" si="4"/>
        <v>64419.282388200685</v>
      </c>
      <c r="AE38" s="1">
        <f t="shared" si="18"/>
        <v>-19408.30669965507</v>
      </c>
      <c r="AF38" s="1">
        <f>IF(AE38 &lt; 0,
    IF(AF37 + AE38 &gt; 0,
        AF37 + AE38, IF(AK37-ABS(AF37 + AE38)*(1+$V38) &gt;= AF37 + AE38,
        0, AF37 + AE38)),
    MIN(AF37 + AE38, Analysis!$C$7))+IF(AF37&lt;0, AF37*Analysis!$C$9,0)</f>
        <v>0</v>
      </c>
      <c r="AG38" s="40"/>
      <c r="AH38" s="1">
        <f t="shared" si="19"/>
        <v>48937.296141578707</v>
      </c>
      <c r="AI38" s="1">
        <f>IF(AE38 &gt;= 0,
    MAX(0, AF37 + AE38 - Analysis!$C$7),
    0)</f>
        <v>0</v>
      </c>
      <c r="AJ38" s="1">
        <f t="shared" si="44"/>
        <v>1230600.9158753804</v>
      </c>
      <c r="AK38" s="1">
        <f t="shared" si="20"/>
        <v>2479513.5082576782</v>
      </c>
      <c r="AL38" s="1">
        <f t="shared" si="5"/>
        <v>2150112.8120168471</v>
      </c>
      <c r="AM38" s="36"/>
      <c r="AN38" s="1">
        <f t="shared" si="45"/>
        <v>1388171.4943573521</v>
      </c>
      <c r="AO38" s="64">
        <f t="shared" si="21"/>
        <v>1.9607843137254832E-2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-4164.5144830720565</v>
      </c>
      <c r="BF38" s="64">
        <f>IF($B38&lt;Analysis!$C$66,0,Analysis!$C$78)</f>
        <v>3.0000000000000001E-3</v>
      </c>
      <c r="BG38" s="1">
        <f>IF($B38&lt;Analysis!$C$66,0,-BH38*AN38)</f>
        <v>-10411.286207680141</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-176991.86553056241</v>
      </c>
      <c r="BS38" s="64">
        <f>IF($B38&lt;Analysis!C$66,0,Analysis!C$31)</f>
        <v>0.1275</v>
      </c>
      <c r="BT38" s="1">
        <f>IF($B38&lt;Analysis!$C$66,0,AN38+BR38)</f>
        <v>1211179.6288267898</v>
      </c>
      <c r="BU38" s="1">
        <f>IF($B38-Analysis!$C$66&gt;3,0,IF($AN38&gt;LOOKUP(Analysis!$C$66,$B:$B, AN:AN),$V38*(LOOKUP(Analysis!$C$66,$B:$B, AN:AN)-AN38),0))</f>
        <v>0</v>
      </c>
      <c r="BV38" s="1">
        <f t="shared" si="23"/>
        <v>1211179.6288267898</v>
      </c>
      <c r="BW38" s="42"/>
      <c r="BX38" s="1">
        <f>IF($B38&lt;Analysis!$C$66,$P38+$N38+$X38+$Z38,$P38+$N38+AS38+AV38+BB38+BE38+BG38+MAX(BI38,SUM(BJ38:BN38))+BP38)</f>
        <v>-66535.800690752192</v>
      </c>
      <c r="BY38" s="1">
        <f t="shared" si="24"/>
        <v>64419.282388200685</v>
      </c>
      <c r="BZ38" s="1">
        <f t="shared" si="46"/>
        <v>-2116.5183025515071</v>
      </c>
      <c r="CA38" s="1">
        <f>IF(BZ38 &lt; 0,
    IF(CA37 + BZ38 &gt; 0,
        CA37 + BZ38, IF(CF37-ABS(CA37 + BZ38)*(1+$V38) &gt;= CA37 + BZ38,
        0, CA37 + BZ38)),
    MIN(CA37 + BZ38, Analysis!$C$7))+IF(CA37&lt;0, CA37*Analysis!$C$9,0)</f>
        <v>-74478.176794282786</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834914.73935985693</v>
      </c>
      <c r="CL38" s="64">
        <f t="shared" si="48"/>
        <v>1.9607843137254832E-2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$B38&gt;=Analysis!$C$101),0,((1+Analysis!$B$114)/(1+$S38))-1)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1388171.4943573521</v>
      </c>
      <c r="EC38" s="64">
        <f t="shared" si="50"/>
        <v>1.9607843137254832E-2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-4164.5144830720565</v>
      </c>
      <c r="ET38" s="64">
        <f>IF($B38&lt;Analysis!$C$130,0,Analysis!$C$142)</f>
        <v>3.0000000000000001E-3</v>
      </c>
      <c r="EU38" s="1">
        <f>IF($B38&lt;Analysis!$C$130,0,-EV38*EB38)</f>
        <v>-13881.714943573521</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-176991.86553056241</v>
      </c>
      <c r="FG38" s="64">
        <f>IF($B38&lt;Analysis!$C$130,0,Analysis!$C$31)</f>
        <v>0.1275</v>
      </c>
      <c r="FH38" s="1">
        <f>IF($B38&lt;Analysis!$C$130,0,EB38+FF38)</f>
        <v>1211179.6288267898</v>
      </c>
      <c r="FI38" s="1">
        <f>IF($B38-Analysis!$C$130&gt;3,0,IF(EB38&gt;LOOKUP(Analysis!$C$130,$B:$B, EB:EB),$V38*(LOOKUP(Analysis!$C$130,$B:$B, EB:EB)-EB38),0))</f>
        <v>-7040.9659930144162</v>
      </c>
      <c r="FJ38" s="1">
        <f t="shared" si="33"/>
        <v>1204138.6628337754</v>
      </c>
      <c r="FK38" s="53"/>
      <c r="FL38" s="1">
        <f>$P38+$N38+IF($B38&lt;Analysis!$C$130,$X38+$Z38,0)+CP38+CS38+CY38+DE38+DG38+MIN(DI38,SUM(DJ38:DN38))+DQ38+DS38+DT38+EG38+EJ38+EP38+ES38+EU38+MIN(EW38,SUM(EX38:FB38))+FD38</f>
        <v>-76079.058205352994</v>
      </c>
      <c r="FM38" s="1">
        <f>$M38+$R38+DD38+IF(AND($B38&lt;&gt;Analysis!$C$130,$B38=Analysis!$C$101),DZ37+CQ37+CT37+CZ37,0)</f>
        <v>64419.282388200685</v>
      </c>
      <c r="FN38" s="1">
        <f t="shared" si="34"/>
        <v>-11659.775817152309</v>
      </c>
      <c r="FO38" s="1">
        <f>IF(FN38 &lt; 0,
    IF(FO37 + FN38 &gt; 0,
        FO37 + FN38, IF(FT37-ABS(FO37 + FN38)*(1+$V38) &gt;= FO37 + FN38,
        0, FO37 + FN38)),
    MIN(FO37 + FN38, Analysis!$C$7))+IF(FO37&lt;0, FO37*Analysis!$C$9,0)</f>
        <v>2342.1704716969616</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834914.73935985693</v>
      </c>
      <c r="FX38" s="64">
        <f t="shared" si="53"/>
        <v>1.9607843137254832E-2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27884.140451873758</v>
      </c>
      <c r="GO38" s="64">
        <f>IF($B38&lt;Analysis!$C$159,0,((1+Analysis!$B$174)/(1+$S38))-1)</f>
        <v>1.9607843137254832E-2</v>
      </c>
      <c r="GP38" s="1">
        <f t="shared" si="7"/>
        <v>34348.884669953331</v>
      </c>
      <c r="GQ38" s="1">
        <f t="shared" si="36"/>
        <v>-2504.7442180795711</v>
      </c>
      <c r="GR38" s="64">
        <f>IF($B38&lt;Analysis!$C$159,0,Analysis!$C$178)</f>
        <v>3.0000000000000001E-3</v>
      </c>
      <c r="GS38" s="1">
        <f t="shared" si="37"/>
        <v>-6261.860545198927</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-2091.3105338905316</v>
      </c>
      <c r="HD38" s="1">
        <f t="shared" si="38"/>
        <v>-23117.915297169027</v>
      </c>
      <c r="HE38" s="1">
        <f>MIN(0,-(GN38+HD38)*Analysis!$C$28)-GE38*Analysis!$C$28</f>
        <v>-2111.9143660496661</v>
      </c>
      <c r="HF38" s="1">
        <f>-Analysis!$C$176*GP38/12</f>
        <v>-2862.4070558294443</v>
      </c>
      <c r="HG38" s="38"/>
      <c r="HH38" s="1">
        <f>IF($B38&lt;Analysis!$C$159,0,-$HI38*$FW38)</f>
        <v>-106451.62926838176</v>
      </c>
      <c r="HI38" s="64">
        <f>IF($B38&lt;Analysis!$C$159,0,IF($B38=Analysis!$C$159,Analysis!$C$31,HI37))</f>
        <v>0.1275</v>
      </c>
      <c r="HJ38" s="1">
        <f>IF($B38&lt;Analysis!$C$159,0,$FW38+HH38)</f>
        <v>728463.11009147519</v>
      </c>
      <c r="HK38" s="1">
        <f>IF($B38-Analysis!$C$159&gt;10,0,IF($FW38&gt;LOOKUP(Analysis!$C$159,$B:$B, FW:FW),$V38*(LOOKUP(Analysis!$C$159,$B:$B, FW:FW)-FW38),0))</f>
        <v>0</v>
      </c>
      <c r="HL38" s="1">
        <f t="shared" si="39"/>
        <v>728463.11009147519</v>
      </c>
      <c r="HM38" s="38"/>
      <c r="HN38" s="1">
        <f t="shared" si="40"/>
        <v>-103619.8258069039</v>
      </c>
      <c r="HO38" s="1">
        <f t="shared" si="8"/>
        <v>98768.167058154009</v>
      </c>
      <c r="HP38" s="1">
        <f t="shared" si="41"/>
        <v>-4851.6587487498909</v>
      </c>
      <c r="HQ38" s="1">
        <f>IF(HP38 &lt; 0,
    IF(HQ37 + HP38 &gt; 0,
        HQ37 + HP38, IF(HV37-ABS(HQ37 + HP38)*(1+$V38) &gt;= HQ37 + HP38,
        0, HQ37 + HP38)),
    MIN(HQ37 + HP38, Analysis!$C$7))+IF(HQ37&lt;0, HQ37*Analysis!$C$9,0)</f>
        <v>16042.387641392299</v>
      </c>
      <c r="HR38" s="38"/>
      <c r="HS38" s="1">
        <f t="shared" si="54"/>
        <v>33328.967941689298</v>
      </c>
      <c r="HT38" s="1">
        <f>IF($B38=Analysis!$C$159,0,IF(HP38 &gt;= 0,
    MAX(0, HQ37 + HP38 - Analysis!$C$7),
    0))</f>
        <v>0</v>
      </c>
      <c r="HU38" s="1">
        <f>IF($B38=Analysis!$C$159,0,MAX(0, HU37 + HT38 - IF(HP38 &lt; 0, MIN(ABS(HP38), HU37 + HT38), 0)))</f>
        <v>1041754.2229251649</v>
      </c>
      <c r="HV38" s="1">
        <f>IF($B38=Analysis!$C$159,0,IF(HP38 &lt; 0,
    IF(HP38 + HQ37 &lt; 0,
        MAX(0, HV37 - (ABS(HP38 + HQ37) * (1+$V37))),
        HV37 + HS38),
    HV37 + HT38 + HS38))</f>
        <v>1733106.3329678494</v>
      </c>
      <c r="HW38" s="1">
        <f t="shared" si="58"/>
        <v>1550762.2139440915</v>
      </c>
      <c r="HX38" s="36"/>
    </row>
    <row r="39" spans="1:232" x14ac:dyDescent="0.35">
      <c r="A39">
        <f t="shared" si="0"/>
        <v>72</v>
      </c>
      <c r="B39">
        <v>2062</v>
      </c>
      <c r="C39" s="1">
        <f>IF($B39&lt;Analysis!C$66,0,$AN39)+$AT39+$AW39+$BC39+$CF39+$CA39</f>
        <v>1331263.4083646345</v>
      </c>
      <c r="D39" s="1">
        <f>IF($B39&lt;Analysis!C$66, 0, BV39)+AT39+AW39+BC39+CG39+CA39</f>
        <v>1150801.1140981787</v>
      </c>
      <c r="E39" s="1">
        <f t="shared" si="1"/>
        <v>2452568.4031916708</v>
      </c>
      <c r="F39" s="1">
        <f t="shared" si="9"/>
        <v>2124650.9203814082</v>
      </c>
      <c r="G39" s="1">
        <f>IF(AND($B39&gt;=Analysis!$C$100, $B39&lt;Analysis!$C$101),$CK39,0)+IF($B39&gt;=Analysis!$C$130,EB39,0)+CQ39+CT39+CZ39+EH39+EK39+EQ39+$FO39+$FT39</f>
        <v>1361920.9031863317</v>
      </c>
      <c r="H39" s="1">
        <f t="shared" si="10"/>
        <v>1167238.6187771214</v>
      </c>
      <c r="I39" s="1">
        <f>IF($B39&lt;Analysis!$C$159,0,$FW39)+$GC39+$GF39+$GL39+$HQ39+$HV39</f>
        <v>2627837.292537109</v>
      </c>
      <c r="J39" s="1">
        <f t="shared" si="59"/>
        <v>2326256.0301844864</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-32492.44377585292</v>
      </c>
      <c r="Y39" s="64">
        <f t="shared" si="15"/>
        <v>1.9607843137254832E-2</v>
      </c>
      <c r="Z39" s="1">
        <f t="shared" si="16"/>
        <v>-3960</v>
      </c>
      <c r="AA39" s="64">
        <f t="shared" si="17"/>
        <v>0</v>
      </c>
      <c r="AB39" s="40"/>
      <c r="AC39" s="1">
        <f t="shared" si="3"/>
        <v>-84452.443775852924</v>
      </c>
      <c r="AD39" s="1">
        <f t="shared" si="4"/>
        <v>63130.89674043667</v>
      </c>
      <c r="AE39" s="1">
        <f t="shared" si="18"/>
        <v>-21321.547035416253</v>
      </c>
      <c r="AF39" s="1">
        <f>IF(AE39 &lt; 0,
    IF(AF38 + AE39 &gt; 0,
        AF38 + AE39, IF(AK38-ABS(AF38 + AE39)*(1+$V39) &gt;= AF38 + AE39,
        0, AF38 + AE39)),
    MIN(AF38 + AE39, Analysis!$C$7))+IF(AF38&lt;0, AF38*Analysis!$C$9,0)</f>
        <v>0</v>
      </c>
      <c r="AG39" s="40"/>
      <c r="AH39" s="1">
        <f t="shared" si="19"/>
        <v>48617.911926620967</v>
      </c>
      <c r="AI39" s="1">
        <f>IF(AE39 &gt;= 0,
    MAX(0, AF38 + AE39 - Analysis!$C$7),
    0)</f>
        <v>0</v>
      </c>
      <c r="AJ39" s="1">
        <f t="shared" si="44"/>
        <v>1209279.368839964</v>
      </c>
      <c r="AK39" s="1">
        <f t="shared" si="20"/>
        <v>2452568.4031916708</v>
      </c>
      <c r="AL39" s="1">
        <f t="shared" si="5"/>
        <v>2124650.9203814082</v>
      </c>
      <c r="AM39" s="36"/>
      <c r="AN39" s="1">
        <f t="shared" si="45"/>
        <v>1415390.5432663197</v>
      </c>
      <c r="AO39" s="64">
        <f t="shared" si="21"/>
        <v>1.9607843137254832E-2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-4246.1716297989587</v>
      </c>
      <c r="BF39" s="64">
        <f>IF($B39&lt;Analysis!$C$66,0,Analysis!$C$78)</f>
        <v>3.0000000000000001E-3</v>
      </c>
      <c r="BG39" s="1">
        <f>IF($B39&lt;Analysis!$C$66,0,-BH39*AN39)</f>
        <v>-10615.429074497397</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-180462.29426645575</v>
      </c>
      <c r="BS39" s="64">
        <f>IF($B39&lt;Analysis!C$66,0,Analysis!C$31)</f>
        <v>0.1275</v>
      </c>
      <c r="BT39" s="1">
        <f>IF($B39&lt;Analysis!$C$66,0,AN39+BR39)</f>
        <v>1234928.2489998639</v>
      </c>
      <c r="BU39" s="1">
        <f>IF($B39-Analysis!$C$66&gt;3,0,IF($AN39&gt;LOOKUP(Analysis!$C$66,$B:$B, AN:AN),$V39*(LOOKUP(Analysis!$C$66,$B:$B, AN:AN)-AN39),0))</f>
        <v>0</v>
      </c>
      <c r="BV39" s="1">
        <f t="shared" si="23"/>
        <v>1234928.2489998639</v>
      </c>
      <c r="BW39" s="42"/>
      <c r="BX39" s="1">
        <f>IF($B39&lt;Analysis!$C$66,$P39+$N39+$X39+$Z39,$P39+$N39+AS39+AV39+BB39+BE39+BG39+MAX(BI39,SUM(BJ39:BN39))+BP39)</f>
        <v>-66821.600704296361</v>
      </c>
      <c r="BY39" s="1">
        <f t="shared" si="24"/>
        <v>63130.89674043667</v>
      </c>
      <c r="BZ39" s="1">
        <f t="shared" si="46"/>
        <v>-3690.7039638596907</v>
      </c>
      <c r="CA39" s="1">
        <f>IF(BZ39 &lt; 0,
    IF(CA38 + BZ39 &gt; 0,
        CA38 + BZ39, IF(CF38-ABS(CA38 + BZ39)*(1+$V39) &gt;= CA38 + BZ39,
        0, CA38 + BZ39)),
    MIN(CA38 + BZ39, Analysis!$C$7))+IF(CA38&lt;0, CA38*Analysis!$C$9,0)</f>
        <v>-84127.134901685102</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851285.61660220707</v>
      </c>
      <c r="CL39" s="64">
        <f t="shared" si="48"/>
        <v>1.9607843137254832E-2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$B39&gt;=Analysis!$C$101),0,((1+Analysis!$B$114)/(1+$S39))-1)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1415390.5432663197</v>
      </c>
      <c r="EC39" s="64">
        <f t="shared" si="50"/>
        <v>1.9607843137254832E-2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-4246.1716297989587</v>
      </c>
      <c r="ET39" s="64">
        <f>IF($B39&lt;Analysis!$C$130,0,Analysis!$C$142)</f>
        <v>3.0000000000000001E-3</v>
      </c>
      <c r="EU39" s="1">
        <f>IF($B39&lt;Analysis!$C$130,0,-EV39*EB39)</f>
        <v>-14153.905432663198</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-180462.29426645575</v>
      </c>
      <c r="FG39" s="64">
        <f>IF($B39&lt;Analysis!$C$130,0,Analysis!$C$31)</f>
        <v>0.1275</v>
      </c>
      <c r="FH39" s="1">
        <f>IF($B39&lt;Analysis!$C$130,0,EB39+FF39)</f>
        <v>1234928.2489998639</v>
      </c>
      <c r="FI39" s="1">
        <f>IF($B39-Analysis!$C$130&gt;3,0,IF(EB39&gt;LOOKUP(Analysis!$C$130,$B:$B, EB:EB),$V39*(LOOKUP(Analysis!$C$130,$B:$B, EB:EB)-EB39),0))</f>
        <v>-14219.990142754601</v>
      </c>
      <c r="FJ39" s="1">
        <f t="shared" si="33"/>
        <v>1220708.2588571094</v>
      </c>
      <c r="FK39" s="53"/>
      <c r="FL39" s="1">
        <f>$P39+$N39+IF($B39&lt;Analysis!$C$130,$X39+$Z39,0)+CP39+CS39+CY39+DE39+DG39+MIN(DI39,SUM(DJ39:DN39))+DQ39+DS39+DT39+EG39+EJ39+EP39+ES39+EU39+MIN(EW39,SUM(EX39:FB39))+FD39</f>
        <v>-76432.905841169588</v>
      </c>
      <c r="FM39" s="1">
        <f>$M39+$R39+DD39+IF(AND($B39&lt;&gt;Analysis!$C$130,$B39=Analysis!$C$101),DZ38+CQ38+CT38+CZ38,0)</f>
        <v>63130.89674043667</v>
      </c>
      <c r="FN39" s="1">
        <f t="shared" si="34"/>
        <v>-13302.009100732917</v>
      </c>
      <c r="FO39" s="1">
        <f>IF(FN39 &lt; 0,
    IF(FO38 + FN39 &gt; 0,
        FO38 + FN39, IF(FT38-ABS(FO38 + FN39)*(1+$V39) &gt;= FO38 + FN39,
        0, FO38 + FN39)),
    MIN(FO38 + FN39, Analysis!$C$7))+IF(FO38&lt;0, FO38*Analysis!$C$9,0)</f>
        <v>-10959.838629035956</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851285.61660220707</v>
      </c>
      <c r="FX39" s="64">
        <f t="shared" si="53"/>
        <v>1.9607843137254832E-2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28430.888303871281</v>
      </c>
      <c r="GO39" s="64">
        <f>IF($B39&lt;Analysis!$C$159,0,((1+Analysis!$B$174)/(1+$S39))-1)</f>
        <v>1.9607843137254832E-2</v>
      </c>
      <c r="GP39" s="1">
        <f t="shared" si="7"/>
        <v>34944.745153677904</v>
      </c>
      <c r="GQ39" s="1">
        <f t="shared" si="36"/>
        <v>-2553.8568498066211</v>
      </c>
      <c r="GR39" s="64">
        <f>IF($B39&lt;Analysis!$C$159,0,Analysis!$C$178)</f>
        <v>3.0000000000000001E-3</v>
      </c>
      <c r="GS39" s="1">
        <f t="shared" si="37"/>
        <v>-6384.6421245165529</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-2132.3166227903462</v>
      </c>
      <c r="HD39" s="1">
        <f t="shared" si="38"/>
        <v>-23330.81559711352</v>
      </c>
      <c r="HE39" s="1">
        <f>MIN(0,-(GN39+HD39)*Analysis!$C$28)-GE39*Analysis!$C$28</f>
        <v>-2259.8422163643636</v>
      </c>
      <c r="HF39" s="1">
        <f>-Analysis!$C$176*GP39/12</f>
        <v>-2912.0620961398254</v>
      </c>
      <c r="HG39" s="38"/>
      <c r="HH39" s="1">
        <f>IF($B39&lt;Analysis!$C$159,0,-$HI39*$FW39)</f>
        <v>-108538.9161167814</v>
      </c>
      <c r="HI39" s="64">
        <f>IF($B39&lt;Analysis!$C$159,0,IF($B39=Analysis!$C$159,Analysis!$C$31,HI38))</f>
        <v>0.1275</v>
      </c>
      <c r="HJ39" s="1">
        <f>IF($B39&lt;Analysis!$C$159,0,$FW39+HH39)</f>
        <v>742746.70048542565</v>
      </c>
      <c r="HK39" s="1">
        <f>IF($B39-Analysis!$C$159&gt;10,0,IF($FW39&gt;LOOKUP(Analysis!$C$159,$B:$B, FW:FW),$V39*(LOOKUP(Analysis!$C$159,$B:$B, FW:FW)-FW39),0))</f>
        <v>0</v>
      </c>
      <c r="HL39" s="1">
        <f t="shared" si="39"/>
        <v>742746.70048542565</v>
      </c>
      <c r="HM39" s="38"/>
      <c r="HN39" s="1">
        <f t="shared" si="40"/>
        <v>-104655.16368547063</v>
      </c>
      <c r="HO39" s="1">
        <f t="shared" si="8"/>
        <v>98075.641894114582</v>
      </c>
      <c r="HP39" s="1">
        <f t="shared" si="41"/>
        <v>-6579.5217913560482</v>
      </c>
      <c r="HQ39" s="1">
        <f>IF(HP39 &lt; 0,
    IF(HQ38 + HP39 &gt; 0,
        HQ38 + HP39, IF(HV38-ABS(HQ38 + HP39)*(1+$V39) &gt;= HQ38 + HP39,
        0, HQ38 + HP39)),
    MIN(HQ38 + HP39, Analysis!$C$7))+IF(HQ38&lt;0, HQ38*Analysis!$C$9,0)</f>
        <v>9462.8658500362508</v>
      </c>
      <c r="HR39" s="38"/>
      <c r="HS39" s="1">
        <f t="shared" si="54"/>
        <v>33982.477117016533</v>
      </c>
      <c r="HT39" s="1">
        <f>IF($B39=Analysis!$C$159,0,IF(HP39 &gt;= 0,
    MAX(0, HQ38 + HP39 - Analysis!$C$7),
    0))</f>
        <v>0</v>
      </c>
      <c r="HU39" s="1">
        <f>IF($B39=Analysis!$C$159,0,MAX(0, HU38 + HT39 - IF(HP39 &lt; 0, MIN(ABS(HP39), HU38 + HT39), 0)))</f>
        <v>1035174.7011338088</v>
      </c>
      <c r="HV39" s="1">
        <f>IF($B39=Analysis!$C$159,0,IF(HP39 &lt; 0,
    IF(HP39 + HQ38 &lt; 0,
        MAX(0, HV38 - (ABS(HP39 + HQ38) * (1+$V38))),
        HV38 + HS39),
    HV38 + HT39 + HS39))</f>
        <v>1767088.8100848659</v>
      </c>
      <c r="HW39" s="1">
        <f t="shared" si="58"/>
        <v>1574046.4638490246</v>
      </c>
      <c r="HX39" s="36"/>
    </row>
    <row r="40" spans="1:232" x14ac:dyDescent="0.35">
      <c r="A40">
        <f t="shared" si="0"/>
        <v>73</v>
      </c>
      <c r="B40">
        <v>2063</v>
      </c>
      <c r="C40" s="1">
        <f>IF($B40&lt;Analysis!C$66,0,$AN40)+$AT40+$AW40+$BC40+$CF40+$CA40</f>
        <v>1347041.267488773</v>
      </c>
      <c r="D40" s="1">
        <f>IF($B40&lt;Analysis!C$66, 0, BV40)+AT40+AW40+BC40+CG40+CA40</f>
        <v>1163040.4968641514</v>
      </c>
      <c r="E40" s="1">
        <f t="shared" si="1"/>
        <v>2423222.5210669856</v>
      </c>
      <c r="F40" s="1">
        <f t="shared" si="9"/>
        <v>2096920.4042533515</v>
      </c>
      <c r="G40" s="1">
        <f>IF(AND($B40&gt;=Analysis!$C$100, $B40&lt;Analysis!$C$101),$CK40,0)+IF($B40&gt;=Analysis!$C$130,EB40,0)+CQ40+CT40+CZ40+EH40+EK40+EQ40+$FO40+$FT40</f>
        <v>1379944.2877647404</v>
      </c>
      <c r="H40" s="1">
        <f t="shared" si="10"/>
        <v>1174403.7376682174</v>
      </c>
      <c r="I40" s="1">
        <f>IF($B40&lt;Analysis!$C$159,0,$FW40)+$GC40+$GF40+$GL40+$HQ40+$HV40</f>
        <v>2670887.7332453616</v>
      </c>
      <c r="J40" s="1">
        <f t="shared" si="59"/>
        <v>2355853.0864959052</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-33129.550516555915</v>
      </c>
      <c r="Y40" s="64">
        <f t="shared" si="15"/>
        <v>1.9607843137254832E-2</v>
      </c>
      <c r="Z40" s="1">
        <f t="shared" si="16"/>
        <v>-3960</v>
      </c>
      <c r="AA40" s="64">
        <f t="shared" si="17"/>
        <v>0</v>
      </c>
      <c r="AB40" s="40"/>
      <c r="AC40" s="1">
        <f t="shared" si="3"/>
        <v>-85089.550516555915</v>
      </c>
      <c r="AD40" s="1">
        <f t="shared" si="4"/>
        <v>61868.278805627939</v>
      </c>
      <c r="AE40" s="1">
        <f t="shared" si="18"/>
        <v>-23221.271710927977</v>
      </c>
      <c r="AF40" s="1">
        <f>IF(AE40 &lt; 0,
    IF(AF39 + AE40 &gt; 0,
        AF39 + AE40, IF(AK39-ABS(AF39 + AE40)*(1+$V40) &gt;= AF39 + AE40,
        0, AF39 + AE40)),
    MIN(AF39 + AE40, Analysis!$C$7))+IF(AF39&lt;0, AF39*Analysis!$C$9,0)</f>
        <v>0</v>
      </c>
      <c r="AG40" s="40"/>
      <c r="AH40" s="1">
        <f t="shared" si="19"/>
        <v>48089.576533169842</v>
      </c>
      <c r="AI40" s="1">
        <f>IF(AE40 &gt;= 0,
    MAX(0, AF39 + AE40 - Analysis!$C$7),
    0)</f>
        <v>0</v>
      </c>
      <c r="AJ40" s="1">
        <f t="shared" si="44"/>
        <v>1186058.097129036</v>
      </c>
      <c r="AK40" s="1">
        <f t="shared" si="20"/>
        <v>2423222.5210669856</v>
      </c>
      <c r="AL40" s="1">
        <f t="shared" si="5"/>
        <v>2096920.4042533515</v>
      </c>
      <c r="AM40" s="36"/>
      <c r="AN40" s="1">
        <f t="shared" si="45"/>
        <v>1443143.2990166396</v>
      </c>
      <c r="AO40" s="64">
        <f t="shared" si="21"/>
        <v>1.9607843137254832E-2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-4329.4298970499185</v>
      </c>
      <c r="BF40" s="64">
        <f>IF($B40&lt;Analysis!$C$66,0,Analysis!$C$78)</f>
        <v>3.0000000000000001E-3</v>
      </c>
      <c r="BG40" s="1">
        <f>IF($B40&lt;Analysis!$C$66,0,-BH40*AN40)</f>
        <v>-10823.574742624796</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-184000.77062462154</v>
      </c>
      <c r="BS40" s="64">
        <f>IF($B40&lt;Analysis!C$66,0,Analysis!C$31)</f>
        <v>0.1275</v>
      </c>
      <c r="BT40" s="1">
        <f>IF($B40&lt;Analysis!$C$66,0,AN40+BR40)</f>
        <v>1259142.5283920181</v>
      </c>
      <c r="BU40" s="1">
        <f>IF($B40-Analysis!$C$66&gt;3,0,IF($AN40&gt;LOOKUP(Analysis!$C$66,$B:$B, AN:AN),$V40*(LOOKUP(Analysis!$C$66,$B:$B, AN:AN)-AN40),0))</f>
        <v>0</v>
      </c>
      <c r="BV40" s="1">
        <f t="shared" si="23"/>
        <v>1259142.5283920181</v>
      </c>
      <c r="BW40" s="42"/>
      <c r="BX40" s="1">
        <f>IF($B40&lt;Analysis!$C$66,$P40+$N40+$X40+$Z40,$P40+$N40+AS40+AV40+BB40+BE40+BG40+MAX(BI40,SUM(BJ40:BN40))+BP40)</f>
        <v>-67113.00463967472</v>
      </c>
      <c r="BY40" s="1">
        <f t="shared" si="24"/>
        <v>61868.278805627939</v>
      </c>
      <c r="BZ40" s="1">
        <f t="shared" si="46"/>
        <v>-5244.7258340467815</v>
      </c>
      <c r="CA40" s="1">
        <f>IF(BZ40 &lt; 0,
    IF(CA39 + BZ40 &gt; 0,
        CA39 + BZ40, IF(CF39-ABS(CA39 + BZ40)*(1+$V40) &gt;= CA39 + BZ40,
        0, CA39 + BZ40)),
    MIN(CA39 + BZ40, Analysis!$C$7))+IF(CA39&lt;0, CA39*Analysis!$C$9,0)</f>
        <v>-96102.031527866697</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867977.49143754435</v>
      </c>
      <c r="CL40" s="64">
        <f t="shared" si="48"/>
        <v>1.9607843137254832E-2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$B40&gt;=Analysis!$C$101),0,((1+Analysis!$B$114)/(1+$S40))-1)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1443143.2990166396</v>
      </c>
      <c r="EC40" s="64">
        <f t="shared" si="50"/>
        <v>1.9607843137254832E-2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-4329.4298970499185</v>
      </c>
      <c r="ET40" s="64">
        <f>IF($B40&lt;Analysis!$C$130,0,Analysis!$C$142)</f>
        <v>3.0000000000000001E-3</v>
      </c>
      <c r="EU40" s="1">
        <f>IF($B40&lt;Analysis!$C$130,0,-EV40*EB40)</f>
        <v>-14431.432990166397</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-184000.77062462154</v>
      </c>
      <c r="FG40" s="64">
        <f>IF($B40&lt;Analysis!$C$130,0,Analysis!$C$31)</f>
        <v>0.1275</v>
      </c>
      <c r="FH40" s="1">
        <f>IF($B40&lt;Analysis!$C$130,0,EB40+FF40)</f>
        <v>1259142.5283920181</v>
      </c>
      <c r="FI40" s="1">
        <f>IF($B40-Analysis!$C$130&gt;3,0,IF(EB40&gt;LOOKUP(Analysis!$C$130,$B:$B, EB:EB),$V40*(LOOKUP(Analysis!$C$130,$B:$B, EB:EB)-EB40),0))</f>
        <v>-21539.779471901478</v>
      </c>
      <c r="FJ40" s="1">
        <f t="shared" si="33"/>
        <v>1237602.7489201166</v>
      </c>
      <c r="FK40" s="53"/>
      <c r="FL40" s="1">
        <f>$P40+$N40+IF($B40&lt;Analysis!$C$130,$X40+$Z40,0)+CP40+CS40+CY40+DE40+DG40+MIN(DI40,SUM(DJ40:DN40))+DQ40+DS40+DT40+EG40+EJ40+EP40+ES40+EU40+MIN(EW40,SUM(EX40:FB40))+FD40</f>
        <v>-76793.691665923747</v>
      </c>
      <c r="FM40" s="1">
        <f>$M40+$R40+DD40+IF(AND($B40&lt;&gt;Analysis!$C$130,$B40=Analysis!$C$101),DZ39+CQ39+CT39+CZ39,0)</f>
        <v>61868.278805627939</v>
      </c>
      <c r="FN40" s="1">
        <f t="shared" si="34"/>
        <v>-14925.412860295808</v>
      </c>
      <c r="FO40" s="1">
        <f>IF(FN40 &lt; 0,
    IF(FO39 + FN40 &gt; 0,
        FO39 + FN40, IF(FT39-ABS(FO39 + FN40)*(1+$V40) &gt;= FO39 + FN40,
        0, FO39 + FN40)),
    MIN(FO39 + FN40, Analysis!$C$7))+IF(FO39&lt;0, FO39*Analysis!$C$9,0)</f>
        <v>-26762.03857965464</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867977.49143754435</v>
      </c>
      <c r="FX40" s="64">
        <f t="shared" si="53"/>
        <v>1.9607843137254832E-2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28988.356701986402</v>
      </c>
      <c r="GO40" s="64">
        <f>IF($B40&lt;Analysis!$C$159,0,((1+Analysis!$B$174)/(1+$S40))-1)</f>
        <v>1.9607843137254832E-2</v>
      </c>
      <c r="GP40" s="1">
        <f t="shared" si="7"/>
        <v>35552.289176299033</v>
      </c>
      <c r="GQ40" s="1">
        <f t="shared" si="36"/>
        <v>-2603.9324743126331</v>
      </c>
      <c r="GR40" s="64">
        <f>IF($B40&lt;Analysis!$C$159,0,Analysis!$C$178)</f>
        <v>3.0000000000000001E-3</v>
      </c>
      <c r="GS40" s="1">
        <f t="shared" si="37"/>
        <v>-6509.8311857815825</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-2174.1267526489801</v>
      </c>
      <c r="HD40" s="1">
        <f t="shared" si="38"/>
        <v>-23547.890412743192</v>
      </c>
      <c r="HE40" s="1">
        <f>MIN(0,-(GN40+HD40)*Analysis!$C$28)-GE40*Analysis!$C$28</f>
        <v>-2410.6706127636658</v>
      </c>
      <c r="HF40" s="1">
        <f>-Analysis!$C$176*GP40/12</f>
        <v>-2962.6907646915861</v>
      </c>
      <c r="HG40" s="38"/>
      <c r="HH40" s="1">
        <f>IF($B40&lt;Analysis!$C$159,0,-$HI40*$FW40)</f>
        <v>-110667.13015828691</v>
      </c>
      <c r="HI40" s="64">
        <f>IF($B40&lt;Analysis!$C$159,0,IF($B40=Analysis!$C$159,Analysis!$C$31,HI39))</f>
        <v>0.1275</v>
      </c>
      <c r="HJ40" s="1">
        <f>IF($B40&lt;Analysis!$C$159,0,$FW40+HH40)</f>
        <v>757310.36127925746</v>
      </c>
      <c r="HK40" s="1">
        <f>IF($B40-Analysis!$C$159&gt;10,0,IF($FW40&gt;LOOKUP(Analysis!$C$159,$B:$B, FW:FW),$V40*(LOOKUP(Analysis!$C$159,$B:$B, FW:FW)-FW40),0))</f>
        <v>0</v>
      </c>
      <c r="HL40" s="1">
        <f t="shared" si="39"/>
        <v>757310.36127925746</v>
      </c>
      <c r="HM40" s="38"/>
      <c r="HN40" s="1">
        <f t="shared" si="40"/>
        <v>-105710.80230675437</v>
      </c>
      <c r="HO40" s="1">
        <f t="shared" si="8"/>
        <v>97420.567981926972</v>
      </c>
      <c r="HP40" s="1">
        <f t="shared" si="41"/>
        <v>-8290.2343248273974</v>
      </c>
      <c r="HQ40" s="1">
        <f>IF(HP40 &lt; 0,
    IF(HQ39 + HP40 &gt; 0,
        HQ39 + HP40, IF(HV39-ABS(HQ39 + HP40)*(1+$V40) &gt;= HQ39 + HP40,
        0, HQ39 + HP40)),
    MIN(HQ39 + HP40, Analysis!$C$7))+IF(HQ39&lt;0, HQ39*Analysis!$C$9,0)</f>
        <v>1172.6315252088534</v>
      </c>
      <c r="HR40" s="38"/>
      <c r="HS40" s="1">
        <f t="shared" si="54"/>
        <v>34648.800197742348</v>
      </c>
      <c r="HT40" s="1">
        <f>IF($B40=Analysis!$C$159,0,IF(HP40 &gt;= 0,
    MAX(0, HQ39 + HP40 - Analysis!$C$7),
    0))</f>
        <v>0</v>
      </c>
      <c r="HU40" s="1">
        <f>IF($B40=Analysis!$C$159,0,MAX(0, HU39 + HT40 - IF(HP40 &lt; 0, MIN(ABS(HP40), HU39 + HT40), 0)))</f>
        <v>1026884.4668089814</v>
      </c>
      <c r="HV40" s="1">
        <f>IF($B40=Analysis!$C$159,0,IF(HP40 &lt; 0,
    IF(HP40 + HQ39 &lt; 0,
        MAX(0, HV39 - (ABS(HP40 + HQ39) * (1+$V39))),
        HV39 + HS40),
    HV39 + HT40 + HS40))</f>
        <v>1801737.6102826083</v>
      </c>
      <c r="HW40" s="1">
        <f t="shared" si="58"/>
        <v>1597370.0936914391</v>
      </c>
      <c r="HX40" s="36"/>
    </row>
    <row r="41" spans="1:232" x14ac:dyDescent="0.35">
      <c r="A41">
        <f t="shared" si="0"/>
        <v>74</v>
      </c>
      <c r="B41">
        <v>2064</v>
      </c>
      <c r="C41" s="1">
        <f>IF($B41&lt;Analysis!C$66,0,$AN41)+$AT41+$AW41+$BC41+$CF41+$CA41</f>
        <v>1360870.82325005</v>
      </c>
      <c r="D41" s="1">
        <f>IF($B41&lt;Analysis!C$66, 0, BV41)+AT41+AW41+BC41+CG41+CA41</f>
        <v>1173262.1943778868</v>
      </c>
      <c r="E41" s="1">
        <f t="shared" si="1"/>
        <v>2391491.9874216588</v>
      </c>
      <c r="F41" s="1">
        <f t="shared" si="9"/>
        <v>2066936.5015284298</v>
      </c>
      <c r="G41" s="1">
        <f>IF(AND($B41&gt;=Analysis!$C$100, $B41&lt;Analysis!$C$101),$CK41,0)+IF($B41&gt;=Analysis!$C$130,EB41,0)+CQ41+CT41+CZ41+EH41+EK41+EQ41+$FO41+$FT41</f>
        <v>1395642.4423957537</v>
      </c>
      <c r="H41" s="1">
        <f t="shared" si="10"/>
        <v>1208033.8135235906</v>
      </c>
      <c r="I41" s="1">
        <f>IF($B41&lt;Analysis!$C$159,0,$FW41)+$GC41+$GF41+$GL41+$HQ41+$HV41</f>
        <v>2675598.2938644681</v>
      </c>
      <c r="J41" s="1">
        <f t="shared" si="59"/>
        <v>2358697.4098461685</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-33779.149546292305</v>
      </c>
      <c r="Y41" s="64">
        <f t="shared" si="15"/>
        <v>1.9607843137254832E-2</v>
      </c>
      <c r="Z41" s="1">
        <f t="shared" si="16"/>
        <v>-3960</v>
      </c>
      <c r="AA41" s="64">
        <f t="shared" si="17"/>
        <v>0</v>
      </c>
      <c r="AB41" s="40"/>
      <c r="AC41" s="1">
        <f t="shared" si="3"/>
        <v>-85739.149546292305</v>
      </c>
      <c r="AD41" s="1">
        <f t="shared" si="4"/>
        <v>60630.913229515376</v>
      </c>
      <c r="AE41" s="1">
        <f t="shared" si="18"/>
        <v>-25108.236316776929</v>
      </c>
      <c r="AF41" s="1">
        <f>IF(AE41 &lt; 0,
    IF(AF40 + AE41 &gt; 0,
        AF40 + AE41, IF(AK40-ABS(AF40 + AE41)*(1+$V41) &gt;= AF40 + AE41,
        0, AF40 + AE41)),
    MIN(AF40 + AE41, Analysis!$C$7))+IF(AF40&lt;0, AF40*Analysis!$C$9,0)</f>
        <v>0</v>
      </c>
      <c r="AG41" s="40"/>
      <c r="AH41" s="1">
        <f t="shared" si="19"/>
        <v>47514.16707974465</v>
      </c>
      <c r="AI41" s="1">
        <f>IF(AE41 &gt;= 0,
    MAX(0, AF40 + AE41 - Analysis!$C$7),
    0)</f>
        <v>0</v>
      </c>
      <c r="AJ41" s="1">
        <f t="shared" si="44"/>
        <v>1160949.8608122591</v>
      </c>
      <c r="AK41" s="1">
        <f t="shared" si="20"/>
        <v>2391491.9874216588</v>
      </c>
      <c r="AL41" s="1">
        <f t="shared" si="5"/>
        <v>2066936.5015284298</v>
      </c>
      <c r="AM41" s="36"/>
      <c r="AN41" s="1">
        <f t="shared" si="45"/>
        <v>1471440.2264483382</v>
      </c>
      <c r="AO41" s="64">
        <f t="shared" si="21"/>
        <v>1.9607843137254832E-2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-4414.3206793450145</v>
      </c>
      <c r="BF41" s="64">
        <f>IF($B41&lt;Analysis!$C$66,0,Analysis!$C$78)</f>
        <v>3.0000000000000001E-3</v>
      </c>
      <c r="BG41" s="1">
        <f>IF($B41&lt;Analysis!$C$66,0,-BH41*AN41)</f>
        <v>-11035.801698362537</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-187608.62887216313</v>
      </c>
      <c r="BS41" s="64">
        <f>IF($B41&lt;Analysis!C$66,0,Analysis!C$31)</f>
        <v>0.1275</v>
      </c>
      <c r="BT41" s="1">
        <f>IF($B41&lt;Analysis!$C$66,0,AN41+BR41)</f>
        <v>1283831.5975761751</v>
      </c>
      <c r="BU41" s="1">
        <f>IF($B41-Analysis!$C$66&gt;3,0,IF($AN41&gt;LOOKUP(Analysis!$C$66,$B:$B, AN:AN),$V41*(LOOKUP(Analysis!$C$66,$B:$B, AN:AN)-AN41),0))</f>
        <v>0</v>
      </c>
      <c r="BV41" s="1">
        <f t="shared" si="23"/>
        <v>1283831.5975761751</v>
      </c>
      <c r="BW41" s="42"/>
      <c r="BX41" s="1">
        <f>IF($B41&lt;Analysis!$C$66,$P41+$N41+$X41+$Z41,$P41+$N41+AS41+AV41+BB41+BE41+BG41+MAX(BI41,SUM(BJ41:BN41))+BP41)</f>
        <v>-67410.12237770755</v>
      </c>
      <c r="BY41" s="1">
        <f t="shared" si="24"/>
        <v>60630.913229515376</v>
      </c>
      <c r="BZ41" s="1">
        <f t="shared" si="46"/>
        <v>-6779.2091481921743</v>
      </c>
      <c r="CA41" s="1">
        <f>IF(BZ41 &lt; 0,
    IF(CA40 + BZ41 &gt; 0,
        CA40 + BZ41, IF(CF40-ABS(CA40 + BZ41)*(1+$V41) &gt;= CA40 + BZ41,
        0, CA40 + BZ41)),
    MIN(CA40 + BZ41, Analysis!$C$7))+IF(CA40&lt;0, CA40*Analysis!$C$9,0)</f>
        <v>-110569.4031982882</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884996.65793631971</v>
      </c>
      <c r="CL41" s="64">
        <f t="shared" si="48"/>
        <v>1.9607843137254832E-2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$B41&gt;=Analysis!$C$101),0,((1+Analysis!$B$114)/(1+$S41))-1)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1471440.2264483382</v>
      </c>
      <c r="EC41" s="64">
        <f t="shared" si="50"/>
        <v>1.9607843137254832E-2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-4414.3206793450145</v>
      </c>
      <c r="ET41" s="64">
        <f>IF($B41&lt;Analysis!$C$130,0,Analysis!$C$142)</f>
        <v>3.0000000000000001E-3</v>
      </c>
      <c r="EU41" s="1">
        <f>IF($B41&lt;Analysis!$C$130,0,-EV41*EB41)</f>
        <v>-14714.402264483382</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-187608.62887216313</v>
      </c>
      <c r="FG41" s="64">
        <f>IF($B41&lt;Analysis!$C$130,0,Analysis!$C$31)</f>
        <v>0.1275</v>
      </c>
      <c r="FH41" s="1">
        <f>IF($B41&lt;Analysis!$C$130,0,EB41+FF41)</f>
        <v>1283831.5975761751</v>
      </c>
      <c r="FI41" s="1">
        <f>IF($B41-Analysis!$C$130&gt;3,0,IF(EB41&gt;LOOKUP(Analysis!$C$130,$B:$B, EB:EB),$V41*(LOOKUP(Analysis!$C$130,$B:$B, EB:EB)-EB41),0))</f>
        <v>0</v>
      </c>
      <c r="FJ41" s="1">
        <f t="shared" si="33"/>
        <v>1283831.5975761751</v>
      </c>
      <c r="FK41" s="53"/>
      <c r="FL41" s="1">
        <f>$P41+$N41+IF($B41&lt;Analysis!$C$130,$X41+$Z41,0)+CP41+CS41+CY41+DE41+DG41+MIN(DI41,SUM(DJ41:DN41))+DQ41+DS41+DT41+EG41+EJ41+EP41+ES41+EU41+MIN(EW41,SUM(EX41:FB41))+FD41</f>
        <v>-77161.55172253582</v>
      </c>
      <c r="FM41" s="1">
        <f>$M41+$R41+DD41+IF(AND($B41&lt;&gt;Analysis!$C$130,$B41=Analysis!$C$101),DZ40+CQ40+CT40+CZ40,0)</f>
        <v>60630.913229515376</v>
      </c>
      <c r="FN41" s="1">
        <f t="shared" si="34"/>
        <v>-16530.638493020444</v>
      </c>
      <c r="FO41" s="1">
        <f>IF(FN41 &lt; 0,
    IF(FO40 + FN41 &gt; 0,
        FO40 + FN41, IF(FT40-ABS(FO40 + FN41)*(1+$V41) &gt;= FO40 + FN41,
        0, FO40 + FN41)),
    MIN(FO40 + FN41, Analysis!$C$7))+IF(FO40&lt;0, FO40*Analysis!$C$9,0)</f>
        <v>-45433.640159047456</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884996.65793631971</v>
      </c>
      <c r="FX41" s="64">
        <f t="shared" si="53"/>
        <v>1.9607843137254832E-2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29556.755853005743</v>
      </c>
      <c r="GO41" s="64">
        <f>IF($B41&lt;Analysis!$C$159,0,((1+Analysis!$B$174)/(1+$S41))-1)</f>
        <v>1.9607843137254832E-2</v>
      </c>
      <c r="GP41" s="1">
        <f t="shared" si="7"/>
        <v>36171.745826814702</v>
      </c>
      <c r="GQ41" s="1">
        <f t="shared" si="36"/>
        <v>-2654.9899738089593</v>
      </c>
      <c r="GR41" s="64">
        <f>IF($B41&lt;Analysis!$C$159,0,Analysis!$C$178)</f>
        <v>3.0000000000000001E-3</v>
      </c>
      <c r="GS41" s="1">
        <f t="shared" si="37"/>
        <v>-6637.4749345223972</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-2216.7566889754307</v>
      </c>
      <c r="HD41" s="1">
        <f t="shared" si="38"/>
        <v>-23769.221597306787</v>
      </c>
      <c r="HE41" s="1">
        <f>MIN(0,-(GN41+HD41)*Analysis!$C$28)-GE41*Analysis!$C$28</f>
        <v>-2564.4564287002072</v>
      </c>
      <c r="HF41" s="1">
        <f>-Analysis!$C$176*GP41/12</f>
        <v>-3014.3121522345587</v>
      </c>
      <c r="HG41" s="38"/>
      <c r="HH41" s="1">
        <f>IF($B41&lt;Analysis!$C$159,0,-$HI41*$FW41)</f>
        <v>-112837.07388688077</v>
      </c>
      <c r="HI41" s="64">
        <f>IF($B41&lt;Analysis!$C$159,0,IF($B41=Analysis!$C$159,Analysis!$C$31,HI40))</f>
        <v>0.1275</v>
      </c>
      <c r="HJ41" s="1">
        <f>IF($B41&lt;Analysis!$C$159,0,$FW41+HH41)</f>
        <v>772159.58404943894</v>
      </c>
      <c r="HK41" s="1">
        <f>IF($B41-Analysis!$C$159&gt;10,0,IF($FW41&gt;LOOKUP(Analysis!$C$159,$B:$B, FW:FW),$V41*(LOOKUP(Analysis!$C$159,$B:$B, FW:FW)-FW41),0))</f>
        <v>0</v>
      </c>
      <c r="HL41" s="1">
        <f t="shared" si="39"/>
        <v>772159.58404943894</v>
      </c>
      <c r="HM41" s="38"/>
      <c r="HN41" s="1">
        <f t="shared" si="40"/>
        <v>-106787.13972453387</v>
      </c>
      <c r="HO41" s="1">
        <f t="shared" si="8"/>
        <v>96802.659056330071</v>
      </c>
      <c r="HP41" s="1">
        <f t="shared" si="41"/>
        <v>-9984.4806682038034</v>
      </c>
      <c r="HQ41" s="1">
        <f>IF(HP41 &lt; 0,
    IF(HQ40 + HP41 &gt; 0,
        HQ40 + HP41, IF(HV40-ABS(HQ40 + HP41)*(1+$V41) &gt;= HQ40 + HP41,
        0, HQ40 + HP41)),
    MIN(HQ40 + HP41, Analysis!$C$7))+IF(HQ40&lt;0, HQ40*Analysis!$C$9,0)</f>
        <v>0</v>
      </c>
      <c r="HR41" s="38"/>
      <c r="HS41" s="1">
        <f t="shared" si="54"/>
        <v>35328.188436913762</v>
      </c>
      <c r="HT41" s="1">
        <f>IF($B41=Analysis!$C$159,0,IF(HP41 &gt;= 0,
    MAX(0, HQ40 + HP41 - Analysis!$C$7),
    0))</f>
        <v>0</v>
      </c>
      <c r="HU41" s="1">
        <f>IF($B41=Analysis!$C$159,0,MAX(0, HU40 + HT41 - IF(HP41 &lt; 0, MIN(ABS(HP41), HU40 + HT41), 0)))</f>
        <v>1016899.9861407776</v>
      </c>
      <c r="HV41" s="1">
        <f>IF($B41=Analysis!$C$159,0,IF(HP41 &lt; 0,
    IF(HP41 + HQ40 &lt; 0,
        MAX(0, HV40 - (ABS(HP41 + HQ40) * (1+$V40))),
        HV40 + HS41),
    HV40 + HT41 + HS41))</f>
        <v>1790601.6359281484</v>
      </c>
      <c r="HW41" s="1">
        <f t="shared" si="58"/>
        <v>1586537.8257967294</v>
      </c>
      <c r="HX41" s="36"/>
    </row>
    <row r="42" spans="1:232" x14ac:dyDescent="0.35">
      <c r="A42">
        <f t="shared" si="0"/>
        <v>75</v>
      </c>
      <c r="B42">
        <v>2065</v>
      </c>
      <c r="C42" s="1">
        <f>IF($B42&lt;Analysis!C$66,0,$AN42)+$AT42+$AW42+$BC42+$CF42+$CA42</f>
        <v>1372582.2691514166</v>
      </c>
      <c r="D42" s="1">
        <f>IF($B42&lt;Analysis!C$66, 0, BV42)+AT42+AW42+BC42+CG42+CA42</f>
        <v>1181295.0397131327</v>
      </c>
      <c r="E42" s="1">
        <f t="shared" si="1"/>
        <v>2357391.9799887869</v>
      </c>
      <c r="F42" s="1">
        <f t="shared" si="9"/>
        <v>2034713.5544700865</v>
      </c>
      <c r="G42" s="1">
        <f>IF(AND($B42&gt;=Analysis!$C$100, $B42&lt;Analysis!$C$101),$CK42,0)+IF($B42&gt;=Analysis!$C$130,EB42,0)+CQ42+CT42+CZ42+EH42+EK42+EQ42+$FO42+$FT42</f>
        <v>1408814.0193512735</v>
      </c>
      <c r="H42" s="1">
        <f t="shared" si="10"/>
        <v>1217526.7899129896</v>
      </c>
      <c r="I42" s="1">
        <f>IF($B42&lt;Analysis!$C$159,0,$FW42)+$GC42+$GF42+$GL42+$HQ42+$HV42</f>
        <v>2678212.1314276708</v>
      </c>
      <c r="J42" s="1">
        <f t="shared" si="59"/>
        <v>2359910.077122685</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-34441.485811905877</v>
      </c>
      <c r="Y42" s="64">
        <f t="shared" si="15"/>
        <v>1.9607843137254832E-2</v>
      </c>
      <c r="Z42" s="1">
        <f t="shared" si="16"/>
        <v>-3960</v>
      </c>
      <c r="AA42" s="64">
        <f t="shared" si="17"/>
        <v>0</v>
      </c>
      <c r="AB42" s="40"/>
      <c r="AC42" s="1">
        <f t="shared" si="3"/>
        <v>-86401.485811905877</v>
      </c>
      <c r="AD42" s="1">
        <f t="shared" si="4"/>
        <v>59418.294964925066</v>
      </c>
      <c r="AE42" s="1">
        <f t="shared" si="18"/>
        <v>-26983.190846980811</v>
      </c>
      <c r="AF42" s="1">
        <f>IF(AE42 &lt; 0,
    IF(AF41 + AE42 &gt; 0,
        AF41 + AE42, IF(AK41-ABS(AF41 + AE42)*(1+$V42) &gt;= AF41 + AE42,
        0, AF41 + AE42)),
    MIN(AF41 + AE42, Analysis!$C$7))+IF(AF41&lt;0, AF41*Analysis!$C$9,0)</f>
        <v>0</v>
      </c>
      <c r="AG42" s="40"/>
      <c r="AH42" s="1">
        <f t="shared" si="19"/>
        <v>46891.999753365693</v>
      </c>
      <c r="AI42" s="1">
        <f>IF(AE42 &gt;= 0,
    MAX(0, AF41 + AE42 - Analysis!$C$7),
    0)</f>
        <v>0</v>
      </c>
      <c r="AJ42" s="1">
        <f t="shared" si="44"/>
        <v>1133966.6699652784</v>
      </c>
      <c r="AK42" s="1">
        <f t="shared" si="20"/>
        <v>2357391.9799887869</v>
      </c>
      <c r="AL42" s="1">
        <f t="shared" si="5"/>
        <v>2034713.5544700865</v>
      </c>
      <c r="AM42" s="36"/>
      <c r="AN42" s="1">
        <f t="shared" si="45"/>
        <v>1500291.9955943839</v>
      </c>
      <c r="AO42" s="64">
        <f t="shared" si="21"/>
        <v>1.9607843137254832E-2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-4500.8759867831523</v>
      </c>
      <c r="BF42" s="64">
        <f>IF($B42&lt;Analysis!$C$66,0,Analysis!$C$78)</f>
        <v>3.0000000000000001E-3</v>
      </c>
      <c r="BG42" s="1">
        <f>IF($B42&lt;Analysis!$C$66,0,-BH42*AN42)</f>
        <v>-11252.18996695788</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-191287.22943828395</v>
      </c>
      <c r="BS42" s="64">
        <f>IF($B42&lt;Analysis!C$66,0,Analysis!C$31)</f>
        <v>0.1275</v>
      </c>
      <c r="BT42" s="1">
        <f>IF($B42&lt;Analysis!$C$66,0,AN42+BR42)</f>
        <v>1309004.7661561</v>
      </c>
      <c r="BU42" s="1">
        <f>IF($B42-Analysis!$C$66&gt;3,0,IF($AN42&gt;LOOKUP(Analysis!$C$66,$B:$B, AN:AN),$V42*(LOOKUP(Analysis!$C$66,$B:$B, AN:AN)-AN42),0))</f>
        <v>0</v>
      </c>
      <c r="BV42" s="1">
        <f t="shared" si="23"/>
        <v>1309004.7661561</v>
      </c>
      <c r="BW42" s="42"/>
      <c r="BX42" s="1">
        <f>IF($B42&lt;Analysis!$C$66,$P42+$N42+$X42+$Z42,$P42+$N42+AS42+AV42+BB42+BE42+BG42+MAX(BI42,SUM(BJ42:BN42))+BP42)</f>
        <v>-67713.065953741025</v>
      </c>
      <c r="BY42" s="1">
        <f t="shared" si="24"/>
        <v>59418.294964925066</v>
      </c>
      <c r="BZ42" s="1">
        <f t="shared" si="46"/>
        <v>-8294.7709888159588</v>
      </c>
      <c r="CA42" s="1">
        <f>IF(BZ42 &lt; 0,
    IF(CA41 + BZ42 &gt; 0,
        CA41 + BZ42, IF(CF41-ABS(CA41 + BZ42)*(1+$V42) &gt;= CA41 + BZ42,
        0, CA41 + BZ42)),
    MIN(CA41 + BZ42, Analysis!$C$7))+IF(CA41&lt;0, CA41*Analysis!$C$9,0)</f>
        <v>-127709.72644296722</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902349.53358212986</v>
      </c>
      <c r="CL42" s="64">
        <f t="shared" si="48"/>
        <v>1.9607843137254832E-2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$B42&gt;=Analysis!$C$101),0,((1+Analysis!$B$114)/(1+$S42))-1)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1500291.9955943839</v>
      </c>
      <c r="EC42" s="64">
        <f t="shared" si="50"/>
        <v>1.9607843137254832E-2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-4500.8759867831523</v>
      </c>
      <c r="ET42" s="64">
        <f>IF($B42&lt;Analysis!$C$130,0,Analysis!$C$142)</f>
        <v>3.0000000000000001E-3</v>
      </c>
      <c r="EU42" s="1">
        <f>IF($B42&lt;Analysis!$C$130,0,-EV42*EB42)</f>
        <v>-15002.91995594384</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-191287.22943828395</v>
      </c>
      <c r="FG42" s="64">
        <f>IF($B42&lt;Analysis!$C$130,0,Analysis!$C$31)</f>
        <v>0.1275</v>
      </c>
      <c r="FH42" s="1">
        <f>IF($B42&lt;Analysis!$C$130,0,EB42+FF42)</f>
        <v>1309004.7661561</v>
      </c>
      <c r="FI42" s="1">
        <f>IF($B42-Analysis!$C$130&gt;3,0,IF(EB42&gt;LOOKUP(Analysis!$C$130,$B:$B, EB:EB),$V42*(LOOKUP(Analysis!$C$130,$B:$B, EB:EB)-EB42),0))</f>
        <v>0</v>
      </c>
      <c r="FJ42" s="1">
        <f t="shared" si="33"/>
        <v>1309004.7661561</v>
      </c>
      <c r="FK42" s="53"/>
      <c r="FL42" s="1">
        <f>$P42+$N42+IF($B42&lt;Analysis!$C$130,$X42+$Z42,0)+CP42+CS42+CY42+DE42+DG42+MIN(DI42,SUM(DJ42:DN42))+DQ42+DS42+DT42+EG42+EJ42+EP42+ES42+EU42+MIN(EW42,SUM(EX42:FB42))+FD42</f>
        <v>-77536.624721434418</v>
      </c>
      <c r="FM42" s="1">
        <f>$M42+$R42+DD42+IF(AND($B42&lt;&gt;Analysis!$C$130,$B42=Analysis!$C$101),DZ41+CQ41+CT41+CZ41,0)</f>
        <v>59418.294964925066</v>
      </c>
      <c r="FN42" s="1">
        <f t="shared" si="34"/>
        <v>-18118.329756509353</v>
      </c>
      <c r="FO42" s="1">
        <f>IF(FN42 &lt; 0,
    IF(FO41 + FN42 &gt; 0,
        FO41 + FN42, IF(FT41-ABS(FO41 + FN42)*(1+$V42) &gt;= FO41 + FN42,
        0, FO41 + FN42)),
    MIN(FO41 + FN42, Analysis!$C$7))+IF(FO41&lt;0, FO41*Analysis!$C$9,0)</f>
        <v>-67186.661128280612</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902349.53358212986</v>
      </c>
      <c r="FX42" s="64">
        <f t="shared" si="53"/>
        <v>1.9607843137254832E-2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30136.300085417617</v>
      </c>
      <c r="GO42" s="64">
        <f>IF($B42&lt;Analysis!$C$159,0,((1+Analysis!$B$174)/(1+$S42))-1)</f>
        <v>1.9607843137254832E-2</v>
      </c>
      <c r="GP42" s="1">
        <f t="shared" si="7"/>
        <v>36803.348686164012</v>
      </c>
      <c r="GQ42" s="1">
        <f t="shared" si="36"/>
        <v>-2707.0486007463896</v>
      </c>
      <c r="GR42" s="64">
        <f>IF($B42&lt;Analysis!$C$159,0,Analysis!$C$178)</f>
        <v>3.0000000000000001E-3</v>
      </c>
      <c r="GS42" s="1">
        <f t="shared" si="37"/>
        <v>-6767.6215018659741</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-2260.2225064063214</v>
      </c>
      <c r="HD42" s="1">
        <f t="shared" si="38"/>
        <v>-23994.892609018683</v>
      </c>
      <c r="HE42" s="1">
        <f>MIN(0,-(GN42+HD42)*Analysis!$C$28)-GE42*Analysis!$C$28</f>
        <v>-2721.257652792367</v>
      </c>
      <c r="HF42" s="1">
        <f>-Analysis!$C$176*GP42/12</f>
        <v>-3066.9457238470009</v>
      </c>
      <c r="HG42" s="38"/>
      <c r="HH42" s="1">
        <f>IF($B42&lt;Analysis!$C$159,0,-$HI42*$FW42)</f>
        <v>-115049.56553172156</v>
      </c>
      <c r="HI42" s="64">
        <f>IF($B42&lt;Analysis!$C$159,0,IF($B42=Analysis!$C$159,Analysis!$C$31,HI41))</f>
        <v>0.1275</v>
      </c>
      <c r="HJ42" s="1">
        <f>IF($B42&lt;Analysis!$C$159,0,$FW42+HH42)</f>
        <v>787299.96805040829</v>
      </c>
      <c r="HK42" s="1">
        <f>IF($B42-Analysis!$C$159&gt;10,0,IF($FW42&gt;LOOKUP(Analysis!$C$159,$B:$B, FW:FW),$V42*(LOOKUP(Analysis!$C$159,$B:$B, FW:FW)-FW42),0))</f>
        <v>0</v>
      </c>
      <c r="HL42" s="1">
        <f t="shared" si="39"/>
        <v>787299.96805040829</v>
      </c>
      <c r="HM42" s="38"/>
      <c r="HN42" s="1">
        <f t="shared" si="40"/>
        <v>-107884.58179756394</v>
      </c>
      <c r="HO42" s="1">
        <f t="shared" si="8"/>
        <v>96221.643651089078</v>
      </c>
      <c r="HP42" s="1">
        <f t="shared" si="41"/>
        <v>-11662.938146474859</v>
      </c>
      <c r="HQ42" s="1">
        <f>IF(HP42 &lt; 0,
    IF(HQ41 + HP42 &gt; 0,
        HQ41 + HP42, IF(HV41-ABS(HQ41 + HP42)*(1+$V42) &gt;= HQ41 + HP42,
        0, HQ41 + HP42)),
    MIN(HQ41 + HP42, Analysis!$C$7))+IF(HQ41&lt;0, HQ41*Analysis!$C$9,0)</f>
        <v>0</v>
      </c>
      <c r="HR42" s="38"/>
      <c r="HS42" s="1">
        <f t="shared" si="54"/>
        <v>35109.835998591021</v>
      </c>
      <c r="HT42" s="1">
        <f>IF($B42=Analysis!$C$159,0,IF(HP42 &gt;= 0,
    MAX(0, HQ41 + HP42 - Analysis!$C$7),
    0))</f>
        <v>0</v>
      </c>
      <c r="HU42" s="1">
        <f>IF($B42=Analysis!$C$159,0,MAX(0, HU41 + HT42 - IF(HP42 &lt; 0, MIN(ABS(HP42), HU41 + HT42), 0)))</f>
        <v>1005237.0479943027</v>
      </c>
      <c r="HV42" s="1">
        <f>IF($B42=Analysis!$C$159,0,IF(HP42 &lt; 0,
    IF(HP42 + HQ41 &lt; 0,
        MAX(0, HV41 - (ABS(HP42 + HQ41) * (1+$V41))),
        HV41 + HS42),
    HV41 + HT42 + HS42))</f>
        <v>1775862.5978455408</v>
      </c>
      <c r="HW42" s="1">
        <f t="shared" si="58"/>
        <v>1572610.1090722769</v>
      </c>
      <c r="HX42" s="36"/>
    </row>
    <row r="43" spans="1:232" x14ac:dyDescent="0.35">
      <c r="A43">
        <f t="shared" si="0"/>
        <v>76</v>
      </c>
      <c r="B43">
        <v>2066</v>
      </c>
      <c r="C43" s="1">
        <f>IF($B43&lt;Analysis!C$66,0,$AN43)+$AT43+$AW43+$BC43+$CF43+$CA43</f>
        <v>1381990.9606114067</v>
      </c>
      <c r="D43" s="1">
        <f>IF($B43&lt;Analysis!C$66, 0, BV43)+AT43+AW43+BC43+CG43+CA43</f>
        <v>1186953.0011841371</v>
      </c>
      <c r="E43" s="1">
        <f t="shared" si="1"/>
        <v>2320936.7353919549</v>
      </c>
      <c r="F43" s="1">
        <f t="shared" si="9"/>
        <v>2000265.0160363303</v>
      </c>
      <c r="G43" s="1">
        <f>IF(AND($B43&gt;=Analysis!$C$100, $B43&lt;Analysis!$C$101),$CK43,0)+IF($B43&gt;=Analysis!$C$130,EB43,0)+CQ43+CT43+CZ43+EH43+EK43+EQ43+$FO43+$FT43</f>
        <v>1419240.2823221784</v>
      </c>
      <c r="H43" s="1">
        <f t="shared" si="10"/>
        <v>1224202.3228949085</v>
      </c>
      <c r="I43" s="1">
        <f>IF($B43&lt;Analysis!$C$159,0,$FW43)+$GC43+$GF43+$GL43+$HQ43+$HV43</f>
        <v>2679064.1765212971</v>
      </c>
      <c r="J43" s="1">
        <f t="shared" si="59"/>
        <v>2359433.2783736368</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-35116.809063119712</v>
      </c>
      <c r="Y43" s="64">
        <f t="shared" si="15"/>
        <v>1.9607843137254832E-2</v>
      </c>
      <c r="Z43" s="1">
        <f t="shared" si="16"/>
        <v>-3960</v>
      </c>
      <c r="AA43" s="64">
        <f t="shared" si="17"/>
        <v>0</v>
      </c>
      <c r="AB43" s="40"/>
      <c r="AC43" s="1">
        <f t="shared" si="3"/>
        <v>-87076.809063119712</v>
      </c>
      <c r="AD43" s="1">
        <f t="shared" si="4"/>
        <v>58229.929065626566</v>
      </c>
      <c r="AE43" s="1">
        <f t="shared" si="18"/>
        <v>-28846.879997493146</v>
      </c>
      <c r="AF43" s="1">
        <f>IF(AE43 &lt; 0,
    IF(AF42 + AE43 &gt; 0,
        AF42 + AE43, IF(AK42-ABS(AF42 + AE43)*(1+$V43) &gt;= AF42 + AE43,
        0, AF42 + AE43)),
    MIN(AF42 + AE43, Analysis!$C$7))+IF(AF42&lt;0, AF42*Analysis!$C$9,0)</f>
        <v>0</v>
      </c>
      <c r="AG43" s="40"/>
      <c r="AH43" s="1">
        <f t="shared" si="19"/>
        <v>46223.372156642712</v>
      </c>
      <c r="AI43" s="1">
        <f>IF(AE43 &gt;= 0,
    MAX(0, AF42 + AE43 - Analysis!$C$7),
    0)</f>
        <v>0</v>
      </c>
      <c r="AJ43" s="1">
        <f t="shared" si="44"/>
        <v>1105119.7899677851</v>
      </c>
      <c r="AK43" s="1">
        <f t="shared" si="20"/>
        <v>2320936.7353919549</v>
      </c>
      <c r="AL43" s="1">
        <f t="shared" si="5"/>
        <v>2000265.0160363303</v>
      </c>
      <c r="AM43" s="36"/>
      <c r="AN43" s="1">
        <f t="shared" si="45"/>
        <v>1529709.4857040776</v>
      </c>
      <c r="AO43" s="64">
        <f t="shared" si="21"/>
        <v>1.9607843137254832E-2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-4589.1284571122333</v>
      </c>
      <c r="BF43" s="64">
        <f>IF($B43&lt;Analysis!$C$66,0,Analysis!$C$78)</f>
        <v>3.0000000000000001E-3</v>
      </c>
      <c r="BG43" s="1">
        <f>IF($B43&lt;Analysis!$C$66,0,-BH43*AN43)</f>
        <v>-11472.821142780582</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-195037.9594272699</v>
      </c>
      <c r="BS43" s="64">
        <f>IF($B43&lt;Analysis!C$66,0,Analysis!C$31)</f>
        <v>0.1275</v>
      </c>
      <c r="BT43" s="1">
        <f>IF($B43&lt;Analysis!$C$66,0,AN43+BR43)</f>
        <v>1334671.5262768078</v>
      </c>
      <c r="BU43" s="1">
        <f>IF($B43-Analysis!$C$66&gt;3,0,IF($AN43&gt;LOOKUP(Analysis!$C$66,$B:$B, AN:AN),$V43*(LOOKUP(Analysis!$C$66,$B:$B, AN:AN)-AN43),0))</f>
        <v>0</v>
      </c>
      <c r="BV43" s="1">
        <f t="shared" si="23"/>
        <v>1334671.5262768078</v>
      </c>
      <c r="BW43" s="42"/>
      <c r="BX43" s="1">
        <f>IF($B43&lt;Analysis!$C$66,$P43+$N43+$X43+$Z43,$P43+$N43+AS43+AV43+BB43+BE43+BG43+MAX(BI43,SUM(BJ43:BN43))+BP43)</f>
        <v>-68021.949599892803</v>
      </c>
      <c r="BY43" s="1">
        <f t="shared" si="24"/>
        <v>58229.929065626566</v>
      </c>
      <c r="BZ43" s="1">
        <f t="shared" si="46"/>
        <v>-9792.0205342662375</v>
      </c>
      <c r="CA43" s="1">
        <f>IF(BZ43 &lt; 0,
    IF(CA42 + BZ43 &gt; 0,
        CA42 + BZ43, IF(CF42-ABS(CA42 + BZ43)*(1+$V43) &gt;= CA42 + BZ43,
        0, CA42 + BZ43)),
    MIN(CA42 + BZ43, Analysis!$C$7))+IF(CA42&lt;0, CA42*Analysis!$C$9,0)</f>
        <v>-147718.52509267081</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920042.66169158334</v>
      </c>
      <c r="CL43" s="64">
        <f t="shared" si="48"/>
        <v>1.9607843137254832E-2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$B43&gt;=Analysis!$C$101),0,((1+Analysis!$B$114)/(1+$S43))-1)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1529709.4857040776</v>
      </c>
      <c r="EC43" s="64">
        <f t="shared" si="50"/>
        <v>1.9607843137254832E-2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-4589.1284571122333</v>
      </c>
      <c r="ET43" s="64">
        <f>IF($B43&lt;Analysis!$C$130,0,Analysis!$C$142)</f>
        <v>3.0000000000000001E-3</v>
      </c>
      <c r="EU43" s="1">
        <f>IF($B43&lt;Analysis!$C$130,0,-EV43*EB43)</f>
        <v>-15297.094857040776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-195037.9594272699</v>
      </c>
      <c r="FG43" s="64">
        <f>IF($B43&lt;Analysis!$C$130,0,Analysis!$C$31)</f>
        <v>0.1275</v>
      </c>
      <c r="FH43" s="1">
        <f>IF($B43&lt;Analysis!$C$130,0,EB43+FF43)</f>
        <v>1334671.5262768078</v>
      </c>
      <c r="FI43" s="1">
        <f>IF($B43-Analysis!$C$130&gt;3,0,IF(EB43&gt;LOOKUP(Analysis!$C$130,$B:$B, EB:EB),$V43*(LOOKUP(Analysis!$C$130,$B:$B, EB:EB)-EB43),0))</f>
        <v>0</v>
      </c>
      <c r="FJ43" s="1">
        <f t="shared" si="33"/>
        <v>1334671.5262768078</v>
      </c>
      <c r="FK43" s="53"/>
      <c r="FL43" s="1">
        <f>$P43+$N43+IF($B43&lt;Analysis!$C$130,$X43+$Z43,0)+CP43+CS43+CY43+DE43+DG43+MIN(DI43,SUM(DJ43:DN43))+DQ43+DS43+DT43+EG43+EJ43+EP43+ES43+EU43+MIN(EW43,SUM(EX43:FB43))+FD43</f>
        <v>-77919.052092860424</v>
      </c>
      <c r="FM43" s="1">
        <f>$M43+$R43+DD43+IF(AND($B43&lt;&gt;Analysis!$C$130,$B43=Analysis!$C$101),DZ42+CQ42+CT42+CZ42,0)</f>
        <v>58229.929065626566</v>
      </c>
      <c r="FN43" s="1">
        <f t="shared" si="34"/>
        <v>-19689.123027233858</v>
      </c>
      <c r="FO43" s="1">
        <f>IF(FN43 &lt; 0,
    IF(FO42 + FN43 &gt; 0,
        FO42 + FN43, IF(FT42-ABS(FO42 + FN43)*(1+$V43) &gt;= FO42 + FN43,
        0, FO42 + FN43)),
    MIN(FO42 + FN43, Analysis!$C$7))+IF(FO42&lt;0, FO42*Analysis!$C$9,0)</f>
        <v>-92250.717045776924</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920042.66169158334</v>
      </c>
      <c r="FX43" s="64">
        <f t="shared" si="53"/>
        <v>1.9607843137254832E-2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30727.207930229724</v>
      </c>
      <c r="GO43" s="64">
        <f>IF($B43&lt;Analysis!$C$159,0,((1+Analysis!$B$174)/(1+$S43))-1)</f>
        <v>1.9607843137254832E-2</v>
      </c>
      <c r="GP43" s="1">
        <f t="shared" si="7"/>
        <v>37447.335915304473</v>
      </c>
      <c r="GQ43" s="1">
        <f t="shared" si="36"/>
        <v>-2760.1279850747501</v>
      </c>
      <c r="GR43" s="64">
        <f>IF($B43&lt;Analysis!$C$159,0,Analysis!$C$178)</f>
        <v>3.0000000000000001E-3</v>
      </c>
      <c r="GS43" s="1">
        <f t="shared" si="37"/>
        <v>-6900.3199626868745</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-2304.5405947672293</v>
      </c>
      <c r="HD43" s="1">
        <f t="shared" si="38"/>
        <v>-24224.988542528856</v>
      </c>
      <c r="HE43" s="1">
        <f>MIN(0,-(GN43+HD43)*Analysis!$C$28)-GE43*Analysis!$C$28</f>
        <v>-2881.1334106902545</v>
      </c>
      <c r="HF43" s="1">
        <f>-Analysis!$C$176*GP43/12</f>
        <v>-3120.6113262753729</v>
      </c>
      <c r="HG43" s="38"/>
      <c r="HH43" s="1">
        <f>IF($B43&lt;Analysis!$C$159,0,-$HI43*$FW43)</f>
        <v>-117305.43936567688</v>
      </c>
      <c r="HI43" s="64">
        <f>IF($B43&lt;Analysis!$C$159,0,IF($B43=Analysis!$C$159,Analysis!$C$31,HI42))</f>
        <v>0.1275</v>
      </c>
      <c r="HJ43" s="1">
        <f>IF($B43&lt;Analysis!$C$159,0,$FW43+HH43)</f>
        <v>802737.22232590651</v>
      </c>
      <c r="HK43" s="1">
        <f>IF($B43-Analysis!$C$159&gt;10,0,IF($FW43&gt;LOOKUP(Analysis!$C$159,$B:$B, FW:FW),$V43*(LOOKUP(Analysis!$C$159,$B:$B, FW:FW)-FW43),0))</f>
        <v>0</v>
      </c>
      <c r="HL43" s="1">
        <f t="shared" si="39"/>
        <v>802737.22232590651</v>
      </c>
      <c r="HM43" s="38"/>
      <c r="HN43" s="1">
        <f t="shared" si="40"/>
        <v>-109003.54234261419</v>
      </c>
      <c r="HO43" s="1">
        <f t="shared" si="8"/>
        <v>95677.264980931039</v>
      </c>
      <c r="HP43" s="1">
        <f t="shared" si="41"/>
        <v>-13326.277361683155</v>
      </c>
      <c r="HQ43" s="1">
        <f>IF(HP43 &lt; 0,
    IF(HQ42 + HP43 &gt; 0,
        HQ42 + HP43, IF(HV42-ABS(HQ42 + HP43)*(1+$V43) &gt;= HQ42 + HP43,
        0, HQ42 + HP43)),
    MIN(HQ42 + HP43, Analysis!$C$7))+IF(HQ42&lt;0, HQ42*Analysis!$C$9,0)</f>
        <v>0</v>
      </c>
      <c r="HR43" s="38"/>
      <c r="HS43" s="1">
        <f t="shared" si="54"/>
        <v>34820.835251873228</v>
      </c>
      <c r="HT43" s="1">
        <f>IF($B43=Analysis!$C$159,0,IF(HP43 &gt;= 0,
    MAX(0, HQ42 + HP43 - Analysis!$C$7),
    0))</f>
        <v>0</v>
      </c>
      <c r="HU43" s="1">
        <f>IF($B43=Analysis!$C$159,0,MAX(0, HU42 + HT43 - IF(HP43 &lt; 0, MIN(ABS(HP43), HU42 + HT43), 0)))</f>
        <v>991910.7706326195</v>
      </c>
      <c r="HV43" s="1">
        <f>IF($B43=Analysis!$C$159,0,IF(HP43 &lt; 0,
    IF(HP43 + HQ42 &lt; 0,
        MAX(0, HV42 - (ABS(HP43 + HQ42) * (1+$V42))),
        HV42 + HS43),
    HV42 + HT43 + HS43))</f>
        <v>1759021.5148297139</v>
      </c>
      <c r="HW43" s="1">
        <f t="shared" si="58"/>
        <v>1556696.0560477301</v>
      </c>
      <c r="HX43" s="36"/>
    </row>
    <row r="44" spans="1:232" x14ac:dyDescent="0.35">
      <c r="A44">
        <f t="shared" si="0"/>
        <v>77</v>
      </c>
      <c r="B44">
        <v>2067</v>
      </c>
      <c r="C44" s="1">
        <f>IF($B44&lt;Analysis!C$66,0,$AN44)+$AT44+$AW44+$BC44+$CF44+$CA44</f>
        <v>1388896.2229414375</v>
      </c>
      <c r="D44" s="1">
        <f>IF($B44&lt;Analysis!C$66, 0, BV44)+AT44+AW44+BC44+CG44+CA44</f>
        <v>1190033.9897999074</v>
      </c>
      <c r="E44" s="1">
        <f t="shared" si="1"/>
        <v>2282139.5554663516</v>
      </c>
      <c r="F44" s="1">
        <f t="shared" si="9"/>
        <v>1963603.4558528978</v>
      </c>
      <c r="G44" s="1">
        <f>IF(AND($B44&gt;=Analysis!$C$100, $B44&lt;Analysis!$C$101),$CK44,0)+IF($B44&gt;=Analysis!$C$130,EB44,0)+CQ44+CT44+CZ44+EH44+EK44+EQ44+$FO44+$FT44</f>
        <v>1426683.7098225974</v>
      </c>
      <c r="H44" s="1">
        <f t="shared" si="10"/>
        <v>1227821.4766810674</v>
      </c>
      <c r="I44" s="1">
        <f>IF($B44&lt;Analysis!$C$159,0,$FW44)+$GC44+$GF44+$GL44+$HQ44+$HV44</f>
        <v>2678179.367151014</v>
      </c>
      <c r="J44" s="1">
        <f t="shared" si="59"/>
        <v>2357290.0954865217</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-35805.373946710293</v>
      </c>
      <c r="Y44" s="64">
        <f t="shared" si="15"/>
        <v>1.9607843137254832E-2</v>
      </c>
      <c r="Z44" s="1">
        <f t="shared" si="16"/>
        <v>-3960</v>
      </c>
      <c r="AA44" s="64">
        <f t="shared" si="17"/>
        <v>0</v>
      </c>
      <c r="AB44" s="40"/>
      <c r="AC44" s="1">
        <f t="shared" si="3"/>
        <v>-87765.373946710286</v>
      </c>
      <c r="AD44" s="1">
        <f t="shared" si="4"/>
        <v>57065.330484314036</v>
      </c>
      <c r="AE44" s="1">
        <f t="shared" si="18"/>
        <v>-30700.04346239625</v>
      </c>
      <c r="AF44" s="1">
        <f>IF(AE44 &lt; 0,
    IF(AF43 + AE44 &gt; 0,
        AF43 + AE44, IF(AK43-ABS(AF43 + AE44)*(1+$V44) &gt;= AF43 + AE44,
        0, AF43 + AE44)),
    MIN(AF43 + AE44, Analysis!$C$7))+IF(AF43&lt;0, AF43*Analysis!$C$9,0)</f>
        <v>0</v>
      </c>
      <c r="AG44" s="40"/>
      <c r="AH44" s="1">
        <f t="shared" si="19"/>
        <v>45508.563439057776</v>
      </c>
      <c r="AI44" s="1">
        <f>IF(AE44 &gt;= 0,
    MAX(0, AF43 + AE44 - Analysis!$C$7),
    0)</f>
        <v>0</v>
      </c>
      <c r="AJ44" s="1">
        <f t="shared" si="44"/>
        <v>1074419.746505389</v>
      </c>
      <c r="AK44" s="1">
        <f t="shared" si="20"/>
        <v>2282139.5554663516</v>
      </c>
      <c r="AL44" s="1">
        <f t="shared" si="5"/>
        <v>1963603.4558528978</v>
      </c>
      <c r="AM44" s="36"/>
      <c r="AN44" s="1">
        <f t="shared" si="45"/>
        <v>1559703.7893453341</v>
      </c>
      <c r="AO44" s="64">
        <f t="shared" si="21"/>
        <v>1.9607843137254832E-2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-4679.1113680360022</v>
      </c>
      <c r="BF44" s="64">
        <f>IF($B44&lt;Analysis!$C$66,0,Analysis!$C$78)</f>
        <v>3.0000000000000001E-3</v>
      </c>
      <c r="BG44" s="1">
        <f>IF($B44&lt;Analysis!$C$66,0,-BH44*AN44)</f>
        <v>-11697.778420090004</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-198862.2331415301</v>
      </c>
      <c r="BS44" s="64">
        <f>IF($B44&lt;Analysis!C$66,0,Analysis!C$31)</f>
        <v>0.1275</v>
      </c>
      <c r="BT44" s="1">
        <f>IF($B44&lt;Analysis!$C$66,0,AN44+BR44)</f>
        <v>1360841.556203804</v>
      </c>
      <c r="BU44" s="1">
        <f>IF($B44-Analysis!$C$66&gt;3,0,IF($AN44&gt;LOOKUP(Analysis!$C$66,$B:$B, AN:AN),$V44*(LOOKUP(Analysis!$C$66,$B:$B, AN:AN)-AN44),0))</f>
        <v>0</v>
      </c>
      <c r="BV44" s="1">
        <f t="shared" si="23"/>
        <v>1360841.556203804</v>
      </c>
      <c r="BW44" s="42"/>
      <c r="BX44" s="1">
        <f>IF($B44&lt;Analysis!$C$66,$P44+$N44+$X44+$Z44,$P44+$N44+AS44+AV44+BB44+BE44+BG44+MAX(BI44,SUM(BJ44:BN44))+BP44)</f>
        <v>-68336.889788126005</v>
      </c>
      <c r="BY44" s="1">
        <f t="shared" si="24"/>
        <v>57065.330484314036</v>
      </c>
      <c r="BZ44" s="1">
        <f t="shared" si="46"/>
        <v>-11271.55930381197</v>
      </c>
      <c r="CA44" s="1">
        <f>IF(BZ44 &lt; 0,
    IF(CA43 + BZ44 &gt; 0,
        CA43 + BZ44, IF(CF43-ABS(CA43 + BZ44)*(1+$V44) &gt;= CA43 + BZ44,
        0, CA43 + BZ44)),
    MIN(CA43 + BZ44, Analysis!$C$7))+IF(CA43&lt;0, CA43*Analysis!$C$9,0)</f>
        <v>-170807.56640389646</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938082.71388161427</v>
      </c>
      <c r="CL44" s="64">
        <f t="shared" si="48"/>
        <v>1.9607843137254832E-2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$B44&gt;=Analysis!$C$101),0,((1+Analysis!$B$114)/(1+$S44))-1)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1559703.7893453341</v>
      </c>
      <c r="EC44" s="64">
        <f t="shared" si="50"/>
        <v>1.9607843137254832E-2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-4679.1113680360022</v>
      </c>
      <c r="ET44" s="64">
        <f>IF($B44&lt;Analysis!$C$130,0,Analysis!$C$142)</f>
        <v>3.0000000000000001E-3</v>
      </c>
      <c r="EU44" s="1">
        <f>IF($B44&lt;Analysis!$C$130,0,-EV44*EB44)</f>
        <v>-15597.03789345334</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-198862.2331415301</v>
      </c>
      <c r="FG44" s="64">
        <f>IF($B44&lt;Analysis!$C$130,0,Analysis!$C$31)</f>
        <v>0.1275</v>
      </c>
      <c r="FH44" s="1">
        <f>IF($B44&lt;Analysis!$C$130,0,EB44+FF44)</f>
        <v>1360841.556203804</v>
      </c>
      <c r="FI44" s="1">
        <f>IF($B44-Analysis!$C$130&gt;3,0,IF(EB44&gt;LOOKUP(Analysis!$C$130,$B:$B, EB:EB),$V44*(LOOKUP(Analysis!$C$130,$B:$B, EB:EB)-EB44),0))</f>
        <v>0</v>
      </c>
      <c r="FJ44" s="1">
        <f t="shared" si="33"/>
        <v>1360841.556203804</v>
      </c>
      <c r="FK44" s="53"/>
      <c r="FL44" s="1">
        <f>$P44+$N44+IF($B44&lt;Analysis!$C$130,$X44+$Z44,0)+CP44+CS44+CY44+DE44+DG44+MIN(DI44,SUM(DJ44:DN44))+DQ44+DS44+DT44+EG44+EJ44+EP44+ES44+EU44+MIN(EW44,SUM(EX44:FB44))+FD44</f>
        <v>-78308.978040196758</v>
      </c>
      <c r="FM44" s="1">
        <f>$M44+$R44+DD44+IF(AND($B44&lt;&gt;Analysis!$C$130,$B44=Analysis!$C$101),DZ43+CQ43+CT43+CZ43,0)</f>
        <v>57065.330484314036</v>
      </c>
      <c r="FN44" s="1">
        <f t="shared" si="34"/>
        <v>-21243.647555882722</v>
      </c>
      <c r="FO44" s="1">
        <f>IF(FN44 &lt; 0,
    IF(FO43 + FN44 &gt; 0,
        FO43 + FN44, IF(FT43-ABS(FO43 + FN44)*(1+$V44) &gt;= FO43 + FN44,
        0, FO43 + FN44)),
    MIN(FO43 + FN44, Analysis!$C$7))+IF(FO43&lt;0, FO43*Analysis!$C$9,0)</f>
        <v>-120874.4219653218</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938082.71388161427</v>
      </c>
      <c r="FX44" s="64">
        <f t="shared" si="53"/>
        <v>1.9607843137254832E-2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31329.702203371482</v>
      </c>
      <c r="GO44" s="64">
        <f>IF($B44&lt;Analysis!$C$159,0,((1+Analysis!$B$174)/(1+$S44))-1)</f>
        <v>1.9607843137254832E-2</v>
      </c>
      <c r="GP44" s="1">
        <f t="shared" si="7"/>
        <v>38103.950345016325</v>
      </c>
      <c r="GQ44" s="1">
        <f t="shared" si="36"/>
        <v>-2814.2481416448427</v>
      </c>
      <c r="GR44" s="64">
        <f>IF($B44&lt;Analysis!$C$159,0,Analysis!$C$178)</f>
        <v>3.0000000000000001E-3</v>
      </c>
      <c r="GS44" s="1">
        <f t="shared" si="37"/>
        <v>-7035.6203541121067</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-2349.7276652528612</v>
      </c>
      <c r="HD44" s="1">
        <f t="shared" si="38"/>
        <v>-24459.596161009809</v>
      </c>
      <c r="HE44" s="1">
        <f>MIN(0,-(GN44+HD44)*Analysis!$C$28)-GE44*Analysis!$C$28</f>
        <v>-3044.1439873704567</v>
      </c>
      <c r="HF44" s="1">
        <f>-Analysis!$C$176*GP44/12</f>
        <v>-3175.3291954180272</v>
      </c>
      <c r="HG44" s="38"/>
      <c r="HH44" s="1">
        <f>IF($B44&lt;Analysis!$C$159,0,-$HI44*$FW44)</f>
        <v>-119605.54601990581</v>
      </c>
      <c r="HI44" s="64">
        <f>IF($B44&lt;Analysis!$C$159,0,IF($B44=Analysis!$C$159,Analysis!$C$31,HI43))</f>
        <v>0.1275</v>
      </c>
      <c r="HJ44" s="1">
        <f>IF($B44&lt;Analysis!$C$159,0,$FW44+HH44)</f>
        <v>818477.16786170844</v>
      </c>
      <c r="HK44" s="1">
        <f>IF($B44-Analysis!$C$159&gt;10,0,IF($FW44&gt;LOOKUP(Analysis!$C$159,$B:$B, FW:FW),$V44*(LOOKUP(Analysis!$C$159,$B:$B, FW:FW)-FW44),0))</f>
        <v>0</v>
      </c>
      <c r="HL44" s="1">
        <f t="shared" si="39"/>
        <v>818477.16786170844</v>
      </c>
      <c r="HM44" s="38"/>
      <c r="HN44" s="1">
        <f t="shared" si="40"/>
        <v>-110144.44329050859</v>
      </c>
      <c r="HO44" s="1">
        <f t="shared" si="8"/>
        <v>95169.280829330353</v>
      </c>
      <c r="HP44" s="1">
        <f t="shared" si="41"/>
        <v>-14975.162461178232</v>
      </c>
      <c r="HQ44" s="1">
        <f>IF(HP44 &lt; 0,
    IF(HQ43 + HP44 &gt; 0,
        HQ43 + HP44, IF(HV43-ABS(HQ43 + HP44)*(1+$V44) &gt;= HQ43 + HP44,
        0, HQ43 + HP44)),
    MIN(HQ43 + HP44, Analysis!$C$7))+IF(HQ43&lt;0, HQ43*Analysis!$C$9,0)</f>
        <v>0</v>
      </c>
      <c r="HR44" s="38"/>
      <c r="HS44" s="1">
        <f t="shared" si="54"/>
        <v>34490.617937837407</v>
      </c>
      <c r="HT44" s="1">
        <f>IF($B44=Analysis!$C$159,0,IF(HP44 &gt;= 0,
    MAX(0, HQ43 + HP44 - Analysis!$C$7),
    0))</f>
        <v>0</v>
      </c>
      <c r="HU44" s="1">
        <f>IF($B44=Analysis!$C$159,0,MAX(0, HU43 + HT44 - IF(HP44 &lt; 0, MIN(ABS(HP44), HU43 + HT44), 0)))</f>
        <v>976935.60817144124</v>
      </c>
      <c r="HV44" s="1">
        <f>IF($B44=Analysis!$C$159,0,IF(HP44 &lt; 0,
    IF(HP44 + HQ43 &lt; 0,
        MAX(0, HV43 - (ABS(HP44 + HQ43) * (1+$V43))),
        HV43 + HS44),
    HV43 + HT44 + HS44))</f>
        <v>1740096.6532693999</v>
      </c>
      <c r="HW44" s="1">
        <f t="shared" si="58"/>
        <v>1538812.9276248133</v>
      </c>
      <c r="HX44" s="36"/>
    </row>
    <row r="45" spans="1:232" x14ac:dyDescent="0.35">
      <c r="A45">
        <f t="shared" si="0"/>
        <v>78</v>
      </c>
      <c r="B45">
        <v>2068</v>
      </c>
      <c r="C45" s="1">
        <f>IF($B45&lt;Analysis!C$66,0,$AN45)+$AT45+$AW45+$BC45+$CF45+$CA45</f>
        <v>1393080.0634716512</v>
      </c>
      <c r="D45" s="1">
        <f>IF($B45&lt;Analysis!C$66, 0, BV45)+AT45+AW45+BC45+CG45+CA45</f>
        <v>1190318.5708567577</v>
      </c>
      <c r="E45" s="1">
        <f t="shared" si="1"/>
        <v>2241012.8132083425</v>
      </c>
      <c r="F45" s="1">
        <f t="shared" si="9"/>
        <v>1924740.5658353297</v>
      </c>
      <c r="G45" s="1">
        <f>IF(AND($B45&gt;=Analysis!$C$100, $B45&lt;Analysis!$C$101),$CK45,0)+IF($B45&gt;=Analysis!$C$130,EB45,0)+CQ45+CT45+CZ45+EH45+EK45+EQ45+$FO45+$FT45</f>
        <v>1430886.4863664284</v>
      </c>
      <c r="H45" s="1">
        <f t="shared" si="10"/>
        <v>1228124.9937515352</v>
      </c>
      <c r="I45" s="1">
        <f>IF($B45&lt;Analysis!$C$159,0,$FW45)+$GC45+$GF45+$GL45+$HQ45+$HV45</f>
        <v>2675581.9406438707</v>
      </c>
      <c r="J45" s="1">
        <f t="shared" si="59"/>
        <v>2353502.9387614224</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-36507.44010252814</v>
      </c>
      <c r="Y45" s="64">
        <f t="shared" si="15"/>
        <v>1.9607843137254832E-2</v>
      </c>
      <c r="Z45" s="1">
        <f t="shared" si="16"/>
        <v>-3960</v>
      </c>
      <c r="AA45" s="64">
        <f t="shared" si="17"/>
        <v>0</v>
      </c>
      <c r="AB45" s="40"/>
      <c r="AC45" s="1">
        <f t="shared" si="3"/>
        <v>-88467.44010252814</v>
      </c>
      <c r="AD45" s="1">
        <f t="shared" si="4"/>
        <v>55924.023874627754</v>
      </c>
      <c r="AE45" s="1">
        <f t="shared" si="18"/>
        <v>-32543.416227900387</v>
      </c>
      <c r="AF45" s="1">
        <f>IF(AE45 &lt; 0,
    IF(AF44 + AE45 &gt; 0,
        AF44 + AE45, IF(AK44-ABS(AF44 + AE45)*(1+$V45) &gt;= AF44 + AE45,
        0, AF44 + AE45)),
    MIN(AF44 + AE45, Analysis!$C$7))+IF(AF44&lt;0, AF44*Analysis!$C$9,0)</f>
        <v>0</v>
      </c>
      <c r="AG45" s="40"/>
      <c r="AH45" s="1">
        <f t="shared" si="19"/>
        <v>44747.834420908694</v>
      </c>
      <c r="AI45" s="1">
        <f>IF(AE45 &gt;= 0,
    MAX(0, AF44 + AE45 - Analysis!$C$7),
    0)</f>
        <v>0</v>
      </c>
      <c r="AJ45" s="1">
        <f t="shared" si="44"/>
        <v>1041876.3302774886</v>
      </c>
      <c r="AK45" s="1">
        <f t="shared" si="20"/>
        <v>2241012.8132083425</v>
      </c>
      <c r="AL45" s="1">
        <f t="shared" si="5"/>
        <v>1924740.5658353297</v>
      </c>
      <c r="AM45" s="36"/>
      <c r="AN45" s="1">
        <f t="shared" si="45"/>
        <v>1590286.2165873994</v>
      </c>
      <c r="AO45" s="64">
        <f t="shared" si="21"/>
        <v>1.9607843137254832E-2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-4770.8586497621982</v>
      </c>
      <c r="BF45" s="64">
        <f>IF($B45&lt;Analysis!$C$66,0,Analysis!$C$78)</f>
        <v>3.0000000000000001E-3</v>
      </c>
      <c r="BG45" s="1">
        <f>IF($B45&lt;Analysis!$C$66,0,-BH45*AN45)</f>
        <v>-11927.146624405495</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-202761.49261489342</v>
      </c>
      <c r="BS45" s="64">
        <f>IF($B45&lt;Analysis!C$66,0,Analysis!C$31)</f>
        <v>0.1275</v>
      </c>
      <c r="BT45" s="1">
        <f>IF($B45&lt;Analysis!$C$66,0,AN45+BR45)</f>
        <v>1387524.7239725059</v>
      </c>
      <c r="BU45" s="1">
        <f>IF($B45-Analysis!$C$66&gt;3,0,IF($AN45&gt;LOOKUP(Analysis!$C$66,$B:$B, AN:AN),$V45*(LOOKUP(Analysis!$C$66,$B:$B, AN:AN)-AN45),0))</f>
        <v>0</v>
      </c>
      <c r="BV45" s="1">
        <f t="shared" si="23"/>
        <v>1387524.7239725059</v>
      </c>
      <c r="BW45" s="42"/>
      <c r="BX45" s="1">
        <f>IF($B45&lt;Analysis!$C$66,$P45+$N45+$X45+$Z45,$P45+$N45+AS45+AV45+BB45+BE45+BG45+MAX(BI45,SUM(BJ45:BN45))+BP45)</f>
        <v>-68658.005274167692</v>
      </c>
      <c r="BY45" s="1">
        <f t="shared" si="24"/>
        <v>55924.023874627754</v>
      </c>
      <c r="BZ45" s="1">
        <f t="shared" si="46"/>
        <v>-12733.981399539938</v>
      </c>
      <c r="CA45" s="1">
        <f>IF(BZ45 &lt; 0,
    IF(CA44 + BZ45 &gt; 0,
        CA44 + BZ45, IF(CF44-ABS(CA44 + BZ45)*(1+$V45) &gt;= CA44 + BZ45,
        0, CA44 + BZ45)),
    MIN(CA44 + BZ45, Analysis!$C$7))+IF(CA44&lt;0, CA44*Analysis!$C$9,0)</f>
        <v>-197206.15311574814</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956476.49258517532</v>
      </c>
      <c r="CL45" s="64">
        <f t="shared" si="48"/>
        <v>1.9607843137254832E-2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$B45&gt;=Analysis!$C$101),0,((1+Analysis!$B$114)/(1+$S45))-1)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1590286.2165873994</v>
      </c>
      <c r="EC45" s="64">
        <f t="shared" si="50"/>
        <v>1.9607843137254832E-2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-4770.8586497621982</v>
      </c>
      <c r="ET45" s="64">
        <f>IF($B45&lt;Analysis!$C$130,0,Analysis!$C$142)</f>
        <v>3.0000000000000001E-3</v>
      </c>
      <c r="EU45" s="1">
        <f>IF($B45&lt;Analysis!$C$130,0,-EV45*EB45)</f>
        <v>-15902.862165873994</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-202761.49261489342</v>
      </c>
      <c r="FG45" s="64">
        <f>IF($B45&lt;Analysis!$C$130,0,Analysis!$C$31)</f>
        <v>0.1275</v>
      </c>
      <c r="FH45" s="1">
        <f>IF($B45&lt;Analysis!$C$130,0,EB45+FF45)</f>
        <v>1387524.7239725059</v>
      </c>
      <c r="FI45" s="1">
        <f>IF($B45-Analysis!$C$130&gt;3,0,IF(EB45&gt;LOOKUP(Analysis!$C$130,$B:$B, EB:EB),$V45*(LOOKUP(Analysis!$C$130,$B:$B, EB:EB)-EB45),0))</f>
        <v>0</v>
      </c>
      <c r="FJ45" s="1">
        <f t="shared" si="33"/>
        <v>1387524.7239725059</v>
      </c>
      <c r="FK45" s="53"/>
      <c r="FL45" s="1">
        <f>$P45+$N45+IF($B45&lt;Analysis!$C$130,$X45+$Z45,0)+CP45+CS45+CY45+DE45+DG45+MIN(DI45,SUM(DJ45:DN45))+DQ45+DS45+DT45+EG45+EJ45+EP45+ES45+EU45+MIN(EW45,SUM(EX45:FB45))+FD45</f>
        <v>-78706.549594343611</v>
      </c>
      <c r="FM45" s="1">
        <f>$M45+$R45+DD45+IF(AND($B45&lt;&gt;Analysis!$C$130,$B45=Analysis!$C$101),DZ44+CQ44+CT44+CZ44,0)</f>
        <v>55924.023874627754</v>
      </c>
      <c r="FN45" s="1">
        <f t="shared" si="34"/>
        <v>-22782.525719715857</v>
      </c>
      <c r="FO45" s="1">
        <f>IF(FN45 &lt; 0,
    IF(FO44 + FN45 &gt; 0,
        FO44 + FN45, IF(FT44-ABS(FO44 + FN45)*(1+$V45) &gt;= FO44 + FN45,
        0, FO44 + FN45)),
    MIN(FO44 + FN45, Analysis!$C$7))+IF(FO44&lt;0, FO44*Analysis!$C$9,0)</f>
        <v>-153326.90144226339</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956476.49258517532</v>
      </c>
      <c r="FX45" s="64">
        <f t="shared" si="53"/>
        <v>1.9607843137254832E-2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31944.010089712097</v>
      </c>
      <c r="GO45" s="64">
        <f>IF($B45&lt;Analysis!$C$159,0,((1+Analysis!$B$174)/(1+$S45))-1)</f>
        <v>1.9607843137254832E-2</v>
      </c>
      <c r="GP45" s="1">
        <f t="shared" si="7"/>
        <v>38773.439567467627</v>
      </c>
      <c r="GQ45" s="1">
        <f t="shared" si="36"/>
        <v>-2869.429477755526</v>
      </c>
      <c r="GR45" s="64">
        <f>IF($B45&lt;Analysis!$C$159,0,Analysis!$C$178)</f>
        <v>3.0000000000000001E-3</v>
      </c>
      <c r="GS45" s="1">
        <f t="shared" si="37"/>
        <v>-7173.5736943888151</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-2395.8007567284071</v>
      </c>
      <c r="HD45" s="1">
        <f t="shared" si="38"/>
        <v>-24698.803928872749</v>
      </c>
      <c r="HE45" s="1">
        <f>MIN(0,-(GN45+HD45)*Analysis!$C$28)-GE45*Analysis!$C$28</f>
        <v>-3210.3508498679148</v>
      </c>
      <c r="HF45" s="1">
        <f>-Analysis!$C$176*GP45/12</f>
        <v>-3231.1199639556357</v>
      </c>
      <c r="HG45" s="38"/>
      <c r="HH45" s="1">
        <f>IF($B45&lt;Analysis!$C$159,0,-$HI45*$FW45)</f>
        <v>-121950.75280460986</v>
      </c>
      <c r="HI45" s="64">
        <f>IF($B45&lt;Analysis!$C$159,0,IF($B45=Analysis!$C$159,Analysis!$C$31,HI44))</f>
        <v>0.1275</v>
      </c>
      <c r="HJ45" s="1">
        <f>IF($B45&lt;Analysis!$C$159,0,$FW45+HH45)</f>
        <v>834525.73978056549</v>
      </c>
      <c r="HK45" s="1">
        <f>IF($B45-Analysis!$C$159&gt;10,0,IF($FW45&gt;LOOKUP(Analysis!$C$159,$B:$B, FW:FW),$V45*(LOOKUP(Analysis!$C$159,$B:$B, FW:FW)-FW45),0))</f>
        <v>0</v>
      </c>
      <c r="HL45" s="1">
        <f t="shared" si="39"/>
        <v>834525.73978056549</v>
      </c>
      <c r="HM45" s="38"/>
      <c r="HN45" s="1">
        <f t="shared" si="40"/>
        <v>-111307.71484522444</v>
      </c>
      <c r="HO45" s="1">
        <f t="shared" si="8"/>
        <v>94697.463442095381</v>
      </c>
      <c r="HP45" s="1">
        <f t="shared" si="41"/>
        <v>-16610.251403129063</v>
      </c>
      <c r="HQ45" s="1">
        <f>IF(HP45 &lt; 0,
    IF(HQ44 + HP45 &gt; 0,
        HQ44 + HP45, IF(HV44-ABS(HQ44 + HP45)*(1+$V45) &gt;= HQ44 + HP45,
        0, HQ44 + HP45)),
    MIN(HQ44 + HP45, Analysis!$C$7))+IF(HQ44&lt;0, HQ44*Analysis!$C$9,0)</f>
        <v>0</v>
      </c>
      <c r="HR45" s="38"/>
      <c r="HS45" s="1">
        <f t="shared" si="54"/>
        <v>34119.542220968506</v>
      </c>
      <c r="HT45" s="1">
        <f>IF($B45=Analysis!$C$159,0,IF(HP45 &gt;= 0,
    MAX(0, HQ44 + HP45 - Analysis!$C$7),
    0))</f>
        <v>0</v>
      </c>
      <c r="HU45" s="1">
        <f>IF($B45=Analysis!$C$159,0,MAX(0, HU44 + HT45 - IF(HP45 &lt; 0, MIN(ABS(HP45), HU44 + HT45), 0)))</f>
        <v>960325.35676831217</v>
      </c>
      <c r="HV45" s="1">
        <f>IF($B45=Analysis!$C$159,0,IF(HP45 &lt; 0,
    IF(HP45 + HQ44 &lt; 0,
        MAX(0, HV44 - (ABS(HP45 + HQ44) * (1+$V44))),
        HV44 + HS45),
    HV44 + HT45 + HS45))</f>
        <v>1719105.4480586955</v>
      </c>
      <c r="HW45" s="1">
        <f t="shared" si="58"/>
        <v>1518977.1989808569</v>
      </c>
      <c r="HX45" s="36"/>
    </row>
    <row r="46" spans="1:232" x14ac:dyDescent="0.35">
      <c r="A46">
        <f t="shared" si="0"/>
        <v>79</v>
      </c>
      <c r="B46">
        <v>2069</v>
      </c>
      <c r="C46" s="1">
        <f>IF($B46&lt;Analysis!C$66,0,$AN46)+$AT46+$AW46+$BC46+$CF46+$CA46</f>
        <v>1394305.7801554222</v>
      </c>
      <c r="D46" s="1">
        <f>IF($B46&lt;Analysis!C$66, 0, BV46)+AT46+AW46+BC46+CG46+CA46</f>
        <v>1187568.5719990602</v>
      </c>
      <c r="E46" s="1">
        <f t="shared" si="1"/>
        <v>2197567.9583561262</v>
      </c>
      <c r="F46" s="1">
        <f t="shared" si="9"/>
        <v>1883687.1654624355</v>
      </c>
      <c r="G46" s="1">
        <f>IF(AND($B46&gt;=Analysis!$C$100, $B46&lt;Analysis!$C$101),$CK46,0)+IF($B46&gt;=Analysis!$C$130,EB46,0)+CQ46+CT46+CZ46+EH46+EK46+EQ46+$FO46+$FT46</f>
        <v>1431568.8724359144</v>
      </c>
      <c r="H46" s="1">
        <f t="shared" si="10"/>
        <v>1224831.6642795522</v>
      </c>
      <c r="I46" s="1">
        <f>IF($B46&lt;Analysis!$C$159,0,$FW46)+$GC46+$GF46+$GL46+$HQ46+$HV46</f>
        <v>2671295.4437026842</v>
      </c>
      <c r="J46" s="1">
        <f t="shared" si="59"/>
        <v>2348093.5562260915</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-37223.272261401238</v>
      </c>
      <c r="Y46" s="64">
        <f t="shared" si="15"/>
        <v>1.9607843137254832E-2</v>
      </c>
      <c r="Z46" s="1">
        <f t="shared" si="16"/>
        <v>-3960</v>
      </c>
      <c r="AA46" s="64">
        <f t="shared" si="17"/>
        <v>0</v>
      </c>
      <c r="AB46" s="40"/>
      <c r="AC46" s="1">
        <f t="shared" si="3"/>
        <v>-89183.272261401231</v>
      </c>
      <c r="AD46" s="1">
        <f t="shared" si="4"/>
        <v>54805.543397135196</v>
      </c>
      <c r="AE46" s="1">
        <f t="shared" si="18"/>
        <v>-34377.728864266035</v>
      </c>
      <c r="AF46" s="1">
        <f>IF(AE46 &lt; 0,
    IF(AF45 + AE46 &gt; 0,
        AF45 + AE46, IF(AK45-ABS(AF45 + AE46)*(1+$V46) &gt;= AF45 + AE46,
        0, AF45 + AE46)),
    MIN(AF45 + AE46, Analysis!$C$7))+IF(AF45&lt;0, AF45*Analysis!$C$9,0)</f>
        <v>0</v>
      </c>
      <c r="AG46" s="40"/>
      <c r="AH46" s="1">
        <f t="shared" si="19"/>
        <v>43941.427709967342</v>
      </c>
      <c r="AI46" s="1">
        <f>IF(AE46 &gt;= 0,
    MAX(0, AF45 + AE46 - Analysis!$C$7),
    0)</f>
        <v>0</v>
      </c>
      <c r="AJ46" s="1">
        <f t="shared" si="44"/>
        <v>1007498.6014132225</v>
      </c>
      <c r="AK46" s="1">
        <f t="shared" si="20"/>
        <v>2197567.9583561262</v>
      </c>
      <c r="AL46" s="1">
        <f t="shared" si="5"/>
        <v>1883687.1654624355</v>
      </c>
      <c r="AM46" s="36"/>
      <c r="AN46" s="1">
        <f t="shared" si="45"/>
        <v>1621468.2992655835</v>
      </c>
      <c r="AO46" s="64">
        <f t="shared" si="21"/>
        <v>1.9607843137254832E-2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-4864.4048977967504</v>
      </c>
      <c r="BF46" s="64">
        <f>IF($B46&lt;Analysis!$C$66,0,Analysis!$C$78)</f>
        <v>3.0000000000000001E-3</v>
      </c>
      <c r="BG46" s="1">
        <f>IF($B46&lt;Analysis!$C$66,0,-BH46*AN46)</f>
        <v>-12161.012244491876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-206737.20815636191</v>
      </c>
      <c r="BS46" s="64">
        <f>IF($B46&lt;Analysis!C$66,0,Analysis!C$31)</f>
        <v>0.1275</v>
      </c>
      <c r="BT46" s="1">
        <f>IF($B46&lt;Analysis!$C$66,0,AN46+BR46)</f>
        <v>1414731.0911092216</v>
      </c>
      <c r="BU46" s="1">
        <f>IF($B46-Analysis!$C$66&gt;3,0,IF($AN46&gt;LOOKUP(Analysis!$C$66,$B:$B, AN:AN),$V46*(LOOKUP(Analysis!$C$66,$B:$B, AN:AN)-AN46),0))</f>
        <v>0</v>
      </c>
      <c r="BV46" s="1">
        <f t="shared" si="23"/>
        <v>1414731.0911092216</v>
      </c>
      <c r="BW46" s="42"/>
      <c r="BX46" s="1">
        <f>IF($B46&lt;Analysis!$C$66,$P46+$N46+$X46+$Z46,$P46+$N46+AS46+AV46+BB46+BE46+BG46+MAX(BI46,SUM(BJ46:BN46))+BP46)</f>
        <v>-68985.417142288614</v>
      </c>
      <c r="BY46" s="1">
        <f t="shared" si="24"/>
        <v>54805.543397135196</v>
      </c>
      <c r="BZ46" s="1">
        <f t="shared" si="46"/>
        <v>-14179.873745153418</v>
      </c>
      <c r="CA46" s="1">
        <f>IF(BZ46 &lt; 0,
    IF(CA45 + BZ46 &gt; 0,
        CA45 + BZ46, IF(CF45-ABS(CA45 + BZ46)*(1+$V46) &gt;= CA45 + BZ46,
        0, CA45 + BZ46)),
    MIN(CA45 + BZ46, Analysis!$C$7))+IF(CA45&lt;0, CA45*Analysis!$C$9,0)</f>
        <v>-227162.5191101614</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975230.93361625716</v>
      </c>
      <c r="CL46" s="64">
        <f t="shared" si="48"/>
        <v>1.9607843137254832E-2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$B46&gt;=Analysis!$C$101),0,((1+Analysis!$B$114)/(1+$S46))-1)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1621468.2992655835</v>
      </c>
      <c r="EC46" s="64">
        <f t="shared" si="50"/>
        <v>1.9607843137254832E-2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-4864.4048977967504</v>
      </c>
      <c r="ET46" s="64">
        <f>IF($B46&lt;Analysis!$C$130,0,Analysis!$C$142)</f>
        <v>3.0000000000000001E-3</v>
      </c>
      <c r="EU46" s="1">
        <f>IF($B46&lt;Analysis!$C$130,0,-EV46*EB46)</f>
        <v>-16214.682992655835</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-206737.20815636191</v>
      </c>
      <c r="FG46" s="64">
        <f>IF($B46&lt;Analysis!$C$130,0,Analysis!$C$31)</f>
        <v>0.1275</v>
      </c>
      <c r="FH46" s="1">
        <f>IF($B46&lt;Analysis!$C$130,0,EB46+FF46)</f>
        <v>1414731.0911092216</v>
      </c>
      <c r="FI46" s="1">
        <f>IF($B46-Analysis!$C$130&gt;3,0,IF(EB46&gt;LOOKUP(Analysis!$C$130,$B:$B, EB:EB),$V46*(LOOKUP(Analysis!$C$130,$B:$B, EB:EB)-EB46),0))</f>
        <v>0</v>
      </c>
      <c r="FJ46" s="1">
        <f t="shared" si="33"/>
        <v>1414731.0911092216</v>
      </c>
      <c r="FK46" s="53"/>
      <c r="FL46" s="1">
        <f>$P46+$N46+IF($B46&lt;Analysis!$C$130,$X46+$Z46,0)+CP46+CS46+CY46+DE46+DG46+MIN(DI46,SUM(DJ46:DN46))+DQ46+DS46+DT46+EG46+EJ46+EP46+ES46+EU46+MIN(EW46,SUM(EX46:FB46))+FD46</f>
        <v>-79111.916669160011</v>
      </c>
      <c r="FM46" s="1">
        <f>$M46+$R46+DD46+IF(AND($B46&lt;&gt;Analysis!$C$130,$B46=Analysis!$C$101),DZ45+CQ45+CT45+CZ45,0)</f>
        <v>54805.543397135196</v>
      </c>
      <c r="FN46" s="1">
        <f t="shared" si="34"/>
        <v>-24306.373272024815</v>
      </c>
      <c r="FO46" s="1">
        <f>IF(FN46 &lt; 0,
    IF(FO45 + FN46 &gt; 0,
        FO45 + FN46, IF(FT45-ABS(FO45 + FN46)*(1+$V46) &gt;= FO45 + FN46,
        0, FO45 + FN46)),
    MIN(FO45 + FN46, Analysis!$C$7))+IF(FO45&lt;0, FO45*Analysis!$C$9,0)</f>
        <v>-189899.42682966928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975230.93361625716</v>
      </c>
      <c r="FX46" s="64">
        <f t="shared" si="53"/>
        <v>1.9607843137254832E-2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32570.363228726059</v>
      </c>
      <c r="GO46" s="64">
        <f>IF($B46&lt;Analysis!$C$159,0,((1+Analysis!$B$174)/(1+$S46))-1)</f>
        <v>1.9607843137254832E-2</v>
      </c>
      <c r="GP46" s="1">
        <f t="shared" si="7"/>
        <v>39456.056029574829</v>
      </c>
      <c r="GQ46" s="1">
        <f t="shared" si="36"/>
        <v>-2925.6928008487716</v>
      </c>
      <c r="GR46" s="64">
        <f>IF($B46&lt;Analysis!$C$159,0,Analysis!$C$178)</f>
        <v>3.0000000000000001E-3</v>
      </c>
      <c r="GS46" s="1">
        <f t="shared" si="37"/>
        <v>-7314.2320021219284</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-2442.7772421544541</v>
      </c>
      <c r="HD46" s="1">
        <f t="shared" si="38"/>
        <v>-24942.702045125156</v>
      </c>
      <c r="HE46" s="1">
        <f>MIN(0,-(GN46+HD46)*Analysis!$C$28)-GE46*Analysis!$C$28</f>
        <v>-3379.8166704535597</v>
      </c>
      <c r="HF46" s="1">
        <f>-Analysis!$C$176*GP46/12</f>
        <v>-3288.0046691312359</v>
      </c>
      <c r="HG46" s="38"/>
      <c r="HH46" s="1">
        <f>IF($B46&lt;Analysis!$C$159,0,-$HI46*$FW46)</f>
        <v>-124341.94403607279</v>
      </c>
      <c r="HI46" s="64">
        <f>IF($B46&lt;Analysis!$C$159,0,IF($B46=Analysis!$C$159,Analysis!$C$31,HI45))</f>
        <v>0.1275</v>
      </c>
      <c r="HJ46" s="1">
        <f>IF($B46&lt;Analysis!$C$159,0,$FW46+HH46)</f>
        <v>850888.98958018434</v>
      </c>
      <c r="HK46" s="1">
        <f>IF($B46-Analysis!$C$159&gt;10,0,IF($FW46&gt;LOOKUP(Analysis!$C$159,$B:$B, FW:FW),$V46*(LOOKUP(Analysis!$C$159,$B:$B, FW:FW)-FW46),0))</f>
        <v>0</v>
      </c>
      <c r="HL46" s="1">
        <f t="shared" si="39"/>
        <v>850888.98958018434</v>
      </c>
      <c r="HM46" s="38"/>
      <c r="HN46" s="1">
        <f t="shared" si="40"/>
        <v>-112493.79564611118</v>
      </c>
      <c r="HO46" s="1">
        <f t="shared" si="8"/>
        <v>94261.599426710018</v>
      </c>
      <c r="HP46" s="1">
        <f t="shared" si="41"/>
        <v>-18232.196219401158</v>
      </c>
      <c r="HQ46" s="1">
        <f>IF(HP46 &lt; 0,
    IF(HQ45 + HP46 &gt; 0,
        HQ45 + HP46, IF(HV45-ABS(HQ45 + HP46)*(1+$V46) &gt;= HQ45 + HP46,
        0, HQ45 + HP46)),
    MIN(HQ45 + HP46, Analysis!$C$7))+IF(HQ45&lt;0, HQ45*Analysis!$C$9,0)</f>
        <v>0</v>
      </c>
      <c r="HR46" s="38"/>
      <c r="HS46" s="1">
        <f t="shared" si="54"/>
        <v>33707.94996193509</v>
      </c>
      <c r="HT46" s="1">
        <f>IF($B46=Analysis!$C$159,0,IF(HP46 &gt;= 0,
    MAX(0, HQ45 + HP46 - Analysis!$C$7),
    0))</f>
        <v>0</v>
      </c>
      <c r="HU46" s="1">
        <f>IF($B46=Analysis!$C$159,0,MAX(0, HU45 + HT46 - IF(HP46 &lt; 0, MIN(ABS(HP46), HU45 + HT46), 0)))</f>
        <v>942093.16054891096</v>
      </c>
      <c r="HV46" s="1">
        <f>IF($B46=Analysis!$C$159,0,IF(HP46 &lt; 0,
    IF(HP46 + HQ45 &lt; 0,
        MAX(0, HV45 - (ABS(HP46 + HQ45) * (1+$V45))),
        HV45 + HS46),
    HV45 + HT46 + HS46))</f>
        <v>1696064.5100864272</v>
      </c>
      <c r="HW46" s="1">
        <f t="shared" si="58"/>
        <v>1497204.5666459072</v>
      </c>
      <c r="HX46" s="36"/>
    </row>
    <row r="47" spans="1:232" x14ac:dyDescent="0.35">
      <c r="A47">
        <f t="shared" si="0"/>
        <v>80</v>
      </c>
      <c r="B47">
        <v>2070</v>
      </c>
      <c r="C47" s="1">
        <f>IF($B47&lt;Analysis!C$66,0,$AN47)+$AT47+$AW47+$BC47+$CF47+$CA47</f>
        <v>1392316.4583688718</v>
      </c>
      <c r="D47" s="1">
        <f>IF($B47&lt;Analysis!C$66, 0, BV47)+AT47+AW47+BC47+CG47+CA47</f>
        <v>1181525.5794643459</v>
      </c>
      <c r="E47" s="1">
        <f t="shared" si="1"/>
        <v>2151815.5226039523</v>
      </c>
      <c r="F47" s="1">
        <f t="shared" si="9"/>
        <v>1840453.2067034892</v>
      </c>
      <c r="G47" s="1">
        <f>IF(AND($B47&gt;=Analysis!$C$100, $B47&lt;Analysis!$C$101),$CK47,0)+IF($B47&gt;=Analysis!$C$130,EB47,0)+CQ47+CT47+CZ47+EH47+EK47+EQ47+$FO47+$FT47</f>
        <v>1428427.4435434793</v>
      </c>
      <c r="H47" s="1">
        <f t="shared" si="10"/>
        <v>1217636.5646389532</v>
      </c>
      <c r="I47" s="1">
        <f>IF($B47&lt;Analysis!$C$159,0,$FW47)+$GC47+$GF47+$GL47+$HQ47+$HV47</f>
        <v>2665342.7421817076</v>
      </c>
      <c r="J47" s="1">
        <f t="shared" si="59"/>
        <v>2341083.0426840219</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-37953.140344958119</v>
      </c>
      <c r="Y47" s="64">
        <f t="shared" si="15"/>
        <v>1.9607843137254832E-2</v>
      </c>
      <c r="Z47" s="1">
        <f t="shared" si="16"/>
        <v>-3960</v>
      </c>
      <c r="AA47" s="64">
        <f t="shared" si="17"/>
        <v>0</v>
      </c>
      <c r="AB47" s="40"/>
      <c r="AC47" s="1">
        <f t="shared" si="3"/>
        <v>-89913.140344958112</v>
      </c>
      <c r="AD47" s="1">
        <f t="shared" si="4"/>
        <v>53709.432529192491</v>
      </c>
      <c r="AE47" s="1">
        <f t="shared" si="18"/>
        <v>-36203.707815765621</v>
      </c>
      <c r="AF47" s="1">
        <f>IF(AE47 &lt; 0,
    IF(AF46 + AE47 &gt; 0,
        AF46 + AE47, IF(AK46-ABS(AF46 + AE47)*(1+$V47) &gt;= AF46 + AE47,
        0, AF46 + AE47)),
    MIN(AF46 + AE47, Analysis!$C$7))+IF(AF46&lt;0, AF46*Analysis!$C$9,0)</f>
        <v>0</v>
      </c>
      <c r="AG47" s="40"/>
      <c r="AH47" s="1">
        <f t="shared" si="19"/>
        <v>43089.567810904286</v>
      </c>
      <c r="AI47" s="1">
        <f>IF(AE47 &gt;= 0,
    MAX(0, AF46 + AE47 - Analysis!$C$7),
    0)</f>
        <v>0</v>
      </c>
      <c r="AJ47" s="1">
        <f t="shared" si="44"/>
        <v>971294.89359745686</v>
      </c>
      <c r="AK47" s="1">
        <f t="shared" si="20"/>
        <v>2151815.5226039523</v>
      </c>
      <c r="AL47" s="1">
        <f t="shared" si="5"/>
        <v>1840453.2067034892</v>
      </c>
      <c r="AM47" s="36"/>
      <c r="AN47" s="1">
        <f t="shared" si="45"/>
        <v>1653261.7953296145</v>
      </c>
      <c r="AO47" s="64">
        <f t="shared" si="21"/>
        <v>1.9607843137254832E-2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-4959.7853859888437</v>
      </c>
      <c r="BF47" s="64">
        <f>IF($B47&lt;Analysis!$C$66,0,Analysis!$C$78)</f>
        <v>3.0000000000000001E-3</v>
      </c>
      <c r="BG47" s="1">
        <f>IF($B47&lt;Analysis!$C$66,0,-BH47*AN47)</f>
        <v>-12399.463464972108</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-210790.87890452586</v>
      </c>
      <c r="BS47" s="64">
        <f>IF($B47&lt;Analysis!C$66,0,Analysis!C$31)</f>
        <v>0.1275</v>
      </c>
      <c r="BT47" s="1">
        <f>IF($B47&lt;Analysis!$C$66,0,AN47+BR47)</f>
        <v>1442470.9164250887</v>
      </c>
      <c r="BU47" s="1">
        <f>IF($B47-Analysis!$C$66&gt;3,0,IF($AN47&gt;LOOKUP(Analysis!$C$66,$B:$B, AN:AN),$V47*(LOOKUP(Analysis!$C$66,$B:$B, AN:AN)-AN47),0))</f>
        <v>0</v>
      </c>
      <c r="BV47" s="1">
        <f t="shared" si="23"/>
        <v>1442470.9164250887</v>
      </c>
      <c r="BW47" s="42"/>
      <c r="BX47" s="1">
        <f>IF($B47&lt;Analysis!$C$66,$P47+$N47+$X47+$Z47,$P47+$N47+AS47+AV47+BB47+BE47+BG47+MAX(BI47,SUM(BJ47:BN47))+BP47)</f>
        <v>-69319.248850960954</v>
      </c>
      <c r="BY47" s="1">
        <f t="shared" si="24"/>
        <v>53709.432529192491</v>
      </c>
      <c r="BZ47" s="1">
        <f t="shared" si="46"/>
        <v>-15609.816321768463</v>
      </c>
      <c r="CA47" s="1">
        <f>IF(BZ47 &lt; 0,
    IF(CA46 + BZ47 &gt; 0,
        CA46 + BZ47, IF(CF46-ABS(CA46 + BZ47)*(1+$V47) &gt;= CA46 + BZ47,
        0, CA46 + BZ47)),
    MIN(CA46 + BZ47, Analysis!$C$7))+IF(CA46&lt;0, CA46*Analysis!$C$9,0)</f>
        <v>-260945.33696074277</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994353.10878520331</v>
      </c>
      <c r="CL47" s="64">
        <f t="shared" si="48"/>
        <v>1.9607843137254832E-2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$B47&gt;=Analysis!$C$101),0,((1+Analysis!$B$114)/(1+$S47))-1)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1653261.7953296145</v>
      </c>
      <c r="EC47" s="64">
        <f t="shared" si="50"/>
        <v>1.9607843137254832E-2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-4959.7853859888437</v>
      </c>
      <c r="ET47" s="64">
        <f>IF($B47&lt;Analysis!$C$130,0,Analysis!$C$142)</f>
        <v>3.0000000000000001E-3</v>
      </c>
      <c r="EU47" s="1">
        <f>IF($B47&lt;Analysis!$C$130,0,-EV47*EB47)</f>
        <v>-16532.617953296147</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-210790.87890452586</v>
      </c>
      <c r="FG47" s="64">
        <f>IF($B47&lt;Analysis!$C$130,0,Analysis!$C$31)</f>
        <v>0.1275</v>
      </c>
      <c r="FH47" s="1">
        <f>IF($B47&lt;Analysis!$C$130,0,EB47+FF47)</f>
        <v>1442470.9164250887</v>
      </c>
      <c r="FI47" s="1">
        <f>IF($B47-Analysis!$C$130&gt;3,0,IF(EB47&gt;LOOKUP(Analysis!$C$130,$B:$B, EB:EB),$V47*(LOOKUP(Analysis!$C$130,$B:$B, EB:EB)-EB47),0))</f>
        <v>0</v>
      </c>
      <c r="FJ47" s="1">
        <f t="shared" si="33"/>
        <v>1442470.9164250887</v>
      </c>
      <c r="FK47" s="53"/>
      <c r="FL47" s="1">
        <f>$P47+$N47+IF($B47&lt;Analysis!$C$130,$X47+$Z47,0)+CP47+CS47+CY47+DE47+DG47+MIN(DI47,SUM(DJ47:DN47))+DQ47+DS47+DT47+EG47+EJ47+EP47+ES47+EU47+MIN(EW47,SUM(EX47:FB47))+FD47</f>
        <v>-73452.403339284996</v>
      </c>
      <c r="FM47" s="1">
        <f>$M47+$R47+DD47+IF(AND($B47&lt;&gt;Analysis!$C$130,$B47=Analysis!$C$101),DZ46+CQ46+CT46+CZ46,0)</f>
        <v>53709.432529192491</v>
      </c>
      <c r="FN47" s="1">
        <f t="shared" si="34"/>
        <v>-19742.970810092505</v>
      </c>
      <c r="FO47" s="1">
        <f>IF(FN47 &lt; 0,
    IF(FO46 + FN47 &gt; 0,
        FO46 + FN47, IF(FT46-ABS(FO46 + FN47)*(1+$V47) &gt;= FO46 + FN47,
        0, FO46 + FN47)),
    MIN(FO46 + FN47, Analysis!$C$7))+IF(FO46&lt;0, FO46*Analysis!$C$9,0)</f>
        <v>-224834.35178613535</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994353.10878520331</v>
      </c>
      <c r="FX47" s="64">
        <f t="shared" si="53"/>
        <v>1.9607843137254832E-2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33208.997801838334</v>
      </c>
      <c r="GO47" s="64">
        <f>IF($B47&lt;Analysis!$C$159,0,((1+Analysis!$B$174)/(1+$S47))-1)</f>
        <v>1.9607843137254832E-2</v>
      </c>
      <c r="GP47" s="1">
        <f t="shared" si="7"/>
        <v>40152.057128193941</v>
      </c>
      <c r="GQ47" s="1">
        <f t="shared" si="36"/>
        <v>-2983.0593263556102</v>
      </c>
      <c r="GR47" s="64">
        <f>IF($B47&lt;Analysis!$C$159,0,Analysis!$C$178)</f>
        <v>3.0000000000000001E-3</v>
      </c>
      <c r="GS47" s="1">
        <f t="shared" si="37"/>
        <v>-7457.6483158890242</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-2490.6748351378751</v>
      </c>
      <c r="HD47" s="1">
        <f t="shared" si="38"/>
        <v>-25191.382477382507</v>
      </c>
      <c r="HE47" s="1">
        <f>MIN(0,-(GN47+HD47)*Analysis!$C$28)-GE47*Analysis!$C$28</f>
        <v>-3552.6053502663763</v>
      </c>
      <c r="HF47" s="1">
        <f>-Analysis!$C$176*GP47/12</f>
        <v>-3346.0047606828284</v>
      </c>
      <c r="HG47" s="38"/>
      <c r="HH47" s="1">
        <f>IF($B47&lt;Analysis!$C$159,0,-$HI47*$FW47)</f>
        <v>-126780.02137011342</v>
      </c>
      <c r="HI47" s="64">
        <f>IF($B47&lt;Analysis!$C$159,0,IF($B47=Analysis!$C$159,Analysis!$C$31,HI46))</f>
        <v>0.1275</v>
      </c>
      <c r="HJ47" s="1">
        <f>IF($B47&lt;Analysis!$C$159,0,$FW47+HH47)</f>
        <v>867573.08741508983</v>
      </c>
      <c r="HK47" s="1">
        <f>IF($B47-Analysis!$C$159&gt;10,0,IF($FW47&gt;LOOKUP(Analysis!$C$159,$B:$B, FW:FW),$V47*(LOOKUP(Analysis!$C$159,$B:$B, FW:FW)-FW47),0))</f>
        <v>0</v>
      </c>
      <c r="HL47" s="1">
        <f t="shared" si="39"/>
        <v>867573.08741508983</v>
      </c>
      <c r="HM47" s="38"/>
      <c r="HN47" s="1">
        <f t="shared" si="40"/>
        <v>-113703.13293328982</v>
      </c>
      <c r="HO47" s="1">
        <f t="shared" si="8"/>
        <v>93861.489657386439</v>
      </c>
      <c r="HP47" s="1">
        <f t="shared" si="41"/>
        <v>-19841.643275903378</v>
      </c>
      <c r="HQ47" s="1">
        <f>IF(HP47 &lt; 0,
    IF(HQ46 + HP47 &gt; 0,
        HQ46 + HP47, IF(HV46-ABS(HQ46 + HP47)*(1+$V47) &gt;= HQ46 + HP47,
        0, HQ46 + HP47)),
    MIN(HQ46 + HP47, Analysis!$C$7))+IF(HQ46&lt;0, HQ46*Analysis!$C$9,0)</f>
        <v>0</v>
      </c>
      <c r="HR47" s="38"/>
      <c r="HS47" s="1">
        <f t="shared" si="54"/>
        <v>33256.166864439634</v>
      </c>
      <c r="HT47" s="1">
        <f>IF($B47=Analysis!$C$159,0,IF(HP47 &gt;= 0,
    MAX(0, HQ46 + HP47 - Analysis!$C$7),
    0))</f>
        <v>0</v>
      </c>
      <c r="HU47" s="1">
        <f>IF($B47=Analysis!$C$159,0,MAX(0, HU46 + HT47 - IF(HP47 &lt; 0, MIN(ABS(HP47), HU46 + HT47), 0)))</f>
        <v>922251.51727300754</v>
      </c>
      <c r="HV47" s="1">
        <f>IF($B47=Analysis!$C$159,0,IF(HP47 &lt; 0,
    IF(HP47 + HQ46 &lt; 0,
        MAX(0, HV46 - (ABS(HP47 + HQ46) * (1+$V46))),
        HV46 + HS47),
    HV46 + HT47 + HS47))</f>
        <v>1670989.6333965042</v>
      </c>
      <c r="HW47" s="1">
        <f t="shared" si="58"/>
        <v>1473509.955268932</v>
      </c>
      <c r="HX47" s="36"/>
    </row>
    <row r="48" spans="1:232" x14ac:dyDescent="0.35">
      <c r="A48">
        <f t="shared" si="0"/>
        <v>81</v>
      </c>
      <c r="B48">
        <v>2071</v>
      </c>
      <c r="C48" s="1">
        <f>IF($B48&lt;Analysis!C$66,0,$AN48)+$AT48+$AW48+$BC48+$CF48+$CA48</f>
        <v>1386833.3469588493</v>
      </c>
      <c r="D48" s="1">
        <f>IF($B48&lt;Analysis!C$66, 0, BV48)+AT48+AW48+BC48+CG48+CA48</f>
        <v>1171909.3135659995</v>
      </c>
      <c r="E48" s="1">
        <f t="shared" si="1"/>
        <v>2103765.1244522319</v>
      </c>
      <c r="F48" s="1">
        <f t="shared" si="9"/>
        <v>1795047.7786013642</v>
      </c>
      <c r="G48" s="1">
        <f>IF(AND($B48&gt;=Analysis!$C$100, $B48&lt;Analysis!$C$101),$CK48,0)+IF($B48&gt;=Analysis!$C$130,EB48,0)+CQ48+CT48+CZ48+EH48+EK48+EQ48+$FO48+$FT48</f>
        <v>1421619.0142142321</v>
      </c>
      <c r="H48" s="1">
        <f t="shared" si="10"/>
        <v>1206694.9808213823</v>
      </c>
      <c r="I48" s="1">
        <f>IF($B48&lt;Analysis!$C$159,0,$FW48)+$GC48+$GF48+$GL48+$HQ48+$HV48</f>
        <v>2657746.0305876294</v>
      </c>
      <c r="J48" s="1">
        <f t="shared" si="59"/>
        <v>2332491.8484992487</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-38697.319567408274</v>
      </c>
      <c r="Y48" s="64">
        <f t="shared" si="15"/>
        <v>1.9607843137254832E-2</v>
      </c>
      <c r="Z48" s="1">
        <f t="shared" si="16"/>
        <v>-3960</v>
      </c>
      <c r="AA48" s="64">
        <f t="shared" si="17"/>
        <v>0</v>
      </c>
      <c r="AB48" s="40"/>
      <c r="AC48" s="1">
        <f t="shared" si="3"/>
        <v>-90657.319567408267</v>
      </c>
      <c r="AD48" s="1">
        <f t="shared" si="4"/>
        <v>52635.243878608642</v>
      </c>
      <c r="AE48" s="1">
        <f t="shared" si="18"/>
        <v>-38022.075688799625</v>
      </c>
      <c r="AF48" s="1">
        <f>IF(AE48 &lt; 0,
    IF(AF47 + AE48 &gt; 0,
        AF47 + AE48, IF(AK47-ABS(AF47 + AE48)*(1+$V48) &gt;= AF47 + AE48,
        0, AF47 + AE48)),
    MIN(AF47 + AE48, Analysis!$C$7))+IF(AF47&lt;0, AF47*Analysis!$C$9,0)</f>
        <v>0</v>
      </c>
      <c r="AG48" s="40"/>
      <c r="AH48" s="1">
        <f t="shared" si="19"/>
        <v>42192.461227528329</v>
      </c>
      <c r="AI48" s="1">
        <f>IF(AE48 &gt;= 0,
    MAX(0, AF47 + AE48 - Analysis!$C$7),
    0)</f>
        <v>0</v>
      </c>
      <c r="AJ48" s="1">
        <f t="shared" si="44"/>
        <v>933272.81790865725</v>
      </c>
      <c r="AK48" s="1">
        <f t="shared" si="20"/>
        <v>2103765.1244522319</v>
      </c>
      <c r="AL48" s="1">
        <f t="shared" si="5"/>
        <v>1795047.7786013642</v>
      </c>
      <c r="AM48" s="36"/>
      <c r="AN48" s="1">
        <f t="shared" si="45"/>
        <v>1685678.693277254</v>
      </c>
      <c r="AO48" s="64">
        <f t="shared" si="21"/>
        <v>1.9607843137254832E-2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-5057.0360798317624</v>
      </c>
      <c r="BF48" s="64">
        <f>IF($B48&lt;Analysis!$C$66,0,Analysis!$C$78)</f>
        <v>3.0000000000000001E-3</v>
      </c>
      <c r="BG48" s="1">
        <f>IF($B48&lt;Analysis!$C$66,0,-BH48*AN48)</f>
        <v>-12642.590199579405</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-214924.0333928499</v>
      </c>
      <c r="BS48" s="64">
        <f>IF($B48&lt;Analysis!C$66,0,Analysis!C$31)</f>
        <v>0.1275</v>
      </c>
      <c r="BT48" s="1">
        <f>IF($B48&lt;Analysis!$C$66,0,AN48+BR48)</f>
        <v>1470754.6598844042</v>
      </c>
      <c r="BU48" s="1">
        <f>IF($B48-Analysis!$C$66&gt;3,0,IF($AN48&gt;LOOKUP(Analysis!$C$66,$B:$B, AN:AN),$V48*(LOOKUP(Analysis!$C$66,$B:$B, AN:AN)-AN48),0))</f>
        <v>0</v>
      </c>
      <c r="BV48" s="1">
        <f t="shared" si="23"/>
        <v>1470754.6598844042</v>
      </c>
      <c r="BW48" s="42"/>
      <c r="BX48" s="1">
        <f>IF($B48&lt;Analysis!$C$66,$P48+$N48+$X48+$Z48,$P48+$N48+AS48+AV48+BB48+BE48+BG48+MAX(BI48,SUM(BJ48:BN48))+BP48)</f>
        <v>-69659.626279411168</v>
      </c>
      <c r="BY48" s="1">
        <f t="shared" si="24"/>
        <v>52635.243878608642</v>
      </c>
      <c r="BZ48" s="1">
        <f t="shared" si="46"/>
        <v>-17024.382400802526</v>
      </c>
      <c r="CA48" s="1">
        <f>IF(BZ48 &lt; 0,
    IF(CA47 + BZ48 &gt; 0,
        CA47 + BZ48, IF(CF47-ABS(CA47 + BZ48)*(1+$V48) &gt;= CA47 + BZ48,
        0, CA47 + BZ48)),
    MIN(CA47 + BZ48, Analysis!$C$7))+IF(CA47&lt;0, CA47*Analysis!$C$9,0)</f>
        <v>-298845.34631840471</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1013850.2285653052</v>
      </c>
      <c r="CL48" s="64">
        <f t="shared" si="48"/>
        <v>1.9607843137254832E-2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$B48&gt;=Analysis!$C$101),0,((1+Analysis!$B$114)/(1+$S48))-1)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1685678.693277254</v>
      </c>
      <c r="EC48" s="64">
        <f t="shared" si="50"/>
        <v>1.9607843137254832E-2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-5057.0360798317624</v>
      </c>
      <c r="ET48" s="64">
        <f>IF($B48&lt;Analysis!$C$130,0,Analysis!$C$142)</f>
        <v>3.0000000000000001E-3</v>
      </c>
      <c r="EU48" s="1">
        <f>IF($B48&lt;Analysis!$C$130,0,-EV48*EB48)</f>
        <v>-16856.786932772542</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-214924.0333928499</v>
      </c>
      <c r="FG48" s="64">
        <f>IF($B48&lt;Analysis!$C$130,0,Analysis!$C$31)</f>
        <v>0.1275</v>
      </c>
      <c r="FH48" s="1">
        <f>IF($B48&lt;Analysis!$C$130,0,EB48+FF48)</f>
        <v>1470754.6598844042</v>
      </c>
      <c r="FI48" s="1">
        <f>IF($B48-Analysis!$C$130&gt;3,0,IF(EB48&gt;LOOKUP(Analysis!$C$130,$B:$B, EB:EB),$V48*(LOOKUP(Analysis!$C$130,$B:$B, EB:EB)-EB48),0))</f>
        <v>0</v>
      </c>
      <c r="FJ48" s="1">
        <f t="shared" si="33"/>
        <v>1470754.6598844042</v>
      </c>
      <c r="FK48" s="53"/>
      <c r="FL48" s="1">
        <f>$P48+$N48+IF($B48&lt;Analysis!$C$130,$X48+$Z48,0)+CP48+CS48+CY48+DE48+DG48+MIN(DI48,SUM(DJ48:DN48))+DQ48+DS48+DT48+EG48+EJ48+EP48+ES48+EU48+MIN(EW48,SUM(EX48:FB48))+FD48</f>
        <v>-73873.823012604305</v>
      </c>
      <c r="FM48" s="1">
        <f>$M48+$R48+DD48+IF(AND($B48&lt;&gt;Analysis!$C$130,$B48=Analysis!$C$101),DZ47+CQ47+CT47+CZ47,0)</f>
        <v>52635.243878608642</v>
      </c>
      <c r="FN48" s="1">
        <f t="shared" si="34"/>
        <v>-21238.579133995663</v>
      </c>
      <c r="FO48" s="1">
        <f>IF(FN48 &lt; 0,
    IF(FO47 + FN48 &gt; 0,
        FO47 + FN48, IF(FT47-ABS(FO47 + FN48)*(1+$V48) &gt;= FO47 + FN48,
        0, FO47 + FN48)),
    MIN(FO47 + FN48, Analysis!$C$7))+IF(FO47&lt;0, FO47*Analysis!$C$9,0)</f>
        <v>-264059.67906302185</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1013850.2285653052</v>
      </c>
      <c r="FX48" s="64">
        <f t="shared" si="53"/>
        <v>1.9607843137254832E-2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33860.154621482223</v>
      </c>
      <c r="GO48" s="64">
        <f>IF($B48&lt;Analysis!$C$159,0,((1+Analysis!$B$174)/(1+$S48))-1)</f>
        <v>1.9607843137254832E-2</v>
      </c>
      <c r="GP48" s="1">
        <f t="shared" si="7"/>
        <v>40861.705307178141</v>
      </c>
      <c r="GQ48" s="1">
        <f t="shared" si="36"/>
        <v>-3041.5506856959159</v>
      </c>
      <c r="GR48" s="64">
        <f>IF($B48&lt;Analysis!$C$159,0,Analysis!$C$178)</f>
        <v>3.0000000000000001E-3</v>
      </c>
      <c r="GS48" s="1">
        <f t="shared" si="37"/>
        <v>-7603.8767142397892</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-2539.5115966111666</v>
      </c>
      <c r="HD48" s="1">
        <f t="shared" si="38"/>
        <v>-25444.938996546869</v>
      </c>
      <c r="HE48" s="1">
        <f>MIN(0,-(GN48+HD48)*Analysis!$C$28)-GE48*Analysis!$C$28</f>
        <v>-3728.7820434088549</v>
      </c>
      <c r="HF48" s="1">
        <f>-Analysis!$C$176*GP48/12</f>
        <v>-3405.1421089315118</v>
      </c>
      <c r="HG48" s="38"/>
      <c r="HH48" s="1">
        <f>IF($B48&lt;Analysis!$C$159,0,-$HI48*$FW48)</f>
        <v>-129265.90414207643</v>
      </c>
      <c r="HI48" s="64">
        <f>IF($B48&lt;Analysis!$C$159,0,IF($B48=Analysis!$C$159,Analysis!$C$31,HI47))</f>
        <v>0.1275</v>
      </c>
      <c r="HJ48" s="1">
        <f>IF($B48&lt;Analysis!$C$159,0,$FW48+HH48)</f>
        <v>884584.32442322886</v>
      </c>
      <c r="HK48" s="1">
        <f>IF($B48-Analysis!$C$159&gt;10,0,IF($FW48&gt;LOOKUP(Analysis!$C$159,$B:$B, FW:FW),$V48*(LOOKUP(Analysis!$C$159,$B:$B, FW:FW)-FW48),0))</f>
        <v>0</v>
      </c>
      <c r="HL48" s="1">
        <f t="shared" si="39"/>
        <v>884584.32442322886</v>
      </c>
      <c r="HM48" s="38"/>
      <c r="HN48" s="1">
        <f t="shared" si="40"/>
        <v>-114936.18271629549</v>
      </c>
      <c r="HO48" s="1">
        <f t="shared" si="8"/>
        <v>93496.949185786783</v>
      </c>
      <c r="HP48" s="1">
        <f t="shared" si="41"/>
        <v>-21439.233530508704</v>
      </c>
      <c r="HQ48" s="1">
        <f>IF(HP48 &lt; 0,
    IF(HQ47 + HP48 &gt; 0,
        HQ47 + HP48, IF(HV47-ABS(HQ47 + HP48)*(1+$V48) &gt;= HQ47 + HP48,
        0, HQ47 + HP48)),
    MIN(HQ47 + HP48, Analysis!$C$7))+IF(HQ47&lt;0, HQ47*Analysis!$C$9,0)</f>
        <v>0</v>
      </c>
      <c r="HR48" s="38"/>
      <c r="HS48" s="1">
        <f t="shared" si="54"/>
        <v>32764.502615617614</v>
      </c>
      <c r="HT48" s="1">
        <f>IF($B48=Analysis!$C$159,0,IF(HP48 &gt;= 0,
    MAX(0, HQ47 + HP48 - Analysis!$C$7),
    0))</f>
        <v>0</v>
      </c>
      <c r="HU48" s="1">
        <f>IF($B48=Analysis!$C$159,0,MAX(0, HU47 + HT48 - IF(HP48 &lt; 0, MIN(ABS(HP48), HU47 + HT48), 0)))</f>
        <v>900812.28374249884</v>
      </c>
      <c r="HV48" s="1">
        <f>IF($B48=Analysis!$C$159,0,IF(HP48 &lt; 0,
    IF(HP48 + HQ47 &lt; 0,
        MAX(0, HV47 - (ABS(HP48 + HQ47) * (1+$V47))),
        HV47 + HS48),
    HV47 + HT48 + HS48))</f>
        <v>1643895.8020223239</v>
      </c>
      <c r="HW48" s="1">
        <f t="shared" si="58"/>
        <v>1447907.5240760201</v>
      </c>
      <c r="HX48" s="36"/>
    </row>
    <row r="49" spans="1:232" x14ac:dyDescent="0.35">
      <c r="A49">
        <f t="shared" si="0"/>
        <v>82</v>
      </c>
      <c r="B49">
        <v>2072</v>
      </c>
      <c r="C49" s="1">
        <f>IF($B49&lt;Analysis!C$66,0,$AN49)+$AT49+$AW49+$BC49+$CF49+$CA49</f>
        <v>1377554.1038769204</v>
      </c>
      <c r="D49" s="1">
        <f>IF($B49&lt;Analysis!C$66, 0, BV49)+AT49+AW49+BC49+CG49+CA49</f>
        <v>1158415.8737508776</v>
      </c>
      <c r="E49" s="1">
        <f t="shared" si="1"/>
        <v>2053425.4736957282</v>
      </c>
      <c r="F49" s="1">
        <f t="shared" si="9"/>
        <v>1747479.1115136663</v>
      </c>
      <c r="G49" s="1">
        <f>IF(AND($B49&gt;=Analysis!$C$100, $B49&lt;Analysis!$C$101),$CK49,0)+IF($B49&gt;=Analysis!$C$130,EB49,0)+CQ49+CT49+CZ49+EH49+EK49+EQ49+$FO49+$FT49</f>
        <v>1410825.796471047</v>
      </c>
      <c r="H49" s="1">
        <f t="shared" si="10"/>
        <v>1191687.5663450039</v>
      </c>
      <c r="I49" s="1">
        <f>IF($B49&lt;Analysis!$C$159,0,$FW49)+$GC49+$GF49+$GL49+$HQ49+$HV49</f>
        <v>2648526.8413098487</v>
      </c>
      <c r="J49" s="1">
        <f t="shared" si="59"/>
        <v>2322339.7881215452</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-39456.09053931824</v>
      </c>
      <c r="Y49" s="64">
        <f t="shared" si="15"/>
        <v>1.9607843137254832E-2</v>
      </c>
      <c r="Z49" s="1">
        <f t="shared" si="16"/>
        <v>-3960</v>
      </c>
      <c r="AA49" s="64">
        <f t="shared" si="17"/>
        <v>0</v>
      </c>
      <c r="AB49" s="40"/>
      <c r="AC49" s="1">
        <f t="shared" si="3"/>
        <v>-91416.090539318247</v>
      </c>
      <c r="AD49" s="1">
        <f t="shared" si="4"/>
        <v>51582.539001036472</v>
      </c>
      <c r="AE49" s="1">
        <f t="shared" si="18"/>
        <v>-39833.551538281776</v>
      </c>
      <c r="AF49" s="1">
        <f>IF(AE49 &lt; 0,
    IF(AF48 + AE49 &gt; 0,
        AF48 + AE49, IF(AK48-ABS(AF48 + AE49)*(1+$V49) &gt;= AF48 + AE49,
        0, AF48 + AE49)),
    MIN(AF48 + AE49, Analysis!$C$7))+IF(AF48&lt;0, AF48*Analysis!$C$9,0)</f>
        <v>0</v>
      </c>
      <c r="AG49" s="40"/>
      <c r="AH49" s="1">
        <f t="shared" si="19"/>
        <v>41250.296557886752</v>
      </c>
      <c r="AI49" s="1">
        <f>IF(AE49 &gt;= 0,
    MAX(0, AF48 + AE49 - Analysis!$C$7),
    0)</f>
        <v>0</v>
      </c>
      <c r="AJ49" s="1">
        <f t="shared" si="44"/>
        <v>893439.26637037552</v>
      </c>
      <c r="AK49" s="1">
        <f t="shared" si="20"/>
        <v>2053425.4736957282</v>
      </c>
      <c r="AL49" s="1">
        <f t="shared" si="5"/>
        <v>1747479.1115136663</v>
      </c>
      <c r="AM49" s="36"/>
      <c r="AN49" s="1">
        <f t="shared" si="45"/>
        <v>1718731.2166748471</v>
      </c>
      <c r="AO49" s="64">
        <f t="shared" si="21"/>
        <v>1.9607843137254832E-2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-5156.1936500245411</v>
      </c>
      <c r="BF49" s="64">
        <f>IF($B49&lt;Analysis!$C$66,0,Analysis!$C$78)</f>
        <v>3.0000000000000001E-3</v>
      </c>
      <c r="BG49" s="1">
        <f>IF($B49&lt;Analysis!$C$66,0,-BH49*AN49)</f>
        <v>-12890.484125061352</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-219138.230126043</v>
      </c>
      <c r="BS49" s="64">
        <f>IF($B49&lt;Analysis!C$66,0,Analysis!C$31)</f>
        <v>0.1275</v>
      </c>
      <c r="BT49" s="1">
        <f>IF($B49&lt;Analysis!$C$66,0,AN49+BR49)</f>
        <v>1499592.986548804</v>
      </c>
      <c r="BU49" s="1">
        <f>IF($B49-Analysis!$C$66&gt;3,0,IF($AN49&gt;LOOKUP(Analysis!$C$66,$B:$B, AN:AN),$V49*(LOOKUP(Analysis!$C$66,$B:$B, AN:AN)-AN49),0))</f>
        <v>0</v>
      </c>
      <c r="BV49" s="1">
        <f t="shared" si="23"/>
        <v>1499592.986548804</v>
      </c>
      <c r="BW49" s="42"/>
      <c r="BX49" s="1">
        <f>IF($B49&lt;Analysis!$C$66,$P49+$N49+$X49+$Z49,$P49+$N49+AS49+AV49+BB49+BE49+BG49+MAX(BI49,SUM(BJ49:BN49))+BP49)</f>
        <v>-70006.677775085889</v>
      </c>
      <c r="BY49" s="1">
        <f t="shared" si="24"/>
        <v>51582.539001036472</v>
      </c>
      <c r="BZ49" s="1">
        <f t="shared" si="46"/>
        <v>-18424.138774049417</v>
      </c>
      <c r="CA49" s="1">
        <f>IF(BZ49 &lt; 0,
    IF(CA48 + BZ49 &gt; 0,
        CA48 + BZ49, IF(CF48-ABS(CA48 + BZ49)*(1+$V49) &gt;= CA48 + BZ49,
        0, CA48 + BZ49)),
    MIN(CA48 + BZ49, Analysis!$C$7))+IF(CA48&lt;0, CA48*Analysis!$C$9,0)</f>
        <v>-341177.11279792653</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1033729.6448116837</v>
      </c>
      <c r="CL49" s="64">
        <f t="shared" si="48"/>
        <v>1.9607843137254832E-2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$B49&gt;=Analysis!$C$101),0,((1+Analysis!$B$114)/(1+$S49))-1)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1718731.2166748471</v>
      </c>
      <c r="EC49" s="64">
        <f t="shared" si="50"/>
        <v>1.9607843137254832E-2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-5156.1936500245411</v>
      </c>
      <c r="ET49" s="64">
        <f>IF($B49&lt;Analysis!$C$130,0,Analysis!$C$142)</f>
        <v>3.0000000000000001E-3</v>
      </c>
      <c r="EU49" s="1">
        <f>IF($B49&lt;Analysis!$C$130,0,-EV49*EB49)</f>
        <v>-17187.31216674847</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-219138.230126043</v>
      </c>
      <c r="FG49" s="64">
        <f>IF($B49&lt;Analysis!$C$130,0,Analysis!$C$31)</f>
        <v>0.1275</v>
      </c>
      <c r="FH49" s="1">
        <f>IF($B49&lt;Analysis!$C$130,0,EB49+FF49)</f>
        <v>1499592.986548804</v>
      </c>
      <c r="FI49" s="1">
        <f>IF($B49-Analysis!$C$130&gt;3,0,IF(EB49&gt;LOOKUP(Analysis!$C$130,$B:$B, EB:EB),$V49*(LOOKUP(Analysis!$C$130,$B:$B, EB:EB)-EB49),0))</f>
        <v>0</v>
      </c>
      <c r="FJ49" s="1">
        <f t="shared" si="33"/>
        <v>1499592.986548804</v>
      </c>
      <c r="FK49" s="53"/>
      <c r="FL49" s="1">
        <f>$P49+$N49+IF($B49&lt;Analysis!$C$130,$X49+$Z49,0)+CP49+CS49+CY49+DE49+DG49+MIN(DI49,SUM(DJ49:DN49))+DQ49+DS49+DT49+EG49+EJ49+EP49+ES49+EU49+MIN(EW49,SUM(EX49:FB49))+FD49</f>
        <v>-74303.505816773017</v>
      </c>
      <c r="FM49" s="1">
        <f>$M49+$R49+DD49+IF(AND($B49&lt;&gt;Analysis!$C$130,$B49=Analysis!$C$101),DZ48+CQ48+CT48+CZ48,0)</f>
        <v>51582.539001036472</v>
      </c>
      <c r="FN49" s="1">
        <f t="shared" si="34"/>
        <v>-22720.966815736545</v>
      </c>
      <c r="FO49" s="1">
        <f>IF(FN49 &lt; 0,
    IF(FO48 + FN49 &gt; 0,
        FO48 + FN49, IF(FT48-ABS(FO48 + FN49)*(1+$V49) &gt;= FO48 + FN49,
        0, FO48 + FN49)),
    MIN(FO48 + FN49, Analysis!$C$7))+IF(FO48&lt;0, FO48*Analysis!$C$9,0)</f>
        <v>-307905.42020380014</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1033729.6448116837</v>
      </c>
      <c r="FX49" s="64">
        <f t="shared" si="53"/>
        <v>1.9607843137254832E-2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34524.079221903441</v>
      </c>
      <c r="GO49" s="64">
        <f>IF($B49&lt;Analysis!$C$159,0,((1+Analysis!$B$174)/(1+$S49))-1)</f>
        <v>1.9607843137254832E-2</v>
      </c>
      <c r="GP49" s="1">
        <f t="shared" si="7"/>
        <v>41585.26815633849</v>
      </c>
      <c r="GQ49" s="1">
        <f t="shared" si="36"/>
        <v>-3101.1889344350511</v>
      </c>
      <c r="GR49" s="64">
        <f>IF($B49&lt;Analysis!$C$159,0,Analysis!$C$178)</f>
        <v>3.0000000000000001E-3</v>
      </c>
      <c r="GS49" s="1">
        <f t="shared" si="37"/>
        <v>-7752.9723360876269</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-2589.3059416427582</v>
      </c>
      <c r="HD49" s="1">
        <f t="shared" si="38"/>
        <v>-25703.467212165437</v>
      </c>
      <c r="HE49" s="1">
        <f>MIN(0,-(GN49+HD49)*Analysis!$C$28)-GE49*Analysis!$C$28</f>
        <v>-3908.4131815149094</v>
      </c>
      <c r="HF49" s="1">
        <f>-Analysis!$C$176*GP49/12</f>
        <v>-3465.4390130282077</v>
      </c>
      <c r="HG49" s="38"/>
      <c r="HH49" s="1">
        <f>IF($B49&lt;Analysis!$C$159,0,-$HI49*$FW49)</f>
        <v>-131800.52971348967</v>
      </c>
      <c r="HI49" s="64">
        <f>IF($B49&lt;Analysis!$C$159,0,IF($B49=Analysis!$C$159,Analysis!$C$31,HI48))</f>
        <v>0.1275</v>
      </c>
      <c r="HJ49" s="1">
        <f>IF($B49&lt;Analysis!$C$159,0,$FW49+HH49)</f>
        <v>901929.11509819399</v>
      </c>
      <c r="HK49" s="1">
        <f>IF($B49-Analysis!$C$159&gt;10,0,IF($FW49&gt;LOOKUP(Analysis!$C$159,$B:$B, FW:FW),$V49*(LOOKUP(Analysis!$C$159,$B:$B, FW:FW)-FW49),0))</f>
        <v>0</v>
      </c>
      <c r="HL49" s="1">
        <f t="shared" si="39"/>
        <v>901929.11509819399</v>
      </c>
      <c r="HM49" s="38"/>
      <c r="HN49" s="1">
        <f t="shared" si="40"/>
        <v>-116193.4099460268</v>
      </c>
      <c r="HO49" s="1">
        <f t="shared" si="8"/>
        <v>93167.807157374962</v>
      </c>
      <c r="HP49" s="1">
        <f t="shared" si="41"/>
        <v>-23025.602788651842</v>
      </c>
      <c r="HQ49" s="1">
        <f>IF(HP49 &lt; 0,
    IF(HQ48 + HP49 &gt; 0,
        HQ48 + HP49, IF(HV48-ABS(HQ48 + HP49)*(1+$V49) &gt;= HQ48 + HP49,
        0, HQ48 + HP49)),
    MIN(HQ48 + HP49, Analysis!$C$7))+IF(HQ48&lt;0, HQ48*Analysis!$C$9,0)</f>
        <v>0</v>
      </c>
      <c r="HR49" s="38"/>
      <c r="HS49" s="1">
        <f t="shared" si="54"/>
        <v>32233.251020045453</v>
      </c>
      <c r="HT49" s="1">
        <f>IF($B49=Analysis!$C$159,0,IF(HP49 &gt;= 0,
    MAX(0, HQ48 + HP49 - Analysis!$C$7),
    0))</f>
        <v>0</v>
      </c>
      <c r="HU49" s="1">
        <f>IF($B49=Analysis!$C$159,0,MAX(0, HU48 + HT49 - IF(HP49 &lt; 0, MIN(ABS(HP49), HU48 + HT49), 0)))</f>
        <v>877786.68095384701</v>
      </c>
      <c r="HV49" s="1">
        <f>IF($B49=Analysis!$C$159,0,IF(HP49 &lt; 0,
    IF(HP49 + HQ48 &lt; 0,
        MAX(0, HV48 - (ABS(HP49 + HQ48) * (1+$V48))),
        HV48 + HS49),
    HV48 + HT49 + HS49))</f>
        <v>1614797.1964981651</v>
      </c>
      <c r="HW49" s="1">
        <f t="shared" si="58"/>
        <v>1420410.6730233512</v>
      </c>
      <c r="HX49" s="36"/>
    </row>
    <row r="50" spans="1:232" x14ac:dyDescent="0.35">
      <c r="A50">
        <f t="shared" si="0"/>
        <v>83</v>
      </c>
      <c r="B50">
        <v>2073</v>
      </c>
      <c r="C50" s="1">
        <f>IF($B50&lt;Analysis!C$66,0,$AN50)+$AT50+$AW50+$BC50+$CF50+$CA50</f>
        <v>1364150.9009637174</v>
      </c>
      <c r="D50" s="1">
        <f>IF($B50&lt;Analysis!C$66, 0, BV50)+AT50+AW50+BC50+CG50+CA50</f>
        <v>1140715.8427959871</v>
      </c>
      <c r="E50" s="1">
        <f t="shared" si="1"/>
        <v>2000804.3755518743</v>
      </c>
      <c r="F50" s="1">
        <f t="shared" si="9"/>
        <v>1697754.5810138066</v>
      </c>
      <c r="G50" s="1">
        <f>IF(AND($B50&gt;=Analysis!$C$100, $B50&lt;Analysis!$C$101),$CK50,0)+IF($B50&gt;=Analysis!$C$130,EB50,0)+CQ50+CT50+CZ50+EH50+EK50+EQ50+$FO50+$FT50</f>
        <v>1395703.2493934575</v>
      </c>
      <c r="H50" s="1">
        <f t="shared" si="10"/>
        <v>1172268.1912257273</v>
      </c>
      <c r="I50" s="1">
        <f>IF($B50&lt;Analysis!$C$159,0,$FW50)+$GC50+$GF50+$GL50+$HQ50+$HV50</f>
        <v>2637706.0535838595</v>
      </c>
      <c r="J50" s="1">
        <f t="shared" si="59"/>
        <v>2310646.0483555496</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-40229.739373422519</v>
      </c>
      <c r="Y50" s="64">
        <f t="shared" si="15"/>
        <v>1.9607843137254832E-2</v>
      </c>
      <c r="Z50" s="1">
        <f t="shared" si="16"/>
        <v>-3960</v>
      </c>
      <c r="AA50" s="64">
        <f t="shared" si="17"/>
        <v>0</v>
      </c>
      <c r="AB50" s="40"/>
      <c r="AC50" s="1">
        <f t="shared" si="3"/>
        <v>-92189.739373422519</v>
      </c>
      <c r="AD50" s="1">
        <f t="shared" si="4"/>
        <v>50550.888221015739</v>
      </c>
      <c r="AE50" s="1">
        <f t="shared" si="18"/>
        <v>-41638.85115240678</v>
      </c>
      <c r="AF50" s="1">
        <f>IF(AE50 &lt; 0,
    IF(AF49 + AE50 &gt; 0,
        AF49 + AE50, IF(AK49-ABS(AF49 + AE50)*(1+$V50) &gt;= AF49 + AE50,
        0, AF49 + AE50)),
    MIN(AF49 + AE50, Analysis!$C$7))+IF(AF49&lt;0, AF49*Analysis!$C$9,0)</f>
        <v>0</v>
      </c>
      <c r="AG50" s="40"/>
      <c r="AH50" s="1">
        <f t="shared" si="19"/>
        <v>40263.244582269035</v>
      </c>
      <c r="AI50" s="1">
        <f>IF(AE50 &gt;= 0,
    MAX(0, AF49 + AE50 - Analysis!$C$7),
    0)</f>
        <v>0</v>
      </c>
      <c r="AJ50" s="1">
        <f t="shared" si="44"/>
        <v>851800.41521796875</v>
      </c>
      <c r="AK50" s="1">
        <f t="shared" si="20"/>
        <v>2000804.3755518743</v>
      </c>
      <c r="AL50" s="1">
        <f t="shared" si="5"/>
        <v>1697754.5810138066</v>
      </c>
      <c r="AM50" s="36"/>
      <c r="AN50" s="1">
        <f t="shared" si="45"/>
        <v>1752431.8287665106</v>
      </c>
      <c r="AO50" s="64">
        <f t="shared" si="21"/>
        <v>1.9607843137254832E-2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-5257.2954862995321</v>
      </c>
      <c r="BF50" s="64">
        <f>IF($B50&lt;Analysis!$C$66,0,Analysis!$C$78)</f>
        <v>3.0000000000000001E-3</v>
      </c>
      <c r="BG50" s="1">
        <f>IF($B50&lt;Analysis!$C$66,0,-BH50*AN50)</f>
        <v>-13143.238715748828</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-223435.05816773011</v>
      </c>
      <c r="BS50" s="64">
        <f>IF($B50&lt;Analysis!C$66,0,Analysis!C$31)</f>
        <v>0.1275</v>
      </c>
      <c r="BT50" s="1">
        <f>IF($B50&lt;Analysis!$C$66,0,AN50+BR50)</f>
        <v>1528996.7705987804</v>
      </c>
      <c r="BU50" s="1">
        <f>IF($B50-Analysis!$C$66&gt;3,0,IF($AN50&gt;LOOKUP(Analysis!$C$66,$B:$B, AN:AN),$V50*(LOOKUP(Analysis!$C$66,$B:$B, AN:AN)-AN50),0))</f>
        <v>0</v>
      </c>
      <c r="BV50" s="1">
        <f t="shared" si="23"/>
        <v>1528996.7705987804</v>
      </c>
      <c r="BW50" s="42"/>
      <c r="BX50" s="1">
        <f>IF($B50&lt;Analysis!$C$66,$P50+$N50+$X50+$Z50,$P50+$N50+AS50+AV50+BB50+BE50+BG50+MAX(BI50,SUM(BJ50:BN50))+BP50)</f>
        <v>-70360.534202048366</v>
      </c>
      <c r="BY50" s="1">
        <f t="shared" si="24"/>
        <v>50550.888221015739</v>
      </c>
      <c r="BZ50" s="1">
        <f t="shared" si="46"/>
        <v>-19809.645981032627</v>
      </c>
      <c r="CA50" s="1">
        <f>IF(BZ50 &lt; 0,
    IF(CA49 + BZ50 &gt; 0,
        CA49 + BZ50, IF(CF49-ABS(CA49 + BZ50)*(1+$V50) &gt;= CA49 + BZ50,
        0, CA49 + BZ50)),
    MIN(CA49 + BZ50, Analysis!$C$7))+IF(CA49&lt;0, CA49*Analysis!$C$9,0)</f>
        <v>-388280.92780279327</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1053998.8535334812</v>
      </c>
      <c r="CL50" s="64">
        <f t="shared" si="48"/>
        <v>1.9607843137254832E-2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$B50&gt;=Analysis!$C$101),0,((1+Analysis!$B$114)/(1+$S50))-1)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1752431.8287665106</v>
      </c>
      <c r="EC50" s="64">
        <f t="shared" si="50"/>
        <v>1.9607843137254832E-2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-5257.2954862995321</v>
      </c>
      <c r="ET50" s="64">
        <f>IF($B50&lt;Analysis!$C$130,0,Analysis!$C$142)</f>
        <v>3.0000000000000001E-3</v>
      </c>
      <c r="EU50" s="1">
        <f>IF($B50&lt;Analysis!$C$130,0,-EV50*EB50)</f>
        <v>-17524.318287665108</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-223435.05816773011</v>
      </c>
      <c r="FG50" s="64">
        <f>IF($B50&lt;Analysis!$C$130,0,Analysis!$C$31)</f>
        <v>0.1275</v>
      </c>
      <c r="FH50" s="1">
        <f>IF($B50&lt;Analysis!$C$130,0,EB50+FF50)</f>
        <v>1528996.7705987804</v>
      </c>
      <c r="FI50" s="1">
        <f>IF($B50-Analysis!$C$130&gt;3,0,IF(EB50&gt;LOOKUP(Analysis!$C$130,$B:$B, EB:EB),$V50*(LOOKUP(Analysis!$C$130,$B:$B, EB:EB)-EB50),0))</f>
        <v>0</v>
      </c>
      <c r="FJ50" s="1">
        <f t="shared" si="33"/>
        <v>1528996.7705987804</v>
      </c>
      <c r="FK50" s="53"/>
      <c r="FL50" s="1">
        <f>$P50+$N50+IF($B50&lt;Analysis!$C$130,$X50+$Z50,0)+CP50+CS50+CY50+DE50+DG50+MIN(DI50,SUM(DJ50:DN50))+DQ50+DS50+DT50+EG50+EJ50+EP50+ES50+EU50+MIN(EW50,SUM(EX50:FB50))+FD50</f>
        <v>-74741.613773964636</v>
      </c>
      <c r="FM50" s="1">
        <f>$M50+$R50+DD50+IF(AND($B50&lt;&gt;Analysis!$C$130,$B50=Analysis!$C$101),DZ49+CQ49+CT49+CZ49,0)</f>
        <v>50550.888221015739</v>
      </c>
      <c r="FN50" s="1">
        <f t="shared" si="34"/>
        <v>-24190.725552948898</v>
      </c>
      <c r="FO50" s="1">
        <f>IF(FN50 &lt; 0,
    IF(FO49 + FN50 &gt; 0,
        FO49 + FN50, IF(FT49-ABS(FO49 + FN50)*(1+$V50) &gt;= FO49 + FN50,
        0, FO49 + FN50)),
    MIN(FO49 + FN50, Analysis!$C$7))+IF(FO49&lt;0, FO49*Analysis!$C$9,0)</f>
        <v>-356728.57937305304</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1053998.8535334812</v>
      </c>
      <c r="FX50" s="64">
        <f t="shared" si="53"/>
        <v>1.9607843137254832E-2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35201.021951744682</v>
      </c>
      <c r="GO50" s="64">
        <f>IF($B50&lt;Analysis!$C$159,0,((1+Analysis!$B$174)/(1+$S50))-1)</f>
        <v>1.9607843137254832E-2</v>
      </c>
      <c r="GP50" s="1">
        <f t="shared" si="7"/>
        <v>42323.018512345123</v>
      </c>
      <c r="GQ50" s="1">
        <f t="shared" si="36"/>
        <v>-3161.9965606004439</v>
      </c>
      <c r="GR50" s="64">
        <f>IF($B50&lt;Analysis!$C$159,0,Analysis!$C$178)</f>
        <v>3.0000000000000001E-3</v>
      </c>
      <c r="GS50" s="1">
        <f t="shared" si="37"/>
        <v>-7904.9914015011091</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-2640.0766463808509</v>
      </c>
      <c r="HD50" s="1">
        <f t="shared" si="38"/>
        <v>-25967.064608482404</v>
      </c>
      <c r="HE50" s="1">
        <f>MIN(0,-(GN50+HD50)*Analysis!$C$28)-GE50*Analysis!$C$28</f>
        <v>-4091.5664987995151</v>
      </c>
      <c r="HF50" s="1">
        <f>-Analysis!$C$176*GP50/12</f>
        <v>-3526.9182093620934</v>
      </c>
      <c r="HG50" s="38"/>
      <c r="HH50" s="1">
        <f>IF($B50&lt;Analysis!$C$159,0,-$HI50*$FW50)</f>
        <v>-134384.85382551886</v>
      </c>
      <c r="HI50" s="64">
        <f>IF($B50&lt;Analysis!$C$159,0,IF($B50=Analysis!$C$159,Analysis!$C$31,HI49))</f>
        <v>0.1275</v>
      </c>
      <c r="HJ50" s="1">
        <f>IF($B50&lt;Analysis!$C$159,0,$FW50+HH50)</f>
        <v>919613.99970796239</v>
      </c>
      <c r="HK50" s="1">
        <f>IF($B50-Analysis!$C$159&gt;10,0,IF($FW50&gt;LOOKUP(Analysis!$C$159,$B:$B, FW:FW),$V50*(LOOKUP(Analysis!$C$159,$B:$B, FW:FW)-FW50),0))</f>
        <v>0</v>
      </c>
      <c r="HL50" s="1">
        <f t="shared" si="39"/>
        <v>919613.99970796239</v>
      </c>
      <c r="HM50" s="38"/>
      <c r="HN50" s="1">
        <f t="shared" si="40"/>
        <v>-117475.28869006653</v>
      </c>
      <c r="HO50" s="1">
        <f t="shared" si="8"/>
        <v>92873.906733360869</v>
      </c>
      <c r="HP50" s="1">
        <f t="shared" si="41"/>
        <v>-24601.381956705663</v>
      </c>
      <c r="HQ50" s="1">
        <f>IF(HP50 &lt; 0,
    IF(HQ49 + HP50 &gt; 0,
        HQ49 + HP50, IF(HV49-ABS(HQ49 + HP50)*(1+$V50) &gt;= HQ49 + HP50,
        0, HQ49 + HP50)),
    MIN(HQ49 + HP50, Analysis!$C$7))+IF(HQ49&lt;0, HQ49*Analysis!$C$9,0)</f>
        <v>0</v>
      </c>
      <c r="HR50" s="38"/>
      <c r="HS50" s="1">
        <f t="shared" si="54"/>
        <v>31662.690127414891</v>
      </c>
      <c r="HT50" s="1">
        <f>IF($B50=Analysis!$C$159,0,IF(HP50 &gt;= 0,
    MAX(0, HQ49 + HP50 - Analysis!$C$7),
    0))</f>
        <v>0</v>
      </c>
      <c r="HU50" s="1">
        <f>IF($B50=Analysis!$C$159,0,MAX(0, HU49 + HT50 - IF(HP50 &lt; 0, MIN(ABS(HP50), HU49 + HT50), 0)))</f>
        <v>853185.2989971413</v>
      </c>
      <c r="HV50" s="1">
        <f>IF($B50=Analysis!$C$159,0,IF(HP50 &lt; 0,
    IF(HP50 + HQ49 &lt; 0,
        MAX(0, HV49 - (ABS(HP50 + HQ49) * (1+$V49))),
        HV49 + HS50),
    HV49 + HT50 + HS50))</f>
        <v>1583707.2000503785</v>
      </c>
      <c r="HW50" s="1">
        <f t="shared" si="58"/>
        <v>1391032.0486475872</v>
      </c>
      <c r="HX50" s="36"/>
    </row>
    <row r="51" spans="1:232" x14ac:dyDescent="0.35">
      <c r="A51">
        <f t="shared" si="0"/>
        <v>84</v>
      </c>
      <c r="B51">
        <v>2074</v>
      </c>
      <c r="C51" s="1">
        <f>IF($B51&lt;Analysis!C$66,0,$AN51)+$AT51+$AW51+$BC51+$CF51+$CA51</f>
        <v>1346268.376612952</v>
      </c>
      <c r="D51" s="1">
        <f>IF($B51&lt;Analysis!C$66, 0, BV51)+AT51+AW51+BC51+CG51+CA51</f>
        <v>1118452.2388733057</v>
      </c>
      <c r="E51" s="1">
        <f t="shared" si="1"/>
        <v>1945908.7344311131</v>
      </c>
      <c r="F51" s="1">
        <f t="shared" si="9"/>
        <v>1645880.7114537992</v>
      </c>
      <c r="G51" s="1">
        <f>IF(AND($B51&gt;=Analysis!$C$100, $B51&lt;Analysis!$C$101),$CK51,0)+IF($B51&gt;=Analysis!$C$130,EB51,0)+CQ51+CT51+CZ51+EH51+EK51+EQ51+$FO51+$FT51</f>
        <v>1375877.9298241371</v>
      </c>
      <c r="H51" s="1">
        <f t="shared" si="10"/>
        <v>1148061.7920844909</v>
      </c>
      <c r="I51" s="1">
        <f>IF($B51&lt;Analysis!$C$159,0,$FW51)+$GC51+$GF51+$GL51+$HQ51+$HV51</f>
        <v>2625303.9021914611</v>
      </c>
      <c r="J51" s="1">
        <f t="shared" si="59"/>
        <v>2297429.1963772736</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-41018.557792509229</v>
      </c>
      <c r="Y51" s="64">
        <f t="shared" si="15"/>
        <v>1.9607843137254832E-2</v>
      </c>
      <c r="Z51" s="1">
        <f t="shared" si="16"/>
        <v>-3960</v>
      </c>
      <c r="AA51" s="64">
        <f t="shared" si="17"/>
        <v>0</v>
      </c>
      <c r="AB51" s="40"/>
      <c r="AC51" s="1">
        <f t="shared" si="3"/>
        <v>-92978.557792509237</v>
      </c>
      <c r="AD51" s="1">
        <f t="shared" si="4"/>
        <v>49539.870456595425</v>
      </c>
      <c r="AE51" s="1">
        <f t="shared" si="18"/>
        <v>-43438.687335913812</v>
      </c>
      <c r="AF51" s="1">
        <f>IF(AE51 &lt; 0,
    IF(AF50 + AE51 &gt; 0,
        AF50 + AE51, IF(AK50-ABS(AF50 + AE51)*(1+$V51) &gt;= AF50 + AE51,
        0, AF50 + AE51)),
    MIN(AF50 + AE51, Analysis!$C$7))+IF(AF50&lt;0, AF50*Analysis!$C$9,0)</f>
        <v>0</v>
      </c>
      <c r="AG51" s="40"/>
      <c r="AH51" s="1">
        <f t="shared" si="19"/>
        <v>39231.458344154256</v>
      </c>
      <c r="AI51" s="1">
        <f>IF(AE51 &gt;= 0,
    MAX(0, AF50 + AE51 - Analysis!$C$7),
    0)</f>
        <v>0</v>
      </c>
      <c r="AJ51" s="1">
        <f t="shared" si="44"/>
        <v>808361.72788205498</v>
      </c>
      <c r="AK51" s="1">
        <f t="shared" si="20"/>
        <v>1945908.7344311131</v>
      </c>
      <c r="AL51" s="1">
        <f t="shared" si="5"/>
        <v>1645880.7114537992</v>
      </c>
      <c r="AM51" s="36"/>
      <c r="AN51" s="1">
        <f t="shared" si="45"/>
        <v>1786793.237173697</v>
      </c>
      <c r="AO51" s="64">
        <f t="shared" si="21"/>
        <v>1.9607843137254832E-2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-5360.3797115210909</v>
      </c>
      <c r="BF51" s="64">
        <f>IF($B51&lt;Analysis!$C$66,0,Analysis!$C$78)</f>
        <v>3.0000000000000001E-3</v>
      </c>
      <c r="BG51" s="1">
        <f>IF($B51&lt;Analysis!$C$66,0,-BH51*AN51)</f>
        <v>-13400.949278802727</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-227816.13773964636</v>
      </c>
      <c r="BS51" s="64">
        <f>IF($B51&lt;Analysis!C$66,0,Analysis!C$31)</f>
        <v>0.1275</v>
      </c>
      <c r="BT51" s="1">
        <f>IF($B51&lt;Analysis!$C$66,0,AN51+BR51)</f>
        <v>1558977.0994340507</v>
      </c>
      <c r="BU51" s="1">
        <f>IF($B51-Analysis!$C$66&gt;3,0,IF($AN51&gt;LOOKUP(Analysis!$C$66,$B:$B, AN:AN),$V51*(LOOKUP(Analysis!$C$66,$B:$B, AN:AN)-AN51),0))</f>
        <v>0</v>
      </c>
      <c r="BV51" s="1">
        <f t="shared" si="23"/>
        <v>1558977.0994340507</v>
      </c>
      <c r="BW51" s="42"/>
      <c r="BX51" s="1">
        <f>IF($B51&lt;Analysis!$C$66,$P51+$N51+$X51+$Z51,$P51+$N51+AS51+AV51+BB51+BE51+BG51+MAX(BI51,SUM(BJ51:BN51))+BP51)</f>
        <v>-70721.328990323818</v>
      </c>
      <c r="BY51" s="1">
        <f t="shared" si="24"/>
        <v>49539.870456595425</v>
      </c>
      <c r="BZ51" s="1">
        <f t="shared" si="46"/>
        <v>-21181.458533728393</v>
      </c>
      <c r="CA51" s="1">
        <f>IF(BZ51 &lt; 0,
    IF(CA50 + BZ51 &gt; 0,
        CA50 + BZ51, IF(CF50-ABS(CA50 + BZ51)*(1+$V51) &gt;= CA50 + BZ51,
        0, CA50 + BZ51)),
    MIN(CA50 + BZ51, Analysis!$C$7))+IF(CA50&lt;0, CA50*Analysis!$C$9,0)</f>
        <v>-440524.86056074512</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1074665.4977204122</v>
      </c>
      <c r="CL51" s="64">
        <f t="shared" si="48"/>
        <v>1.9607843137254832E-2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$B51&gt;=Analysis!$C$101),0,((1+Analysis!$B$114)/(1+$S51))-1)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1786793.237173697</v>
      </c>
      <c r="EC51" s="64">
        <f t="shared" si="50"/>
        <v>1.9607843137254832E-2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-5360.3797115210909</v>
      </c>
      <c r="ET51" s="64">
        <f>IF($B51&lt;Analysis!$C$130,0,Analysis!$C$142)</f>
        <v>3.0000000000000001E-3</v>
      </c>
      <c r="EU51" s="1">
        <f>IF($B51&lt;Analysis!$C$130,0,-EV51*EB51)</f>
        <v>-17867.93237173697</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-227816.13773964636</v>
      </c>
      <c r="FG51" s="64">
        <f>IF($B51&lt;Analysis!$C$130,0,Analysis!$C$31)</f>
        <v>0.1275</v>
      </c>
      <c r="FH51" s="1">
        <f>IF($B51&lt;Analysis!$C$130,0,EB51+FF51)</f>
        <v>1558977.0994340507</v>
      </c>
      <c r="FI51" s="1">
        <f>IF($B51-Analysis!$C$130&gt;3,0,IF(EB51&gt;LOOKUP(Analysis!$C$130,$B:$B, EB:EB),$V51*(LOOKUP(Analysis!$C$130,$B:$B, EB:EB)-EB51),0))</f>
        <v>0</v>
      </c>
      <c r="FJ51" s="1">
        <f t="shared" si="33"/>
        <v>1558977.0994340507</v>
      </c>
      <c r="FK51" s="53"/>
      <c r="FL51" s="1">
        <f>$P51+$N51+IF($B51&lt;Analysis!$C$130,$X51+$Z51,0)+CP51+CS51+CY51+DE51+DG51+MIN(DI51,SUM(DJ51:DN51))+DQ51+DS51+DT51+EG51+EJ51+EP51+ES51+EU51+MIN(EW51,SUM(EX51:FB51))+FD51</f>
        <v>-75188.312083258061</v>
      </c>
      <c r="FM51" s="1">
        <f>$M51+$R51+DD51+IF(AND($B51&lt;&gt;Analysis!$C$130,$B51=Analysis!$C$101),DZ50+CQ50+CT50+CZ50,0)</f>
        <v>49539.870456595425</v>
      </c>
      <c r="FN51" s="1">
        <f t="shared" si="34"/>
        <v>-25648.441626662636</v>
      </c>
      <c r="FO51" s="1">
        <f>IF(FN51 &lt; 0,
    IF(FO50 + FN51 &gt; 0,
        FO50 + FN51, IF(FT50-ABS(FO50 + FN51)*(1+$V51) &gt;= FO50 + FN51,
        0, FO50 + FN51)),
    MIN(FO50 + FN51, Analysis!$C$7))+IF(FO50&lt;0, FO50*Analysis!$C$9,0)</f>
        <v>-410915.30734955991</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1074665.4977204122</v>
      </c>
      <c r="FX51" s="64">
        <f t="shared" si="53"/>
        <v>1.9607843137254832E-2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35891.238068445557</v>
      </c>
      <c r="GO51" s="64">
        <f>IF($B51&lt;Analysis!$C$159,0,((1+Analysis!$B$174)/(1+$S51))-1)</f>
        <v>1.9607843137254832E-2</v>
      </c>
      <c r="GP51" s="1">
        <f t="shared" si="7"/>
        <v>43075.234561606791</v>
      </c>
      <c r="GQ51" s="1">
        <f t="shared" si="36"/>
        <v>-3223.9964931612367</v>
      </c>
      <c r="GR51" s="64">
        <f>IF($B51&lt;Analysis!$C$159,0,Analysis!$C$178)</f>
        <v>3.0000000000000001E-3</v>
      </c>
      <c r="GS51" s="1">
        <f t="shared" si="37"/>
        <v>-8059.9912329030913</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-2691.8428551334168</v>
      </c>
      <c r="HD51" s="1">
        <f t="shared" si="38"/>
        <v>-26235.830581197744</v>
      </c>
      <c r="HE51" s="1">
        <f>MIN(0,-(GN51+HD51)*Analysis!$C$28)-GE51*Analysis!$C$28</f>
        <v>-4278.3110575995051</v>
      </c>
      <c r="HF51" s="1">
        <f>-Analysis!$C$176*GP51/12</f>
        <v>-3589.6028801338994</v>
      </c>
      <c r="HG51" s="38"/>
      <c r="HH51" s="1">
        <f>IF($B51&lt;Analysis!$C$159,0,-$HI51*$FW51)</f>
        <v>-137019.85095935257</v>
      </c>
      <c r="HI51" s="64">
        <f>IF($B51&lt;Analysis!$C$159,0,IF($B51=Analysis!$C$159,Analysis!$C$31,HI50))</f>
        <v>0.1275</v>
      </c>
      <c r="HJ51" s="1">
        <f>IF($B51&lt;Analysis!$C$159,0,$FW51+HH51)</f>
        <v>937645.64676105964</v>
      </c>
      <c r="HK51" s="1">
        <f>IF($B51-Analysis!$C$159&gt;10,0,IF($FW51&gt;LOOKUP(Analysis!$C$159,$B:$B, FW:FW),$V51*(LOOKUP(Analysis!$C$159,$B:$B, FW:FW)-FW51),0))</f>
        <v>0</v>
      </c>
      <c r="HL51" s="1">
        <f t="shared" si="39"/>
        <v>937645.64676105964</v>
      </c>
      <c r="HM51" s="38"/>
      <c r="HN51" s="1">
        <f t="shared" si="40"/>
        <v>-118782.30231144039</v>
      </c>
      <c r="HO51" s="1">
        <f t="shared" si="8"/>
        <v>92615.105018202215</v>
      </c>
      <c r="HP51" s="1">
        <f t="shared" si="41"/>
        <v>-26167.197293238176</v>
      </c>
      <c r="HQ51" s="1">
        <f>IF(HP51 &lt; 0,
    IF(HQ50 + HP51 &gt; 0,
        HQ50 + HP51, IF(HV50-ABS(HQ50 + HP51)*(1+$V51) &gt;= HQ50 + HP51,
        0, HQ50 + HP51)),
    MIN(HQ50 + HP51, Analysis!$C$7))+IF(HQ50&lt;0, HQ50*Analysis!$C$9,0)</f>
        <v>0</v>
      </c>
      <c r="HR51" s="38"/>
      <c r="HS51" s="1">
        <f t="shared" si="54"/>
        <v>31053.082353928879</v>
      </c>
      <c r="HT51" s="1">
        <f>IF($B51=Analysis!$C$159,0,IF(HP51 &gt;= 0,
    MAX(0, HQ50 + HP51 - Analysis!$C$7),
    0))</f>
        <v>0</v>
      </c>
      <c r="HU51" s="1">
        <f>IF($B51=Analysis!$C$159,0,MAX(0, HU50 + HT51 - IF(HP51 &lt; 0, MIN(ABS(HP51), HU50 + HT51), 0)))</f>
        <v>827018.10170390317</v>
      </c>
      <c r="HV51" s="1">
        <f>IF($B51=Analysis!$C$159,0,IF(HP51 &lt; 0,
    IF(HP51 + HQ50 &lt; 0,
        MAX(0, HV50 - (ABS(HP51 + HQ50) * (1+$V50))),
        HV50 + HS51),
    HV50 + HT51 + HS51))</f>
        <v>1550638.4044710486</v>
      </c>
      <c r="HW51" s="1">
        <f t="shared" si="58"/>
        <v>1359783.5496162141</v>
      </c>
      <c r="HX51" s="36"/>
    </row>
    <row r="52" spans="1:232" x14ac:dyDescent="0.35">
      <c r="A52">
        <f t="shared" si="0"/>
        <v>85</v>
      </c>
      <c r="B52">
        <v>2075</v>
      </c>
      <c r="C52" s="1">
        <f>IF($B52&lt;Analysis!C$66,0,$AN52)+$AT52+$AW52+$BC52+$CF52+$CA52</f>
        <v>1323521.4241425528</v>
      </c>
      <c r="D52" s="1">
        <f>IF($B52&lt;Analysis!C$66, 0, BV52)+AT52+AW52+BC52+CG52+CA52</f>
        <v>1091238.3033099722</v>
      </c>
      <c r="E52" s="1">
        <f t="shared" si="1"/>
        <v>1888744.5573510267</v>
      </c>
      <c r="F52" s="1">
        <f t="shared" si="9"/>
        <v>1591863.1791904566</v>
      </c>
      <c r="G52" s="1">
        <f>IF(AND($B52&gt;=Analysis!$C$100, $B52&lt;Analysis!$C$101),$CK52,0)+IF($B52&gt;=Analysis!$C$130,EB52,0)+CQ52+CT52+CZ52+EH52+EK52+EQ52+$FO52+$FT52</f>
        <v>1350945.1706139157</v>
      </c>
      <c r="H52" s="1">
        <f t="shared" si="10"/>
        <v>1118662.0497813351</v>
      </c>
      <c r="I52" s="1">
        <f>IF($B52&lt;Analysis!$C$159,0,$FW52)+$GC52+$GF52+$GL52+$HQ52+$HV52</f>
        <v>2611339.98590142</v>
      </c>
      <c r="J52" s="1">
        <f t="shared" si="59"/>
        <v>2282707.1875013318</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-41822.84323942117</v>
      </c>
      <c r="Y52" s="64">
        <f t="shared" si="15"/>
        <v>1.9607843137254832E-2</v>
      </c>
      <c r="Z52" s="1">
        <f t="shared" si="16"/>
        <v>-3960</v>
      </c>
      <c r="AA52" s="64">
        <f t="shared" si="17"/>
        <v>0</v>
      </c>
      <c r="AB52" s="40"/>
      <c r="AC52" s="1">
        <f t="shared" si="3"/>
        <v>-93782.84323942117</v>
      </c>
      <c r="AD52" s="1">
        <f t="shared" si="4"/>
        <v>48549.073047463513</v>
      </c>
      <c r="AE52" s="1">
        <f t="shared" si="18"/>
        <v>-45233.770191957658</v>
      </c>
      <c r="AF52" s="1">
        <f>IF(AE52 &lt; 0,
    IF(AF51 + AE52 &gt; 0,
        AF51 + AE52, IF(AK51-ABS(AF51 + AE52)*(1+$V52) &gt;= AF51 + AE52,
        0, AF51 + AE52)),
    MIN(AF51 + AE52, Analysis!$C$7))+IF(AF51&lt;0, AF51*Analysis!$C$9,0)</f>
        <v>0</v>
      </c>
      <c r="AG52" s="40"/>
      <c r="AH52" s="1">
        <f t="shared" si="19"/>
        <v>38155.073224139334</v>
      </c>
      <c r="AI52" s="1">
        <f>IF(AE52 &gt;= 0,
    MAX(0, AF51 + AE52 - Analysis!$C$7),
    0)</f>
        <v>0</v>
      </c>
      <c r="AJ52" s="1">
        <f t="shared" si="44"/>
        <v>763127.95769009728</v>
      </c>
      <c r="AK52" s="1">
        <f t="shared" si="20"/>
        <v>1888744.5573510267</v>
      </c>
      <c r="AL52" s="1">
        <f t="shared" si="5"/>
        <v>1591863.1791904566</v>
      </c>
      <c r="AM52" s="36"/>
      <c r="AN52" s="1">
        <f t="shared" si="45"/>
        <v>1821828.3986869066</v>
      </c>
      <c r="AO52" s="64">
        <f t="shared" si="21"/>
        <v>1.9607843137254832E-2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-5465.4851960607202</v>
      </c>
      <c r="BF52" s="64">
        <f>IF($B52&lt;Analysis!$C$66,0,Analysis!$C$78)</f>
        <v>3.0000000000000001E-3</v>
      </c>
      <c r="BG52" s="1">
        <f>IF($B52&lt;Analysis!$C$66,0,-BH52*AN52)</f>
        <v>-13663.712990151798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-232283.12083258058</v>
      </c>
      <c r="BS52" s="64">
        <f>IF($B52&lt;Analysis!C$66,0,Analysis!C$31)</f>
        <v>0.1275</v>
      </c>
      <c r="BT52" s="1">
        <f>IF($B52&lt;Analysis!$C$66,0,AN52+BR52)</f>
        <v>1589545.2778543259</v>
      </c>
      <c r="BU52" s="1">
        <f>IF($B52-Analysis!$C$66&gt;3,0,IF($AN52&gt;LOOKUP(Analysis!$C$66,$B:$B, AN:AN),$V52*(LOOKUP(Analysis!$C$66,$B:$B, AN:AN)-AN52),0))</f>
        <v>0</v>
      </c>
      <c r="BV52" s="1">
        <f t="shared" si="23"/>
        <v>1589545.2778543259</v>
      </c>
      <c r="BW52" s="42"/>
      <c r="BX52" s="1">
        <f>IF($B52&lt;Analysis!$C$66,$P52+$N52+$X52+$Z52,$P52+$N52+AS52+AV52+BB52+BE52+BG52+MAX(BI52,SUM(BJ52:BN52))+BP52)</f>
        <v>-71089.19818621251</v>
      </c>
      <c r="BY52" s="1">
        <f t="shared" si="24"/>
        <v>48549.073047463513</v>
      </c>
      <c r="BZ52" s="1">
        <f t="shared" si="46"/>
        <v>-22540.125138748997</v>
      </c>
      <c r="CA52" s="1">
        <f>IF(BZ52 &lt; 0,
    IF(CA51 + BZ52 &gt; 0,
        CA51 + BZ52, IF(CF51-ABS(CA51 + BZ52)*(1+$V52) &gt;= CA51 + BZ52,
        0, CA51 + BZ52)),
    MIN(CA51 + BZ52, Analysis!$C$7))+IF(CA51&lt;0, CA51*Analysis!$C$9,0)</f>
        <v>-498306.97454435372</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1095737.3702247338</v>
      </c>
      <c r="CL52" s="64">
        <f t="shared" si="48"/>
        <v>1.9607843137254832E-2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$B52&gt;=Analysis!$C$101),0,((1+Analysis!$B$114)/(1+$S52))-1)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1821828.3986869066</v>
      </c>
      <c r="EC52" s="64">
        <f t="shared" si="50"/>
        <v>1.9607843137254832E-2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-5465.4851960607202</v>
      </c>
      <c r="ET52" s="64">
        <f>IF($B52&lt;Analysis!$C$130,0,Analysis!$C$142)</f>
        <v>3.0000000000000001E-3</v>
      </c>
      <c r="EU52" s="1">
        <f>IF($B52&lt;Analysis!$C$130,0,-EV52*EB52)</f>
        <v>-18218.283986869064</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-232283.12083258058</v>
      </c>
      <c r="FG52" s="64">
        <f>IF($B52&lt;Analysis!$C$130,0,Analysis!$C$31)</f>
        <v>0.1275</v>
      </c>
      <c r="FH52" s="1">
        <f>IF($B52&lt;Analysis!$C$130,0,EB52+FF52)</f>
        <v>1589545.2778543259</v>
      </c>
      <c r="FI52" s="1">
        <f>IF($B52-Analysis!$C$130&gt;3,0,IF(EB52&gt;LOOKUP(Analysis!$C$130,$B:$B, EB:EB),$V52*(LOOKUP(Analysis!$C$130,$B:$B, EB:EB)-EB52),0))</f>
        <v>0</v>
      </c>
      <c r="FJ52" s="1">
        <f t="shared" si="33"/>
        <v>1589545.2778543259</v>
      </c>
      <c r="FK52" s="53"/>
      <c r="FL52" s="1">
        <f>$P52+$N52+IF($B52&lt;Analysis!$C$130,$X52+$Z52,0)+CP52+CS52+CY52+DE52+DG52+MIN(DI52,SUM(DJ52:DN52))+DQ52+DS52+DT52+EG52+EJ52+EP52+ES52+EU52+MIN(EW52,SUM(EX52:FB52))+FD52</f>
        <v>-75643.769182929784</v>
      </c>
      <c r="FM52" s="1">
        <f>$M52+$R52+DD52+IF(AND($B52&lt;&gt;Analysis!$C$130,$B52=Analysis!$C$101),DZ51+CQ51+CT51+CZ51,0)</f>
        <v>48549.073047463513</v>
      </c>
      <c r="FN52" s="1">
        <f t="shared" si="34"/>
        <v>-27094.696135466271</v>
      </c>
      <c r="FO52" s="1">
        <f>IF(FN52 &lt; 0,
    IF(FO51 + FN52 &gt; 0,
        FO51 + FN52, IF(FT51-ABS(FO51 + FN52)*(1+$V52) &gt;= FO51 + FN52,
        0, FO51 + FN52)),
    MIN(FO51 + FN52, Analysis!$C$7))+IF(FO51&lt;0, FO51*Analysis!$C$9,0)</f>
        <v>-470883.22807299101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1095737.3702247338</v>
      </c>
      <c r="FX52" s="64">
        <f t="shared" si="53"/>
        <v>1.9607843137254832E-2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36594.987834493506</v>
      </c>
      <c r="GO52" s="64">
        <f>IF($B52&lt;Analysis!$C$159,0,((1+Analysis!$B$174)/(1+$S52))-1)</f>
        <v>1.9607843137254832E-2</v>
      </c>
      <c r="GP52" s="1">
        <f t="shared" si="7"/>
        <v>43842.199945167711</v>
      </c>
      <c r="GQ52" s="1">
        <f t="shared" si="36"/>
        <v>-3287.2121106742015</v>
      </c>
      <c r="GR52" s="64">
        <f>IF($B52&lt;Analysis!$C$159,0,Analysis!$C$178)</f>
        <v>3.0000000000000001E-3</v>
      </c>
      <c r="GS52" s="1">
        <f t="shared" si="37"/>
        <v>-8218.0302766855038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-2744.624087587013</v>
      </c>
      <c r="HD52" s="1">
        <f t="shared" si="38"/>
        <v>-26509.866474946721</v>
      </c>
      <c r="HE52" s="1">
        <f>MIN(0,-(GN52+HD52)*Analysis!$C$28)-GE52*Analysis!$C$28</f>
        <v>-4468.7172744151803</v>
      </c>
      <c r="HF52" s="1">
        <f>-Analysis!$C$176*GP52/12</f>
        <v>-3653.5166620973091</v>
      </c>
      <c r="HG52" s="38"/>
      <c r="HH52" s="1">
        <f>IF($B52&lt;Analysis!$C$159,0,-$HI52*$FW52)</f>
        <v>-139706.51470365358</v>
      </c>
      <c r="HI52" s="64">
        <f>IF($B52&lt;Analysis!$C$159,0,IF($B52=Analysis!$C$159,Analysis!$C$31,HI51))</f>
        <v>0.1275</v>
      </c>
      <c r="HJ52" s="1">
        <f>IF($B52&lt;Analysis!$C$159,0,$FW52+HH52)</f>
        <v>956030.85552108032</v>
      </c>
      <c r="HK52" s="1">
        <f>IF($B52-Analysis!$C$159&gt;10,0,IF($FW52&gt;LOOKUP(Analysis!$C$159,$B:$B, FW:FW),$V52*(LOOKUP(Analysis!$C$159,$B:$B, FW:FW)-FW52),0))</f>
        <v>0</v>
      </c>
      <c r="HL52" s="1">
        <f t="shared" si="39"/>
        <v>956030.85552108032</v>
      </c>
      <c r="HM52" s="38"/>
      <c r="HN52" s="1">
        <f t="shared" si="40"/>
        <v>-120114.94365088036</v>
      </c>
      <c r="HO52" s="1">
        <f t="shared" si="8"/>
        <v>92391.272992631217</v>
      </c>
      <c r="HP52" s="1">
        <f t="shared" si="41"/>
        <v>-27723.670658249146</v>
      </c>
      <c r="HQ52" s="1">
        <f>IF(HP52 &lt; 0,
    IF(HQ51 + HP52 &gt; 0,
        HQ51 + HP52, IF(HV51-ABS(HQ51 + HP52)*(1+$V52) &gt;= HQ51 + HP52,
        0, HQ51 + HP52)),
    MIN(HQ51 + HP52, Analysis!$C$7))+IF(HQ51&lt;0, HQ51*Analysis!$C$9,0)</f>
        <v>0</v>
      </c>
      <c r="HR52" s="38"/>
      <c r="HS52" s="1">
        <f t="shared" si="54"/>
        <v>30404.674597471432</v>
      </c>
      <c r="HT52" s="1">
        <f>IF($B52=Analysis!$C$159,0,IF(HP52 &gt;= 0,
    MAX(0, HQ51 + HP52 - Analysis!$C$7),
    0))</f>
        <v>0</v>
      </c>
      <c r="HU52" s="1">
        <f>IF($B52=Analysis!$C$159,0,MAX(0, HU51 + HT52 - IF(HP52 &lt; 0, MIN(ABS(HP52), HU51 + HT52), 0)))</f>
        <v>799294.431045654</v>
      </c>
      <c r="HV52" s="1">
        <f>IF($B52=Analysis!$C$159,0,IF(HP52 &lt; 0,
    IF(HP52 + HQ51 &lt; 0,
        MAX(0, HV51 - (ABS(HP52 + HQ51) * (1+$V51))),
        HV51 + HS52),
    HV51 + HT52 + HS52))</f>
        <v>1515602.6156766862</v>
      </c>
      <c r="HW52" s="1">
        <f t="shared" si="58"/>
        <v>1326676.3319802515</v>
      </c>
      <c r="HX52" s="36"/>
    </row>
  </sheetData>
  <pageMargins left="0.7" right="0.7" top="0.75" bottom="0.75" header="0.3" footer="0.3"/>
  <headerFooter>
    <oddFooter>&amp;R_x000D_&amp;1#&amp;"Calibri"&amp;22&amp;KFF8939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036B6-828B-486A-85E6-B37E38746D65}">
  <dimension ref="A1:HX52"/>
  <sheetViews>
    <sheetView zoomScale="70" zoomScaleNormal="70" workbookViewId="0">
      <pane xSplit="2" ySplit="1" topLeftCell="DY2" activePane="bottomRight" state="frozen"/>
      <selection pane="topRight" activeCell="C1" sqref="C1"/>
      <selection pane="bottomLeft" activeCell="A2" sqref="A2"/>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-477273.913326359</v>
      </c>
      <c r="D2" s="1">
        <f>IF($B2&lt;Analysis!C$66, 0, BV2)+AT2+AW2+BC2+CG2+CA2</f>
        <v>-565248.913326359</v>
      </c>
      <c r="E2" s="1">
        <f t="shared" ref="E2:E52" si="1">AK2+AF2</f>
        <v>52939.215686274518</v>
      </c>
      <c r="F2" s="1">
        <f>AL2+AF2</f>
        <v>52401.372549019608</v>
      </c>
      <c r="G2" s="1">
        <f>IF(AND($B2&gt;=Analysis!$C$100, $B2&lt;Analysis!$C$101),$CK2,0)+IF($B2&gt;=Analysis!$C$130,EB2,0)+CQ2+CT2+CZ2+EH2+EK2+EQ2+$FO2+$FT2</f>
        <v>-242271.22383835033</v>
      </c>
      <c r="H2" s="1">
        <f>$DZ2+FJ2+CQ2+CT2+CZ2+EH2+EK2+EQ2+$FO2+$FU2</f>
        <v>-295183.72383835039</v>
      </c>
      <c r="I2" s="1">
        <f>IF($B2&lt;Analysis!$C$159,0,$FW2)+$GC2+$GF2+$GL2+$HQ2+$HV2</f>
        <v>-242271.22383835033</v>
      </c>
      <c r="J2" s="1">
        <f t="shared" ref="J2:J33" si="2">$HL2+$GC2+$GF2+$GL2+$HQ2+$HW2</f>
        <v>-295183.72383835039</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((1+Analysis!$D$90)/(1+$S2))-1</f>
        <v>3.9215686274509887E-2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Analysis!$C65</f>
        <v>690000</v>
      </c>
      <c r="AO2" s="64">
        <f>((1+Analysis!$D$75)/(1+$S2))-1</f>
        <v>3.9215686274509887E-2</v>
      </c>
      <c r="AP2" s="1">
        <f>IF($B2=Analysis!$C$66,(AN2*(1+Analysis!$C$23+Analysis!$C$24+Analysis!$C$25))-IF($B2=$B$2,(Analysis!$C$6-Analysis!$C$7+Analysis!$C$68), ($CG1-Analysis!$C$7+AY2)),0)</f>
        <v>693833.00000000012</v>
      </c>
      <c r="AQ2" s="65">
        <f>IF($B2=Analysis!$C$66,NPER(AU2,-AX2,-AP2),0)</f>
        <v>28.826407404605138</v>
      </c>
      <c r="AR2" s="64">
        <f>IF($B2=Analysis!$C$66,Analysis!$C$73,0)</f>
        <v>0.02</v>
      </c>
      <c r="AS2" s="1">
        <f>IF($B2&lt;Analysis!$C$66,0,IF($B2=Analysis!$C$66,-AP2*AR2,IF(AX2&gt;=0,0,AX2-AV2)))</f>
        <v>-13876.660000000003</v>
      </c>
      <c r="AT2" s="1">
        <f>IF($B2&lt;Analysis!$C$66,0,IF($B2=Analysis!$C$66,-AP2-AS2,MIN(0,AT1-AS2)))</f>
        <v>-679956.34000000008</v>
      </c>
      <c r="AU2" s="64">
        <f>IF($B2&lt;Analysis!$C$66,0,IF($B2=Analysis!$C$66,Analysis!$C$72,IF(($B2-Analysis!$C$66)&lt;LOOKUP(Analysis!$C$66,$B:$B,AQ:AQ),AU1,0)))</f>
        <v>3.6999999999999998E-2</v>
      </c>
      <c r="AV2" s="1">
        <f>IF($B2&lt;Analysis!$C$66,0,IF($B2=Analysis!$C$66,-AU2*AP2,AU1*AT1))</f>
        <v>-25671.821000000004</v>
      </c>
      <c r="AW2" s="1">
        <f>IF($B2&lt;Analysis!$C$66,0,IF($B2=Analysis!$C$66,PMT(AU2,AQ2,AP2)*AQ2-AX2-AT2,IF(($B2-Analysis!$C$66+1)&lt;LOOKUP(Analysis!$C$66,$B:$B,AQ:AQ),IF(AW1-AV2&lt;0, AW1-AV2,0),0)))</f>
        <v>-420535.80453928467</v>
      </c>
      <c r="AX2" s="1">
        <f>IF($B2&lt;Analysis!$C$66,0,IF($B2=Analysis!$C$66,AS2+AV2,IF(AT1&lt;0,IF(AT1&gt;LOOKUP(Analysis!$C$66,$B:$B,AX:AX), AT1*(1+AU1),AX1),0)))</f>
        <v>-39548.481000000007</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-82926.309778707422</v>
      </c>
      <c r="BY2" s="1">
        <f>$M2+$R2</f>
        <v>46800</v>
      </c>
      <c r="BZ2" s="1">
        <f>BY2+BX2</f>
        <v>-36126.309778707422</v>
      </c>
      <c r="CA2" s="1">
        <f>IF(BZ2&lt;0,Analysis!$C$7+BZ2,Analysis!$C$7)</f>
        <v>-12126.309778707422</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((1+Analysis!$D$112)/(1+$S2))-1</f>
        <v>3.9215686274509887E-2</v>
      </c>
      <c r="CM2" s="1">
        <f>IF($B2=Analysis!$C$100,(CK2*(1+Analysis!$C$23+Analysis!$C$24+Analysis!$C$25))-IF($B2=$B$2,(Analysis!$C$6-Analysis!$C$7+Analysis!$C$105), (FU1-Analysis!$C$7+CV2)),0)</f>
        <v>387015.50000000006</v>
      </c>
      <c r="CN2" s="65">
        <f>IF($B2=Analysis!$C$100,NPER(CR2,-CU2,-CM2),0)</f>
        <v>28.826407404605146</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$B2&gt;=Analysis!$C$101),0,IF($B2=Analysis!$C$100,Analysis!$C$102,IF(($B2-Analysis!$C$100)&lt;LOOKUP(Analysis!$C$100,$B:$B,CN:CN),CR1,0)))</f>
        <v>3.6999999999999998E-2</v>
      </c>
      <c r="CS2" s="1">
        <f>IF(OR($B2&lt;Analysis!$C$100, $B2&gt;=Analysis!$C$101),0,IF($B2=Analysis!$C$100,-CR2*CM2,CR1*CQ1))</f>
        <v>-14319.573500000002</v>
      </c>
      <c r="CT2" s="1">
        <f>IF(OR($B2&lt;Analysis!$C$100, $B2&gt;=Analysis!$C$101),0,IF($B2=Analysis!$C$100,PMT(CR2,CN2,CM2)*CN2-CU2-CQ2,IF(($B2-Analysis!$C$100+1)&lt;LOOKUP(Analysis!$C$100,$B:$B,CN:CN),IF(CT1-CS2&lt;0, CT1-CS2,0),0)))</f>
        <v>-234572.11556912609</v>
      </c>
      <c r="CU2" s="1">
        <f>IF(OR($B2&lt;Analysis!$C$100, $B2&gt;=Analysis!$C$101),0,IF($B2=Analysis!$C$100,CP2+CS2,IF(CQ1&lt;0,IF(CQ1&gt;LOOKUP(Analysis!$C$100,$B:$B,CU:CU), CQ1*(1+CR1),CU1),0)))</f>
        <v>-22059.883500000004</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$B2&gt;=Analysis!$C$101),0,((1+Analysis!$D$114)/(1+$S2))-1)</f>
        <v>3.9215686274509887E-2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6345.0030178500001</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((1+Analysis!$D$112)/(1+$S2))-1</f>
        <v>3.9215686274509887E-2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-78633.459260857417</v>
      </c>
      <c r="FM2" s="1">
        <f>$M2+$R2+DD2+IF(AND($B2&lt;&gt;Analysis!$C$130,$B2=Analysis!$C$101),DZ1+CQ1+CT1+CZ1,0)</f>
        <v>65865</v>
      </c>
      <c r="FN2" s="1">
        <f>FM2+FL2</f>
        <v>-12768.459260857417</v>
      </c>
      <c r="FO2" s="1">
        <f>IF(FN2&lt;0,Analysis!$C$7+FN2,Analysis!$C$7)</f>
        <v>11231.540739142583</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((1+Analysis!$D$172)/(1+$S2))-1</f>
        <v>3.9215686274509887E-2</v>
      </c>
      <c r="FY2" s="1">
        <f>IF($B2=Analysis!$C$159,(FW2*(1+Analysis!$C$23+Analysis!$C$24+Analysis!$C$25))-IF($B2=$B$2,(Analysis!$C$6-Analysis!$C$7+Analysis!$C$165), (HW1-Analysis!$C$7+GH2)),0)</f>
        <v>387015.50000000006</v>
      </c>
      <c r="FZ2" s="65">
        <f>IF($B2=Analysis!$C$159,NPER(GD2,-GG2,-FY2),0)</f>
        <v>28.826407404605146</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IF($B2&lt;Analysis!$C$159,0,IF($B2=Analysis!$C$159,Analysis!$C$160,IF(($B2-Analysis!$C$159)&lt;LOOKUP(Analysis!$C$159,$B:$B,FZ:FZ),GD1,0)))</f>
        <v>3.6999999999999998E-2</v>
      </c>
      <c r="GE2" s="1">
        <f>IF($B2&lt;Analysis!$C$159,0,IF($B2=Analysis!$C$159,-GD2*FY2,GD1*GC1))</f>
        <v>-14319.573500000002</v>
      </c>
      <c r="GF2" s="1">
        <f>IF($B2&lt;Analysis!$C$159,0,IF($B2=Analysis!$C$159,PMT(GD2,FZ2,FY2)*FZ2-GG2-GC2,IF(($B2-Analysis!$C$159+1)&lt;LOOKUP(Analysis!$C$159,$B:$B,FZ:FZ),IF(GF1-GE2&lt;0, GF1-GE2,0),0)))</f>
        <v>-234572.11556912609</v>
      </c>
      <c r="GG2" s="1">
        <f>IF($B2&lt;Analysis!$C$159,0,IF($B2=Analysis!$C$159,GB2+GE2,IF(GC1&lt;0,IF(GC1&gt;LOOKUP(Analysis!$C$159,$B:$B,GG:GG), GC1*(1+GD1),GG1),0)))</f>
        <v>-22059.883500000004</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IF($B2&lt;Analysis!$C$159,0,((1+Analysis!$D$174)/(1+$S2))-1)</f>
        <v>3.9215686274509887E-2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6345.0030178500001</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-78633.459260857417</v>
      </c>
      <c r="HO2" s="1">
        <f t="shared" ref="HO2:HO52" si="8">$M2+$R2+$GP2</f>
        <v>65865</v>
      </c>
      <c r="HP2" s="1">
        <f>HO2+HN2</f>
        <v>-12768.459260857417</v>
      </c>
      <c r="HQ2" s="1">
        <f>IF(HP2&lt;0,Analysis!$C$7+HP2,Analysis!$C$7)</f>
        <v>11231.540739142583</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-416880.19457924378</v>
      </c>
      <c r="D3" s="1">
        <f>IF($B3&lt;Analysis!C$66, 0, BV3)+AT3+AW3+BC3+CG3+CA3</f>
        <v>-515441.95928512618</v>
      </c>
      <c r="E3" s="1">
        <f t="shared" si="1"/>
        <v>80532.289185478119</v>
      </c>
      <c r="F3" s="1">
        <f t="shared" ref="F3:F52" si="9">AL3+AF3</f>
        <v>79408.886148102378</v>
      </c>
      <c r="G3" s="1">
        <f>IF(AND($B3&gt;=Analysis!$C$100, $B3&lt;Analysis!$C$101),$CK3,0)+IF($B3&gt;=Analysis!$C$130,EB3,0)+CQ3+CT3+CZ3+EH3+EK3+EQ3+$FO3+$FT3</f>
        <v>-185955.07676321021</v>
      </c>
      <c r="H3" s="1">
        <f t="shared" ref="H3:H52" si="10">$DZ3+FJ3+CQ3+CT3+CZ3+EH3+EK3+EQ3+$FO3+$FU3</f>
        <v>-245234.97872399454</v>
      </c>
      <c r="I3" s="1">
        <f>IF($B3&lt;Analysis!$C$159,0,$FW3)+$GC3+$GF3+$GL3+$HQ3+$HV3</f>
        <v>-185955.07676321021</v>
      </c>
      <c r="J3" s="1">
        <f t="shared" si="2"/>
        <v>-245234.97872399454</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-16461.176470588238</v>
      </c>
      <c r="Y3" s="64">
        <f t="shared" ref="Y3:Y52" si="15">Y$2</f>
        <v>3.9215686274509887E-2</v>
      </c>
      <c r="Z3" s="1">
        <f t="shared" ref="Z3:Z52" si="16">Z2*(1+$AA2)</f>
        <v>-3960</v>
      </c>
      <c r="AA3" s="64">
        <f t="shared" ref="AA3:AA52" si="17">AA$2</f>
        <v>0</v>
      </c>
      <c r="AB3" s="40"/>
      <c r="AC3" s="1">
        <f t="shared" si="3"/>
        <v>-70521.176470588238</v>
      </c>
      <c r="AD3" s="1">
        <f t="shared" si="4"/>
        <v>95894.117647058811</v>
      </c>
      <c r="AE3" s="1">
        <f t="shared" ref="AE3:AE52" si="18">AD3+AC3</f>
        <v>25372.941176470573</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25372.941176470573</v>
      </c>
      <c r="AJ3" s="1">
        <f>MAX(0, AJ2 + AI3 - IF(AE3 &lt; 0, MIN(ABS(AE3), AJ2 + AI3), 0))</f>
        <v>52272.941176470573</v>
      </c>
      <c r="AK3" s="1">
        <f t="shared" ref="AK3:AK52" si="20">IF(AE3 &lt; 0,
    IF(AE3 + AF2 &lt; 0,
        MAX(0, AK2 - (ABS(AE3 + AF2) * (1+$V2))),
        AK2 + AH3),
    AK2 + AI3 + AH3)</f>
        <v>56532.289185478112</v>
      </c>
      <c r="AL3" s="1">
        <f t="shared" si="5"/>
        <v>55408.88614810237</v>
      </c>
      <c r="AM3" s="36"/>
      <c r="AN3" s="1">
        <f>AN2*(1+AO2)</f>
        <v>717058.82352941181</v>
      </c>
      <c r="AO3" s="64">
        <f t="shared" ref="AO3:AO52" si="21">AO$2</f>
        <v>3.9215686274509887E-2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-14390.096420000005</v>
      </c>
      <c r="AT3" s="1">
        <f>IF($B3&lt;Analysis!$C$66,0,IF($B3=Analysis!$C$66,-AP3-AS3,MIN(0,AT2-AS3)))</f>
        <v>-665566.24358000013</v>
      </c>
      <c r="AU3" s="64">
        <f>IF($B3&lt;Analysis!$C$66,0,IF($B3=Analysis!$C$66,Analysis!$C$72,IF(($B3-Analysis!$C$66)&lt;LOOKUP(Analysis!$C$66,$B:$B,AQ:AQ),AU2,0)))</f>
        <v>3.6999999999999998E-2</v>
      </c>
      <c r="AV3" s="1">
        <f>IF($B3&lt;Analysis!$C$66,0,IF($B3=Analysis!$C$66,-AU3*AP3,AU2*AT2))</f>
        <v>-25158.384580000002</v>
      </c>
      <c r="AW3" s="1">
        <f>IF($B3&lt;Analysis!$C$66,0,IF($B3=Analysis!$C$66,PMT(AU3,AQ3,AP3)*AQ3-AX3-AT3,IF(($B3-Analysis!$C$66+1)&lt;LOOKUP(Analysis!$C$66,$B:$B,AQ:AQ),IF(AW2-AV3&lt;0, AW2-AV3,0),0)))</f>
        <v>-395377.41995928466</v>
      </c>
      <c r="AX3" s="1">
        <f>IF($B3&lt;Analysis!$C$66,0,IF($B3=Analysis!$C$66,AS3+AV3,IF(AT2&lt;0,IF(AT2&gt;LOOKUP(Analysis!$C$66,$B:$B,AX:AX), AT2*(1+AU2),AX2),0)))</f>
        <v>-39548.481000000007</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-2151.1764705882356</v>
      </c>
      <c r="BF3" s="64">
        <f>IF($B3&lt;Analysis!$C$66,0,Analysis!$C$78)</f>
        <v>3.0000000000000001E-3</v>
      </c>
      <c r="BG3" s="1">
        <f>IF($B3&lt;Analysis!$C$66,0,-BH3*AN3)</f>
        <v>-5377.9411764705883</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-91425</v>
      </c>
      <c r="BS3" s="64">
        <f>IF($B3&lt;Analysis!C$66,0,Analysis!C$31)</f>
        <v>0.1275</v>
      </c>
      <c r="BT3" s="1">
        <f>IF($B3&lt;Analysis!$C$66,0,AN3+BR3)</f>
        <v>625633.82352941181</v>
      </c>
      <c r="BU3" s="1">
        <f>IF($B3-Analysis!$C$66&gt;3,0,IF($AN3&gt;LOOKUP(Analysis!$C$66,$B:$B, AN:AN),$V3*(LOOKUP(Analysis!$C$66,$B:$B, AN:AN)-AN3),0))</f>
        <v>-7136.7647058823632</v>
      </c>
      <c r="BV3" s="1">
        <f t="shared" ref="BV3:BV52" si="23">BT3+BU3</f>
        <v>618497.0588235294</v>
      </c>
      <c r="BW3" s="42"/>
      <c r="BX3" s="1">
        <f>IF($B3&lt;Analysis!$C$66,$P3+$N3+$X3+$Z3,$P3+$N3+AS3+AV3+BB3+BE3+BG3+MAX(BI3,SUM(BJ3:BN3))+BP3)</f>
        <v>-107210.42742576625</v>
      </c>
      <c r="BY3" s="1">
        <f t="shared" ref="BY3:BY52" si="24">$M3+$R3</f>
        <v>95894.117647058811</v>
      </c>
      <c r="BZ3" s="1">
        <f>BY3+BX3</f>
        <v>-11316.309778707437</v>
      </c>
      <c r="CA3" s="1">
        <f>IF(BZ3 &lt; 0,
    IF(CA2 + BZ3 &gt; 0,
        CA2 + BZ3, IF(CF2-ABS(CA2 + BZ3)*(1+$V3) &gt;= CA2 + BZ3,
        0, CA2 + BZ3)),
    MIN(CA2 + BZ3, Analysis!$C$7))+IF(CA2&lt;0, CA2*Analysis!$C$9,0)</f>
        <v>-24412.724339711451</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-16461.176470588238</v>
      </c>
      <c r="CJ3" s="1">
        <f>IF(OR($B3&lt;Analysis!$C$100, $B3&gt;=Analysis!$C$130),0,Z3)</f>
        <v>-3960</v>
      </c>
      <c r="CK3" s="1">
        <f t="shared" ref="CK3:CK34" si="26">CK2*(1+$CL2)</f>
        <v>431274.50980392162</v>
      </c>
      <c r="CL3" s="64">
        <f>$CL$2</f>
        <v>3.9215686274509887E-2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-8026.7014700000018</v>
      </c>
      <c r="CQ3" s="1">
        <f>IF(OR($B3&lt;Analysis!$C$100, $B3&gt;=Analysis!$C$101),0,IF($B3=Analysis!$C$100,-CM3-CP3,MIN(0,CQ2-CP3)))</f>
        <v>-371248.48853000003</v>
      </c>
      <c r="CR3" s="64">
        <f>IF(OR($B3&lt;Analysis!$C$100, $B3&gt;=Analysis!$C$101),0,IF($B3=Analysis!$C$100,Analysis!$C$102,IF(($B3-Analysis!$C$100)&lt;LOOKUP(Analysis!$C$100,$B:$B,CN:CN),CR2,0)))</f>
        <v>3.6999999999999998E-2</v>
      </c>
      <c r="CS3" s="1">
        <f>IF(OR($B3&lt;Analysis!$C$100, $B3&gt;=Analysis!$C$101),0,IF($B3=Analysis!$C$100,-CR3*CM3,CR2*CQ2))</f>
        <v>-14033.182030000002</v>
      </c>
      <c r="CT3" s="1">
        <f>IF(OR($B3&lt;Analysis!$C$100, $B3&gt;=Analysis!$C$101),0,IF($B3=Analysis!$C$100,PMT(CR3,CN3,CM3)*CN3-CU3-CQ3,IF(($B3-Analysis!$C$100+1)&lt;LOOKUP(Analysis!$C$100,$B:$B,CN:CN),IF(CT2-CS3&lt;0, CT2-CS3,0),0)))</f>
        <v>-220538.9335391261</v>
      </c>
      <c r="CU3" s="1">
        <f>IF(OR($B3&lt;Analysis!$C$100, $B3&gt;=Analysis!$C$101),0,IF($B3=Analysis!$C$100,CP3+CS3,IF(CQ2&lt;0,IF(CQ2&gt;LOOKUP(Analysis!$C$100,$B:$B,CU:CU), CQ2*(1+CR2),CU2),0)))</f>
        <v>-22059.883500000004</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14403.529411764706</v>
      </c>
      <c r="DC3" s="64">
        <f>IF(OR($B3&lt;Analysis!$C$100, $B3&gt;=Analysis!$C$101),0,((1+Analysis!$D$114)/(1+$S3))-1)</f>
        <v>3.9215686274509887E-2</v>
      </c>
      <c r="DD3" s="1">
        <f t="shared" si="6"/>
        <v>19657.352941176472</v>
      </c>
      <c r="DE3" s="1">
        <f t="shared" ref="DE3:DE52" si="27">-DF3*CK3</f>
        <v>-1293.8235294117649</v>
      </c>
      <c r="DF3" s="64">
        <f>IF(OR($B3&lt;Analysis!$C$100, $B3&gt;=Analysis!$C$101),0,Analysis!$C$118)</f>
        <v>3.0000000000000001E-3</v>
      </c>
      <c r="DG3" s="1">
        <f t="shared" ref="DG3:DG52" si="28">-DH3*CK3</f>
        <v>-3234.5588235294122</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-1080.2647058823529</v>
      </c>
      <c r="DR3" s="1">
        <f t="shared" ref="DR3:DR52" si="29">DE3+DG3+MIN(DI3,SUM(DJ3:DN3))+DP3+DQ3</f>
        <v>-17868.647058823528</v>
      </c>
      <c r="DS3" s="1">
        <f>MIN(0,-(DB3+DR3)*Analysis!$C$28)-CS3*Analysis!$C$28</f>
        <v>6218.1029574929998</v>
      </c>
      <c r="DT3" s="1">
        <f>-Analysis!$C$116*DD3/12</f>
        <v>-1638.1127450980393</v>
      </c>
      <c r="DU3" s="53"/>
      <c r="DV3" s="1">
        <f t="shared" ref="DV3:DV52" si="30">-DW3*CK3</f>
        <v>-54987.500000000007</v>
      </c>
      <c r="DW3" s="64">
        <f>IF(OR($B3&lt;Analysis!$C$100, $B3&gt;=Analysis!$C$101),0,IF($B3=Analysis!$C$100,Analysis!$C$31,DW2))</f>
        <v>0.1275</v>
      </c>
      <c r="DX3" s="1">
        <f>IF(OR($B3&lt;Analysis!$C$100, $B3&gt;=Analysis!$C$101),0,CK3+DV3)</f>
        <v>376287.00980392162</v>
      </c>
      <c r="DY3" s="1">
        <f>IF(OR($B3&lt;Analysis!$C$100, $B3&gt;=Analysis!$C$101),0,IF($B3-Analysis!$C$100&gt;3,0,IF(CK3&gt;LOOKUP(Analysis!$C$100,$B:$B, CK:CK),$V3*(LOOKUP(Analysis!$C$100,$B:$B, CK:CK)-CK3),0)))</f>
        <v>-4292.4019607843284</v>
      </c>
      <c r="DZ3" s="1">
        <f>DX3+DY3</f>
        <v>371994.60784313729</v>
      </c>
      <c r="EA3" s="53"/>
      <c r="EB3" s="1">
        <f t="shared" ref="EB3:EB52" si="31">EB2*(1+EC2)</f>
        <v>717058.82352941181</v>
      </c>
      <c r="EC3" s="64">
        <f>EC$2</f>
        <v>3.9215686274509887E-2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-103642.54559572422</v>
      </c>
      <c r="FM3" s="1">
        <f>$M3+$R3+DD3+IF(AND($B3&lt;&gt;Analysis!$C$130,$B3=Analysis!$C$101),DZ2+CQ2+CT2+CZ2,0)</f>
        <v>115551.47058823529</v>
      </c>
      <c r="FN3" s="1">
        <f t="shared" ref="FN3:FN52" si="34">FM3+FL3</f>
        <v>11908.924992511063</v>
      </c>
      <c r="FO3" s="1">
        <f>IF(FN3 &lt; 0,
    IF(FO2 + FN3 &gt; 0,
        FO2 + FN3, IF(FT2-ABS(FO2 + FN3)*(1+$V3) &gt;= FO2 + FN3,
        0, FO2 + FN3)),
    MIN(FO2 + FN3, Analysis!$C$7))+IF(FO2&lt;0, FO2*Analysis!$C$9,0)</f>
        <v>23140.465731653647</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431274.50980392162</v>
      </c>
      <c r="FX3" s="64">
        <f>$FX$2</f>
        <v>3.9215686274509887E-2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-8026.7014700000018</v>
      </c>
      <c r="GC3" s="1">
        <f>IF($B3&lt;Analysis!$C$159,0,IF($B3=Analysis!$C$159,-FY3-GB3,MIN(0,GC2-GB3)))</f>
        <v>-371248.48853000003</v>
      </c>
      <c r="GD3" s="64">
        <f>IF($B3&lt;Analysis!$C$159,0,IF($B3=Analysis!$C$159,Analysis!$C$160,IF(($B3-Analysis!$C$159)&lt;LOOKUP(Analysis!$C$159,$B:$B,FZ:FZ),GD2,0)))</f>
        <v>3.6999999999999998E-2</v>
      </c>
      <c r="GE3" s="1">
        <f>IF($B3&lt;Analysis!$C$159,0,IF($B3=Analysis!$C$159,-GD3*FY3,GD2*GC2))</f>
        <v>-14033.182030000002</v>
      </c>
      <c r="GF3" s="1">
        <f>IF($B3&lt;Analysis!$C$159,0,IF($B3=Analysis!$C$159,PMT(GD3,FZ3,FY3)*FZ3-GG3-GC3,IF(($B3-Analysis!$C$159+1)&lt;LOOKUP(Analysis!$C$159,$B:$B,FZ:FZ),IF(GF2-GE3&lt;0, GF2-GE3,0),0)))</f>
        <v>-220538.9335391261</v>
      </c>
      <c r="GG3" s="1">
        <f>IF($B3&lt;Analysis!$C$159,0,IF($B3=Analysis!$C$159,GB3+GE3,IF(GC2&lt;0,IF(GC2&gt;LOOKUP(Analysis!$C$159,$B:$B,GG:GG), GC2*(1+GD2),GG2),0)))</f>
        <v>-22059.883500000004</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14403.529411764706</v>
      </c>
      <c r="GO3" s="64">
        <f>IF($B3&lt;Analysis!$C$159,0,((1+Analysis!$D$174)/(1+$S3))-1)</f>
        <v>3.9215686274509887E-2</v>
      </c>
      <c r="GP3" s="1">
        <f t="shared" si="7"/>
        <v>19657.352941176472</v>
      </c>
      <c r="GQ3" s="1">
        <f t="shared" ref="GQ3:GQ52" si="36">-GR3*FW3</f>
        <v>-1293.8235294117649</v>
      </c>
      <c r="GR3" s="64">
        <f>IF($B3&lt;Analysis!$C$159,0,Analysis!$C$178)</f>
        <v>3.0000000000000001E-3</v>
      </c>
      <c r="GS3" s="1">
        <f t="shared" ref="GS3:GS52" si="37">-GT3*FW3</f>
        <v>-3234.5588235294122</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-1080.2647058823529</v>
      </c>
      <c r="HD3" s="1">
        <f t="shared" ref="HD3:HD52" si="38">GQ3+GS3+MIN(GU3,SUM(GV3:GZ3))+HB3+HC3</f>
        <v>-17868.647058823528</v>
      </c>
      <c r="HE3" s="1">
        <f>MIN(0,-(GN3+HD3)*Analysis!$C$28)-GE3*Analysis!$C$28</f>
        <v>6218.1029574929998</v>
      </c>
      <c r="HF3" s="1">
        <f>-Analysis!$C$176*GP3/12</f>
        <v>-1638.1127450980393</v>
      </c>
      <c r="HG3" s="38"/>
      <c r="HH3" s="1">
        <f>IF($B3&lt;Analysis!$C$159,0,-$HI3*$FW3)</f>
        <v>-54987.500000000007</v>
      </c>
      <c r="HI3" s="64">
        <f>IF($B3&lt;Analysis!$C$159,0,IF($B3=Analysis!$C$159,Analysis!$C$31,HI2))</f>
        <v>0.1275</v>
      </c>
      <c r="HJ3" s="1">
        <f>IF($B3&lt;Analysis!$C$159,0,$FW3+HH3)</f>
        <v>376287.00980392162</v>
      </c>
      <c r="HK3" s="1">
        <f>IF($B3-Analysis!$C$159&gt;10,0,IF($FW3&gt;LOOKUP(Analysis!$C$159,$B:$B, FW:FW),$V3*(LOOKUP(Analysis!$C$159,$B:$B, FW:FW)-FW3),0))</f>
        <v>-4292.4019607843284</v>
      </c>
      <c r="HL3" s="1">
        <f t="shared" ref="HL3:HL52" si="39">HJ3+HK3</f>
        <v>371994.60784313729</v>
      </c>
      <c r="HM3" s="38"/>
      <c r="HN3" s="1">
        <f t="shared" ref="HN3:HN52" si="40">$P3+$N3+$X3+$Z3+GB3+GE3+GK3+GQ3+GS3+MIN(GU3,SUM(GV3:GZ3))+HC3+HE3+HF3</f>
        <v>-103642.54559572422</v>
      </c>
      <c r="HO3" s="1">
        <f t="shared" si="8"/>
        <v>115551.47058823529</v>
      </c>
      <c r="HP3" s="1">
        <f t="shared" ref="HP3:HP52" si="41">HO3+HN3</f>
        <v>11908.924992511063</v>
      </c>
      <c r="HQ3" s="1">
        <f>IF(HP3 &lt; 0,
    IF(HQ2 + HP3 &gt; 0,
        HQ2 + HP3, IF(HV2-ABS(HQ2 + HP3)*(1+$V3) &gt;= HQ2 + HP3,
        0, HQ2 + HP3)),
    MIN(HQ2 + HP3, Analysis!$C$7))+IF(HQ2&lt;0, HQ2*Analysis!$C$9,0)</f>
        <v>23140.465731653647</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-382750.57700162259</v>
      </c>
      <c r="D4" s="1">
        <f>IF($B4&lt;Analysis!C$66, 0, BV4)+AT4+AW4+BC4+CG4+CA4</f>
        <v>-492314.27365675528</v>
      </c>
      <c r="E4" s="1">
        <f t="shared" si="1"/>
        <v>83452.715248901441</v>
      </c>
      <c r="F4" s="1">
        <f t="shared" si="9"/>
        <v>80862.932363249362</v>
      </c>
      <c r="G4" s="1">
        <f>IF(AND($B4&gt;=Analysis!$C$100, $B4&lt;Analysis!$C$101),$CK4,0)+IF($B4&gt;=Analysis!$C$130,EB4,0)+CQ4+CT4+CZ4+EH4+EK4+EQ4+$FO4+$FT4</f>
        <v>-155480.56714985293</v>
      </c>
      <c r="H4" s="1">
        <f t="shared" si="10"/>
        <v>-221377.57310909941</v>
      </c>
      <c r="I4" s="1">
        <f>IF($B4&lt;Analysis!$C$159,0,$FW4)+$GC4+$GF4+$GL4+$HQ4+$HV4</f>
        <v>-155480.56714985293</v>
      </c>
      <c r="J4" s="1">
        <f t="shared" si="2"/>
        <v>-221377.57310909941</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-17106.712802768168</v>
      </c>
      <c r="Y4" s="64">
        <f t="shared" si="15"/>
        <v>3.9215686274509887E-2</v>
      </c>
      <c r="Z4" s="1">
        <f t="shared" si="16"/>
        <v>-3960</v>
      </c>
      <c r="AA4" s="64">
        <f t="shared" si="17"/>
        <v>0</v>
      </c>
      <c r="AB4" s="40"/>
      <c r="AC4" s="1">
        <f t="shared" si="3"/>
        <v>-49266.712802768168</v>
      </c>
      <c r="AD4" s="1">
        <f t="shared" si="4"/>
        <v>47947.058823529405</v>
      </c>
      <c r="AE4" s="1">
        <f t="shared" si="18"/>
        <v>-1319.653979238763</v>
      </c>
      <c r="AF4" s="1">
        <f>IF(AE4 &lt; 0,
    IF(AF3 + AE4 &gt; 0,
        AF3 + AE4, IF(AK3-ABS(AF3 + AE4)*(1+$V4) &gt;= AF3 + AE4,
        0, AF3 + AE4)),
    MIN(AF3 + AE4, Analysis!$C$7))+IF(AF3&lt;0, AF3*Analysis!$C$9,0)</f>
        <v>22680.346020761237</v>
      </c>
      <c r="AG4" s="40"/>
      <c r="AH4" s="1">
        <f t="shared" si="19"/>
        <v>4240.0800426620881</v>
      </c>
      <c r="AI4" s="1">
        <f>IF(AE4 &gt;= 0,
    MAX(0, AF3 + AE4 - Analysis!$C$7),
    0)</f>
        <v>0</v>
      </c>
      <c r="AJ4" s="1">
        <f t="shared" ref="AJ4:AJ52" si="44">MAX(0, AJ3 + AI4 - IF(AE4 &lt; 0, MIN(ABS(AE4), AJ3 + AI4), 0))</f>
        <v>50953.28719723181</v>
      </c>
      <c r="AK4" s="1">
        <f t="shared" si="20"/>
        <v>60772.369228140204</v>
      </c>
      <c r="AL4" s="1">
        <f t="shared" si="5"/>
        <v>58182.586342488117</v>
      </c>
      <c r="AM4" s="36"/>
      <c r="AN4" s="1">
        <f t="shared" ref="AN4:AN52" si="45">AN3*(1+AO3)</f>
        <v>745178.77739331033</v>
      </c>
      <c r="AO4" s="64">
        <f t="shared" si="21"/>
        <v>3.9215686274509887E-2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-14922.529987540005</v>
      </c>
      <c r="AT4" s="1">
        <f>IF($B4&lt;Analysis!$C$66,0,IF($B4=Analysis!$C$66,-AP4-AS4,MIN(0,AT3-AS4)))</f>
        <v>-650643.71359246015</v>
      </c>
      <c r="AU4" s="64">
        <f>IF($B4&lt;Analysis!$C$66,0,IF($B4=Analysis!$C$66,Analysis!$C$72,IF(($B4-Analysis!$C$66)&lt;LOOKUP(Analysis!$C$66,$B:$B,AQ:AQ),AU3,0)))</f>
        <v>3.6999999999999998E-2</v>
      </c>
      <c r="AV4" s="1">
        <f>IF($B4&lt;Analysis!$C$66,0,IF($B4=Analysis!$C$66,-AU4*AP4,AU3*AT3))</f>
        <v>-24625.951012460002</v>
      </c>
      <c r="AW4" s="1">
        <f>IF($B4&lt;Analysis!$C$66,0,IF($B4=Analysis!$C$66,PMT(AU4,AQ4,AP4)*AQ4-AX4-AT4,IF(($B4-Analysis!$C$66+1)&lt;LOOKUP(Analysis!$C$66,$B:$B,AQ:AQ),IF(AW3-AV4&lt;0, AW3-AV4,0),0)))</f>
        <v>-370751.46894682467</v>
      </c>
      <c r="AX4" s="1">
        <f>IF($B4&lt;Analysis!$C$66,0,IF($B4=Analysis!$C$66,AS4+AV4,IF(AT3&lt;0,IF(AT3&gt;LOOKUP(Analysis!$C$66,$B:$B,AX:AX), AT3*(1+AU3),AX3),0)))</f>
        <v>-39548.481000000007</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-2235.5363321799309</v>
      </c>
      <c r="BF4" s="64">
        <f>IF($B4&lt;Analysis!$C$66,0,Analysis!$C$78)</f>
        <v>3.0000000000000001E-3</v>
      </c>
      <c r="BG4" s="1">
        <f>IF($B4&lt;Analysis!$C$66,0,-BH4*AN4)</f>
        <v>-5588.8408304498271</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-95010.294117647063</v>
      </c>
      <c r="BS4" s="64">
        <f>IF($B4&lt;Analysis!C$66,0,Analysis!C$31)</f>
        <v>0.1275</v>
      </c>
      <c r="BT4" s="1">
        <f>IF($B4&lt;Analysis!$C$66,0,AN4+BR4)</f>
        <v>650168.48327566322</v>
      </c>
      <c r="BU4" s="1">
        <f>IF($B4-Analysis!$C$66&gt;3,0,IF($AN4&gt;LOOKUP(Analysis!$C$66,$B:$B, AN:AN),$V4*(LOOKUP(Analysis!$C$66,$B:$B, AN:AN)-AN4),0))</f>
        <v>-14553.402537485599</v>
      </c>
      <c r="BV4" s="1">
        <f>BT4+BU4</f>
        <v>635615.08073817764</v>
      </c>
      <c r="BW4" s="42"/>
      <c r="BX4" s="1">
        <f>IF($B4&lt;Analysis!$C$66,$P4+$N4+$X4+$Z4,$P4+$N4+AS4+AV4+BB4+BE4+BG4+MAX(BI4,SUM(BJ4:BN4))+BP4)</f>
        <v>-85605.686941337204</v>
      </c>
      <c r="BY4" s="1">
        <f t="shared" si="24"/>
        <v>47947.058823529405</v>
      </c>
      <c r="BZ4" s="1">
        <f t="shared" ref="BZ4:BZ52" si="46">BY4+BX4</f>
        <v>-37658.628117807799</v>
      </c>
      <c r="CA4" s="1">
        <f>IF(BZ4 &lt; 0,
    IF(CA3 + BZ4 &gt; 0,
        CA3 + BZ4, IF(CF3-ABS(CA3 + BZ4)*(1+$V4) &gt;= CA3 + BZ4,
        0, CA3 + BZ4)),
    MIN(CA3 + BZ4, Analysis!$C$7))+IF(CA3&lt;0, CA3*Analysis!$C$9,0)</f>
        <v>-64024.370404696165</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-17106.712802768168</v>
      </c>
      <c r="CJ4" s="1">
        <f>IF(OR($B4&lt;Analysis!$C$100, $B4&gt;=Analysis!$C$130),0,Z4)</f>
        <v>-3960</v>
      </c>
      <c r="CK4" s="1">
        <f t="shared" si="26"/>
        <v>448187.23567858525</v>
      </c>
      <c r="CL4" s="64">
        <f t="shared" ref="CL4:CL52" si="48">$CL$2</f>
        <v>3.9215686274509887E-2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-8323.6894243900024</v>
      </c>
      <c r="CQ4" s="1">
        <f>IF(OR($B4&lt;Analysis!$C$100, $B4&gt;=Analysis!$C$101),0,IF($B4=Analysis!$C$100,-CM4-CP4,MIN(0,CQ3-CP4)))</f>
        <v>-362924.79910561</v>
      </c>
      <c r="CR4" s="64">
        <f>IF(OR($B4&lt;Analysis!$C$100, $B4&gt;=Analysis!$C$101),0,IF($B4=Analysis!$C$100,Analysis!$C$102,IF(($B4-Analysis!$C$100)&lt;LOOKUP(Analysis!$C$100,$B:$B,CN:CN),CR3,0)))</f>
        <v>3.6999999999999998E-2</v>
      </c>
      <c r="CS4" s="1">
        <f>IF(OR($B4&lt;Analysis!$C$100, $B4&gt;=Analysis!$C$101),0,IF($B4=Analysis!$C$100,-CR4*CM4,CR3*CQ3))</f>
        <v>-13736.194075610001</v>
      </c>
      <c r="CT4" s="1">
        <f>IF(OR($B4&lt;Analysis!$C$100, $B4&gt;=Analysis!$C$101),0,IF($B4=Analysis!$C$100,PMT(CR4,CN4,CM4)*CN4-CU4-CQ4,IF(($B4-Analysis!$C$100+1)&lt;LOOKUP(Analysis!$C$100,$B:$B,CN:CN),IF(CT3-CS4&lt;0, CT3-CS4,0),0)))</f>
        <v>-206802.7394635161</v>
      </c>
      <c r="CU4" s="1">
        <f>IF(OR($B4&lt;Analysis!$C$100, $B4&gt;=Analysis!$C$101),0,IF($B4=Analysis!$C$100,CP4+CS4,IF(CQ3&lt;0,IF(CQ3&gt;LOOKUP(Analysis!$C$100,$B:$B,CU:CU), CQ3*(1+CR3),CU3),0)))</f>
        <v>-22059.883500000004</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14968.373702422146</v>
      </c>
      <c r="DC4" s="64">
        <f>IF(OR($B4&lt;Analysis!$C$100, $B4&gt;=Analysis!$C$101),0,((1+Analysis!$D$114)/(1+$S4))-1)</f>
        <v>3.9215686274509887E-2</v>
      </c>
      <c r="DD4" s="1">
        <f t="shared" si="6"/>
        <v>20272.935409457903</v>
      </c>
      <c r="DE4" s="1">
        <f t="shared" si="27"/>
        <v>-1344.5617070357557</v>
      </c>
      <c r="DF4" s="64">
        <f>IF(OR($B4&lt;Analysis!$C$100, $B4&gt;=Analysis!$C$101),0,Analysis!$C$118)</f>
        <v>3.0000000000000001E-3</v>
      </c>
      <c r="DG4" s="1">
        <f t="shared" si="28"/>
        <v>-3361.4042675893893</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-1122.628027681661</v>
      </c>
      <c r="DR4" s="1">
        <f t="shared" si="29"/>
        <v>-18088.594002306807</v>
      </c>
      <c r="DS4" s="1">
        <f>MIN(0,-(DB4+DR4)*Analysis!$C$28)-CS4*Analysis!$C$28</f>
        <v>6086.5075949027905</v>
      </c>
      <c r="DT4" s="1">
        <f>-Analysis!$C$116*DD4/12</f>
        <v>-1689.4112841214919</v>
      </c>
      <c r="DU4" s="53"/>
      <c r="DV4" s="1">
        <f t="shared" si="30"/>
        <v>-57143.872549019623</v>
      </c>
      <c r="DW4" s="64">
        <f>IF(OR($B4&lt;Analysis!$C$100, $B4&gt;=Analysis!$C$101),0,IF($B4=Analysis!$C$100,Analysis!$C$31,DW3))</f>
        <v>0.1275</v>
      </c>
      <c r="DX4" s="1">
        <f>IF(OR($B4&lt;Analysis!$C$100, $B4&gt;=Analysis!$C$101),0,CK4+DV4)</f>
        <v>391043.36312956561</v>
      </c>
      <c r="DY4" s="1">
        <f>IF(OR($B4&lt;Analysis!$C$100, $B4&gt;=Analysis!$C$101),0,IF($B4-Analysis!$C$100&gt;3,0,IF(CK4&gt;LOOKUP(Analysis!$C$100,$B:$B, CK:CK),$V4*(LOOKUP(Analysis!$C$100,$B:$B, CK:CK)-CK4),0)))</f>
        <v>-8753.1334102268574</v>
      </c>
      <c r="DZ4" s="1">
        <f t="shared" ref="DZ4:DZ52" si="49">DX4+DY4</f>
        <v>382290.22971933876</v>
      </c>
      <c r="EA4" s="53"/>
      <c r="EB4" s="1">
        <f t="shared" si="31"/>
        <v>745178.77739331033</v>
      </c>
      <c r="EC4" s="64">
        <f t="shared" ref="EC4:EC52" si="50">EC$2</f>
        <v>3.9215686274509887E-2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-82790.92277300109</v>
      </c>
      <c r="FM4" s="1">
        <f>$M4+$R4+DD4+IF(AND($B4&lt;&gt;Analysis!$C$130,$B4=Analysis!$C$101),DZ3+CQ3+CT3+CZ3,0)</f>
        <v>68219.994232987316</v>
      </c>
      <c r="FN4" s="1">
        <f t="shared" si="34"/>
        <v>-14570.928540013774</v>
      </c>
      <c r="FO4" s="1">
        <f>IF(FN4 &lt; 0,
    IF(FO3 + FN4 &gt; 0,
        FO3 + FN4, IF(FT3-ABS(FO3 + FN4)*(1+$V4) &gt;= FO3 + FN4,
        0, FO3 + FN4)),
    MIN(FO3 + FN4, Analysis!$C$7))+IF(FO3&lt;0, FO3*Analysis!$C$9,0)</f>
        <v>8569.5371916398726</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448187.23567858525</v>
      </c>
      <c r="FX4" s="64">
        <f t="shared" ref="FX4:FX52" si="53">$FX$2</f>
        <v>3.9215686274509887E-2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-8323.6894243900024</v>
      </c>
      <c r="GC4" s="1">
        <f>IF($B4&lt;Analysis!$C$159,0,IF($B4=Analysis!$C$159,-FY4-GB4,MIN(0,GC3-GB4)))</f>
        <v>-362924.79910561</v>
      </c>
      <c r="GD4" s="64">
        <f>IF($B4&lt;Analysis!$C$159,0,IF($B4=Analysis!$C$159,Analysis!$C$160,IF(($B4-Analysis!$C$159)&lt;LOOKUP(Analysis!$C$159,$B:$B,FZ:FZ),GD3,0)))</f>
        <v>3.6999999999999998E-2</v>
      </c>
      <c r="GE4" s="1">
        <f>IF($B4&lt;Analysis!$C$159,0,IF($B4=Analysis!$C$159,-GD4*FY4,GD3*GC3))</f>
        <v>-13736.194075610001</v>
      </c>
      <c r="GF4" s="1">
        <f>IF($B4&lt;Analysis!$C$159,0,IF($B4=Analysis!$C$159,PMT(GD4,FZ4,FY4)*FZ4-GG4-GC4,IF(($B4-Analysis!$C$159+1)&lt;LOOKUP(Analysis!$C$159,$B:$B,FZ:FZ),IF(GF3-GE4&lt;0, GF3-GE4,0),0)))</f>
        <v>-206802.7394635161</v>
      </c>
      <c r="GG4" s="1">
        <f>IF($B4&lt;Analysis!$C$159,0,IF($B4=Analysis!$C$159,GB4+GE4,IF(GC3&lt;0,IF(GC3&gt;LOOKUP(Analysis!$C$159,$B:$B,GG:GG), GC3*(1+GD3),GG3),0)))</f>
        <v>-22059.883500000004</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14968.373702422146</v>
      </c>
      <c r="GO4" s="64">
        <f>IF($B4&lt;Analysis!$C$159,0,((1+Analysis!$D$174)/(1+$S4))-1)</f>
        <v>3.9215686274509887E-2</v>
      </c>
      <c r="GP4" s="1">
        <f t="shared" si="7"/>
        <v>20272.935409457903</v>
      </c>
      <c r="GQ4" s="1">
        <f t="shared" si="36"/>
        <v>-1344.5617070357557</v>
      </c>
      <c r="GR4" s="64">
        <f>IF($B4&lt;Analysis!$C$159,0,Analysis!$C$178)</f>
        <v>3.0000000000000001E-3</v>
      </c>
      <c r="GS4" s="1">
        <f t="shared" si="37"/>
        <v>-3361.4042675893893</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-1122.628027681661</v>
      </c>
      <c r="HD4" s="1">
        <f t="shared" si="38"/>
        <v>-18088.594002306807</v>
      </c>
      <c r="HE4" s="1">
        <f>MIN(0,-(GN4+HD4)*Analysis!$C$28)-GE4*Analysis!$C$28</f>
        <v>6086.5075949027905</v>
      </c>
      <c r="HF4" s="1">
        <f>-Analysis!$C$176*GP4/12</f>
        <v>-1689.4112841214919</v>
      </c>
      <c r="HG4" s="38"/>
      <c r="HH4" s="1">
        <f>IF($B4&lt;Analysis!$C$159,0,-$HI4*$FW4)</f>
        <v>-57143.872549019623</v>
      </c>
      <c r="HI4" s="64">
        <f>IF($B4&lt;Analysis!$C$159,0,IF($B4=Analysis!$C$159,Analysis!$C$31,HI3))</f>
        <v>0.1275</v>
      </c>
      <c r="HJ4" s="1">
        <f>IF($B4&lt;Analysis!$C$159,0,$FW4+HH4)</f>
        <v>391043.36312956561</v>
      </c>
      <c r="HK4" s="1">
        <f>IF($B4-Analysis!$C$159&gt;10,0,IF($FW4&gt;LOOKUP(Analysis!$C$159,$B:$B, FW:FW),$V4*(LOOKUP(Analysis!$C$159,$B:$B, FW:FW)-FW4),0))</f>
        <v>-8753.1334102268574</v>
      </c>
      <c r="HL4" s="1">
        <f t="shared" si="39"/>
        <v>382290.22971933876</v>
      </c>
      <c r="HM4" s="38"/>
      <c r="HN4" s="1">
        <f t="shared" si="40"/>
        <v>-82790.92277300109</v>
      </c>
      <c r="HO4" s="1">
        <f t="shared" si="8"/>
        <v>68219.994232987316</v>
      </c>
      <c r="HP4" s="1">
        <f t="shared" si="41"/>
        <v>-14570.928540013774</v>
      </c>
      <c r="HQ4" s="1">
        <f>IF(HP4 &lt; 0,
    IF(HQ3 + HP4 &gt; 0,
        HQ3 + HP4, IF(HV3-ABS(HQ3 + HP4)*(1+$V4) &gt;= HQ3 + HP4,
        0, HQ3 + HP4)),
    MIN(HQ3 + HP4, Analysis!$C$7))+IF(HQ3&lt;0, HQ3*Analysis!$C$9,0)</f>
        <v>8569.5371916398726</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-322288.62875535432</v>
      </c>
      <c r="D5" s="1">
        <f>IF($B5&lt;Analysis!C$66, 0, BV5)+AT5+AW5+BC5+CG5+CA5</f>
        <v>-443285.70567147259</v>
      </c>
      <c r="E5" s="1">
        <f t="shared" si="1"/>
        <v>114621.48389081532</v>
      </c>
      <c r="F5" s="1">
        <f t="shared" si="9"/>
        <v>110856.98047067321</v>
      </c>
      <c r="G5" s="1">
        <f>IF(AND($B5&gt;=Analysis!$C$100, $B5&lt;Analysis!$C$101),$CK5,0)+IF($B5&gt;=Analysis!$C$130,EB5,0)+CQ5+CT5+CZ5+EH5+EK5+EQ5+$FO5+$FT5</f>
        <v>-96086.931475865451</v>
      </c>
      <c r="H5" s="1">
        <f t="shared" si="10"/>
        <v>-168860.53570802356</v>
      </c>
      <c r="I5" s="1">
        <f>IF($B5&lt;Analysis!$C$159,0,$FW5)+$GC5+$GF5+$GL5+$HQ5+$HV5</f>
        <v>-96086.931475865451</v>
      </c>
      <c r="J5" s="1">
        <f t="shared" si="2"/>
        <v>-168860.53570802356</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-17777.564285229666</v>
      </c>
      <c r="Y5" s="64">
        <f t="shared" si="15"/>
        <v>3.9215686274509887E-2</v>
      </c>
      <c r="Z5" s="1">
        <f t="shared" si="16"/>
        <v>-3960</v>
      </c>
      <c r="AA5" s="64">
        <f t="shared" si="17"/>
        <v>0</v>
      </c>
      <c r="AB5" s="40"/>
      <c r="AC5" s="1">
        <f t="shared" si="3"/>
        <v>-73937.564285229659</v>
      </c>
      <c r="AD5" s="1">
        <f t="shared" si="4"/>
        <v>100652.41620869798</v>
      </c>
      <c r="AE5" s="1">
        <f t="shared" si="18"/>
        <v>26714.851923468319</v>
      </c>
      <c r="AF5" s="1">
        <f>IF(AE5 &lt; 0,
    IF(AF4 + AE5 &gt; 0,
        AF4 + AE5, IF(AK4-ABS(AF4 + AE5)*(1+$V5) &gt;= AF4 + AE5,
        0, AF4 + AE5)),
    MIN(AF4 + AE5, Analysis!$C$7))+IF(AF4&lt;0, AF4*Analysis!$C$9,0)</f>
        <v>24000</v>
      </c>
      <c r="AG5" s="40"/>
      <c r="AH5" s="1">
        <f t="shared" si="19"/>
        <v>4453.9167184455582</v>
      </c>
      <c r="AI5" s="1">
        <f>IF(AE5 &gt;= 0,
    MAX(0, AF4 + AE5 - Analysis!$C$7),
    0)</f>
        <v>25395.197944229556</v>
      </c>
      <c r="AJ5" s="1">
        <f t="shared" si="44"/>
        <v>76348.485141461366</v>
      </c>
      <c r="AK5" s="1">
        <f t="shared" si="20"/>
        <v>90621.483890815318</v>
      </c>
      <c r="AL5" s="1">
        <f t="shared" si="5"/>
        <v>86856.98047067321</v>
      </c>
      <c r="AM5" s="36"/>
      <c r="AN5" s="1">
        <f t="shared" si="45"/>
        <v>774401.47454598919</v>
      </c>
      <c r="AO5" s="64">
        <f t="shared" si="21"/>
        <v>3.9215686274509887E-2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-15474.663597078983</v>
      </c>
      <c r="AT5" s="1">
        <f>IF($B5&lt;Analysis!$C$66,0,IF($B5=Analysis!$C$66,-AP5-AS5,MIN(0,AT4-AS5)))</f>
        <v>-635169.04999538115</v>
      </c>
      <c r="AU5" s="64">
        <f>IF($B5&lt;Analysis!$C$66,0,IF($B5=Analysis!$C$66,Analysis!$C$72,IF(($B5-Analysis!$C$66)&lt;LOOKUP(Analysis!$C$66,$B:$B,AQ:AQ),AU4,0)))</f>
        <v>3.6999999999999998E-2</v>
      </c>
      <c r="AV5" s="1">
        <f>IF($B5&lt;Analysis!$C$66,0,IF($B5=Analysis!$C$66,-AU5*AP5,AU4*AT4))</f>
        <v>-24073.817402921024</v>
      </c>
      <c r="AW5" s="1">
        <f>IF($B5&lt;Analysis!$C$66,0,IF($B5=Analysis!$C$66,PMT(AU5,AQ5,AP5)*AQ5-AX5-AT5,IF(($B5-Analysis!$C$66+1)&lt;LOOKUP(Analysis!$C$66,$B:$B,AQ:AQ),IF(AW4-AV5&lt;0, AW4-AV5,0),0)))</f>
        <v>-346677.65154390363</v>
      </c>
      <c r="AX5" s="1">
        <f>IF($B5&lt;Analysis!$C$66,0,IF($B5=Analysis!$C$66,AS5+AV5,IF(AT4&lt;0,IF(AT4&gt;LOOKUP(Analysis!$C$66,$B:$B,AX:AX), AT4*(1+AU4),AX4),0)))</f>
        <v>-39548.481000000007</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-2323.2044236379675</v>
      </c>
      <c r="BF5" s="64">
        <f>IF($B5&lt;Analysis!$C$66,0,Analysis!$C$78)</f>
        <v>3.0000000000000001E-3</v>
      </c>
      <c r="BG5" s="1">
        <f>IF($B5&lt;Analysis!$C$66,0,-BH5*AN5)</f>
        <v>-5808.0110590949189</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-98736.188004613621</v>
      </c>
      <c r="BS5" s="64">
        <f>IF($B5&lt;Analysis!C$66,0,Analysis!C$31)</f>
        <v>0.1275</v>
      </c>
      <c r="BT5" s="1">
        <f>IF($B5&lt;Analysis!$C$66,0,AN5+BR5)</f>
        <v>675665.28654137556</v>
      </c>
      <c r="BU5" s="1">
        <f>IF($B5-Analysis!$C$66&gt;3,0,IF($AN5&gt;LOOKUP(Analysis!$C$66,$B:$B, AN:AN),$V5*(LOOKUP(Analysis!$C$66,$B:$B, AN:AN)-AN5),0))</f>
        <v>-22260.888911504648</v>
      </c>
      <c r="BV5" s="1">
        <f t="shared" si="23"/>
        <v>653404.39762987092</v>
      </c>
      <c r="BW5" s="42"/>
      <c r="BX5" s="1">
        <f>IF($B5&lt;Analysis!$C$66,$P5+$N5+$X5+$Z5,$P5+$N5+AS5+AV5+BB5+BE5+BG5+MAX(BI5,SUM(BJ5:BN5))+BP5)</f>
        <v>-109912.52526144031</v>
      </c>
      <c r="BY5" s="1">
        <f t="shared" si="24"/>
        <v>100652.41620869798</v>
      </c>
      <c r="BZ5" s="1">
        <f t="shared" si="46"/>
        <v>-9260.1090527423366</v>
      </c>
      <c r="CA5" s="1">
        <f>IF(BZ5 &lt; 0,
    IF(CA4 + BZ5 &gt; 0,
        CA4 + BZ5, IF(CF4-ABS(CA4 + BZ5)*(1+$V5) &gt;= CA4 + BZ5,
        0, CA4 + BZ5)),
    MIN(CA4 + BZ5, Analysis!$C$7))+IF(CA4&lt;0, CA4*Analysis!$C$9,0)</f>
        <v>-78406.429089814192</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-17777.564285229666</v>
      </c>
      <c r="CJ5" s="1">
        <f>IF(OR($B5&lt;Analysis!$C$100, $B5&gt;=Analysis!$C$130),0,Z5)</f>
        <v>-3960</v>
      </c>
      <c r="CK5" s="1">
        <f t="shared" si="26"/>
        <v>465763.20570519648</v>
      </c>
      <c r="CL5" s="64">
        <f t="shared" si="48"/>
        <v>3.9215686274509887E-2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-8631.665933092434</v>
      </c>
      <c r="CQ5" s="1">
        <f>IF(OR($B5&lt;Analysis!$C$100, $B5&gt;=Analysis!$C$101),0,IF($B5=Analysis!$C$100,-CM5-CP5,MIN(0,CQ4-CP5)))</f>
        <v>-354293.13317251758</v>
      </c>
      <c r="CR5" s="64">
        <f>IF(OR($B5&lt;Analysis!$C$100, $B5&gt;=Analysis!$C$101),0,IF($B5=Analysis!$C$100,Analysis!$C$102,IF(($B5-Analysis!$C$100)&lt;LOOKUP(Analysis!$C$100,$B:$B,CN:CN),CR4,0)))</f>
        <v>3.6999999999999998E-2</v>
      </c>
      <c r="CS5" s="1">
        <f>IF(OR($B5&lt;Analysis!$C$100, $B5&gt;=Analysis!$C$101),0,IF($B5=Analysis!$C$100,-CR5*CM5,CR4*CQ4))</f>
        <v>-13428.21756690757</v>
      </c>
      <c r="CT5" s="1">
        <f>IF(OR($B5&lt;Analysis!$C$100, $B5&gt;=Analysis!$C$101),0,IF($B5=Analysis!$C$100,PMT(CR5,CN5,CM5)*CN5-CU5-CQ5,IF(($B5-Analysis!$C$100+1)&lt;LOOKUP(Analysis!$C$100,$B:$B,CN:CN),IF(CT4-CS5&lt;0, CT4-CS5,0),0)))</f>
        <v>-193374.52189660852</v>
      </c>
      <c r="CU5" s="1">
        <f>IF(OR($B5&lt;Analysis!$C$100, $B5&gt;=Analysis!$C$101),0,IF($B5=Analysis!$C$100,CP5+CS5,IF(CQ4&lt;0,IF(CQ4&gt;LOOKUP(Analysis!$C$100,$B:$B,CU:CU), CQ4*(1+CR4),CU4),0)))</f>
        <v>-22059.883500000004</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15555.368749575957</v>
      </c>
      <c r="DC5" s="64">
        <f>IF(OR($B5&lt;Analysis!$C$100, $B5&gt;=Analysis!$C$101),0,((1+Analysis!$D$114)/(1+$S5))-1)</f>
        <v>3.9215686274509887E-2</v>
      </c>
      <c r="DD5" s="1">
        <f t="shared" si="6"/>
        <v>20912.658366691547</v>
      </c>
      <c r="DE5" s="1">
        <f t="shared" si="27"/>
        <v>-1397.2896171155894</v>
      </c>
      <c r="DF5" s="64">
        <f>IF(OR($B5&lt;Analysis!$C$100, $B5&gt;=Analysis!$C$101),0,Analysis!$C$118)</f>
        <v>3.0000000000000001E-3</v>
      </c>
      <c r="DG5" s="1">
        <f t="shared" si="28"/>
        <v>-3493.2240427889733</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-1166.6526562181966</v>
      </c>
      <c r="DR5" s="1">
        <f t="shared" si="29"/>
        <v>-18317.166316122759</v>
      </c>
      <c r="DS5" s="1">
        <f>MIN(0,-(DB5+DR5)*Analysis!$C$28)-CS5*Analysis!$C$28</f>
        <v>5950.0432038967429</v>
      </c>
      <c r="DT5" s="1">
        <f>-Analysis!$C$116*DD5/12</f>
        <v>-1742.721530557629</v>
      </c>
      <c r="DU5" s="53"/>
      <c r="DV5" s="1">
        <f t="shared" si="30"/>
        <v>-59384.80872741255</v>
      </c>
      <c r="DW5" s="64">
        <f>IF(OR($B5&lt;Analysis!$C$100, $B5&gt;=Analysis!$C$101),0,IF($B5=Analysis!$C$100,Analysis!$C$31,DW4))</f>
        <v>0.1275</v>
      </c>
      <c r="DX5" s="1">
        <f>IF(OR($B5&lt;Analysis!$C$100, $B5&gt;=Analysis!$C$101),0,CK5+DV5)</f>
        <v>406378.39697778394</v>
      </c>
      <c r="DY5" s="1">
        <f>IF(OR($B5&lt;Analysis!$C$100, $B5&gt;=Analysis!$C$101),0,IF($B5-Analysis!$C$100&gt;3,0,IF(CK5&gt;LOOKUP(Analysis!$C$100,$B:$B, CK:CK),$V5*(LOOKUP(Analysis!$C$100,$B:$B, CK:CK)-CK5),0)))</f>
        <v>-13388.795504745571</v>
      </c>
      <c r="DZ5" s="1">
        <f t="shared" si="49"/>
        <v>392989.60147303838</v>
      </c>
      <c r="EA5" s="53"/>
      <c r="EB5" s="1">
        <f t="shared" si="31"/>
        <v>774401.47454598919</v>
      </c>
      <c r="EC5" s="64">
        <f t="shared" si="50"/>
        <v>3.9215686274509887E-2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-107880.12120672072</v>
      </c>
      <c r="FM5" s="1">
        <f>$M5+$R5+DD5+IF(AND($B5&lt;&gt;Analysis!$C$130,$B5=Analysis!$C$101),DZ4+CQ4+CT4+CZ4,0)</f>
        <v>121565.07457538953</v>
      </c>
      <c r="FN5" s="1">
        <f t="shared" si="34"/>
        <v>13684.953368668808</v>
      </c>
      <c r="FO5" s="1">
        <f>IF(FN5 &lt; 0,
    IF(FO4 + FN5 &gt; 0,
        FO4 + FN5, IF(FT4-ABS(FO4 + FN5)*(1+$V5) &gt;= FO4 + FN5,
        0, FO4 + FN5)),
    MIN(FO4 + FN5, Analysis!$C$7))+IF(FO4&lt;0, FO4*Analysis!$C$9,0)</f>
        <v>22254.490560308681</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465763.20570519648</v>
      </c>
      <c r="FX5" s="64">
        <f t="shared" si="53"/>
        <v>3.9215686274509887E-2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-8631.665933092434</v>
      </c>
      <c r="GC5" s="1">
        <f>IF($B5&lt;Analysis!$C$159,0,IF($B5=Analysis!$C$159,-FY5-GB5,MIN(0,GC4-GB5)))</f>
        <v>-354293.13317251758</v>
      </c>
      <c r="GD5" s="64">
        <f>IF($B5&lt;Analysis!$C$159,0,IF($B5=Analysis!$C$159,Analysis!$C$160,IF(($B5-Analysis!$C$159)&lt;LOOKUP(Analysis!$C$159,$B:$B,FZ:FZ),GD4,0)))</f>
        <v>3.6999999999999998E-2</v>
      </c>
      <c r="GE5" s="1">
        <f>IF($B5&lt;Analysis!$C$159,0,IF($B5=Analysis!$C$159,-GD5*FY5,GD4*GC4))</f>
        <v>-13428.21756690757</v>
      </c>
      <c r="GF5" s="1">
        <f>IF($B5&lt;Analysis!$C$159,0,IF($B5=Analysis!$C$159,PMT(GD5,FZ5,FY5)*FZ5-GG5-GC5,IF(($B5-Analysis!$C$159+1)&lt;LOOKUP(Analysis!$C$159,$B:$B,FZ:FZ),IF(GF4-GE5&lt;0, GF4-GE5,0),0)))</f>
        <v>-193374.52189660852</v>
      </c>
      <c r="GG5" s="1">
        <f>IF($B5&lt;Analysis!$C$159,0,IF($B5=Analysis!$C$159,GB5+GE5,IF(GC4&lt;0,IF(GC4&gt;LOOKUP(Analysis!$C$159,$B:$B,GG:GG), GC4*(1+GD4),GG4),0)))</f>
        <v>-22059.883500000004</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15555.368749575957</v>
      </c>
      <c r="GO5" s="64">
        <f>IF($B5&lt;Analysis!$C$159,0,((1+Analysis!$D$174)/(1+$S5))-1)</f>
        <v>3.9215686274509887E-2</v>
      </c>
      <c r="GP5" s="1">
        <f t="shared" si="7"/>
        <v>20912.658366691547</v>
      </c>
      <c r="GQ5" s="1">
        <f t="shared" si="36"/>
        <v>-1397.2896171155894</v>
      </c>
      <c r="GR5" s="64">
        <f>IF($B5&lt;Analysis!$C$159,0,Analysis!$C$178)</f>
        <v>3.0000000000000001E-3</v>
      </c>
      <c r="GS5" s="1">
        <f t="shared" si="37"/>
        <v>-3493.2240427889733</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-1166.6526562181966</v>
      </c>
      <c r="HD5" s="1">
        <f t="shared" si="38"/>
        <v>-18317.166316122759</v>
      </c>
      <c r="HE5" s="1">
        <f>MIN(0,-(GN5+HD5)*Analysis!$C$28)-GE5*Analysis!$C$28</f>
        <v>5950.0432038967429</v>
      </c>
      <c r="HF5" s="1">
        <f>-Analysis!$C$176*GP5/12</f>
        <v>-1742.721530557629</v>
      </c>
      <c r="HG5" s="38"/>
      <c r="HH5" s="1">
        <f>IF($B5&lt;Analysis!$C$159,0,-$HI5*$FW5)</f>
        <v>-59384.80872741255</v>
      </c>
      <c r="HI5" s="64">
        <f>IF($B5&lt;Analysis!$C$159,0,IF($B5=Analysis!$C$159,Analysis!$C$31,HI4))</f>
        <v>0.1275</v>
      </c>
      <c r="HJ5" s="1">
        <f>IF($B5&lt;Analysis!$C$159,0,$FW5+HH5)</f>
        <v>406378.39697778394</v>
      </c>
      <c r="HK5" s="1">
        <f>IF($B5-Analysis!$C$159&gt;10,0,IF($FW5&gt;LOOKUP(Analysis!$C$159,$B:$B, FW:FW),$V5*(LOOKUP(Analysis!$C$159,$B:$B, FW:FW)-FW5),0))</f>
        <v>-13388.795504745571</v>
      </c>
      <c r="HL5" s="1">
        <f t="shared" si="39"/>
        <v>392989.60147303838</v>
      </c>
      <c r="HM5" s="38"/>
      <c r="HN5" s="1">
        <f t="shared" si="40"/>
        <v>-107880.12120672072</v>
      </c>
      <c r="HO5" s="1">
        <f t="shared" si="8"/>
        <v>121565.07457538953</v>
      </c>
      <c r="HP5" s="1">
        <f t="shared" si="41"/>
        <v>13684.953368668808</v>
      </c>
      <c r="HQ5" s="1">
        <f>IF(HP5 &lt; 0,
    IF(HQ4 + HP5 &gt; 0,
        HQ4 + HP5, IF(HV4-ABS(HQ4 + HP5)*(1+$V5) &gt;= HQ4 + HP5,
        0, HQ4 + HP5)),
    MIN(HQ4 + HP5, Analysis!$C$7))+IF(HQ4&lt;0, HQ4*Analysis!$C$9,0)</f>
        <v>22254.490560308681</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-262783.15729015495</v>
      </c>
      <c r="D6" s="1">
        <f>IF($B6&lt;Analysis!C$66, 0, BV6)+AT6+AW6+BC6+CG6+CA6</f>
        <v>-365391.35266749858</v>
      </c>
      <c r="E6" s="1">
        <f t="shared" si="1"/>
        <v>146492.31031907635</v>
      </c>
      <c r="F6" s="1">
        <f t="shared" si="9"/>
        <v>141017.08143326273</v>
      </c>
      <c r="G6" s="1">
        <f>IF(AND($B6&gt;=Analysis!$C$100, $B6&lt;Analysis!$C$101),$CK6,0)+IF($B6&gt;=Analysis!$C$130,EB6,0)+CQ6+CT6+CZ6+EH6+EK6+EQ6+$FO6+$FT6</f>
        <v>-37103.870693318793</v>
      </c>
      <c r="H6" s="1">
        <f t="shared" si="10"/>
        <v>-98817.495449257331</v>
      </c>
      <c r="I6" s="1">
        <f>IF($B6&lt;Analysis!$C$159,0,$FW6)+$GC6+$GF6+$GL6+$HQ6+$HV6</f>
        <v>-37103.870693318793</v>
      </c>
      <c r="J6" s="1">
        <f t="shared" si="2"/>
        <v>-117023.74371889491</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-18474.723668964165</v>
      </c>
      <c r="Y6" s="64">
        <f t="shared" si="15"/>
        <v>3.9215686274509887E-2</v>
      </c>
      <c r="Z6" s="1">
        <f t="shared" si="16"/>
        <v>-3960</v>
      </c>
      <c r="AA6" s="64">
        <f t="shared" si="17"/>
        <v>0</v>
      </c>
      <c r="AB6" s="40"/>
      <c r="AC6" s="1">
        <f t="shared" si="3"/>
        <v>-77734.723668964172</v>
      </c>
      <c r="AD6" s="1">
        <f t="shared" si="4"/>
        <v>103119.38719420528</v>
      </c>
      <c r="AE6" s="1">
        <f t="shared" si="18"/>
        <v>25384.663525241107</v>
      </c>
      <c r="AF6" s="1">
        <f>IF(AE6 &lt; 0,
    IF(AF5 + AE6 &gt; 0,
        AF5 + AE6, IF(AK5-ABS(AF5 + AE6)*(1+$V6) &gt;= AF5 + AE6,
        0, AF5 + AE6)),
    MIN(AF5 + AE6, Analysis!$C$7))+IF(AF5&lt;0, AF5*Analysis!$C$9,0)</f>
        <v>24000</v>
      </c>
      <c r="AG6" s="40"/>
      <c r="AH6" s="1">
        <f t="shared" si="19"/>
        <v>6486.162903019941</v>
      </c>
      <c r="AI6" s="1">
        <f>IF(AE6 &gt;= 0,
    MAX(0, AF5 + AE6 - Analysis!$C$7),
    0)</f>
        <v>25384.663525241107</v>
      </c>
      <c r="AJ6" s="1">
        <f t="shared" si="44"/>
        <v>101733.14866670247</v>
      </c>
      <c r="AK6" s="1">
        <f t="shared" si="20"/>
        <v>122492.31031907636</v>
      </c>
      <c r="AL6" s="1">
        <f t="shared" si="5"/>
        <v>117017.08143326275</v>
      </c>
      <c r="AM6" s="36"/>
      <c r="AN6" s="1">
        <f t="shared" si="45"/>
        <v>804770.15982230252</v>
      </c>
      <c r="AO6" s="64">
        <f t="shared" si="21"/>
        <v>3.9215686274509887E-2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-16047.226150170907</v>
      </c>
      <c r="AT6" s="1">
        <f>IF($B6&lt;Analysis!$C$66,0,IF($B6=Analysis!$C$66,-AP6-AS6,MIN(0,AT5-AS6)))</f>
        <v>-619121.82384521025</v>
      </c>
      <c r="AU6" s="64">
        <f>IF($B6&lt;Analysis!$C$66,0,IF($B6=Analysis!$C$66,Analysis!$C$72,IF(($B6-Analysis!$C$66)&lt;LOOKUP(Analysis!$C$66,$B:$B,AQ:AQ),AU5,0)))</f>
        <v>3.6999999999999998E-2</v>
      </c>
      <c r="AV6" s="1">
        <f>IF($B6&lt;Analysis!$C$66,0,IF($B6=Analysis!$C$66,-AU6*AP6,AU5*AT5))</f>
        <v>-23501.2548498291</v>
      </c>
      <c r="AW6" s="1">
        <f>IF($B6&lt;Analysis!$C$66,0,IF($B6=Analysis!$C$66,PMT(AU6,AQ6,AP6)*AQ6-AX6-AT6,IF(($B6-Analysis!$C$66+1)&lt;LOOKUP(Analysis!$C$66,$B:$B,AQ:AQ),IF(AW5-AV6&lt;0, AW5-AV6,0),0)))</f>
        <v>-323176.3966940745</v>
      </c>
      <c r="AX6" s="1">
        <f>IF($B6&lt;Analysis!$C$66,0,IF($B6=Analysis!$C$66,AS6+AV6,IF(AT5&lt;0,IF(AT5&gt;LOOKUP(Analysis!$C$66,$B:$B,AX:AX), AT5*(1+AU5),AX5),0)))</f>
        <v>-39548.481000000007</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-2414.3104794669075</v>
      </c>
      <c r="BF6" s="64">
        <f>IF($B6&lt;Analysis!$C$66,0,Analysis!$C$78)</f>
        <v>3.0000000000000001E-3</v>
      </c>
      <c r="BG6" s="1">
        <f>IF($B6&lt;Analysis!$C$66,0,-BH6*AN6)</f>
        <v>-6035.7761986672685</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-102608.19537734357</v>
      </c>
      <c r="BS6" s="64">
        <f>IF($B6&lt;Analysis!C$66,0,Analysis!C$31)</f>
        <v>0.1275</v>
      </c>
      <c r="BT6" s="1">
        <f>IF($B6&lt;Analysis!$C$66,0,AN6+BR6)</f>
        <v>702161.96444495895</v>
      </c>
      <c r="BU6" s="1">
        <f>IF($B6-Analysis!$C$66&gt;3,0,IF($AN6&gt;LOOKUP(Analysis!$C$66,$B:$B, AN:AN),$V6*(LOOKUP(Analysis!$C$66,$B:$B, AN:AN)-AN6),0))</f>
        <v>0</v>
      </c>
      <c r="BV6" s="1">
        <f t="shared" si="23"/>
        <v>702161.96444495895</v>
      </c>
      <c r="BW6" s="42"/>
      <c r="BX6" s="1">
        <f>IF($B6&lt;Analysis!$C$66,$P6+$N6+$X6+$Z6,$P6+$N6+AS6+AV6+BB6+BE6+BG6+MAX(BI6,SUM(BJ6:BN6))+BP6)</f>
        <v>-113331.3964568416</v>
      </c>
      <c r="BY6" s="1">
        <f t="shared" si="24"/>
        <v>103119.38719420528</v>
      </c>
      <c r="BZ6" s="1">
        <f t="shared" si="46"/>
        <v>-10212.009262636318</v>
      </c>
      <c r="CA6" s="1">
        <f>IF(BZ6 &lt; 0,
    IF(CA5 + BZ6 &gt; 0,
        CA5 + BZ6, IF(CF5-ABS(CA5 + BZ6)*(1+$V6) &gt;= CA5 + BZ6,
        0, CA5 + BZ6)),
    MIN(CA5 + BZ6, Analysis!$C$7))+IF(CA5&lt;0, CA5*Analysis!$C$9,0)</f>
        <v>-94890.952679635651</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-18474.723668964165</v>
      </c>
      <c r="CJ6" s="1">
        <f>IF(OR($B6&lt;Analysis!$C$100, $B6&gt;=Analysis!$C$130),0,Z6)</f>
        <v>-3960</v>
      </c>
      <c r="CK6" s="1">
        <f t="shared" si="26"/>
        <v>484028.4294583415</v>
      </c>
      <c r="CL6" s="64">
        <f t="shared" si="48"/>
        <v>3.9215686274509887E-2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-8951.0375726168531</v>
      </c>
      <c r="CQ6" s="1">
        <f>IF(OR($B6&lt;Analysis!$C$100, $B6&gt;=Analysis!$C$101),0,IF($B6=Analysis!$C$100,-CM6-CP6,MIN(0,CQ5-CP6)))</f>
        <v>-345342.09559990076</v>
      </c>
      <c r="CR6" s="64">
        <f>IF(OR($B6&lt;Analysis!$C$100, $B6&gt;=Analysis!$C$101),0,IF($B6=Analysis!$C$100,Analysis!$C$102,IF(($B6-Analysis!$C$100)&lt;LOOKUP(Analysis!$C$100,$B:$B,CN:CN),CR5,0)))</f>
        <v>3.6999999999999998E-2</v>
      </c>
      <c r="CS6" s="1">
        <f>IF(OR($B6&lt;Analysis!$C$100, $B6&gt;=Analysis!$C$101),0,IF($B6=Analysis!$C$100,-CR6*CM6,CR5*CQ5))</f>
        <v>-13108.84592738315</v>
      </c>
      <c r="CT6" s="1">
        <f>IF(OR($B6&lt;Analysis!$C$100, $B6&gt;=Analysis!$C$101),0,IF($B6=Analysis!$C$100,PMT(CR6,CN6,CM6)*CN6-CU6-CQ6,IF(($B6-Analysis!$C$100+1)&lt;LOOKUP(Analysis!$C$100,$B:$B,CN:CN),IF(CT5-CS6&lt;0, CT5-CS6,0),0)))</f>
        <v>-180265.67596922538</v>
      </c>
      <c r="CU6" s="1">
        <f>IF(OR($B6&lt;Analysis!$C$100, $B6&gt;=Analysis!$C$101),0,IF($B6=Analysis!$C$100,CP6+CS6,IF(CQ5&lt;0,IF(CQ5&gt;LOOKUP(Analysis!$C$100,$B:$B,CU:CU), CQ5*(1+CR5),CU5),0)))</f>
        <v>-22059.883500000004</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16165.383210343643</v>
      </c>
      <c r="DC6" s="64">
        <f>IF(OR($B6&lt;Analysis!$C$100, $B6&gt;=Analysis!$C$101),0,((1+Analysis!$D$114)/(1+$S6))-1)</f>
        <v>3.9215686274509887E-2</v>
      </c>
      <c r="DD6" s="1">
        <f t="shared" si="6"/>
        <v>21577.468498718667</v>
      </c>
      <c r="DE6" s="1">
        <f t="shared" si="27"/>
        <v>-1452.0852883750244</v>
      </c>
      <c r="DF6" s="64">
        <f>IF(OR($B6&lt;Analysis!$C$100, $B6&gt;=Analysis!$C$101),0,Analysis!$C$118)</f>
        <v>3.0000000000000001E-3</v>
      </c>
      <c r="DG6" s="1">
        <f t="shared" si="28"/>
        <v>-3630.2132209375613</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-1212.4037407757733</v>
      </c>
      <c r="DR6" s="1">
        <f t="shared" si="29"/>
        <v>-18554.702250088361</v>
      </c>
      <c r="DS6" s="1">
        <f>MIN(0,-(DB6+DR6)*Analysis!$C$28)-CS6*Analysis!$C$28</f>
        <v>5808.5296304234735</v>
      </c>
      <c r="DT6" s="1">
        <f>-Analysis!$C$116*DD6/12</f>
        <v>-1798.1223748932223</v>
      </c>
      <c r="DU6" s="53"/>
      <c r="DV6" s="1">
        <f t="shared" si="30"/>
        <v>-61713.624755938545</v>
      </c>
      <c r="DW6" s="64">
        <f>IF(OR($B6&lt;Analysis!$C$100, $B6&gt;=Analysis!$C$101),0,IF($B6=Analysis!$C$100,Analysis!$C$31,DW5))</f>
        <v>0.1275</v>
      </c>
      <c r="DX6" s="1">
        <f>IF(OR($B6&lt;Analysis!$C$100, $B6&gt;=Analysis!$C$101),0,CK6+DV6)</f>
        <v>422314.80470240297</v>
      </c>
      <c r="DY6" s="1">
        <f>IF(OR($B6&lt;Analysis!$C$100, $B6&gt;=Analysis!$C$101),0,IF($B6-Analysis!$C$100&gt;3,0,IF(CK6&gt;LOOKUP(Analysis!$C$100,$B:$B, CK:CK),$V6*(LOOKUP(Analysis!$C$100,$B:$B, CK:CK)-CK6),0)))</f>
        <v>0</v>
      </c>
      <c r="DZ6" s="1">
        <f t="shared" si="49"/>
        <v>422314.80470240297</v>
      </c>
      <c r="EA6" s="53"/>
      <c r="EB6" s="1">
        <f t="shared" si="31"/>
        <v>804770.15982230252</v>
      </c>
      <c r="EC6" s="64">
        <f t="shared" si="50"/>
        <v>3.9215686274509887E-2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-112111.7309422297</v>
      </c>
      <c r="FM6" s="1">
        <f>$M6+$R6+DD6+IF(AND($B6&lt;&gt;Analysis!$C$130,$B6=Analysis!$C$101),DZ5+CQ5+CT5+CZ5,0)</f>
        <v>124696.85569292394</v>
      </c>
      <c r="FN6" s="1">
        <f t="shared" si="34"/>
        <v>12585.124750694245</v>
      </c>
      <c r="FO6" s="1">
        <f>IF(FN6 &lt; 0,
    IF(FO5 + FN6 &gt; 0,
        FO5 + FN6, IF(FT5-ABS(FO5 + FN6)*(1+$V6) &gt;= FO5 + FN6,
        0, FO5 + FN6)),
    MIN(FO5 + FN6, Analysis!$C$7))+IF(FO5&lt;0, FO5*Analysis!$C$9,0)</f>
        <v>24000</v>
      </c>
      <c r="FP6" s="53"/>
      <c r="FQ6" s="1">
        <f t="shared" si="51"/>
        <v>0</v>
      </c>
      <c r="FR6" s="1">
        <f>IF(OR($B6=Analysis!$C$100, $B6=Analysis!$C$130),0,IF(FN6 &gt;= 0,
    MAX(0, FO5 + FN6 - Analysis!$C$7),
    0))</f>
        <v>10839.615311002926</v>
      </c>
      <c r="FS6" s="1">
        <f>IF(OR($B6=Analysis!$C$100, $B6=Analysis!$C$130),0,MAX(0, FS5 + FR6 - IF(FN6 &lt; 0, MIN(ABS(FN6), FS5 + FR6), 0)))</f>
        <v>10839.615311002926</v>
      </c>
      <c r="FT6" s="1">
        <f>IF(OR($B6=Analysis!$C$100, $B6=Analysis!$C$130),0,IF(FN6 &lt; 0,
    IF(FN6 + FO5 &lt; 0,
        MAX(0, FT5 - (ABS(FN6 + FO5) * (1+$V5))),
        FT5 + FQ6),
    FT5 + FR6 + FQ6))</f>
        <v>10839.615311002926</v>
      </c>
      <c r="FU6" s="1">
        <f t="shared" si="35"/>
        <v>10839.615311002926</v>
      </c>
      <c r="FV6" s="36"/>
      <c r="FW6" s="1">
        <f t="shared" si="52"/>
        <v>484028.4294583415</v>
      </c>
      <c r="FX6" s="64">
        <f t="shared" si="53"/>
        <v>3.9215686274509887E-2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-8951.0375726168531</v>
      </c>
      <c r="GC6" s="1">
        <f>IF($B6&lt;Analysis!$C$159,0,IF($B6=Analysis!$C$159,-FY6-GB6,MIN(0,GC5-GB6)))</f>
        <v>-345342.09559990076</v>
      </c>
      <c r="GD6" s="64">
        <f>IF($B6&lt;Analysis!$C$159,0,IF($B6=Analysis!$C$159,Analysis!$C$160,IF(($B6-Analysis!$C$159)&lt;LOOKUP(Analysis!$C$159,$B:$B,FZ:FZ),GD5,0)))</f>
        <v>3.6999999999999998E-2</v>
      </c>
      <c r="GE6" s="1">
        <f>IF($B6&lt;Analysis!$C$159,0,IF($B6=Analysis!$C$159,-GD6*FY6,GD5*GC5))</f>
        <v>-13108.84592738315</v>
      </c>
      <c r="GF6" s="1">
        <f>IF($B6&lt;Analysis!$C$159,0,IF($B6=Analysis!$C$159,PMT(GD6,FZ6,FY6)*FZ6-GG6-GC6,IF(($B6-Analysis!$C$159+1)&lt;LOOKUP(Analysis!$C$159,$B:$B,FZ:FZ),IF(GF5-GE6&lt;0, GF5-GE6,0),0)))</f>
        <v>-180265.67596922538</v>
      </c>
      <c r="GG6" s="1">
        <f>IF($B6&lt;Analysis!$C$159,0,IF($B6=Analysis!$C$159,GB6+GE6,IF(GC5&lt;0,IF(GC5&gt;LOOKUP(Analysis!$C$159,$B:$B,GG:GG), GC5*(1+GD5),GG5),0)))</f>
        <v>-22059.883500000004</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16165.383210343643</v>
      </c>
      <c r="GO6" s="64">
        <f>IF($B6&lt;Analysis!$C$159,0,((1+Analysis!$D$174)/(1+$S6))-1)</f>
        <v>3.9215686274509887E-2</v>
      </c>
      <c r="GP6" s="1">
        <f t="shared" si="7"/>
        <v>21577.468498718667</v>
      </c>
      <c r="GQ6" s="1">
        <f t="shared" si="36"/>
        <v>-1452.0852883750244</v>
      </c>
      <c r="GR6" s="64">
        <f>IF($B6&lt;Analysis!$C$159,0,Analysis!$C$178)</f>
        <v>3.0000000000000001E-3</v>
      </c>
      <c r="GS6" s="1">
        <f t="shared" si="37"/>
        <v>-3630.2132209375613</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-1212.4037407757733</v>
      </c>
      <c r="HD6" s="1">
        <f t="shared" si="38"/>
        <v>-18554.702250088361</v>
      </c>
      <c r="HE6" s="1">
        <f>MIN(0,-(GN6+HD6)*Analysis!$C$28)-GE6*Analysis!$C$28</f>
        <v>5808.5296304234735</v>
      </c>
      <c r="HF6" s="1">
        <f>-Analysis!$C$176*GP6/12</f>
        <v>-1798.1223748932223</v>
      </c>
      <c r="HG6" s="38"/>
      <c r="HH6" s="1">
        <f>IF($B6&lt;Analysis!$C$159,0,-$HI6*$FW6)</f>
        <v>-61713.624755938545</v>
      </c>
      <c r="HI6" s="64">
        <f>IF($B6&lt;Analysis!$C$159,0,IF($B6=Analysis!$C$159,Analysis!$C$31,HI5))</f>
        <v>0.1275</v>
      </c>
      <c r="HJ6" s="1">
        <f>IF($B6&lt;Analysis!$C$159,0,$FW6+HH6)</f>
        <v>422314.80470240297</v>
      </c>
      <c r="HK6" s="1">
        <f>IF($B6-Analysis!$C$159&gt;10,0,IF($FW6&gt;LOOKUP(Analysis!$C$159,$B:$B, FW:FW),$V6*(LOOKUP(Analysis!$C$159,$B:$B, FW:FW)-FW6),0))</f>
        <v>-18206.24826963757</v>
      </c>
      <c r="HL6" s="1">
        <f t="shared" si="39"/>
        <v>404108.55643276538</v>
      </c>
      <c r="HM6" s="38"/>
      <c r="HN6" s="1">
        <f t="shared" si="40"/>
        <v>-112111.7309422297</v>
      </c>
      <c r="HO6" s="1">
        <f t="shared" si="8"/>
        <v>124696.85569292394</v>
      </c>
      <c r="HP6" s="1">
        <f t="shared" si="41"/>
        <v>12585.124750694245</v>
      </c>
      <c r="HQ6" s="1">
        <f>IF(HP6 &lt; 0,
    IF(HQ5 + HP6 &gt; 0,
        HQ5 + HP6, IF(HV5-ABS(HQ5 + HP6)*(1+$V6) &gt;= HQ5 + HP6,
        0, HQ5 + HP6)),
    MIN(HQ5 + HP6, Analysis!$C$7))+IF(HQ5&lt;0, HQ5*Analysis!$C$9,0)</f>
        <v>24000</v>
      </c>
      <c r="HR6" s="38"/>
      <c r="HS6" s="1">
        <f t="shared" si="54"/>
        <v>0</v>
      </c>
      <c r="HT6" s="1">
        <f>IF($B6=Analysis!$C$159,0,IF(HP6 &gt;= 0,
    MAX(0, HQ5 + HP6 - Analysis!$C$7),
    0))</f>
        <v>10839.615311002926</v>
      </c>
      <c r="HU6" s="1">
        <f>IF($B6=Analysis!$C$159,0,MAX(0, HU5 + HT6 - IF(HP6 &lt; 0, MIN(ABS(HP6), HU5 + HT6), 0)))</f>
        <v>10839.615311002926</v>
      </c>
      <c r="HV6" s="1">
        <f>IF($B6=Analysis!$C$159,0,IF(HP6 &lt; 0,
    IF(HP6 + HQ5 &lt; 0,
        MAX(0, HV5 - (ABS(HP6 + HQ5) * (1+$V5))),
        HV5 + HS6),
    HV5 + HT6 + HS6))</f>
        <v>10839.615311002926</v>
      </c>
      <c r="HW6" s="1">
        <f t="shared" si="42"/>
        <v>10839.615311002926</v>
      </c>
      <c r="HX6" s="36"/>
    </row>
    <row r="7" spans="1:232" x14ac:dyDescent="0.35">
      <c r="A7">
        <f t="shared" si="0"/>
        <v>40</v>
      </c>
      <c r="B7">
        <v>2030</v>
      </c>
      <c r="C7" s="1">
        <f>IF($B7&lt;Analysis!C$66,0,$AN7)+$AT7+$AW7+$BC7+$CF7+$CA7</f>
        <v>-201209.45886529598</v>
      </c>
      <c r="D7" s="1">
        <f>IF($B7&lt;Analysis!C$66, 0, BV7)+AT7+AW7+BC7+CG7+CA7</f>
        <v>-307841.50504175108</v>
      </c>
      <c r="E7" s="1">
        <f t="shared" si="1"/>
        <v>182237.21677412579</v>
      </c>
      <c r="F7" s="1">
        <f t="shared" si="9"/>
        <v>174504.99844754016</v>
      </c>
      <c r="G7" s="1">
        <f>IF(AND($B7&gt;=Analysis!$C$100, $B7&lt;Analysis!$C$101),$CK7,0)+IF($B7&gt;=Analysis!$C$130,EB7,0)+CQ7+CT7+CZ7+EH7+EK7+EQ7+$FO7+$FT7</f>
        <v>25395.372332069899</v>
      </c>
      <c r="H7" s="1">
        <f t="shared" si="10"/>
        <v>-38938.120555879163</v>
      </c>
      <c r="I7" s="1">
        <f>IF($B7&lt;Analysis!$C$159,0,$FW7)+$GC7+$GF7+$GL7+$HQ7+$HV7</f>
        <v>25395.372332069899</v>
      </c>
      <c r="J7" s="1">
        <f t="shared" si="2"/>
        <v>-62150.741306678996</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-19199.222636374525</v>
      </c>
      <c r="Y7" s="64">
        <f t="shared" si="15"/>
        <v>3.9215686274509887E-2</v>
      </c>
      <c r="Z7" s="1">
        <f t="shared" si="16"/>
        <v>-3960</v>
      </c>
      <c r="AA7" s="64">
        <f t="shared" si="17"/>
        <v>0</v>
      </c>
      <c r="AB7" s="40"/>
      <c r="AC7" s="1">
        <f t="shared" si="3"/>
        <v>-78459.222636374529</v>
      </c>
      <c r="AD7" s="1">
        <f t="shared" si="4"/>
        <v>105646.82315484756</v>
      </c>
      <c r="AE7" s="1">
        <f t="shared" si="18"/>
        <v>27187.600518473031</v>
      </c>
      <c r="AF7" s="1">
        <f>IF(AE7 &lt; 0,
    IF(AF6 + AE7 &gt; 0,
        AF6 + AE7, IF(AK6-ABS(AF6 + AE7)*(1+$V7) &gt;= AF6 + AE7,
        0, AF6 + AE7)),
    MIN(AF6 + AE7, Analysis!$C$7))+IF(AF6&lt;0, AF6*Analysis!$C$9,0)</f>
        <v>24000</v>
      </c>
      <c r="AG7" s="40"/>
      <c r="AH7" s="1">
        <f t="shared" si="19"/>
        <v>8557.3059365763947</v>
      </c>
      <c r="AI7" s="1">
        <f>IF(AE7 &gt;= 0,
    MAX(0, AF6 + AE7 - Analysis!$C$7),
    0)</f>
        <v>27187.600518473031</v>
      </c>
      <c r="AJ7" s="1">
        <f t="shared" si="44"/>
        <v>128920.7491851755</v>
      </c>
      <c r="AK7" s="1">
        <f t="shared" si="20"/>
        <v>158237.21677412579</v>
      </c>
      <c r="AL7" s="1">
        <f t="shared" si="5"/>
        <v>150504.99844754016</v>
      </c>
      <c r="AM7" s="36"/>
      <c r="AN7" s="1">
        <f t="shared" si="45"/>
        <v>836329.77393298107</v>
      </c>
      <c r="AO7" s="64">
        <f t="shared" si="21"/>
        <v>3.9215686274509887E-2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-16640.973517727231</v>
      </c>
      <c r="AT7" s="1">
        <f>IF($B7&lt;Analysis!$C$66,0,IF($B7=Analysis!$C$66,-AP7-AS7,MIN(0,AT6-AS7)))</f>
        <v>-602480.85032748303</v>
      </c>
      <c r="AU7" s="64">
        <f>IF($B7&lt;Analysis!$C$66,0,IF($B7=Analysis!$C$66,Analysis!$C$72,IF(($B7-Analysis!$C$66)&lt;LOOKUP(Analysis!$C$66,$B:$B,AQ:AQ),AU6,0)))</f>
        <v>3.6999999999999998E-2</v>
      </c>
      <c r="AV7" s="1">
        <f>IF($B7&lt;Analysis!$C$66,0,IF($B7=Analysis!$C$66,-AU7*AP7,AU6*AT6))</f>
        <v>-22907.507482272777</v>
      </c>
      <c r="AW7" s="1">
        <f>IF($B7&lt;Analysis!$C$66,0,IF($B7=Analysis!$C$66,PMT(AU7,AQ7,AP7)*AQ7-AX7-AT7,IF(($B7-Analysis!$C$66+1)&lt;LOOKUP(Analysis!$C$66,$B:$B,AQ:AQ),IF(AW6-AV7&lt;0, AW6-AV7,0),0)))</f>
        <v>-300268.8892118017</v>
      </c>
      <c r="AX7" s="1">
        <f>IF($B7&lt;Analysis!$C$66,0,IF($B7=Analysis!$C$66,AS7+AV7,IF(AT6&lt;0,IF(AT6&gt;LOOKUP(Analysis!$C$66,$B:$B,AX:AX), AT6*(1+AU6),AX6),0)))</f>
        <v>-39548.481000000007</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-2508.9893217989434</v>
      </c>
      <c r="BF7" s="64">
        <f>IF($B7&lt;Analysis!$C$66,0,Analysis!$C$78)</f>
        <v>3.0000000000000001E-3</v>
      </c>
      <c r="BG7" s="1">
        <f>IF($B7&lt;Analysis!$C$66,0,-BH7*AN7)</f>
        <v>-6272.4733044973582</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-106632.04617645509</v>
      </c>
      <c r="BS7" s="64">
        <f>IF($B7&lt;Analysis!C$66,0,Analysis!C$31)</f>
        <v>0.1275</v>
      </c>
      <c r="BT7" s="1">
        <f>IF($B7&lt;Analysis!$C$66,0,AN7+BR7)</f>
        <v>729697.72775652597</v>
      </c>
      <c r="BU7" s="1">
        <f>IF($B7-Analysis!$C$66&gt;3,0,IF($AN7&gt;LOOKUP(Analysis!$C$66,$B:$B, AN:AN),$V7*(LOOKUP(Analysis!$C$66,$B:$B, AN:AN)-AN7),0))</f>
        <v>0</v>
      </c>
      <c r="BV7" s="1">
        <f t="shared" si="23"/>
        <v>729697.72775652597</v>
      </c>
      <c r="BW7" s="42"/>
      <c r="BX7" s="1">
        <f>IF($B7&lt;Analysis!$C$66,$P7+$N7+$X7+$Z7,$P7+$N7+AS7+AV7+BB7+BE7+BG7+MAX(BI7,SUM(BJ7:BN7))+BP7)</f>
        <v>-113662.77240500372</v>
      </c>
      <c r="BY7" s="1">
        <f t="shared" si="24"/>
        <v>105646.82315484756</v>
      </c>
      <c r="BZ7" s="1">
        <f t="shared" si="46"/>
        <v>-8015.9492501561617</v>
      </c>
      <c r="CA7" s="1">
        <f>IF(BZ7 &lt; 0,
    IF(CA6 + BZ7 &gt; 0,
        CA6 + BZ7, IF(CF6-ABS(CA6 + BZ7)*(1+$V7) &gt;= CA6 + BZ7,
        0, CA6 + BZ7)),
    MIN(CA6 + BZ7, Analysis!$C$7))+IF(CA6&lt;0, CA6*Analysis!$C$9,0)</f>
        <v>-110498.17814416267</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-19199.222636374525</v>
      </c>
      <c r="CJ7" s="1">
        <f>IF(OR($B7&lt;Analysis!$C$100, $B7&gt;=Analysis!$C$130),0,Z7)</f>
        <v>-3960</v>
      </c>
      <c r="CK7" s="1">
        <f t="shared" si="26"/>
        <v>503009.93649592355</v>
      </c>
      <c r="CL7" s="64">
        <f t="shared" si="48"/>
        <v>3.9215686274509887E-2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-9282.2259628036754</v>
      </c>
      <c r="CQ7" s="1">
        <f>IF(OR($B7&lt;Analysis!$C$100, $B7&gt;=Analysis!$C$101),0,IF($B7=Analysis!$C$100,-CM7-CP7,MIN(0,CQ6-CP7)))</f>
        <v>-336059.86963709706</v>
      </c>
      <c r="CR7" s="64">
        <f>IF(OR($B7&lt;Analysis!$C$100, $B7&gt;=Analysis!$C$101),0,IF($B7=Analysis!$C$100,Analysis!$C$102,IF(($B7-Analysis!$C$100)&lt;LOOKUP(Analysis!$C$100,$B:$B,CN:CN),CR6,0)))</f>
        <v>3.6999999999999998E-2</v>
      </c>
      <c r="CS7" s="1">
        <f>IF(OR($B7&lt;Analysis!$C$100, $B7&gt;=Analysis!$C$101),0,IF($B7=Analysis!$C$100,-CR7*CM7,CR6*CQ6))</f>
        <v>-12777.657537196328</v>
      </c>
      <c r="CT7" s="1">
        <f>IF(OR($B7&lt;Analysis!$C$100, $B7&gt;=Analysis!$C$101),0,IF($B7=Analysis!$C$100,PMT(CR7,CN7,CM7)*CN7-CU7-CQ7,IF(($B7-Analysis!$C$100+1)&lt;LOOKUP(Analysis!$C$100,$B:$B,CN:CN),IF(CT6-CS7&lt;0, CT6-CS7,0),0)))</f>
        <v>-167488.01843202906</v>
      </c>
      <c r="CU7" s="1">
        <f>IF(OR($B7&lt;Analysis!$C$100, $B7&gt;=Analysis!$C$101),0,IF($B7=Analysis!$C$100,CP7+CS7,IF(CQ6&lt;0,IF(CQ6&gt;LOOKUP(Analysis!$C$100,$B:$B,CU:CU), CQ6*(1+CR6),CU6),0)))</f>
        <v>-22059.883500000004</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16799.319806827709</v>
      </c>
      <c r="DC7" s="64">
        <f>IF(OR($B7&lt;Analysis!$C$100, $B7&gt;=Analysis!$C$101),0,((1+Analysis!$D$114)/(1+$S7))-1)</f>
        <v>3.9215686274509887E-2</v>
      </c>
      <c r="DD7" s="1">
        <f t="shared" si="6"/>
        <v>22268.349616315478</v>
      </c>
      <c r="DE7" s="1">
        <f t="shared" si="27"/>
        <v>-1509.0298094877708</v>
      </c>
      <c r="DF7" s="64">
        <f>IF(OR($B7&lt;Analysis!$C$100, $B7&gt;=Analysis!$C$101),0,Analysis!$C$118)</f>
        <v>3.0000000000000001E-3</v>
      </c>
      <c r="DG7" s="1">
        <f t="shared" si="28"/>
        <v>-3772.5745237194265</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-1259.948985512078</v>
      </c>
      <c r="DR7" s="1">
        <f t="shared" si="29"/>
        <v>-18801.553318719274</v>
      </c>
      <c r="DS7" s="1">
        <f>MIN(0,-(DB7+DR7)*Analysis!$C$28)-CS7*Analysis!$C$28</f>
        <v>5661.780054731692</v>
      </c>
      <c r="DT7" s="1">
        <f>-Analysis!$C$116*DD7/12</f>
        <v>-1855.6958013596231</v>
      </c>
      <c r="DU7" s="53"/>
      <c r="DV7" s="1">
        <f t="shared" si="30"/>
        <v>-64133.766903230251</v>
      </c>
      <c r="DW7" s="64">
        <f>IF(OR($B7&lt;Analysis!$C$100, $B7&gt;=Analysis!$C$101),0,IF($B7=Analysis!$C$100,Analysis!$C$31,DW6))</f>
        <v>0.1275</v>
      </c>
      <c r="DX7" s="1">
        <f>IF(OR($B7&lt;Analysis!$C$100, $B7&gt;=Analysis!$C$101),0,CK7+DV7)</f>
        <v>438876.16959269333</v>
      </c>
      <c r="DY7" s="1">
        <f>IF(OR($B7&lt;Analysis!$C$100, $B7&gt;=Analysis!$C$101),0,IF($B7-Analysis!$C$100&gt;3,0,IF(CK7&gt;LOOKUP(Analysis!$C$100,$B:$B, CK:CK),$V7*(LOOKUP(Analysis!$C$100,$B:$B, CK:CK)-CK7),0)))</f>
        <v>0</v>
      </c>
      <c r="DZ7" s="1">
        <f t="shared" si="49"/>
        <v>438876.16959269333</v>
      </c>
      <c r="EA7" s="53"/>
      <c r="EB7" s="1">
        <f t="shared" si="31"/>
        <v>836329.77393298107</v>
      </c>
      <c r="EC7" s="64">
        <f t="shared" si="50"/>
        <v>3.9215686274509887E-2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-113287.40398042914</v>
      </c>
      <c r="FM7" s="1">
        <f>$M7+$R7+DD7+IF(AND($B7&lt;&gt;Analysis!$C$130,$B7=Analysis!$C$101),DZ6+CQ6+CT6+CZ6,0)</f>
        <v>127915.17277116304</v>
      </c>
      <c r="FN7" s="1">
        <f t="shared" si="34"/>
        <v>14627.768790733899</v>
      </c>
      <c r="FO7" s="1">
        <f>IF(FN7 &lt; 0,
    IF(FO6 + FN7 &gt; 0,
        FO6 + FN7, IF(FT6-ABS(FO6 + FN7)*(1+$V7) &gt;= FO6 + FN7,
        0, FO6 + FN7)),
    MIN(FO6 + FN7, Analysis!$C$7))+IF(FO6&lt;0, FO6*Analysis!$C$9,0)</f>
        <v>24000</v>
      </c>
      <c r="FP7" s="53"/>
      <c r="FQ7" s="1">
        <f t="shared" si="51"/>
        <v>757.25491836530455</v>
      </c>
      <c r="FR7" s="1">
        <f>IF(OR($B7=Analysis!$C$100, $B7=Analysis!$C$130),0,IF(FN7 &gt;= 0,
    MAX(0, FO6 + FN7 - Analysis!$C$7),
    0))</f>
        <v>14627.768790733899</v>
      </c>
      <c r="FS7" s="1">
        <f>IF(OR($B7=Analysis!$C$100, $B7=Analysis!$C$130),0,MAX(0, FS6 + FR7 - IF(FN7 &lt; 0, MIN(ABS(FN7), FS6 + FR7), 0)))</f>
        <v>25467.384101736825</v>
      </c>
      <c r="FT7" s="1">
        <f>IF(OR($B7=Analysis!$C$100, $B7=Analysis!$C$130),0,IF(FN7 &lt; 0,
    IF(FN7 + FO6 &lt; 0,
        MAX(0, FT6 - (ABS(FN7 + FO6) * (1+$V6))),
        FT6 + FQ7),
    FT6 + FR7 + FQ7))</f>
        <v>26224.639020102128</v>
      </c>
      <c r="FU7" s="1">
        <f t="shared" si="35"/>
        <v>26024.913035383281</v>
      </c>
      <c r="FV7" s="36"/>
      <c r="FW7" s="1">
        <f t="shared" si="52"/>
        <v>503009.93649592355</v>
      </c>
      <c r="FX7" s="64">
        <f t="shared" si="53"/>
        <v>3.9215686274509887E-2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-9282.2259628036754</v>
      </c>
      <c r="GC7" s="1">
        <f>IF($B7&lt;Analysis!$C$159,0,IF($B7=Analysis!$C$159,-FY7-GB7,MIN(0,GC6-GB7)))</f>
        <v>-336059.86963709706</v>
      </c>
      <c r="GD7" s="64">
        <f>IF($B7&lt;Analysis!$C$159,0,IF($B7=Analysis!$C$159,Analysis!$C$160,IF(($B7-Analysis!$C$159)&lt;LOOKUP(Analysis!$C$159,$B:$B,FZ:FZ),GD6,0)))</f>
        <v>3.6999999999999998E-2</v>
      </c>
      <c r="GE7" s="1">
        <f>IF($B7&lt;Analysis!$C$159,0,IF($B7=Analysis!$C$159,-GD7*FY7,GD6*GC6))</f>
        <v>-12777.657537196328</v>
      </c>
      <c r="GF7" s="1">
        <f>IF($B7&lt;Analysis!$C$159,0,IF($B7=Analysis!$C$159,PMT(GD7,FZ7,FY7)*FZ7-GG7-GC7,IF(($B7-Analysis!$C$159+1)&lt;LOOKUP(Analysis!$C$159,$B:$B,FZ:FZ),IF(GF6-GE7&lt;0, GF6-GE7,0),0)))</f>
        <v>-167488.01843202906</v>
      </c>
      <c r="GG7" s="1">
        <f>IF($B7&lt;Analysis!$C$159,0,IF($B7=Analysis!$C$159,GB7+GE7,IF(GC6&lt;0,IF(GC6&gt;LOOKUP(Analysis!$C$159,$B:$B,GG:GG), GC6*(1+GD6),GG6),0)))</f>
        <v>-22059.883500000004</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16799.319806827709</v>
      </c>
      <c r="GO7" s="64">
        <f>IF($B7&lt;Analysis!$C$159,0,((1+Analysis!$D$174)/(1+$S7))-1)</f>
        <v>3.9215686274509887E-2</v>
      </c>
      <c r="GP7" s="1">
        <f t="shared" si="7"/>
        <v>22268.349616315478</v>
      </c>
      <c r="GQ7" s="1">
        <f t="shared" si="36"/>
        <v>-1509.0298094877708</v>
      </c>
      <c r="GR7" s="64">
        <f>IF($B7&lt;Analysis!$C$159,0,Analysis!$C$178)</f>
        <v>3.0000000000000001E-3</v>
      </c>
      <c r="GS7" s="1">
        <f t="shared" si="37"/>
        <v>-3772.5745237194265</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-1259.948985512078</v>
      </c>
      <c r="HD7" s="1">
        <f t="shared" si="38"/>
        <v>-18801.553318719274</v>
      </c>
      <c r="HE7" s="1">
        <f>MIN(0,-(GN7+HD7)*Analysis!$C$28)-GE7*Analysis!$C$28</f>
        <v>5661.780054731692</v>
      </c>
      <c r="HF7" s="1">
        <f>-Analysis!$C$176*GP7/12</f>
        <v>-1855.6958013596231</v>
      </c>
      <c r="HG7" s="38"/>
      <c r="HH7" s="1">
        <f>IF($B7&lt;Analysis!$C$159,0,-$HI7*$FW7)</f>
        <v>-64133.766903230251</v>
      </c>
      <c r="HI7" s="64">
        <f>IF($B7&lt;Analysis!$C$159,0,IF($B7=Analysis!$C$159,Analysis!$C$31,HI6))</f>
        <v>0.1275</v>
      </c>
      <c r="HJ7" s="1">
        <f>IF($B7&lt;Analysis!$C$159,0,$FW7+HH7)</f>
        <v>438876.16959269333</v>
      </c>
      <c r="HK7" s="1">
        <f>IF($B7-Analysis!$C$159&gt;10,0,IF($FW7&gt;LOOKUP(Analysis!$C$159,$B:$B, FW:FW),$V7*(LOOKUP(Analysis!$C$159,$B:$B, FW:FW)-FW7),0))</f>
        <v>-23212.620750799837</v>
      </c>
      <c r="HL7" s="1">
        <f t="shared" si="39"/>
        <v>415663.5488418935</v>
      </c>
      <c r="HM7" s="38"/>
      <c r="HN7" s="1">
        <f t="shared" si="40"/>
        <v>-113287.40398042914</v>
      </c>
      <c r="HO7" s="1">
        <f t="shared" si="8"/>
        <v>127915.17277116304</v>
      </c>
      <c r="HP7" s="1">
        <f t="shared" si="41"/>
        <v>14627.768790733899</v>
      </c>
      <c r="HQ7" s="1">
        <f>IF(HP7 &lt; 0,
    IF(HQ6 + HP7 &gt; 0,
        HQ6 + HP7, IF(HV6-ABS(HQ6 + HP7)*(1+$V7) &gt;= HQ6 + HP7,
        0, HQ6 + HP7)),
    MIN(HQ6 + HP7, Analysis!$C$7))+IF(HQ6&lt;0, HQ6*Analysis!$C$9,0)</f>
        <v>24000</v>
      </c>
      <c r="HR7" s="38"/>
      <c r="HS7" s="1">
        <f t="shared" si="54"/>
        <v>757.25491836530455</v>
      </c>
      <c r="HT7" s="1">
        <f>IF($B7=Analysis!$C$159,0,IF(HP7 &gt;= 0,
    MAX(0, HQ6 + HP7 - Analysis!$C$7),
    0))</f>
        <v>14627.768790733899</v>
      </c>
      <c r="HU7" s="1">
        <f>IF($B7=Analysis!$C$159,0,MAX(0, HU6 + HT7 - IF(HP7 &lt; 0, MIN(ABS(HP7), HU6 + HT7), 0)))</f>
        <v>25467.384101736825</v>
      </c>
      <c r="HV7" s="1">
        <f>IF($B7=Analysis!$C$159,0,IF(HP7 &lt; 0,
    IF(HP7 + HQ6 &lt; 0,
        MAX(0, HV6 - (ABS(HP7 + HQ6) * (1+$V6))),
        HV6 + HS7),
    HV6 + HT7 + HS7))</f>
        <v>26224.639020102128</v>
      </c>
      <c r="HW7" s="1">
        <f t="shared" si="42"/>
        <v>26024.913035383281</v>
      </c>
      <c r="HX7" s="36"/>
    </row>
    <row r="8" spans="1:232" x14ac:dyDescent="0.35">
      <c r="A8">
        <f t="shared" si="0"/>
        <v>41</v>
      </c>
      <c r="B8">
        <v>2031</v>
      </c>
      <c r="C8" s="1">
        <f>IF($B8&lt;Analysis!C$66,0,$AN8)+$AT8+$AW8+$BC8+$CF8+$CA8</f>
        <v>-140501.69471461244</v>
      </c>
      <c r="D8" s="1">
        <f>IF($B8&lt;Analysis!C$66, 0, BV8)+AT8+AW8+BC8+CG8+CA8</f>
        <v>-251315.38976073242</v>
      </c>
      <c r="E8" s="1">
        <f t="shared" si="1"/>
        <v>218944.46882026442</v>
      </c>
      <c r="F8" s="1">
        <f t="shared" si="9"/>
        <v>208368.18695361336</v>
      </c>
      <c r="G8" s="1">
        <f>IF(AND($B8&gt;=Analysis!$C$100, $B8&lt;Analysis!$C$101),$CK8,0)+IF($B8&gt;=Analysis!$C$130,EB8,0)+CQ8+CT8+CZ8+EH8+EK8+EQ8+$FO8+$FT8</f>
        <v>88654.733255852101</v>
      </c>
      <c r="H8" s="1">
        <f t="shared" si="10"/>
        <v>21334.844303017562</v>
      </c>
      <c r="I8" s="1">
        <f>IF($B8&lt;Analysis!$C$159,0,$FW8)+$GC8+$GF8+$GL8+$HQ8+$HV8</f>
        <v>88654.733255852101</v>
      </c>
      <c r="J8" s="1">
        <f t="shared" si="2"/>
        <v>-7080.4772615391194</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-19952.133327997057</v>
      </c>
      <c r="Y8" s="64">
        <f t="shared" si="15"/>
        <v>3.9215686274509887E-2</v>
      </c>
      <c r="Z8" s="1">
        <f t="shared" si="16"/>
        <v>-3960</v>
      </c>
      <c r="AA8" s="64">
        <f t="shared" si="17"/>
        <v>0</v>
      </c>
      <c r="AB8" s="40"/>
      <c r="AC8" s="1">
        <f t="shared" si="3"/>
        <v>-82312.133327997057</v>
      </c>
      <c r="AD8" s="1">
        <f t="shared" si="4"/>
        <v>108236.2060753095</v>
      </c>
      <c r="AE8" s="1">
        <f t="shared" si="18"/>
        <v>25924.072747312443</v>
      </c>
      <c r="AF8" s="1">
        <f>IF(AE8 &lt; 0,
    IF(AF7 + AE8 &gt; 0,
        AF7 + AE8, IF(AK7-ABS(AF7 + AE8)*(1+$V8) &gt;= AF7 + AE8,
        0, AF7 + AE8)),
    MIN(AF7 + AE8, Analysis!$C$7))+IF(AF7&lt;0, AF7*Analysis!$C$9,0)</f>
        <v>24000</v>
      </c>
      <c r="AG8" s="40"/>
      <c r="AH8" s="1">
        <f t="shared" si="19"/>
        <v>10783.179298826171</v>
      </c>
      <c r="AI8" s="1">
        <f>IF(AE8 &gt;= 0,
    MAX(0, AF7 + AE8 - Analysis!$C$7),
    0)</f>
        <v>25924.072747312443</v>
      </c>
      <c r="AJ8" s="1">
        <f t="shared" si="44"/>
        <v>154844.82193248795</v>
      </c>
      <c r="AK8" s="1">
        <f t="shared" si="20"/>
        <v>194944.46882026442</v>
      </c>
      <c r="AL8" s="1">
        <f t="shared" si="5"/>
        <v>184368.18695361336</v>
      </c>
      <c r="AM8" s="36"/>
      <c r="AN8" s="1">
        <f t="shared" si="45"/>
        <v>869127.01996956859</v>
      </c>
      <c r="AO8" s="64">
        <f t="shared" si="21"/>
        <v>3.9215686274509887E-2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-17256.689537883136</v>
      </c>
      <c r="AT8" s="1">
        <f>IF($B8&lt;Analysis!$C$66,0,IF($B8=Analysis!$C$66,-AP8-AS8,MIN(0,AT7-AS8)))</f>
        <v>-585224.16078959987</v>
      </c>
      <c r="AU8" s="64">
        <f>IF($B8&lt;Analysis!$C$66,0,IF($B8=Analysis!$C$66,Analysis!$C$72,IF(($B8-Analysis!$C$66)&lt;LOOKUP(Analysis!$C$66,$B:$B,AQ:AQ),AU7,0)))</f>
        <v>3.6999999999999998E-2</v>
      </c>
      <c r="AV8" s="1">
        <f>IF($B8&lt;Analysis!$C$66,0,IF($B8=Analysis!$C$66,-AU8*AP8,AU7*AT7))</f>
        <v>-22291.791462116871</v>
      </c>
      <c r="AW8" s="1">
        <f>IF($B8&lt;Analysis!$C$66,0,IF($B8=Analysis!$C$66,PMT(AU8,AQ8,AP8)*AQ8-AX8-AT8,IF(($B8-Analysis!$C$66+1)&lt;LOOKUP(Analysis!$C$66,$B:$B,AQ:AQ),IF(AW7-AV8&lt;0, AW7-AV8,0),0)))</f>
        <v>-277977.09774968482</v>
      </c>
      <c r="AX8" s="1">
        <f>IF($B8&lt;Analysis!$C$66,0,IF($B8=Analysis!$C$66,AS8+AV8,IF(AT7&lt;0,IF(AT7&gt;LOOKUP(Analysis!$C$66,$B:$B,AX:AX), AT7*(1+AU7),AX7),0)))</f>
        <v>-39548.481000000007</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-2607.381059908706</v>
      </c>
      <c r="BF8" s="64">
        <f>IF($B8&lt;Analysis!$C$66,0,Analysis!$C$78)</f>
        <v>3.0000000000000001E-3</v>
      </c>
      <c r="BG8" s="1">
        <f>IF($B8&lt;Analysis!$C$66,0,-BH8*AN8)</f>
        <v>-6518.4526497717643</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-110813.69504612</v>
      </c>
      <c r="BS8" s="64">
        <f>IF($B8&lt;Analysis!C$66,0,Analysis!C$31)</f>
        <v>0.1275</v>
      </c>
      <c r="BT8" s="1">
        <f>IF($B8&lt;Analysis!$C$66,0,AN8+BR8)</f>
        <v>758313.32492344861</v>
      </c>
      <c r="BU8" s="1">
        <f>IF($B8-Analysis!$C$66&gt;3,0,IF($AN8&gt;LOOKUP(Analysis!$C$66,$B:$B, AN:AN),$V8*(LOOKUP(Analysis!$C$66,$B:$B, AN:AN)-AN8),0))</f>
        <v>0</v>
      </c>
      <c r="BV8" s="1">
        <f t="shared" si="23"/>
        <v>758313.32492344861</v>
      </c>
      <c r="BW8" s="42"/>
      <c r="BX8" s="1">
        <f>IF($B8&lt;Analysis!$C$66,$P8+$N8+$X8+$Z8,$P8+$N8+AS8+AV8+BB8+BE8+BG8+MAX(BI8,SUM(BJ8:BN8))+BP8)</f>
        <v>-117107.1434883879</v>
      </c>
      <c r="BY8" s="1">
        <f t="shared" si="24"/>
        <v>108236.2060753095</v>
      </c>
      <c r="BZ8" s="1">
        <f t="shared" si="46"/>
        <v>-8870.9374130783981</v>
      </c>
      <c r="CA8" s="1">
        <f>IF(BZ8 &lt; 0,
    IF(CA7 + BZ8 &gt; 0,
        CA7 + BZ8, IF(CF7-ABS(CA7 + BZ8)*(1+$V8) &gt;= CA7 + BZ8,
        0, CA7 + BZ8)),
    MIN(CA7 + BZ8, Analysis!$C$7))+IF(CA7&lt;0, CA7*Analysis!$C$9,0)</f>
        <v>-128208.96980877408</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-19952.133327997057</v>
      </c>
      <c r="CJ8" s="1">
        <f>IF(OR($B8&lt;Analysis!$C$100, $B8&gt;=Analysis!$C$130),0,Z8)</f>
        <v>-3960</v>
      </c>
      <c r="CK8" s="1">
        <f t="shared" si="26"/>
        <v>522735.81635850883</v>
      </c>
      <c r="CL8" s="64">
        <f t="shared" si="48"/>
        <v>3.9215686274509887E-2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-9625.6683234274133</v>
      </c>
      <c r="CQ8" s="1">
        <f>IF(OR($B8&lt;Analysis!$C$100, $B8&gt;=Analysis!$C$101),0,IF($B8=Analysis!$C$100,-CM8-CP8,MIN(0,CQ7-CP8)))</f>
        <v>-326434.20131366962</v>
      </c>
      <c r="CR8" s="64">
        <f>IF(OR($B8&lt;Analysis!$C$100, $B8&gt;=Analysis!$C$101),0,IF($B8=Analysis!$C$100,Analysis!$C$102,IF(($B8-Analysis!$C$100)&lt;LOOKUP(Analysis!$C$100,$B:$B,CN:CN),CR7,0)))</f>
        <v>3.6999999999999998E-2</v>
      </c>
      <c r="CS8" s="1">
        <f>IF(OR($B8&lt;Analysis!$C$100, $B8&gt;=Analysis!$C$101),0,IF($B8=Analysis!$C$100,-CR8*CM8,CR7*CQ7))</f>
        <v>-12434.21517657259</v>
      </c>
      <c r="CT8" s="1">
        <f>IF(OR($B8&lt;Analysis!$C$100, $B8&gt;=Analysis!$C$101),0,IF($B8=Analysis!$C$100,PMT(CR8,CN8,CM8)*CN8-CU8-CQ8,IF(($B8-Analysis!$C$100+1)&lt;LOOKUP(Analysis!$C$100,$B:$B,CN:CN),IF(CT7-CS8&lt;0, CT7-CS8,0),0)))</f>
        <v>-155053.80325545647</v>
      </c>
      <c r="CU8" s="1">
        <f>IF(OR($B8&lt;Analysis!$C$100, $B8&gt;=Analysis!$C$101),0,IF($B8=Analysis!$C$100,CP8+CS8,IF(CQ7&lt;0,IF(CQ7&gt;LOOKUP(Analysis!$C$100,$B:$B,CU:CU), CQ7*(1+CR7),CU7),0)))</f>
        <v>-22059.883500000004</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17458.116661997425</v>
      </c>
      <c r="DC8" s="64">
        <f>IF(OR($B8&lt;Analysis!$C$100, $B8&gt;=Analysis!$C$101),0,((1+Analysis!$D$114)/(1+$S8))-1)</f>
        <v>3.9215686274509887E-2</v>
      </c>
      <c r="DD8" s="1">
        <f t="shared" si="6"/>
        <v>22986.32411107295</v>
      </c>
      <c r="DE8" s="1">
        <f t="shared" si="27"/>
        <v>-1568.2074490755265</v>
      </c>
      <c r="DF8" s="64">
        <f>IF(OR($B8&lt;Analysis!$C$100, $B8&gt;=Analysis!$C$101),0,Analysis!$C$118)</f>
        <v>3.0000000000000001E-3</v>
      </c>
      <c r="DG8" s="1">
        <f t="shared" si="28"/>
        <v>-3920.5186226888163</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-1309.3587496498069</v>
      </c>
      <c r="DR8" s="1">
        <f t="shared" si="29"/>
        <v>-19058.084821414152</v>
      </c>
      <c r="DS8" s="1">
        <f>MIN(0,-(DB8+DR8)*Analysis!$C$28)-CS8*Analysis!$C$28</f>
        <v>5509.600744739314</v>
      </c>
      <c r="DT8" s="1">
        <f>-Analysis!$C$116*DD8/12</f>
        <v>-1915.5270092560793</v>
      </c>
      <c r="DU8" s="53"/>
      <c r="DV8" s="1">
        <f t="shared" si="30"/>
        <v>-66648.816585709879</v>
      </c>
      <c r="DW8" s="64">
        <f>IF(OR($B8&lt;Analysis!$C$100, $B8&gt;=Analysis!$C$101),0,IF($B8=Analysis!$C$100,Analysis!$C$31,DW7))</f>
        <v>0.1275</v>
      </c>
      <c r="DX8" s="1">
        <f>IF(OR($B8&lt;Analysis!$C$100, $B8&gt;=Analysis!$C$101),0,CK8+DV8)</f>
        <v>456086.99977279897</v>
      </c>
      <c r="DY8" s="1">
        <f>IF(OR($B8&lt;Analysis!$C$100, $B8&gt;=Analysis!$C$101),0,IF($B8-Analysis!$C$100&gt;3,0,IF(CK8&gt;LOOKUP(Analysis!$C$100,$B:$B, CK:CK),$V8*(LOOKUP(Analysis!$C$100,$B:$B, CK:CK)-CK8),0)))</f>
        <v>0</v>
      </c>
      <c r="DZ8" s="1">
        <f t="shared" si="49"/>
        <v>456086.99977279897</v>
      </c>
      <c r="EA8" s="53"/>
      <c r="EB8" s="1">
        <f t="shared" si="31"/>
        <v>869127.01996956859</v>
      </c>
      <c r="EC8" s="64">
        <f t="shared" si="50"/>
        <v>3.9215686274509887E-2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-117608.8566926354</v>
      </c>
      <c r="FM8" s="1">
        <f>$M8+$R8+DD8+IF(AND($B8&lt;&gt;Analysis!$C$130,$B8=Analysis!$C$101),DZ7+CQ7+CT7+CZ7,0)</f>
        <v>131222.53018638244</v>
      </c>
      <c r="FN8" s="1">
        <f t="shared" si="34"/>
        <v>13613.673493747046</v>
      </c>
      <c r="FO8" s="1">
        <f>IF(FN8 &lt; 0,
    IF(FO7 + FN8 &gt; 0,
        FO7 + FN8, IF(FT7-ABS(FO7 + FN8)*(1+$V8) &gt;= FO7 + FN8,
        0, FO7 + FN8)),
    MIN(FO7 + FN8, Analysis!$C$7))+IF(FO7&lt;0, FO7*Analysis!$C$9,0)</f>
        <v>24000</v>
      </c>
      <c r="FP8" s="53"/>
      <c r="FQ8" s="1">
        <f t="shared" si="51"/>
        <v>1787.0952887424269</v>
      </c>
      <c r="FR8" s="1">
        <f>IF(OR($B8=Analysis!$C$100, $B8=Analysis!$C$130),0,IF(FN8 &gt;= 0,
    MAX(0, FO7 + FN8 - Analysis!$C$7),
    0))</f>
        <v>13613.673493747046</v>
      </c>
      <c r="FS8" s="1">
        <f>IF(OR($B8=Analysis!$C$100, $B8=Analysis!$C$130),0,MAX(0, FS7 + FR8 - IF(FN8 &lt; 0, MIN(ABS(FN8), FS7 + FR8), 0)))</f>
        <v>39081.057595483871</v>
      </c>
      <c r="FT8" s="1">
        <f>IF(OR($B8=Analysis!$C$100, $B8=Analysis!$C$130),0,IF(FN8 &lt; 0,
    IF(FN8 + FO7 &lt; 0,
        MAX(0, FT7 - (ABS(FN8 + FO7) * (1+$V7))),
        FT7 + FQ8),
    FT7 + FR8 + FQ8))</f>
        <v>41625.407802591602</v>
      </c>
      <c r="FU8" s="1">
        <f t="shared" si="35"/>
        <v>40954.335435466935</v>
      </c>
      <c r="FV8" s="36"/>
      <c r="FW8" s="1">
        <f t="shared" si="52"/>
        <v>522735.81635850883</v>
      </c>
      <c r="FX8" s="64">
        <f t="shared" si="53"/>
        <v>3.9215686274509887E-2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-9625.6683234274133</v>
      </c>
      <c r="GC8" s="1">
        <f>IF($B8&lt;Analysis!$C$159,0,IF($B8=Analysis!$C$159,-FY8-GB8,MIN(0,GC7-GB8)))</f>
        <v>-326434.20131366962</v>
      </c>
      <c r="GD8" s="64">
        <f>IF($B8&lt;Analysis!$C$159,0,IF($B8=Analysis!$C$159,Analysis!$C$160,IF(($B8-Analysis!$C$159)&lt;LOOKUP(Analysis!$C$159,$B:$B,FZ:FZ),GD7,0)))</f>
        <v>3.6999999999999998E-2</v>
      </c>
      <c r="GE8" s="1">
        <f>IF($B8&lt;Analysis!$C$159,0,IF($B8=Analysis!$C$159,-GD8*FY8,GD7*GC7))</f>
        <v>-12434.21517657259</v>
      </c>
      <c r="GF8" s="1">
        <f>IF($B8&lt;Analysis!$C$159,0,IF($B8=Analysis!$C$159,PMT(GD8,FZ8,FY8)*FZ8-GG8-GC8,IF(($B8-Analysis!$C$159+1)&lt;LOOKUP(Analysis!$C$159,$B:$B,FZ:FZ),IF(GF7-GE8&lt;0, GF7-GE8,0),0)))</f>
        <v>-155053.80325545647</v>
      </c>
      <c r="GG8" s="1">
        <f>IF($B8&lt;Analysis!$C$159,0,IF($B8=Analysis!$C$159,GB8+GE8,IF(GC7&lt;0,IF(GC7&gt;LOOKUP(Analysis!$C$159,$B:$B,GG:GG), GC7*(1+GD7),GG7),0)))</f>
        <v>-22059.883500000004</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17458.116661997425</v>
      </c>
      <c r="GO8" s="64">
        <f>IF($B8&lt;Analysis!$C$159,0,((1+Analysis!$D$174)/(1+$S8))-1)</f>
        <v>3.9215686274509887E-2</v>
      </c>
      <c r="GP8" s="1">
        <f t="shared" si="7"/>
        <v>22986.32411107295</v>
      </c>
      <c r="GQ8" s="1">
        <f t="shared" si="36"/>
        <v>-1568.2074490755265</v>
      </c>
      <c r="GR8" s="64">
        <f>IF($B8&lt;Analysis!$C$159,0,Analysis!$C$178)</f>
        <v>3.0000000000000001E-3</v>
      </c>
      <c r="GS8" s="1">
        <f t="shared" si="37"/>
        <v>-3920.5186226888163</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-1309.3587496498069</v>
      </c>
      <c r="HD8" s="1">
        <f t="shared" si="38"/>
        <v>-19058.084821414152</v>
      </c>
      <c r="HE8" s="1">
        <f>MIN(0,-(GN8+HD8)*Analysis!$C$28)-GE8*Analysis!$C$28</f>
        <v>5509.600744739314</v>
      </c>
      <c r="HF8" s="1">
        <f>-Analysis!$C$176*GP8/12</f>
        <v>-1915.5270092560793</v>
      </c>
      <c r="HG8" s="38"/>
      <c r="HH8" s="1">
        <f>IF($B8&lt;Analysis!$C$159,0,-$HI8*$FW8)</f>
        <v>-66648.816585709879</v>
      </c>
      <c r="HI8" s="64">
        <f>IF($B8&lt;Analysis!$C$159,0,IF($B8=Analysis!$C$159,Analysis!$C$31,HI7))</f>
        <v>0.1275</v>
      </c>
      <c r="HJ8" s="1">
        <f>IF($B8&lt;Analysis!$C$159,0,$FW8+HH8)</f>
        <v>456086.99977279897</v>
      </c>
      <c r="HK8" s="1">
        <f>IF($B8-Analysis!$C$159&gt;10,0,IF($FW8&gt;LOOKUP(Analysis!$C$159,$B:$B, FW:FW),$V8*(LOOKUP(Analysis!$C$159,$B:$B, FW:FW)-FW8),0))</f>
        <v>-28415.321564556703</v>
      </c>
      <c r="HL8" s="1">
        <f t="shared" si="39"/>
        <v>427671.67820824229</v>
      </c>
      <c r="HM8" s="38"/>
      <c r="HN8" s="1">
        <f t="shared" si="40"/>
        <v>-117608.8566926354</v>
      </c>
      <c r="HO8" s="1">
        <f t="shared" si="8"/>
        <v>131222.53018638244</v>
      </c>
      <c r="HP8" s="1">
        <f t="shared" si="41"/>
        <v>13613.673493747046</v>
      </c>
      <c r="HQ8" s="1">
        <f>IF(HP8 &lt; 0,
    IF(HQ7 + HP8 &gt; 0,
        HQ7 + HP8, IF(HV7-ABS(HQ7 + HP8)*(1+$V8) &gt;= HQ7 + HP8,
        0, HQ7 + HP8)),
    MIN(HQ7 + HP8, Analysis!$C$7))+IF(HQ7&lt;0, HQ7*Analysis!$C$9,0)</f>
        <v>24000</v>
      </c>
      <c r="HR8" s="38"/>
      <c r="HS8" s="1">
        <f t="shared" si="54"/>
        <v>1787.0952887424269</v>
      </c>
      <c r="HT8" s="1">
        <f>IF($B8=Analysis!$C$159,0,IF(HP8 &gt;= 0,
    MAX(0, HQ7 + HP8 - Analysis!$C$7),
    0))</f>
        <v>13613.673493747046</v>
      </c>
      <c r="HU8" s="1">
        <f>IF($B8=Analysis!$C$159,0,MAX(0, HU7 + HT8 - IF(HP8 &lt; 0, MIN(ABS(HP8), HU7 + HT8), 0)))</f>
        <v>39081.057595483871</v>
      </c>
      <c r="HV8" s="1">
        <f>IF($B8=Analysis!$C$159,0,IF(HP8 &lt; 0,
    IF(HP8 + HQ7 &lt; 0,
        MAX(0, HV7 - (ABS(HP8 + HQ7) * (1+$V7))),
        HV7 + HS8),
    HV7 + HT8 + HS8))</f>
        <v>41625.407802591602</v>
      </c>
      <c r="HW8" s="1">
        <f t="shared" si="42"/>
        <v>40954.335435466935</v>
      </c>
      <c r="HX8" s="36"/>
    </row>
    <row r="9" spans="1:232" x14ac:dyDescent="0.35">
      <c r="A9">
        <f t="shared" si="0"/>
        <v>42</v>
      </c>
      <c r="B9">
        <v>2032</v>
      </c>
      <c r="C9" s="1">
        <f>IF($B9&lt;Analysis!C$66,0,$AN9)+$AT9+$AW9+$BC9+$CF9+$CA9</f>
        <v>-77629.655029490896</v>
      </c>
      <c r="D9" s="1">
        <f>IF($B9&lt;Analysis!C$66, 0, BV9)+AT9+AW9+BC9+CG9+CA9</f>
        <v>-192788.98517545877</v>
      </c>
      <c r="E9" s="1">
        <f t="shared" si="1"/>
        <v>259689.38178916898</v>
      </c>
      <c r="F9" s="1">
        <f t="shared" si="9"/>
        <v>245697.42437015017</v>
      </c>
      <c r="G9" s="1">
        <f>IF(AND($B9&gt;=Analysis!$C$100, $B9&lt;Analysis!$C$101),$CK9,0)+IF($B9&gt;=Analysis!$C$130,EB9,0)+CQ9+CT9+CZ9+EH9+EK9+EQ9+$FO9+$FT9</f>
        <v>155795.75868876898</v>
      </c>
      <c r="H9" s="1">
        <f t="shared" si="10"/>
        <v>85132.860457450181</v>
      </c>
      <c r="I9" s="1">
        <f>IF($B9&lt;Analysis!$C$159,0,$FW9)+$GC9+$GF9+$GL9+$HQ9+$HV9</f>
        <v>155795.75868876898</v>
      </c>
      <c r="J9" s="1">
        <f t="shared" si="2"/>
        <v>51310.810596244199</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-20734.569929094981</v>
      </c>
      <c r="Y9" s="64">
        <f t="shared" si="15"/>
        <v>3.9215686274509887E-2</v>
      </c>
      <c r="Z9" s="1">
        <f t="shared" si="16"/>
        <v>-3960</v>
      </c>
      <c r="AA9" s="64">
        <f t="shared" si="17"/>
        <v>0</v>
      </c>
      <c r="AB9" s="40"/>
      <c r="AC9" s="1">
        <f t="shared" si="3"/>
        <v>-83094.569929094985</v>
      </c>
      <c r="AD9" s="1">
        <f t="shared" si="4"/>
        <v>110889.05426342982</v>
      </c>
      <c r="AE9" s="1">
        <f t="shared" si="18"/>
        <v>27794.484334334833</v>
      </c>
      <c r="AF9" s="1">
        <f>IF(AE9 &lt; 0,
    IF(AF8 + AE9 &gt; 0,
        AF8 + AE9, IF(AK8-ABS(AF8 + AE9)*(1+$V9) &gt;= AF8 + AE9,
        0, AF8 + AE9)),
    MIN(AF8 + AE9, Analysis!$C$7))+IF(AF8&lt;0, AF8*Analysis!$C$9,0)</f>
        <v>24000</v>
      </c>
      <c r="AG9" s="40"/>
      <c r="AH9" s="1">
        <f t="shared" si="19"/>
        <v>12950.42863456976</v>
      </c>
      <c r="AI9" s="1">
        <f>IF(AE9 &gt;= 0,
    MAX(0, AF8 + AE9 - Analysis!$C$7),
    0)</f>
        <v>27794.484334334833</v>
      </c>
      <c r="AJ9" s="1">
        <f t="shared" si="44"/>
        <v>182639.30626682279</v>
      </c>
      <c r="AK9" s="1">
        <f t="shared" si="20"/>
        <v>235689.38178916898</v>
      </c>
      <c r="AL9" s="1">
        <f t="shared" si="5"/>
        <v>221697.42437015017</v>
      </c>
      <c r="AM9" s="36"/>
      <c r="AN9" s="1">
        <f t="shared" si="45"/>
        <v>903210.43251739489</v>
      </c>
      <c r="AO9" s="64">
        <f t="shared" si="21"/>
        <v>3.9215686274509887E-2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-17895.187050784814</v>
      </c>
      <c r="AT9" s="1">
        <f>IF($B9&lt;Analysis!$C$66,0,IF($B9=Analysis!$C$66,-AP9-AS9,MIN(0,AT8-AS9)))</f>
        <v>-567328.97373881505</v>
      </c>
      <c r="AU9" s="64">
        <f>IF($B9&lt;Analysis!$C$66,0,IF($B9=Analysis!$C$66,Analysis!$C$72,IF(($B9-Analysis!$C$66)&lt;LOOKUP(Analysis!$C$66,$B:$B,AQ:AQ),AU8,0)))</f>
        <v>3.6999999999999998E-2</v>
      </c>
      <c r="AV9" s="1">
        <f>IF($B9&lt;Analysis!$C$66,0,IF($B9=Analysis!$C$66,-AU9*AP9,AU8*AT8))</f>
        <v>-21653.293949215193</v>
      </c>
      <c r="AW9" s="1">
        <f>IF($B9&lt;Analysis!$C$66,0,IF($B9=Analysis!$C$66,PMT(AU9,AQ9,AP9)*AQ9-AX9-AT9,IF(($B9-Analysis!$C$66+1)&lt;LOOKUP(Analysis!$C$66,$B:$B,AQ:AQ),IF(AW8-AV9&lt;0, AW8-AV9,0),0)))</f>
        <v>-256323.80380046961</v>
      </c>
      <c r="AX9" s="1">
        <f>IF($B9&lt;Analysis!$C$66,0,IF($B9=Analysis!$C$66,AS9+AV9,IF(AT8&lt;0,IF(AT8&gt;LOOKUP(Analysis!$C$66,$B:$B,AX:AX), AT8*(1+AU8),AX8),0)))</f>
        <v>-39548.481000000007</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-2709.6312975521846</v>
      </c>
      <c r="BF9" s="64">
        <f>IF($B9&lt;Analysis!$C$66,0,Analysis!$C$78)</f>
        <v>3.0000000000000001E-3</v>
      </c>
      <c r="BG9" s="1">
        <f>IF($B9&lt;Analysis!$C$66,0,-BH9*AN9)</f>
        <v>-6774.0782438804617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-115159.33014596785</v>
      </c>
      <c r="BS9" s="64">
        <f>IF($B9&lt;Analysis!C$66,0,Analysis!C$31)</f>
        <v>0.1275</v>
      </c>
      <c r="BT9" s="1">
        <f>IF($B9&lt;Analysis!$C$66,0,AN9+BR9)</f>
        <v>788051.102371427</v>
      </c>
      <c r="BU9" s="1">
        <f>IF($B9-Analysis!$C$66&gt;3,0,IF($AN9&gt;LOOKUP(Analysis!$C$66,$B:$B, AN:AN),$V9*(LOOKUP(Analysis!$C$66,$B:$B, AN:AN)-AN9),0))</f>
        <v>0</v>
      </c>
      <c r="BV9" s="1">
        <f>BT9+BU9</f>
        <v>788051.102371427</v>
      </c>
      <c r="BW9" s="42"/>
      <c r="BX9" s="1">
        <f>IF($B9&lt;Analysis!$C$66,$P9+$N9+$X9+$Z9,$P9+$N9+AS9+AV9+BB9+BE9+BG9+MAX(BI9,SUM(BJ9:BN9))+BP9)</f>
        <v>-117465.01932014008</v>
      </c>
      <c r="BY9" s="1">
        <f t="shared" si="24"/>
        <v>110889.05426342982</v>
      </c>
      <c r="BZ9" s="1">
        <f t="shared" si="46"/>
        <v>-6575.9650567102653</v>
      </c>
      <c r="CA9" s="1">
        <f>IF(BZ9 &lt; 0,
    IF(CA8 + BZ9 &gt; 0,
        CA8 + BZ9, IF(CF8-ABS(CA8 + BZ9)*(1+$V9) &gt;= CA8 + BZ9,
        0, CA8 + BZ9)),
    MIN(CA8 + BZ9, Analysis!$C$7))+IF(CA8&lt;0, CA8*Analysis!$C$9,0)</f>
        <v>-145041.65245018629</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-20734.569929094981</v>
      </c>
      <c r="CJ9" s="1">
        <f>IF(OR($B9&lt;Analysis!$C$100, $B9&gt;=Analysis!$C$130),0,Z9)</f>
        <v>-3960</v>
      </c>
      <c r="CK9" s="1">
        <f t="shared" si="26"/>
        <v>543235.26013727393</v>
      </c>
      <c r="CL9" s="64">
        <f t="shared" si="48"/>
        <v>3.9215686274509887E-2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-9981.818051394228</v>
      </c>
      <c r="CQ9" s="1">
        <f>IF(OR($B9&lt;Analysis!$C$100, $B9&gt;=Analysis!$C$101),0,IF($B9=Analysis!$C$100,-CM9-CP9,MIN(0,CQ8-CP9)))</f>
        <v>-316452.38326227537</v>
      </c>
      <c r="CR9" s="64">
        <f>IF(OR($B9&lt;Analysis!$C$100, $B9&gt;=Analysis!$C$101),0,IF($B9=Analysis!$C$100,Analysis!$C$102,IF(($B9-Analysis!$C$100)&lt;LOOKUP(Analysis!$C$100,$B:$B,CN:CN),CR8,0)))</f>
        <v>3.6999999999999998E-2</v>
      </c>
      <c r="CS9" s="1">
        <f>IF(OR($B9&lt;Analysis!$C$100, $B9&gt;=Analysis!$C$101),0,IF($B9=Analysis!$C$100,-CR9*CM9,CR8*CQ8))</f>
        <v>-12078.065448605776</v>
      </c>
      <c r="CT9" s="1">
        <f>IF(OR($B9&lt;Analysis!$C$100, $B9&gt;=Analysis!$C$101),0,IF($B9=Analysis!$C$100,PMT(CR9,CN9,CM9)*CN9-CU9-CQ9,IF(($B9-Analysis!$C$100+1)&lt;LOOKUP(Analysis!$C$100,$B:$B,CN:CN),IF(CT8-CS9&lt;0, CT8-CS9,0),0)))</f>
        <v>-142975.7378068507</v>
      </c>
      <c r="CU9" s="1">
        <f>IF(OR($B9&lt;Analysis!$C$100, $B9&gt;=Analysis!$C$101),0,IF($B9=Analysis!$C$100,CP9+CS9,IF(CQ8&lt;0,IF(CQ8&gt;LOOKUP(Analysis!$C$100,$B:$B,CU:CU), CQ8*(1+CR8),CU8),0)))</f>
        <v>-22059.883500000004</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18142.748687958108</v>
      </c>
      <c r="DC9" s="64">
        <f>IF(OR($B9&lt;Analysis!$C$100, $B9&gt;=Analysis!$C$101),0,((1+Analysis!$D$114)/(1+$S9))-1)</f>
        <v>3.9215686274509887E-2</v>
      </c>
      <c r="DD9" s="1">
        <f t="shared" si="6"/>
        <v>23732.454468369931</v>
      </c>
      <c r="DE9" s="1">
        <f t="shared" si="27"/>
        <v>-1629.7057804118219</v>
      </c>
      <c r="DF9" s="64">
        <f>IF(OR($B9&lt;Analysis!$C$100, $B9&gt;=Analysis!$C$101),0,Analysis!$C$118)</f>
        <v>3.0000000000000001E-3</v>
      </c>
      <c r="DG9" s="1">
        <f t="shared" si="28"/>
        <v>-4074.2644510295545</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-1360.706151596858</v>
      </c>
      <c r="DR9" s="1">
        <f t="shared" si="29"/>
        <v>-19324.676383038233</v>
      </c>
      <c r="DS9" s="1">
        <f>MIN(0,-(DB9+DR9)*Analysis!$C$28)-CS9*Analysis!$C$28</f>
        <v>5351.7908002772183</v>
      </c>
      <c r="DT9" s="1">
        <f>-Analysis!$C$116*DD9/12</f>
        <v>-1977.7045390308276</v>
      </c>
      <c r="DU9" s="53"/>
      <c r="DV9" s="1">
        <f t="shared" si="30"/>
        <v>-69262.49566750243</v>
      </c>
      <c r="DW9" s="64">
        <f>IF(OR($B9&lt;Analysis!$C$100, $B9&gt;=Analysis!$C$101),0,IF($B9=Analysis!$C$100,Analysis!$C$31,DW8))</f>
        <v>0.1275</v>
      </c>
      <c r="DX9" s="1">
        <f>IF(OR($B9&lt;Analysis!$C$100, $B9&gt;=Analysis!$C$101),0,CK9+DV9)</f>
        <v>473972.76446977153</v>
      </c>
      <c r="DY9" s="1">
        <f>IF(OR($B9&lt;Analysis!$C$100, $B9&gt;=Analysis!$C$101),0,IF($B9-Analysis!$C$100&gt;3,0,IF(CK9&gt;LOOKUP(Analysis!$C$100,$B:$B, CK:CK),$V9*(LOOKUP(Analysis!$C$100,$B:$B, CK:CK)-CK9),0)))</f>
        <v>0</v>
      </c>
      <c r="DZ9" s="1">
        <f t="shared" si="49"/>
        <v>473972.76446977153</v>
      </c>
      <c r="EA9" s="53"/>
      <c r="EB9" s="1">
        <f t="shared" si="31"/>
        <v>903210.43251739489</v>
      </c>
      <c r="EC9" s="64">
        <f t="shared" si="50"/>
        <v>3.9215686274509887E-2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-118877.87232959425</v>
      </c>
      <c r="FM9" s="1">
        <f>$M9+$R9+DD9+IF(AND($B9&lt;&gt;Analysis!$C$130,$B9=Analysis!$C$101),DZ8+CQ8+CT8+CZ8,0)</f>
        <v>134621.50873179975</v>
      </c>
      <c r="FN9" s="1">
        <f t="shared" si="34"/>
        <v>15743.636402205506</v>
      </c>
      <c r="FO9" s="1">
        <f>IF(FN9 &lt; 0,
    IF(FO8 + FN9 &gt; 0,
        FO8 + FN9, IF(FT8-ABS(FO8 + FN9)*(1+$V9) &gt;= FO8 + FN9,
        0, FO8 + FN9)),
    MIN(FO8 + FN9, Analysis!$C$7))+IF(FO8&lt;0, FO8*Analysis!$C$9,0)</f>
        <v>24000</v>
      </c>
      <c r="FP9" s="53"/>
      <c r="FQ9" s="1">
        <f t="shared" si="51"/>
        <v>2765.2329732388384</v>
      </c>
      <c r="FR9" s="1">
        <f>IF(OR($B9=Analysis!$C$100, $B9=Analysis!$C$130),0,IF(FN9 &gt;= 0,
    MAX(0, FO8 + FN9 - Analysis!$C$7),
    0))</f>
        <v>15743.636402205506</v>
      </c>
      <c r="FS9" s="1">
        <f>IF(OR($B9=Analysis!$C$100, $B9=Analysis!$C$130),0,MAX(0, FS8 + FR9 - IF(FN9 &lt; 0, MIN(ABS(FN9), FS8 + FR9), 0)))</f>
        <v>54824.693997689377</v>
      </c>
      <c r="FT9" s="1">
        <f>IF(OR($B9=Analysis!$C$100, $B9=Analysis!$C$130),0,IF(FN9 &lt; 0,
    IF(FN9 + FO8 &lt; 0,
        MAX(0, FT8 - (ABS(FN9 + FO8) * (1+$V8))),
        FT8 + FQ9),
    FT8 + FR9 + FQ9))</f>
        <v>60134.277178035947</v>
      </c>
      <c r="FU9" s="1">
        <f t="shared" si="35"/>
        <v>58733.874614219538</v>
      </c>
      <c r="FV9" s="36"/>
      <c r="FW9" s="1">
        <f t="shared" si="52"/>
        <v>543235.26013727393</v>
      </c>
      <c r="FX9" s="64">
        <f t="shared" si="53"/>
        <v>3.9215686274509887E-2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-9981.818051394228</v>
      </c>
      <c r="GC9" s="1">
        <f>IF($B9&lt;Analysis!$C$159,0,IF($B9=Analysis!$C$159,-FY9-GB9,MIN(0,GC8-GB9)))</f>
        <v>-316452.38326227537</v>
      </c>
      <c r="GD9" s="64">
        <f>IF($B9&lt;Analysis!$C$159,0,IF($B9=Analysis!$C$159,Analysis!$C$160,IF(($B9-Analysis!$C$159)&lt;LOOKUP(Analysis!$C$159,$B:$B,FZ:FZ),GD8,0)))</f>
        <v>3.6999999999999998E-2</v>
      </c>
      <c r="GE9" s="1">
        <f>IF($B9&lt;Analysis!$C$159,0,IF($B9=Analysis!$C$159,-GD9*FY9,GD8*GC8))</f>
        <v>-12078.065448605776</v>
      </c>
      <c r="GF9" s="1">
        <f>IF($B9&lt;Analysis!$C$159,0,IF($B9=Analysis!$C$159,PMT(GD9,FZ9,FY9)*FZ9-GG9-GC9,IF(($B9-Analysis!$C$159+1)&lt;LOOKUP(Analysis!$C$159,$B:$B,FZ:FZ),IF(GF8-GE9&lt;0, GF8-GE9,0),0)))</f>
        <v>-142975.7378068507</v>
      </c>
      <c r="GG9" s="1">
        <f>IF($B9&lt;Analysis!$C$159,0,IF($B9=Analysis!$C$159,GB9+GE9,IF(GC8&lt;0,IF(GC8&gt;LOOKUP(Analysis!$C$159,$B:$B,GG:GG), GC8*(1+GD8),GG8),0)))</f>
        <v>-22059.883500000004</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18142.748687958108</v>
      </c>
      <c r="GO9" s="64">
        <f>IF($B9&lt;Analysis!$C$159,0,((1+Analysis!$D$174)/(1+$S9))-1)</f>
        <v>3.9215686274509887E-2</v>
      </c>
      <c r="GP9" s="1">
        <f t="shared" si="7"/>
        <v>23732.454468369931</v>
      </c>
      <c r="GQ9" s="1">
        <f t="shared" si="36"/>
        <v>-1629.7057804118219</v>
      </c>
      <c r="GR9" s="64">
        <f>IF($B9&lt;Analysis!$C$159,0,Analysis!$C$178)</f>
        <v>3.0000000000000001E-3</v>
      </c>
      <c r="GS9" s="1">
        <f t="shared" si="37"/>
        <v>-4074.2644510295545</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-1360.706151596858</v>
      </c>
      <c r="HD9" s="1">
        <f t="shared" si="38"/>
        <v>-19324.676383038233</v>
      </c>
      <c r="HE9" s="1">
        <f>MIN(0,-(GN9+HD9)*Analysis!$C$28)-GE9*Analysis!$C$28</f>
        <v>5351.7908002772183</v>
      </c>
      <c r="HF9" s="1">
        <f>-Analysis!$C$176*GP9/12</f>
        <v>-1977.7045390308276</v>
      </c>
      <c r="HG9" s="38"/>
      <c r="HH9" s="1">
        <f>IF($B9&lt;Analysis!$C$159,0,-$HI9*$FW9)</f>
        <v>-69262.49566750243</v>
      </c>
      <c r="HI9" s="64">
        <f>IF($B9&lt;Analysis!$C$159,0,IF($B9=Analysis!$C$159,Analysis!$C$31,HI8))</f>
        <v>0.1275</v>
      </c>
      <c r="HJ9" s="1">
        <f>IF($B9&lt;Analysis!$C$159,0,$FW9+HH9)</f>
        <v>473972.76446977153</v>
      </c>
      <c r="HK9" s="1">
        <f>IF($B9-Analysis!$C$159&gt;10,0,IF($FW9&gt;LOOKUP(Analysis!$C$159,$B:$B, FW:FW),$V9*(LOOKUP(Analysis!$C$159,$B:$B, FW:FW)-FW9),0))</f>
        <v>-33822.049861205996</v>
      </c>
      <c r="HL9" s="1">
        <f t="shared" si="39"/>
        <v>440150.71460856555</v>
      </c>
      <c r="HM9" s="38"/>
      <c r="HN9" s="1">
        <f t="shared" si="40"/>
        <v>-118877.87232959425</v>
      </c>
      <c r="HO9" s="1">
        <f t="shared" si="8"/>
        <v>134621.50873179975</v>
      </c>
      <c r="HP9" s="1">
        <f t="shared" si="41"/>
        <v>15743.636402205506</v>
      </c>
      <c r="HQ9" s="1">
        <f>IF(HP9 &lt; 0,
    IF(HQ8 + HP9 &gt; 0,
        HQ8 + HP9, IF(HV8-ABS(HQ8 + HP9)*(1+$V9) &gt;= HQ8 + HP9,
        0, HQ8 + HP9)),
    MIN(HQ8 + HP9, Analysis!$C$7))+IF(HQ8&lt;0, HQ8*Analysis!$C$9,0)</f>
        <v>24000</v>
      </c>
      <c r="HR9" s="38"/>
      <c r="HS9" s="1">
        <f t="shared" si="54"/>
        <v>2765.2329732388384</v>
      </c>
      <c r="HT9" s="1">
        <f>IF($B9=Analysis!$C$159,0,IF(HP9 &gt;= 0,
    MAX(0, HQ8 + HP9 - Analysis!$C$7),
    0))</f>
        <v>15743.636402205506</v>
      </c>
      <c r="HU9" s="1">
        <f>IF($B9=Analysis!$C$159,0,MAX(0, HU8 + HT9 - IF(HP9 &lt; 0, MIN(ABS(HP9), HU8 + HT9), 0)))</f>
        <v>54824.693997689377</v>
      </c>
      <c r="HV9" s="1">
        <f>IF($B9=Analysis!$C$159,0,IF(HP9 &lt; 0,
    IF(HP9 + HQ8 &lt; 0,
        MAX(0, HV8 - (ABS(HP9 + HQ8) * (1+$V8))),
        HV8 + HS9),
    HV8 + HT9 + HS9))</f>
        <v>60134.277178035947</v>
      </c>
      <c r="HW9" s="1">
        <f t="shared" si="42"/>
        <v>58733.874614219538</v>
      </c>
      <c r="HX9" s="36"/>
    </row>
    <row r="10" spans="1:232" x14ac:dyDescent="0.35">
      <c r="A10">
        <f t="shared" si="0"/>
        <v>43</v>
      </c>
      <c r="B10">
        <v>2033</v>
      </c>
      <c r="C10" s="1">
        <f>IF($B10&lt;Analysis!C$66,0,$AN10)+$AT10+$AW10+$BC10+$CF10+$CA10</f>
        <v>-12421.666743092734</v>
      </c>
      <c r="D10" s="1">
        <f>IF($B10&lt;Analysis!C$66, 0, BV10)+AT10+AW10+BC10+CG10+CA10</f>
        <v>-132097.04905164757</v>
      </c>
      <c r="E10" s="1">
        <f t="shared" si="1"/>
        <v>304641.74489844684</v>
      </c>
      <c r="F10" s="1">
        <f t="shared" si="9"/>
        <v>286626.7743925344</v>
      </c>
      <c r="G10" s="1">
        <f>IF(AND($B10&gt;=Analysis!$C$100, $B10&lt;Analysis!$C$101),$CK10,0)+IF($B10&gt;=Analysis!$C$130,EB10,0)+CQ10+CT10+CZ10+EH10+EK10+EQ10+$FO10+$FT10</f>
        <v>227041.99419197801</v>
      </c>
      <c r="H10" s="1">
        <f t="shared" si="10"/>
        <v>152636.4797659833</v>
      </c>
      <c r="I10" s="1">
        <f>IF($B10&lt;Analysis!$C$159,0,$FW10)+$GC10+$GF10+$GL10+$HQ10+$HV10</f>
        <v>227041.99419197801</v>
      </c>
      <c r="J10" s="1">
        <f t="shared" si="2"/>
        <v>113195.67304747509</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-21547.690318471257</v>
      </c>
      <c r="Y10" s="64">
        <f t="shared" si="15"/>
        <v>3.9215686274509887E-2</v>
      </c>
      <c r="Z10" s="1">
        <f t="shared" si="16"/>
        <v>-3960</v>
      </c>
      <c r="AA10" s="64">
        <f t="shared" si="17"/>
        <v>0</v>
      </c>
      <c r="AB10" s="40"/>
      <c r="AC10" s="1">
        <f t="shared" si="3"/>
        <v>-83907.690318471257</v>
      </c>
      <c r="AD10" s="1">
        <f t="shared" si="4"/>
        <v>113606.92324047466</v>
      </c>
      <c r="AE10" s="1">
        <f t="shared" si="18"/>
        <v>29699.232922003401</v>
      </c>
      <c r="AF10" s="1">
        <f>IF(AE10 &lt; 0,
    IF(AF9 + AE10 &gt; 0,
        AF9 + AE10, IF(AK9-ABS(AF9 + AE10)*(1+$V10) &gt;= AF9 + AE10,
        0, AF9 + AE10)),
    MIN(AF9 + AE10, Analysis!$C$7))+IF(AF9&lt;0, AF9*Analysis!$C$9,0)</f>
        <v>24000</v>
      </c>
      <c r="AG10" s="40"/>
      <c r="AH10" s="1">
        <f t="shared" si="19"/>
        <v>15253.130187274446</v>
      </c>
      <c r="AI10" s="1">
        <f>IF(AE10 &gt;= 0,
    MAX(0, AF9 + AE10 - Analysis!$C$7),
    0)</f>
        <v>29699.232922003401</v>
      </c>
      <c r="AJ10" s="1">
        <f t="shared" si="44"/>
        <v>212338.53918882619</v>
      </c>
      <c r="AK10" s="1">
        <f t="shared" si="20"/>
        <v>280641.74489844684</v>
      </c>
      <c r="AL10" s="1">
        <f t="shared" si="5"/>
        <v>262626.7743925344</v>
      </c>
      <c r="AM10" s="36"/>
      <c r="AN10" s="1">
        <f t="shared" si="45"/>
        <v>938630.44947886141</v>
      </c>
      <c r="AO10" s="64">
        <f t="shared" si="21"/>
        <v>3.9215686274509887E-2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-18557.30897166385</v>
      </c>
      <c r="AT10" s="1">
        <f>IF($B10&lt;Analysis!$C$66,0,IF($B10=Analysis!$C$66,-AP10-AS10,MIN(0,AT9-AS10)))</f>
        <v>-548771.66476715123</v>
      </c>
      <c r="AU10" s="64">
        <f>IF($B10&lt;Analysis!$C$66,0,IF($B10=Analysis!$C$66,Analysis!$C$72,IF(($B10-Analysis!$C$66)&lt;LOOKUP(Analysis!$C$66,$B:$B,AQ:AQ),AU9,0)))</f>
        <v>3.6999999999999998E-2</v>
      </c>
      <c r="AV10" s="1">
        <f>IF($B10&lt;Analysis!$C$66,0,IF($B10=Analysis!$C$66,-AU10*AP10,AU9*AT9))</f>
        <v>-20991.172028336157</v>
      </c>
      <c r="AW10" s="1">
        <f>IF($B10&lt;Analysis!$C$66,0,IF($B10=Analysis!$C$66,PMT(AU10,AQ10,AP10)*AQ10-AX10-AT10,IF(($B10-Analysis!$C$66+1)&lt;LOOKUP(Analysis!$C$66,$B:$B,AQ:AQ),IF(AW9-AV10&lt;0, AW9-AV10,0),0)))</f>
        <v>-235332.63177213346</v>
      </c>
      <c r="AX10" s="1">
        <f>IF($B10&lt;Analysis!$C$66,0,IF($B10=Analysis!$C$66,AS10+AV10,IF(AT9&lt;0,IF(AT9&gt;LOOKUP(Analysis!$C$66,$B:$B,AX:AX), AT9*(1+AU9),AX9),0)))</f>
        <v>-39548.481000000007</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-2815.8913484365844</v>
      </c>
      <c r="BF10" s="64">
        <f>IF($B10&lt;Analysis!$C$66,0,Analysis!$C$78)</f>
        <v>3.0000000000000001E-3</v>
      </c>
      <c r="BG10" s="1">
        <f>IF($B10&lt;Analysis!$C$66,0,-BH10*AN10)</f>
        <v>-7039.7283710914608</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-119675.38230855484</v>
      </c>
      <c r="BS10" s="64">
        <f>IF($B10&lt;Analysis!C$66,0,Analysis!C$31)</f>
        <v>0.1275</v>
      </c>
      <c r="BT10" s="1">
        <f>IF($B10&lt;Analysis!$C$66,0,AN10+BR10)</f>
        <v>818955.06717030657</v>
      </c>
      <c r="BU10" s="1">
        <f>IF($B10-Analysis!$C$66&gt;3,0,IF($AN10&gt;LOOKUP(Analysis!$C$66,$B:$B, AN:AN),$V10*(LOOKUP(Analysis!$C$66,$B:$B, AN:AN)-AN10),0))</f>
        <v>0</v>
      </c>
      <c r="BV10" s="1">
        <f t="shared" si="23"/>
        <v>818955.06717030657</v>
      </c>
      <c r="BW10" s="42"/>
      <c r="BX10" s="1">
        <f>IF($B10&lt;Analysis!$C$66,$P10+$N10+$X10+$Z10,$P10+$N10+AS10+AV10+BB10+BE10+BG10+MAX(BI10,SUM(BJ10:BN10))+BP10)</f>
        <v>-117836.92949823548</v>
      </c>
      <c r="BY10" s="1">
        <f t="shared" si="24"/>
        <v>113606.92324047466</v>
      </c>
      <c r="BZ10" s="1">
        <f t="shared" si="46"/>
        <v>-4230.0062577608187</v>
      </c>
      <c r="CA10" s="1">
        <f>IF(BZ10 &lt; 0,
    IF(CA9 + BZ10 &gt; 0,
        CA9 + BZ10, IF(CF9-ABS(CA9 + BZ10)*(1+$V10) &gt;= CA9 + BZ10,
        0, CA9 + BZ10)),
    MIN(CA9 + BZ10, Analysis!$C$7))+IF(CA9&lt;0, CA9*Analysis!$C$9,0)</f>
        <v>-160874.99090396203</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-21547.690318471257</v>
      </c>
      <c r="CJ10" s="1">
        <f>IF(OR($B10&lt;Analysis!$C$100, $B10&gt;=Analysis!$C$130),0,Z10)</f>
        <v>-3960</v>
      </c>
      <c r="CK10" s="1">
        <f t="shared" si="26"/>
        <v>564538.60367206903</v>
      </c>
      <c r="CL10" s="64">
        <f t="shared" si="48"/>
        <v>3.9215686274509887E-2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-10351.145319295816</v>
      </c>
      <c r="CQ10" s="1">
        <f>IF(OR($B10&lt;Analysis!$C$100, $B10&gt;=Analysis!$C$101),0,IF($B10=Analysis!$C$100,-CM10-CP10,MIN(0,CQ9-CP10)))</f>
        <v>-306101.23794297955</v>
      </c>
      <c r="CR10" s="64">
        <f>IF(OR($B10&lt;Analysis!$C$100, $B10&gt;=Analysis!$C$101),0,IF($B10=Analysis!$C$100,Analysis!$C$102,IF(($B10-Analysis!$C$100)&lt;LOOKUP(Analysis!$C$100,$B:$B,CN:CN),CR9,0)))</f>
        <v>3.6999999999999998E-2</v>
      </c>
      <c r="CS10" s="1">
        <f>IF(OR($B10&lt;Analysis!$C$100, $B10&gt;=Analysis!$C$101),0,IF($B10=Analysis!$C$100,-CR10*CM10,CR9*CQ9))</f>
        <v>-11708.738180704187</v>
      </c>
      <c r="CT10" s="1">
        <f>IF(OR($B10&lt;Analysis!$C$100, $B10&gt;=Analysis!$C$101),0,IF($B10=Analysis!$C$100,PMT(CR10,CN10,CM10)*CN10-CU10-CQ10,IF(($B10-Analysis!$C$100+1)&lt;LOOKUP(Analysis!$C$100,$B:$B,CN:CN),IF(CT9-CS10&lt;0, CT9-CS10,0),0)))</f>
        <v>-131266.99962614651</v>
      </c>
      <c r="CU10" s="1">
        <f>IF(OR($B10&lt;Analysis!$C$100, $B10&gt;=Analysis!$C$101),0,IF($B10=Analysis!$C$100,CP10+CS10,IF(CQ9&lt;0,IF(CQ9&gt;LOOKUP(Analysis!$C$100,$B:$B,CU:CU), CQ9*(1+CR9),CU9),0)))</f>
        <v>-22059.883500000004</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18854.22902866235</v>
      </c>
      <c r="DC10" s="64">
        <f>IF(OR($B10&lt;Analysis!$C$100, $B10&gt;=Analysis!$C$101),0,((1+Analysis!$D$114)/(1+$S10))-1)</f>
        <v>3.9215686274509887E-2</v>
      </c>
      <c r="DD10" s="1">
        <f t="shared" si="6"/>
        <v>24507.844839678557</v>
      </c>
      <c r="DE10" s="1">
        <f t="shared" si="27"/>
        <v>-1693.6158110162071</v>
      </c>
      <c r="DF10" s="64">
        <f>IF(OR($B10&lt;Analysis!$C$100, $B10&gt;=Analysis!$C$101),0,Analysis!$C$118)</f>
        <v>3.0000000000000001E-3</v>
      </c>
      <c r="DG10" s="1">
        <f t="shared" si="28"/>
        <v>-4234.0395275405172</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-1414.0671771496761</v>
      </c>
      <c r="DR10" s="1">
        <f t="shared" si="29"/>
        <v>-19601.722515706399</v>
      </c>
      <c r="DS10" s="1">
        <f>MIN(0,-(DB10+DR10)*Analysis!$C$28)-CS10*Analysis!$C$28</f>
        <v>5188.1418878700251</v>
      </c>
      <c r="DT10" s="1">
        <f>-Analysis!$C$116*DD10/12</f>
        <v>-2042.3204033065465</v>
      </c>
      <c r="DU10" s="53"/>
      <c r="DV10" s="1">
        <f t="shared" si="30"/>
        <v>-71978.671968188806</v>
      </c>
      <c r="DW10" s="64">
        <f>IF(OR($B10&lt;Analysis!$C$100, $B10&gt;=Analysis!$C$101),0,IF($B10=Analysis!$C$100,Analysis!$C$31,DW9))</f>
        <v>0.1275</v>
      </c>
      <c r="DX10" s="1">
        <f>IF(OR($B10&lt;Analysis!$C$100, $B10&gt;=Analysis!$C$101),0,CK10+DV10)</f>
        <v>492559.9317038802</v>
      </c>
      <c r="DY10" s="1">
        <f>IF(OR($B10&lt;Analysis!$C$100, $B10&gt;=Analysis!$C$101),0,IF($B10-Analysis!$C$100&gt;3,0,IF(CK10&gt;LOOKUP(Analysis!$C$100,$B:$B, CK:CK),$V10*(LOOKUP(Analysis!$C$100,$B:$B, CK:CK)-CK10),0)))</f>
        <v>0</v>
      </c>
      <c r="DZ10" s="1">
        <f t="shared" si="49"/>
        <v>492559.9317038802</v>
      </c>
      <c r="EA10" s="53"/>
      <c r="EB10" s="1">
        <f t="shared" si="31"/>
        <v>938630.44947886141</v>
      </c>
      <c r="EC10" s="64">
        <f t="shared" si="50"/>
        <v>3.9215686274509887E-2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-120196.30362832159</v>
      </c>
      <c r="FM10" s="1">
        <f>$M10+$R10+DD10+IF(AND($B10&lt;&gt;Analysis!$C$130,$B10=Analysis!$C$101),DZ9+CQ9+CT9+CZ9,0)</f>
        <v>138114.76808015321</v>
      </c>
      <c r="FN10" s="1">
        <f t="shared" si="34"/>
        <v>17918.46445183162</v>
      </c>
      <c r="FO10" s="1">
        <f>IF(FN10 &lt; 0,
    IF(FO9 + FN10 &gt; 0,
        FO9 + FN10, IF(FT9-ABS(FO9 + FN10)*(1+$V10) &gt;= FO9 + FN10,
        0, FO9 + FN10)),
    MIN(FO9 + FN10, Analysis!$C$7))+IF(FO9&lt;0, FO9*Analysis!$C$9,0)</f>
        <v>24000</v>
      </c>
      <c r="FP10" s="53"/>
      <c r="FQ10" s="1">
        <f t="shared" si="51"/>
        <v>3891.7152378749211</v>
      </c>
      <c r="FR10" s="1">
        <f>IF(OR($B10=Analysis!$C$100, $B10=Analysis!$C$130),0,IF(FN10 &gt;= 0,
    MAX(0, FO9 + FN10 - Analysis!$C$7),
    0))</f>
        <v>17918.46445183162</v>
      </c>
      <c r="FS10" s="1">
        <f>IF(OR($B10=Analysis!$C$100, $B10=Analysis!$C$130),0,MAX(0, FS9 + FR10 - IF(FN10 &lt; 0, MIN(ABS(FN10), FS9 + FR10), 0)))</f>
        <v>72743.158449520997</v>
      </c>
      <c r="FT10" s="1">
        <f>IF(OR($B10=Analysis!$C$100, $B10=Analysis!$C$130),0,IF(FN10 &lt; 0,
    IF(FN10 + FO9 &lt; 0,
        MAX(0, FT9 - (ABS(FN10 + FO9) * (1+$V9))),
        FT9 + FQ10),
    FT9 + FR10 + FQ10))</f>
        <v>81944.456867742483</v>
      </c>
      <c r="FU10" s="1">
        <f t="shared" si="35"/>
        <v>79517.614409936563</v>
      </c>
      <c r="FV10" s="36"/>
      <c r="FW10" s="1">
        <f t="shared" si="52"/>
        <v>564538.60367206903</v>
      </c>
      <c r="FX10" s="64">
        <f t="shared" si="53"/>
        <v>3.9215686274509887E-2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-10351.145319295816</v>
      </c>
      <c r="GC10" s="1">
        <f>IF($B10&lt;Analysis!$C$159,0,IF($B10=Analysis!$C$159,-FY10-GB10,MIN(0,GC9-GB10)))</f>
        <v>-306101.23794297955</v>
      </c>
      <c r="GD10" s="64">
        <f>IF($B10&lt;Analysis!$C$159,0,IF($B10=Analysis!$C$159,Analysis!$C$160,IF(($B10-Analysis!$C$159)&lt;LOOKUP(Analysis!$C$159,$B:$B,FZ:FZ),GD9,0)))</f>
        <v>3.6999999999999998E-2</v>
      </c>
      <c r="GE10" s="1">
        <f>IF($B10&lt;Analysis!$C$159,0,IF($B10=Analysis!$C$159,-GD10*FY10,GD9*GC9))</f>
        <v>-11708.738180704187</v>
      </c>
      <c r="GF10" s="1">
        <f>IF($B10&lt;Analysis!$C$159,0,IF($B10=Analysis!$C$159,PMT(GD10,FZ10,FY10)*FZ10-GG10-GC10,IF(($B10-Analysis!$C$159+1)&lt;LOOKUP(Analysis!$C$159,$B:$B,FZ:FZ),IF(GF9-GE10&lt;0, GF9-GE10,0),0)))</f>
        <v>-131266.99962614651</v>
      </c>
      <c r="GG10" s="1">
        <f>IF($B10&lt;Analysis!$C$159,0,IF($B10=Analysis!$C$159,GB10+GE10,IF(GC9&lt;0,IF(GC9&gt;LOOKUP(Analysis!$C$159,$B:$B,GG:GG), GC9*(1+GD9),GG9),0)))</f>
        <v>-22059.883500000004</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18854.22902866235</v>
      </c>
      <c r="GO10" s="64">
        <f>IF($B10&lt;Analysis!$C$159,0,((1+Analysis!$D$174)/(1+$S10))-1)</f>
        <v>3.9215686274509887E-2</v>
      </c>
      <c r="GP10" s="1">
        <f t="shared" si="7"/>
        <v>24507.844839678557</v>
      </c>
      <c r="GQ10" s="1">
        <f t="shared" si="36"/>
        <v>-1693.6158110162071</v>
      </c>
      <c r="GR10" s="64">
        <f>IF($B10&lt;Analysis!$C$159,0,Analysis!$C$178)</f>
        <v>3.0000000000000001E-3</v>
      </c>
      <c r="GS10" s="1">
        <f t="shared" si="37"/>
        <v>-4234.0395275405172</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-1414.0671771496761</v>
      </c>
      <c r="HD10" s="1">
        <f t="shared" si="38"/>
        <v>-19601.722515706399</v>
      </c>
      <c r="HE10" s="1">
        <f>MIN(0,-(GN10+HD10)*Analysis!$C$28)-GE10*Analysis!$C$28</f>
        <v>5188.1418878700251</v>
      </c>
      <c r="HF10" s="1">
        <f>-Analysis!$C$176*GP10/12</f>
        <v>-2042.3204033065465</v>
      </c>
      <c r="HG10" s="38"/>
      <c r="HH10" s="1">
        <f>IF($B10&lt;Analysis!$C$159,0,-$HI10*$FW10)</f>
        <v>-71978.671968188806</v>
      </c>
      <c r="HI10" s="64">
        <f>IF($B10&lt;Analysis!$C$159,0,IF($B10=Analysis!$C$159,Analysis!$C$31,HI9))</f>
        <v>0.1275</v>
      </c>
      <c r="HJ10" s="1">
        <f>IF($B10&lt;Analysis!$C$159,0,$FW10+HH10)</f>
        <v>492559.9317038802</v>
      </c>
      <c r="HK10" s="1">
        <f>IF($B10-Analysis!$C$159&gt;10,0,IF($FW10&gt;LOOKUP(Analysis!$C$159,$B:$B, FW:FW),$V10*(LOOKUP(Analysis!$C$159,$B:$B, FW:FW)-FW10),0))</f>
        <v>-39440.806718508204</v>
      </c>
      <c r="HL10" s="1">
        <f t="shared" si="39"/>
        <v>453119.12498537201</v>
      </c>
      <c r="HM10" s="38"/>
      <c r="HN10" s="1">
        <f t="shared" si="40"/>
        <v>-120196.30362832159</v>
      </c>
      <c r="HO10" s="1">
        <f t="shared" si="8"/>
        <v>138114.76808015321</v>
      </c>
      <c r="HP10" s="1">
        <f t="shared" si="41"/>
        <v>17918.46445183162</v>
      </c>
      <c r="HQ10" s="1">
        <f>IF(HP10 &lt; 0,
    IF(HQ9 + HP10 &gt; 0,
        HQ9 + HP10, IF(HV9-ABS(HQ9 + HP10)*(1+$V10) &gt;= HQ9 + HP10,
        0, HQ9 + HP10)),
    MIN(HQ9 + HP10, Analysis!$C$7))+IF(HQ9&lt;0, HQ9*Analysis!$C$9,0)</f>
        <v>24000</v>
      </c>
      <c r="HR10" s="38"/>
      <c r="HS10" s="1">
        <f t="shared" si="54"/>
        <v>3891.7152378749211</v>
      </c>
      <c r="HT10" s="1">
        <f>IF($B10=Analysis!$C$159,0,IF(HP10 &gt;= 0,
    MAX(0, HQ9 + HP10 - Analysis!$C$7),
    0))</f>
        <v>17918.46445183162</v>
      </c>
      <c r="HU10" s="1">
        <f>IF($B10=Analysis!$C$159,0,MAX(0, HU9 + HT10 - IF(HP10 &lt; 0, MIN(ABS(HP10), HU9 + HT10), 0)))</f>
        <v>72743.158449520997</v>
      </c>
      <c r="HV10" s="1">
        <f>IF($B10=Analysis!$C$159,0,IF(HP10 &lt; 0,
    IF(HP10 + HQ9 &lt; 0,
        MAX(0, HV9 - (ABS(HP10 + HQ9) * (1+$V9))),
        HV9 + HS10),
    HV9 + HT10 + HS10))</f>
        <v>81944.456867742483</v>
      </c>
      <c r="HW10" s="1">
        <f t="shared" si="42"/>
        <v>79517.614409936563</v>
      </c>
      <c r="HX10" s="36"/>
    </row>
    <row r="11" spans="1:232" x14ac:dyDescent="0.35">
      <c r="A11">
        <f t="shared" si="0"/>
        <v>44</v>
      </c>
      <c r="B11">
        <v>2034</v>
      </c>
      <c r="C11" s="1">
        <f>IF($B11&lt;Analysis!C$66,0,$AN11)+$AT11+$AW11+$BC11+$CF11+$CA11</f>
        <v>55306.663261796988</v>
      </c>
      <c r="D11" s="1">
        <f>IF($B11&lt;Analysis!C$66, 0, BV11)+AT11+AW11+BC11+CG11+CA11</f>
        <v>-69061.871294152166</v>
      </c>
      <c r="E11" s="1">
        <f t="shared" si="1"/>
        <v>353961.66980966995</v>
      </c>
      <c r="F11" s="1">
        <f t="shared" si="9"/>
        <v>331283.27857322531</v>
      </c>
      <c r="G11" s="1">
        <f>IF(AND($B11&gt;=Analysis!$C$100, $B11&lt;Analysis!$C$101),$CK11,0)+IF($B11&gt;=Analysis!$C$130,EB11,0)+CQ11+CT11+CZ11+EH11+EK11+EQ11+$FO11+$FT11</f>
        <v>302615.17937027552</v>
      </c>
      <c r="H11" s="1">
        <f t="shared" si="10"/>
        <v>224025.3018042944</v>
      </c>
      <c r="I11" s="1">
        <f>IF($B11&lt;Analysis!$C$159,0,$FW11)+$GC11+$GF11+$GL11+$HQ11+$HV11</f>
        <v>302615.17937027552</v>
      </c>
      <c r="J11" s="1">
        <f t="shared" si="2"/>
        <v>178745.39482231525</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-22392.697781940718</v>
      </c>
      <c r="Y11" s="64">
        <f t="shared" si="15"/>
        <v>3.9215686274509887E-2</v>
      </c>
      <c r="Z11" s="1">
        <f t="shared" si="16"/>
        <v>-3960</v>
      </c>
      <c r="AA11" s="64">
        <f t="shared" si="17"/>
        <v>0</v>
      </c>
      <c r="AB11" s="40"/>
      <c r="AC11" s="1">
        <f t="shared" si="3"/>
        <v>-84752.697781940718</v>
      </c>
      <c r="AD11" s="1">
        <f t="shared" si="4"/>
        <v>116391.40665323137</v>
      </c>
      <c r="AE11" s="1">
        <f t="shared" si="18"/>
        <v>31638.708871290655</v>
      </c>
      <c r="AF11" s="1">
        <f>IF(AE11 &lt; 0,
    IF(AF10 + AE11 &gt; 0,
        AF10 + AE11, IF(AK10-ABS(AF10 + AE11)*(1+$V11) &gt;= AF10 + AE11,
        0, AF10 + AE11)),
    MIN(AF10 + AE11, Analysis!$C$7))+IF(AF10&lt;0, AF10*Analysis!$C$9,0)</f>
        <v>24000</v>
      </c>
      <c r="AG11" s="40"/>
      <c r="AH11" s="1">
        <f t="shared" si="19"/>
        <v>17681.216039932457</v>
      </c>
      <c r="AI11" s="1">
        <f>IF(AE11 &gt;= 0,
    MAX(0, AF10 + AE11 - Analysis!$C$7),
    0)</f>
        <v>31638.708871290655</v>
      </c>
      <c r="AJ11" s="1">
        <f t="shared" si="44"/>
        <v>243977.24806011684</v>
      </c>
      <c r="AK11" s="1">
        <f t="shared" si="20"/>
        <v>329961.66980966995</v>
      </c>
      <c r="AL11" s="1">
        <f t="shared" si="5"/>
        <v>307283.27857322531</v>
      </c>
      <c r="AM11" s="36"/>
      <c r="AN11" s="1">
        <f t="shared" si="45"/>
        <v>975439.48671332665</v>
      </c>
      <c r="AO11" s="64">
        <f t="shared" si="21"/>
        <v>3.9215686274509887E-2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-19243.929403615413</v>
      </c>
      <c r="AT11" s="1">
        <f>IF($B11&lt;Analysis!$C$66,0,IF($B11=Analysis!$C$66,-AP11-AS11,MIN(0,AT10-AS11)))</f>
        <v>-529527.73536353582</v>
      </c>
      <c r="AU11" s="64">
        <f>IF($B11&lt;Analysis!$C$66,0,IF($B11=Analysis!$C$66,Analysis!$C$72,IF(($B11-Analysis!$C$66)&lt;LOOKUP(Analysis!$C$66,$B:$B,AQ:AQ),AU10,0)))</f>
        <v>3.6999999999999998E-2</v>
      </c>
      <c r="AV11" s="1">
        <f>IF($B11&lt;Analysis!$C$66,0,IF($B11=Analysis!$C$66,-AU11*AP11,AU10*AT10))</f>
        <v>-20304.551596384594</v>
      </c>
      <c r="AW11" s="1">
        <f>IF($B11&lt;Analysis!$C$66,0,IF($B11=Analysis!$C$66,PMT(AU11,AQ11,AP11)*AQ11-AX11-AT11,IF(($B11-Analysis!$C$66+1)&lt;LOOKUP(Analysis!$C$66,$B:$B,AQ:AQ),IF(AW10-AV11&lt;0, AW10-AV11,0),0)))</f>
        <v>-215028.08017574888</v>
      </c>
      <c r="AX11" s="1">
        <f>IF($B11&lt;Analysis!$C$66,0,IF($B11=Analysis!$C$66,AS11+AV11,IF(AT10&lt;0,IF(AT10&gt;LOOKUP(Analysis!$C$66,$B:$B,AX:AX), AT10*(1+AU10),AX10),0)))</f>
        <v>-39548.481000000007</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-2926.3184601399798</v>
      </c>
      <c r="BF11" s="64">
        <f>IF($B11&lt;Analysis!$C$66,0,Analysis!$C$78)</f>
        <v>3.0000000000000001E-3</v>
      </c>
      <c r="BG11" s="1">
        <f>IF($B11&lt;Analysis!$C$66,0,-BH11*AN11)</f>
        <v>-7315.79615034995</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-124368.53455594915</v>
      </c>
      <c r="BS11" s="64">
        <f>IF($B11&lt;Analysis!C$66,0,Analysis!C$31)</f>
        <v>0.1275</v>
      </c>
      <c r="BT11" s="1">
        <f>IF($B11&lt;Analysis!$C$66,0,AN11+BR11)</f>
        <v>851070.9521573775</v>
      </c>
      <c r="BU11" s="1">
        <f>IF($B11-Analysis!$C$66&gt;3,0,IF($AN11&gt;LOOKUP(Analysis!$C$66,$B:$B, AN:AN),$V11*(LOOKUP(Analysis!$C$66,$B:$B, AN:AN)-AN11),0))</f>
        <v>0</v>
      </c>
      <c r="BV11" s="1">
        <f t="shared" si="23"/>
        <v>851070.9521573775</v>
      </c>
      <c r="BW11" s="42"/>
      <c r="BX11" s="1">
        <f>IF($B11&lt;Analysis!$C$66,$P11+$N11+$X11+$Z11,$P11+$N11+AS11+AV11+BB11+BE11+BG11+MAX(BI11,SUM(BJ11:BN11))+BP11)</f>
        <v>-118223.42438919737</v>
      </c>
      <c r="BY11" s="1">
        <f t="shared" si="24"/>
        <v>116391.40665323137</v>
      </c>
      <c r="BZ11" s="1">
        <f t="shared" si="46"/>
        <v>-1832.0177359660011</v>
      </c>
      <c r="CA11" s="1">
        <f>IF(BZ11 &lt; 0,
    IF(CA10 + BZ11 &gt; 0,
        CA10 + BZ11, IF(CF10-ABS(CA10 + BZ11)*(1+$V11) &gt;= CA10 + BZ11,
        0, CA10 + BZ11)),
    MIN(CA10 + BZ11, Analysis!$C$7))+IF(CA10&lt;0, CA10*Analysis!$C$9,0)</f>
        <v>-175577.00791224497</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-22392.697781940718</v>
      </c>
      <c r="CJ11" s="1">
        <f>IF(OR($B11&lt;Analysis!$C$100, $B11&gt;=Analysis!$C$130),0,Z11)</f>
        <v>-3960</v>
      </c>
      <c r="CK11" s="1">
        <f t="shared" si="26"/>
        <v>586677.37244352279</v>
      </c>
      <c r="CL11" s="64">
        <f t="shared" si="48"/>
        <v>3.9215686274509887E-2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-10734.137696109761</v>
      </c>
      <c r="CQ11" s="1">
        <f>IF(OR($B11&lt;Analysis!$C$100, $B11&gt;=Analysis!$C$101),0,IF($B11=Analysis!$C$100,-CM11-CP11,MIN(0,CQ10-CP11)))</f>
        <v>-295367.10024686978</v>
      </c>
      <c r="CR11" s="64">
        <f>IF(OR($B11&lt;Analysis!$C$100, $B11&gt;=Analysis!$C$101),0,IF($B11=Analysis!$C$100,Analysis!$C$102,IF(($B11-Analysis!$C$100)&lt;LOOKUP(Analysis!$C$100,$B:$B,CN:CN),CR10,0)))</f>
        <v>3.6999999999999998E-2</v>
      </c>
      <c r="CS11" s="1">
        <f>IF(OR($B11&lt;Analysis!$C$100, $B11&gt;=Analysis!$C$101),0,IF($B11=Analysis!$C$100,-CR11*CM11,CR10*CQ10))</f>
        <v>-11325.745803890242</v>
      </c>
      <c r="CT11" s="1">
        <f>IF(OR($B11&lt;Analysis!$C$100, $B11&gt;=Analysis!$C$101),0,IF($B11=Analysis!$C$100,PMT(CR11,CN11,CM11)*CN11-CU11-CQ11,IF(($B11-Analysis!$C$100+1)&lt;LOOKUP(Analysis!$C$100,$B:$B,CN:CN),IF(CT10-CS11&lt;0, CT10-CS11,0),0)))</f>
        <v>-119941.25382225627</v>
      </c>
      <c r="CU11" s="1">
        <f>IF(OR($B11&lt;Analysis!$C$100, $B11&gt;=Analysis!$C$101),0,IF($B11=Analysis!$C$100,CP11+CS11,IF(CQ10&lt;0,IF(CQ10&gt;LOOKUP(Analysis!$C$100,$B:$B,CU:CU), CQ10*(1+CR10),CU10),0)))</f>
        <v>-22059.883500000004</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19593.610559198129</v>
      </c>
      <c r="DC11" s="64">
        <f>IF(OR($B11&lt;Analysis!$C$100, $B11&gt;=Analysis!$C$101),0,((1+Analysis!$D$114)/(1+$S11))-1)</f>
        <v>3.9215686274509887E-2</v>
      </c>
      <c r="DD11" s="1">
        <f t="shared" si="6"/>
        <v>25313.642676528696</v>
      </c>
      <c r="DE11" s="1">
        <f t="shared" si="27"/>
        <v>-1760.0321173305683</v>
      </c>
      <c r="DF11" s="64">
        <f>IF(OR($B11&lt;Analysis!$C$100, $B11&gt;=Analysis!$C$101),0,Analysis!$C$118)</f>
        <v>3.0000000000000001E-3</v>
      </c>
      <c r="DG11" s="1">
        <f t="shared" si="28"/>
        <v>-4400.0802933264204</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-1469.5207919398597</v>
      </c>
      <c r="DR11" s="1">
        <f t="shared" si="29"/>
        <v>-19889.633202596848</v>
      </c>
      <c r="DS11" s="1">
        <f>MIN(0,-(DB11+DR11)*Analysis!$C$28)-CS11*Analysis!$C$28</f>
        <v>5018.4379657037653</v>
      </c>
      <c r="DT11" s="1">
        <f>-Analysis!$C$116*DD11/12</f>
        <v>-2109.470223044058</v>
      </c>
      <c r="DU11" s="53"/>
      <c r="DV11" s="1">
        <f t="shared" si="30"/>
        <v>-74801.364986549161</v>
      </c>
      <c r="DW11" s="64">
        <f>IF(OR($B11&lt;Analysis!$C$100, $B11&gt;=Analysis!$C$101),0,IF($B11=Analysis!$C$100,Analysis!$C$31,DW10))</f>
        <v>0.1275</v>
      </c>
      <c r="DX11" s="1">
        <f>IF(OR($B11&lt;Analysis!$C$100, $B11&gt;=Analysis!$C$101),0,CK11+DV11)</f>
        <v>511876.00745697366</v>
      </c>
      <c r="DY11" s="1">
        <f>IF(OR($B11&lt;Analysis!$C$100, $B11&gt;=Analysis!$C$101),0,IF($B11-Analysis!$C$100&gt;3,0,IF(CK11&gt;LOOKUP(Analysis!$C$100,$B:$B, CK:CK),$V11*(LOOKUP(Analysis!$C$100,$B:$B, CK:CK)-CK11),0)))</f>
        <v>0</v>
      </c>
      <c r="DZ11" s="1">
        <f t="shared" si="49"/>
        <v>511876.00745697366</v>
      </c>
      <c r="EA11" s="53"/>
      <c r="EB11" s="1">
        <f t="shared" si="31"/>
        <v>975439.48671332665</v>
      </c>
      <c r="EC11" s="64">
        <f t="shared" si="50"/>
        <v>3.9215686274509887E-2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-121566.07552058528</v>
      </c>
      <c r="FM11" s="1">
        <f>$M11+$R11+DD11+IF(AND($B11&lt;&gt;Analysis!$C$130,$B11=Analysis!$C$101),DZ10+CQ10+CT10+CZ10,0)</f>
        <v>141705.04932976008</v>
      </c>
      <c r="FN11" s="1">
        <f t="shared" si="34"/>
        <v>20138.9738091748</v>
      </c>
      <c r="FO11" s="1">
        <f>IF(FN11 &lt; 0,
    IF(FO10 + FN11 &gt; 0,
        FO10 + FN11, IF(FT10-ABS(FO10 + FN11)*(1+$V11) &gt;= FO10 + FN11,
        0, FO10 + FN11)),
    MIN(FO10 + FN11, Analysis!$C$7))+IF(FO10&lt;0, FO10*Analysis!$C$9,0)</f>
        <v>24000</v>
      </c>
      <c r="FP11" s="53"/>
      <c r="FQ11" s="1">
        <f t="shared" si="51"/>
        <v>5162.7303189615404</v>
      </c>
      <c r="FR11" s="1">
        <f>IF(OR($B11=Analysis!$C$100, $B11=Analysis!$C$130),0,IF(FN11 &gt;= 0,
    MAX(0, FO10 + FN11 - Analysis!$C$7),
    0))</f>
        <v>20138.9738091748</v>
      </c>
      <c r="FS11" s="1">
        <f>IF(OR($B11=Analysis!$C$100, $B11=Analysis!$C$130),0,MAX(0, FS10 + FR11 - IF(FN11 &lt; 0, MIN(ABS(FN11), FS10 + FR11), 0)))</f>
        <v>92882.132258695798</v>
      </c>
      <c r="FT11" s="1">
        <f>IF(OR($B11=Analysis!$C$100, $B11=Analysis!$C$130),0,IF(FN11 &lt; 0,
    IF(FN11 + FO10 &lt; 0,
        MAX(0, FT10 - (ABS(FN11 + FO10) * (1+$V10))),
        FT10 + FQ11),
    FT10 + FR11 + FQ11))</f>
        <v>107246.16099587882</v>
      </c>
      <c r="FU11" s="1">
        <f t="shared" si="35"/>
        <v>103457.6484164468</v>
      </c>
      <c r="FV11" s="36"/>
      <c r="FW11" s="1">
        <f t="shared" si="52"/>
        <v>586677.37244352279</v>
      </c>
      <c r="FX11" s="64">
        <f t="shared" si="53"/>
        <v>3.9215686274509887E-2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-10734.137696109761</v>
      </c>
      <c r="GC11" s="1">
        <f>IF($B11&lt;Analysis!$C$159,0,IF($B11=Analysis!$C$159,-FY11-GB11,MIN(0,GC10-GB11)))</f>
        <v>-295367.10024686978</v>
      </c>
      <c r="GD11" s="64">
        <f>IF($B11&lt;Analysis!$C$159,0,IF($B11=Analysis!$C$159,Analysis!$C$160,IF(($B11-Analysis!$C$159)&lt;LOOKUP(Analysis!$C$159,$B:$B,FZ:FZ),GD10,0)))</f>
        <v>3.6999999999999998E-2</v>
      </c>
      <c r="GE11" s="1">
        <f>IF($B11&lt;Analysis!$C$159,0,IF($B11=Analysis!$C$159,-GD11*FY11,GD10*GC10))</f>
        <v>-11325.745803890242</v>
      </c>
      <c r="GF11" s="1">
        <f>IF($B11&lt;Analysis!$C$159,0,IF($B11=Analysis!$C$159,PMT(GD11,FZ11,FY11)*FZ11-GG11-GC11,IF(($B11-Analysis!$C$159+1)&lt;LOOKUP(Analysis!$C$159,$B:$B,FZ:FZ),IF(GF10-GE11&lt;0, GF10-GE11,0),0)))</f>
        <v>-119941.25382225627</v>
      </c>
      <c r="GG11" s="1">
        <f>IF($B11&lt;Analysis!$C$159,0,IF($B11=Analysis!$C$159,GB11+GE11,IF(GC10&lt;0,IF(GC10&gt;LOOKUP(Analysis!$C$159,$B:$B,GG:GG), GC10*(1+GD10),GG10),0)))</f>
        <v>-22059.883500000004</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19593.610559198129</v>
      </c>
      <c r="GO11" s="64">
        <f>IF($B11&lt;Analysis!$C$159,0,((1+Analysis!$D$174)/(1+$S11))-1)</f>
        <v>3.9215686274509887E-2</v>
      </c>
      <c r="GP11" s="1">
        <f t="shared" si="7"/>
        <v>25313.642676528696</v>
      </c>
      <c r="GQ11" s="1">
        <f t="shared" si="36"/>
        <v>-1760.0321173305683</v>
      </c>
      <c r="GR11" s="64">
        <f>IF($B11&lt;Analysis!$C$159,0,Analysis!$C$178)</f>
        <v>3.0000000000000001E-3</v>
      </c>
      <c r="GS11" s="1">
        <f t="shared" si="37"/>
        <v>-4400.0802933264204</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-1469.5207919398597</v>
      </c>
      <c r="HD11" s="1">
        <f t="shared" si="38"/>
        <v>-19889.633202596848</v>
      </c>
      <c r="HE11" s="1">
        <f>MIN(0,-(GN11+HD11)*Analysis!$C$28)-GE11*Analysis!$C$28</f>
        <v>5018.4379657037653</v>
      </c>
      <c r="HF11" s="1">
        <f>-Analysis!$C$176*GP11/12</f>
        <v>-2109.470223044058</v>
      </c>
      <c r="HG11" s="38"/>
      <c r="HH11" s="1">
        <f>IF($B11&lt;Analysis!$C$159,0,-$HI11*$FW11)</f>
        <v>-74801.364986549161</v>
      </c>
      <c r="HI11" s="64">
        <f>IF($B11&lt;Analysis!$C$159,0,IF($B11=Analysis!$C$159,Analysis!$C$31,HI10))</f>
        <v>0.1275</v>
      </c>
      <c r="HJ11" s="1">
        <f>IF($B11&lt;Analysis!$C$159,0,$FW11+HH11)</f>
        <v>511876.00745697366</v>
      </c>
      <c r="HK11" s="1">
        <f>IF($B11-Analysis!$C$159&gt;10,0,IF($FW11&gt;LOOKUP(Analysis!$C$159,$B:$B, FW:FW),$V11*(LOOKUP(Analysis!$C$159,$B:$B, FW:FW)-FW11),0))</f>
        <v>-45279.906981979133</v>
      </c>
      <c r="HL11" s="1">
        <f t="shared" si="39"/>
        <v>466596.10047499451</v>
      </c>
      <c r="HM11" s="38"/>
      <c r="HN11" s="1">
        <f t="shared" si="40"/>
        <v>-121566.07552058528</v>
      </c>
      <c r="HO11" s="1">
        <f t="shared" si="8"/>
        <v>141705.04932976008</v>
      </c>
      <c r="HP11" s="1">
        <f t="shared" si="41"/>
        <v>20138.9738091748</v>
      </c>
      <c r="HQ11" s="1">
        <f>IF(HP11 &lt; 0,
    IF(HQ10 + HP11 &gt; 0,
        HQ10 + HP11, IF(HV10-ABS(HQ10 + HP11)*(1+$V11) &gt;= HQ10 + HP11,
        0, HQ10 + HP11)),
    MIN(HQ10 + HP11, Analysis!$C$7))+IF(HQ10&lt;0, HQ10*Analysis!$C$9,0)</f>
        <v>24000</v>
      </c>
      <c r="HR11" s="38"/>
      <c r="HS11" s="1">
        <f t="shared" si="54"/>
        <v>5162.7303189615404</v>
      </c>
      <c r="HT11" s="1">
        <f>IF($B11=Analysis!$C$159,0,IF(HP11 &gt;= 0,
    MAX(0, HQ10 + HP11 - Analysis!$C$7),
    0))</f>
        <v>20138.9738091748</v>
      </c>
      <c r="HU11" s="1">
        <f>IF($B11=Analysis!$C$159,0,MAX(0, HU10 + HT11 - IF(HP11 &lt; 0, MIN(ABS(HP11), HU10 + HT11), 0)))</f>
        <v>92882.132258695798</v>
      </c>
      <c r="HV11" s="1">
        <f>IF($B11=Analysis!$C$159,0,IF(HP11 &lt; 0,
    IF(HP11 + HQ10 &lt; 0,
        MAX(0, HV10 - (ABS(HP11 + HQ10) * (1+$V10))),
        HV10 + HS11),
    HV10 + HT11 + HS11))</f>
        <v>107246.16099587882</v>
      </c>
      <c r="HW11" s="1">
        <f t="shared" si="42"/>
        <v>103457.6484164468</v>
      </c>
      <c r="HX11" s="36"/>
    </row>
    <row r="12" spans="1:232" x14ac:dyDescent="0.35">
      <c r="A12">
        <f t="shared" si="0"/>
        <v>45</v>
      </c>
      <c r="B12">
        <v>2035</v>
      </c>
      <c r="C12" s="1">
        <f>IF($B12&lt;Analysis!C$66,0,$AN12)+$AT12+$AW12+$BC12+$CF12+$CA12</f>
        <v>124327.03728653822</v>
      </c>
      <c r="D12" s="1">
        <f>IF($B12&lt;Analysis!C$66, 0, BV12)+AT12+AW12+BC12+CG12+CA12</f>
        <v>-4918.6947029776056</v>
      </c>
      <c r="E12" s="1">
        <f t="shared" si="1"/>
        <v>406371.45983109035</v>
      </c>
      <c r="F12" s="1">
        <f t="shared" si="9"/>
        <v>378359.2890366033</v>
      </c>
      <c r="G12" s="1">
        <f>IF(AND($B12&gt;=Analysis!$C$100, $B12&lt;Analysis!$C$101),$CK12,0)+IF($B12&gt;=Analysis!$C$130,EB12,0)+CQ12+CT12+CZ12+EH12+EK12+EQ12+$FO12+$FT12</f>
        <v>381230.70576656575</v>
      </c>
      <c r="H12" s="1">
        <f t="shared" si="10"/>
        <v>297973.82366838632</v>
      </c>
      <c r="I12" s="1">
        <f>IF($B12&lt;Analysis!$C$159,0,$FW12)+$GC12+$GF12+$GL12+$HQ12+$HV12</f>
        <v>381230.70576656575</v>
      </c>
      <c r="J12" s="1">
        <f t="shared" si="2"/>
        <v>246625.83209887851</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-23270.84279299722</v>
      </c>
      <c r="Y12" s="64">
        <f t="shared" si="15"/>
        <v>3.9215686274509887E-2</v>
      </c>
      <c r="Z12" s="1">
        <f t="shared" si="16"/>
        <v>-3960</v>
      </c>
      <c r="AA12" s="64">
        <f t="shared" si="17"/>
        <v>0</v>
      </c>
      <c r="AB12" s="40"/>
      <c r="AC12" s="1">
        <f t="shared" si="3"/>
        <v>-85630.842792997224</v>
      </c>
      <c r="AD12" s="1">
        <f t="shared" si="4"/>
        <v>117817.77193084449</v>
      </c>
      <c r="AE12" s="1">
        <f t="shared" si="18"/>
        <v>32186.92913784727</v>
      </c>
      <c r="AF12" s="1">
        <f>IF(AE12 &lt; 0,
    IF(AF11 + AE12 &gt; 0,
        AF11 + AE12, IF(AK11-ABS(AF11 + AE12)*(1+$V12) &gt;= AF11 + AE12,
        0, AF11 + AE12)),
    MIN(AF11 + AE12, Analysis!$C$7))+IF(AF11&lt;0, AF11*Analysis!$C$9,0)</f>
        <v>24000</v>
      </c>
      <c r="AG12" s="40"/>
      <c r="AH12" s="1">
        <f t="shared" si="19"/>
        <v>20222.860883573117</v>
      </c>
      <c r="AI12" s="1">
        <f>IF(AE12 &gt;= 0,
    MAX(0, AF11 + AE12 - Analysis!$C$7),
    0)</f>
        <v>32186.92913784727</v>
      </c>
      <c r="AJ12" s="1">
        <f t="shared" si="44"/>
        <v>276164.17719796411</v>
      </c>
      <c r="AK12" s="1">
        <f t="shared" si="20"/>
        <v>382371.45983109035</v>
      </c>
      <c r="AL12" s="1">
        <f t="shared" si="5"/>
        <v>354359.2890366033</v>
      </c>
      <c r="AM12" s="36"/>
      <c r="AN12" s="1">
        <f t="shared" si="45"/>
        <v>1013692.0156040455</v>
      </c>
      <c r="AO12" s="64">
        <f t="shared" si="21"/>
        <v>3.9215686274509887E-2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-19955.954791549182</v>
      </c>
      <c r="AT12" s="1">
        <f>IF($B12&lt;Analysis!$C$66,0,IF($B12=Analysis!$C$66,-AP12-AS12,MIN(0,AT11-AS12)))</f>
        <v>-509571.78057198663</v>
      </c>
      <c r="AU12" s="64">
        <f>IF($B12&lt;Analysis!$C$66,0,IF($B12=Analysis!$C$66,Analysis!$C$72,IF(($B12-Analysis!$C$66)&lt;LOOKUP(Analysis!$C$66,$B:$B,AQ:AQ),AU11,0)))</f>
        <v>3.6999999999999998E-2</v>
      </c>
      <c r="AV12" s="1">
        <f>IF($B12&lt;Analysis!$C$66,0,IF($B12=Analysis!$C$66,-AU12*AP12,AU11*AT11))</f>
        <v>-19592.526208450825</v>
      </c>
      <c r="AW12" s="1">
        <f>IF($B12&lt;Analysis!$C$66,0,IF($B12=Analysis!$C$66,PMT(AU12,AQ12,AP12)*AQ12-AX12-AT12,IF(($B12-Analysis!$C$66+1)&lt;LOOKUP(Analysis!$C$66,$B:$B,AQ:AQ),IF(AW11-AV12&lt;0, AW11-AV12,0),0)))</f>
        <v>-195435.55396729807</v>
      </c>
      <c r="AX12" s="1">
        <f>IF($B12&lt;Analysis!$C$66,0,IF($B12=Analysis!$C$66,AS12+AV12,IF(AT11&lt;0,IF(AT11&gt;LOOKUP(Analysis!$C$66,$B:$B,AX:AX), AT11*(1+AU11),AX11),0)))</f>
        <v>-39548.481000000007</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-3041.0760468121366</v>
      </c>
      <c r="BF12" s="64">
        <f>IF($B12&lt;Analysis!$C$66,0,Analysis!$C$78)</f>
        <v>3.0000000000000001E-3</v>
      </c>
      <c r="BG12" s="1">
        <f>IF($B12&lt;Analysis!$C$66,0,-BH12*AN12)</f>
        <v>-7602.6901170303408</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-129245.7319895158</v>
      </c>
      <c r="BS12" s="64">
        <f>IF($B12&lt;Analysis!C$66,0,Analysis!C$31)</f>
        <v>0.1275</v>
      </c>
      <c r="BT12" s="1">
        <f>IF($B12&lt;Analysis!$C$66,0,AN12+BR12)</f>
        <v>884446.28361452965</v>
      </c>
      <c r="BU12" s="1">
        <f>IF($B12-Analysis!$C$66&gt;3,0,IF($AN12&gt;LOOKUP(Analysis!$C$66,$B:$B, AN:AN),$V12*(LOOKUP(Analysis!$C$66,$B:$B, AN:AN)-AN12),0))</f>
        <v>0</v>
      </c>
      <c r="BV12" s="1">
        <f t="shared" si="23"/>
        <v>884446.28361452965</v>
      </c>
      <c r="BW12" s="42"/>
      <c r="BX12" s="1">
        <f>IF($B12&lt;Analysis!$C$66,$P12+$N12+$X12+$Z12,$P12+$N12+AS12+AV12+BB12+BE12+BG12+MAX(BI12,SUM(BJ12:BN12))+BP12)</f>
        <v>-112552.24716384249</v>
      </c>
      <c r="BY12" s="1">
        <f t="shared" si="24"/>
        <v>117817.77193084449</v>
      </c>
      <c r="BZ12" s="1">
        <f t="shared" si="46"/>
        <v>5265.5247670020035</v>
      </c>
      <c r="CA12" s="1">
        <f>IF(BZ12 &lt; 0,
    IF(CA11 + BZ12 &gt; 0,
        CA11 + BZ12, IF(CF11-ABS(CA11 + BZ12)*(1+$V12) &gt;= CA11 + BZ12,
        0, CA11 + BZ12)),
    MIN(CA11 + BZ12, Analysis!$C$7))+IF(CA11&lt;0, CA11*Analysis!$C$9,0)</f>
        <v>-184357.64377822255</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-23270.84279299722</v>
      </c>
      <c r="CJ12" s="1">
        <f>IF(OR($B12&lt;Analysis!$C$100, $B12&gt;=Analysis!$C$130),0,Z12)</f>
        <v>-3960</v>
      </c>
      <c r="CK12" s="1">
        <f t="shared" si="26"/>
        <v>609684.32822562172</v>
      </c>
      <c r="CL12" s="64">
        <f t="shared" si="48"/>
        <v>3.9215686274509887E-2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-11131.300790865822</v>
      </c>
      <c r="CQ12" s="1">
        <f>IF(OR($B12&lt;Analysis!$C$100, $B12&gt;=Analysis!$C$101),0,IF($B12=Analysis!$C$100,-CM12-CP12,MIN(0,CQ11-CP12)))</f>
        <v>-284235.79945600394</v>
      </c>
      <c r="CR12" s="64">
        <f>IF(OR($B12&lt;Analysis!$C$100, $B12&gt;=Analysis!$C$101),0,IF($B12=Analysis!$C$100,Analysis!$C$102,IF(($B12-Analysis!$C$100)&lt;LOOKUP(Analysis!$C$100,$B:$B,CN:CN),CR11,0)))</f>
        <v>3.6999999999999998E-2</v>
      </c>
      <c r="CS12" s="1">
        <f>IF(OR($B12&lt;Analysis!$C$100, $B12&gt;=Analysis!$C$101),0,IF($B12=Analysis!$C$100,-CR12*CM12,CR11*CQ11))</f>
        <v>-10928.582709134182</v>
      </c>
      <c r="CT12" s="1">
        <f>IF(OR($B12&lt;Analysis!$C$100, $B12&gt;=Analysis!$C$101),0,IF($B12=Analysis!$C$100,PMT(CR12,CN12,CM12)*CN12-CU12-CQ12,IF(($B12-Analysis!$C$100+1)&lt;LOOKUP(Analysis!$C$100,$B:$B,CN:CN),IF(CT11-CS12&lt;0, CT11-CS12,0),0)))</f>
        <v>-109012.67111312209</v>
      </c>
      <c r="CU12" s="1">
        <f>IF(OR($B12&lt;Analysis!$C$100, $B12&gt;=Analysis!$C$101),0,IF($B12=Analysis!$C$100,CP12+CS12,IF(CQ11&lt;0,IF(CQ11&gt;LOOKUP(Analysis!$C$100,$B:$B,CU:CU), CQ11*(1+CR11),CU11),0)))</f>
        <v>-22059.883500000004</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20361.987443872567</v>
      </c>
      <c r="DC12" s="64">
        <f>IF(OR($B12&lt;Analysis!$C$100, $B12&gt;=Analysis!$C$101),0,((1+Analysis!$D$114)/(1+$S12))-1)</f>
        <v>3.9215686274509887E-2</v>
      </c>
      <c r="DD12" s="1">
        <f t="shared" si="6"/>
        <v>26151.040428549433</v>
      </c>
      <c r="DE12" s="1">
        <f t="shared" si="27"/>
        <v>-1829.0529846768652</v>
      </c>
      <c r="DF12" s="64">
        <f>IF(OR($B12&lt;Analysis!$C$100, $B12&gt;=Analysis!$C$101),0,Analysis!$C$118)</f>
        <v>3.0000000000000001E-3</v>
      </c>
      <c r="DG12" s="1">
        <f t="shared" si="28"/>
        <v>-4572.6324616921629</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-1527.1490582904426</v>
      </c>
      <c r="DR12" s="1">
        <f t="shared" si="29"/>
        <v>-20188.83450465947</v>
      </c>
      <c r="DS12" s="1">
        <f>MIN(0,-(DB12+DR12)*Analysis!$C$28)-CS12*Analysis!$C$28</f>
        <v>4765.7309310520322</v>
      </c>
      <c r="DT12" s="1">
        <f>-Analysis!$C$116*DD12/12</f>
        <v>-2179.2533690457863</v>
      </c>
      <c r="DU12" s="53"/>
      <c r="DV12" s="1">
        <f t="shared" si="30"/>
        <v>-77734.751848766769</v>
      </c>
      <c r="DW12" s="64">
        <f>IF(OR($B12&lt;Analysis!$C$100, $B12&gt;=Analysis!$C$101),0,IF($B12=Analysis!$C$100,Analysis!$C$31,DW11))</f>
        <v>0.1275</v>
      </c>
      <c r="DX12" s="1">
        <f>IF(OR($B12&lt;Analysis!$C$100, $B12&gt;=Analysis!$C$101),0,CK12+DV12)</f>
        <v>531949.57637685491</v>
      </c>
      <c r="DY12" s="1">
        <f>IF(OR($B12&lt;Analysis!$C$100, $B12&gt;=Analysis!$C$101),0,IF($B12-Analysis!$C$100&gt;3,0,IF(CK12&gt;LOOKUP(Analysis!$C$100,$B:$B, CK:CK),$V12*(LOOKUP(Analysis!$C$100,$B:$B, CK:CK)-CK12),0)))</f>
        <v>0</v>
      </c>
      <c r="DZ12" s="1">
        <f t="shared" si="49"/>
        <v>531949.57637685491</v>
      </c>
      <c r="EA12" s="53"/>
      <c r="EB12" s="1">
        <f t="shared" si="31"/>
        <v>1013692.0156040455</v>
      </c>
      <c r="EC12" s="64">
        <f t="shared" si="50"/>
        <v>3.9215686274509887E-2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-116993.08323565044</v>
      </c>
      <c r="FM12" s="1">
        <f>$M12+$R12+DD12+IF(AND($B12&lt;&gt;Analysis!$C$130,$B12=Analysis!$C$101),DZ11+CQ11+CT11+CZ11,0)</f>
        <v>143968.81235939392</v>
      </c>
      <c r="FN12" s="1">
        <f t="shared" si="34"/>
        <v>26975.729123743484</v>
      </c>
      <c r="FO12" s="1">
        <f>IF(FN12 &lt; 0,
    IF(FO11 + FN12 &gt; 0,
        FO11 + FN12, IF(FT11-ABS(FO11 + FN12)*(1+$V12) &gt;= FO11 + FN12,
        0, FO11 + FN12)),
    MIN(FO11 + FN12, Analysis!$C$7))+IF(FO11&lt;0, FO11*Analysis!$C$9,0)</f>
        <v>24000</v>
      </c>
      <c r="FP12" s="53"/>
      <c r="FQ12" s="1">
        <f t="shared" si="51"/>
        <v>6572.9579904477205</v>
      </c>
      <c r="FR12" s="1">
        <f>IF(OR($B12=Analysis!$C$100, $B12=Analysis!$C$130),0,IF(FN12 &gt;= 0,
    MAX(0, FO11 + FN12 - Analysis!$C$7),
    0))</f>
        <v>26975.729123743484</v>
      </c>
      <c r="FS12" s="1">
        <f>IF(OR($B12=Analysis!$C$100, $B12=Analysis!$C$130),0,MAX(0, FS11 + FR12 - IF(FN12 &lt; 0, MIN(ABS(FN12), FS11 + FR12), 0)))</f>
        <v>119857.86138243928</v>
      </c>
      <c r="FT12" s="1">
        <f>IF(OR($B12=Analysis!$C$100, $B12=Analysis!$C$130),0,IF(FN12 &lt; 0,
    IF(FN12 + FO11 &lt; 0,
        MAX(0, FT11 - (ABS(FN12 + FO11) * (1+$V11))),
        FT11 + FQ12),
    FT11 + FR12 + FQ12))</f>
        <v>140794.84811007002</v>
      </c>
      <c r="FU12" s="1">
        <f>IF(FT12-FS12&gt;0, FT12-$V12*(FT12-FS12),FT12)</f>
        <v>135272.7178606574</v>
      </c>
      <c r="FV12" s="36"/>
      <c r="FW12" s="1">
        <f t="shared" si="52"/>
        <v>609684.32822562172</v>
      </c>
      <c r="FX12" s="64">
        <f t="shared" si="53"/>
        <v>3.9215686274509887E-2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-11131.300790865822</v>
      </c>
      <c r="GC12" s="1">
        <f>IF($B12&lt;Analysis!$C$159,0,IF($B12=Analysis!$C$159,-FY12-GB12,MIN(0,GC11-GB12)))</f>
        <v>-284235.79945600394</v>
      </c>
      <c r="GD12" s="64">
        <f>IF($B12&lt;Analysis!$C$159,0,IF($B12=Analysis!$C$159,Analysis!$C$160,IF(($B12-Analysis!$C$159)&lt;LOOKUP(Analysis!$C$159,$B:$B,FZ:FZ),GD11,0)))</f>
        <v>3.6999999999999998E-2</v>
      </c>
      <c r="GE12" s="1">
        <f>IF($B12&lt;Analysis!$C$159,0,IF($B12=Analysis!$C$159,-GD12*FY12,GD11*GC11))</f>
        <v>-10928.582709134182</v>
      </c>
      <c r="GF12" s="1">
        <f>IF($B12&lt;Analysis!$C$159,0,IF($B12=Analysis!$C$159,PMT(GD12,FZ12,FY12)*FZ12-GG12-GC12,IF(($B12-Analysis!$C$159+1)&lt;LOOKUP(Analysis!$C$159,$B:$B,FZ:FZ),IF(GF11-GE12&lt;0, GF11-GE12,0),0)))</f>
        <v>-109012.67111312209</v>
      </c>
      <c r="GG12" s="1">
        <f>IF($B12&lt;Analysis!$C$159,0,IF($B12=Analysis!$C$159,GB12+GE12,IF(GC11&lt;0,IF(GC11&gt;LOOKUP(Analysis!$C$159,$B:$B,GG:GG), GC11*(1+GD11),GG11),0)))</f>
        <v>-22059.883500000004</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20361.987443872567</v>
      </c>
      <c r="GO12" s="64">
        <f>IF($B12&lt;Analysis!$C$159,0,((1+Analysis!$D$174)/(1+$S12))-1)</f>
        <v>3.9215686274509887E-2</v>
      </c>
      <c r="GP12" s="1">
        <f t="shared" si="7"/>
        <v>26151.040428549433</v>
      </c>
      <c r="GQ12" s="1">
        <f t="shared" si="36"/>
        <v>-1829.0529846768652</v>
      </c>
      <c r="GR12" s="64">
        <f>IF($B12&lt;Analysis!$C$159,0,Analysis!$C$178)</f>
        <v>3.0000000000000001E-3</v>
      </c>
      <c r="GS12" s="1">
        <f t="shared" si="37"/>
        <v>-4572.6324616921629</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-1527.1490582904426</v>
      </c>
      <c r="HD12" s="1">
        <f t="shared" si="38"/>
        <v>-20188.83450465947</v>
      </c>
      <c r="HE12" s="1">
        <f>MIN(0,-(GN12+HD12)*Analysis!$C$28)-GE12*Analysis!$C$28</f>
        <v>4765.7309310520322</v>
      </c>
      <c r="HF12" s="1">
        <f>-Analysis!$C$176*GP12/12</f>
        <v>-2179.2533690457863</v>
      </c>
      <c r="HG12" s="38"/>
      <c r="HH12" s="1">
        <f>IF($B12&lt;Analysis!$C$159,0,-$HI12*$FW12)</f>
        <v>-77734.751848766769</v>
      </c>
      <c r="HI12" s="64">
        <f>IF($B12&lt;Analysis!$C$159,0,IF($B12=Analysis!$C$159,Analysis!$C$31,HI11))</f>
        <v>0.1275</v>
      </c>
      <c r="HJ12" s="1">
        <f>IF($B12&lt;Analysis!$C$159,0,$FW12+HH12)</f>
        <v>531949.57637685491</v>
      </c>
      <c r="HK12" s="1">
        <f>IF($B12-Analysis!$C$159&gt;10,0,IF($FW12&gt;LOOKUP(Analysis!$C$159,$B:$B, FW:FW),$V12*(LOOKUP(Analysis!$C$159,$B:$B, FW:FW)-FW12),0))</f>
        <v>-51347.991569507729</v>
      </c>
      <c r="HL12" s="1">
        <f t="shared" si="39"/>
        <v>480601.58480734716</v>
      </c>
      <c r="HM12" s="38"/>
      <c r="HN12" s="1">
        <f t="shared" si="40"/>
        <v>-116993.08323565044</v>
      </c>
      <c r="HO12" s="1">
        <f t="shared" si="8"/>
        <v>143968.81235939392</v>
      </c>
      <c r="HP12" s="1">
        <f t="shared" si="41"/>
        <v>26975.729123743484</v>
      </c>
      <c r="HQ12" s="1">
        <f>IF(HP12 &lt; 0,
    IF(HQ11 + HP12 &gt; 0,
        HQ11 + HP12, IF(HV11-ABS(HQ11 + HP12)*(1+$V12) &gt;= HQ11 + HP12,
        0, HQ11 + HP12)),
    MIN(HQ11 + HP12, Analysis!$C$7))+IF(HQ11&lt;0, HQ11*Analysis!$C$9,0)</f>
        <v>24000</v>
      </c>
      <c r="HR12" s="38"/>
      <c r="HS12" s="1">
        <f t="shared" si="54"/>
        <v>6572.9579904477205</v>
      </c>
      <c r="HT12" s="1">
        <f>IF($B12=Analysis!$C$159,0,IF(HP12 &gt;= 0,
    MAX(0, HQ11 + HP12 - Analysis!$C$7),
    0))</f>
        <v>26975.729123743484</v>
      </c>
      <c r="HU12" s="1">
        <f>IF($B12=Analysis!$C$159,0,MAX(0, HU11 + HT12 - IF(HP12 &lt; 0, MIN(ABS(HP12), HU11 + HT12), 0)))</f>
        <v>119857.86138243928</v>
      </c>
      <c r="HV12" s="1">
        <f>IF($B12=Analysis!$C$159,0,IF(HP12 &lt; 0,
    IF(HP12 + HQ11 &lt; 0,
        MAX(0, HV11 - (ABS(HP12 + HQ11) * (1+$V11))),
        HV11 + HS12),
    HV11 + HT12 + HS12))</f>
        <v>140794.84811007002</v>
      </c>
      <c r="HW12" s="1">
        <f>IF(HV12-HU12&gt;0, HV12-$V12*(HV12-HU12),HV12)</f>
        <v>135272.7178606574</v>
      </c>
      <c r="HX12" s="36"/>
    </row>
    <row r="13" spans="1:232" x14ac:dyDescent="0.35">
      <c r="A13">
        <f t="shared" si="0"/>
        <v>46</v>
      </c>
      <c r="B13">
        <v>2036</v>
      </c>
      <c r="C13" s="1">
        <f>IF($B13&lt;Analysis!C$66,0,$AN13)+$AT13+$AW13+$BC13+$CF13+$CA13</f>
        <v>191421.50226377626</v>
      </c>
      <c r="D13" s="1">
        <f>IF($B13&lt;Analysis!C$66, 0, BV13)+AT13+AW13+BC13+CG13+CA13</f>
        <v>57107.310196240258</v>
      </c>
      <c r="E13" s="1">
        <f t="shared" si="1"/>
        <v>458119.13731847022</v>
      </c>
      <c r="F13" s="1">
        <f t="shared" si="9"/>
        <v>424098.87730891979</v>
      </c>
      <c r="G13" s="1">
        <f>IF(AND($B13&gt;=Analysis!$C$100, $B13&lt;Analysis!$C$101),$CK13,0)+IF($B13&gt;=Analysis!$C$130,EB13,0)+CQ13+CT13+CZ13+EH13+EK13+EQ13+$FO13+$FT13</f>
        <v>459432.75932685751</v>
      </c>
      <c r="H13" s="1">
        <f t="shared" si="10"/>
        <v>370915.18794382934</v>
      </c>
      <c r="I13" s="1">
        <f>IF($B13&lt;Analysis!$C$159,0,$FW13)+$GC13+$GF13+$GL13+$HQ13+$HV13</f>
        <v>459432.75932685751</v>
      </c>
      <c r="J13" s="1">
        <f t="shared" si="2"/>
        <v>370915.18794382934</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-24183.42486331084</v>
      </c>
      <c r="Y13" s="64">
        <f t="shared" si="15"/>
        <v>3.9215686274509887E-2</v>
      </c>
      <c r="Z13" s="1">
        <f t="shared" si="16"/>
        <v>-3960</v>
      </c>
      <c r="AA13" s="64">
        <f t="shared" si="17"/>
        <v>0</v>
      </c>
      <c r="AB13" s="40"/>
      <c r="AC13" s="1">
        <f t="shared" si="3"/>
        <v>-90293.424863310836</v>
      </c>
      <c r="AD13" s="1">
        <f t="shared" si="4"/>
        <v>119261.61717509503</v>
      </c>
      <c r="AE13" s="1">
        <f t="shared" si="18"/>
        <v>28968.192311784194</v>
      </c>
      <c r="AF13" s="1">
        <f>IF(AE13 &lt; 0,
    IF(AF12 + AE13 &gt; 0,
        AF12 + AE13, IF(AK12-ABS(AF12 + AE13)*(1+$V13) &gt;= AF12 + AE13,
        0, AF12 + AE13)),
    MIN(AF12 + AE13, Analysis!$C$7))+IF(AF12&lt;0, AF12*Analysis!$C$9,0)</f>
        <v>24000</v>
      </c>
      <c r="AG13" s="40"/>
      <c r="AH13" s="1">
        <f t="shared" si="19"/>
        <v>22779.485175595677</v>
      </c>
      <c r="AI13" s="1">
        <f>IF(AE13 &gt;= 0,
    MAX(0, AF12 + AE13 - Analysis!$C$7),
    0)</f>
        <v>28968.192311784194</v>
      </c>
      <c r="AJ13" s="1">
        <f t="shared" si="44"/>
        <v>305132.3695097483</v>
      </c>
      <c r="AK13" s="1">
        <f t="shared" si="20"/>
        <v>434119.13731847022</v>
      </c>
      <c r="AL13" s="1">
        <f t="shared" si="5"/>
        <v>400098.87730891979</v>
      </c>
      <c r="AM13" s="36"/>
      <c r="AN13" s="1">
        <f t="shared" si="45"/>
        <v>1053444.6436669494</v>
      </c>
      <c r="AO13" s="64">
        <f t="shared" si="21"/>
        <v>3.9215686274509887E-2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-20694.325118836503</v>
      </c>
      <c r="AT13" s="1">
        <f>IF($B13&lt;Analysis!$C$66,0,IF($B13=Analysis!$C$66,-AP13-AS13,MIN(0,AT12-AS13)))</f>
        <v>-488877.45545315015</v>
      </c>
      <c r="AU13" s="64">
        <f>IF($B13&lt;Analysis!$C$66,0,IF($B13=Analysis!$C$66,Analysis!$C$72,IF(($B13-Analysis!$C$66)&lt;LOOKUP(Analysis!$C$66,$B:$B,AQ:AQ),AU12,0)))</f>
        <v>3.6999999999999998E-2</v>
      </c>
      <c r="AV13" s="1">
        <f>IF($B13&lt;Analysis!$C$66,0,IF($B13=Analysis!$C$66,-AU13*AP13,AU12*AT12))</f>
        <v>-18854.155881163504</v>
      </c>
      <c r="AW13" s="1">
        <f>IF($B13&lt;Analysis!$C$66,0,IF($B13=Analysis!$C$66,PMT(AU13,AQ13,AP13)*AQ13-AX13-AT13,IF(($B13-Analysis!$C$66+1)&lt;LOOKUP(Analysis!$C$66,$B:$B,AQ:AQ),IF(AW12-AV13&lt;0, AW12-AV13,0),0)))</f>
        <v>-176581.39808613458</v>
      </c>
      <c r="AX13" s="1">
        <f>IF($B13&lt;Analysis!$C$66,0,IF($B13=Analysis!$C$66,AS13+AV13,IF(AT12&lt;0,IF(AT12&gt;LOOKUP(Analysis!$C$66,$B:$B,AX:AX), AT12*(1+AU12),AX12),0)))</f>
        <v>-39548.481000000007</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-3160.3339310008482</v>
      </c>
      <c r="BF13" s="64">
        <f>IF($B13&lt;Analysis!$C$66,0,Analysis!$C$78)</f>
        <v>3.0000000000000001E-3</v>
      </c>
      <c r="BG13" s="1">
        <f>IF($B13&lt;Analysis!$C$66,0,-BH13*AN13)</f>
        <v>-7900.8348275021199</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-134314.19206753606</v>
      </c>
      <c r="BS13" s="64">
        <f>IF($B13&lt;Analysis!C$66,0,Analysis!C$31)</f>
        <v>0.1275</v>
      </c>
      <c r="BT13" s="1">
        <f>IF($B13&lt;Analysis!$C$66,0,AN13+BR13)</f>
        <v>919130.4515994133</v>
      </c>
      <c r="BU13" s="1">
        <f>IF($B13-Analysis!$C$66&gt;3,0,IF($AN13&gt;LOOKUP(Analysis!$C$66,$B:$B, AN:AN),$V13*(LOOKUP(Analysis!$C$66,$B:$B, AN:AN)-AN13),0))</f>
        <v>0</v>
      </c>
      <c r="BV13" s="1">
        <f t="shared" si="23"/>
        <v>919130.4515994133</v>
      </c>
      <c r="BW13" s="42"/>
      <c r="BX13" s="1">
        <f>IF($B13&lt;Analysis!$C$66,$P13+$N13+$X13+$Z13,$P13+$N13+AS13+AV13+BB13+BE13+BG13+MAX(BI13,SUM(BJ13:BN13))+BP13)</f>
        <v>-116719.64975850299</v>
      </c>
      <c r="BY13" s="1">
        <f t="shared" si="24"/>
        <v>119261.61717509503</v>
      </c>
      <c r="BZ13" s="1">
        <f t="shared" si="46"/>
        <v>2541.9674165920442</v>
      </c>
      <c r="CA13" s="1">
        <f>IF(BZ13 &lt; 0,
    IF(CA12 + BZ13 &gt; 0,
        CA12 + BZ13, IF(CF12-ABS(CA12 + BZ13)*(1+$V13) &gt;= CA12 + BZ13,
        0, CA12 + BZ13)),
    MIN(CA12 + BZ13, Analysis!$C$7))+IF(CA12&lt;0, CA12*Analysis!$C$9,0)</f>
        <v>-196564.28786388831</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-24183.42486331084</v>
      </c>
      <c r="CJ13" s="1">
        <f>IF(OR($B13&lt;Analysis!$C$100, $B13&gt;=Analysis!$C$130),0,Z13)</f>
        <v>-3960</v>
      </c>
      <c r="CK13" s="1">
        <f t="shared" si="26"/>
        <v>633593.51756780304</v>
      </c>
      <c r="CL13" s="64">
        <f t="shared" si="48"/>
        <v>3.9215686274509887E-2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-11543.158920127858</v>
      </c>
      <c r="CQ13" s="1">
        <f>IF(OR($B13&lt;Analysis!$C$100, $B13&gt;=Analysis!$C$101),0,IF($B13=Analysis!$C$100,-CM13-CP13,MIN(0,CQ12-CP13)))</f>
        <v>-272692.6405358761</v>
      </c>
      <c r="CR13" s="64">
        <f>IF(OR($B13&lt;Analysis!$C$100, $B13&gt;=Analysis!$C$101),0,IF($B13=Analysis!$C$100,Analysis!$C$102,IF(($B13-Analysis!$C$100)&lt;LOOKUP(Analysis!$C$100,$B:$B,CN:CN),CR12,0)))</f>
        <v>3.6999999999999998E-2</v>
      </c>
      <c r="CS13" s="1">
        <f>IF(OR($B13&lt;Analysis!$C$100, $B13&gt;=Analysis!$C$101),0,IF($B13=Analysis!$C$100,-CR13*CM13,CR12*CQ12))</f>
        <v>-10516.724579872145</v>
      </c>
      <c r="CT13" s="1">
        <f>IF(OR($B13&lt;Analysis!$C$100, $B13&gt;=Analysis!$C$101),0,IF($B13=Analysis!$C$100,PMT(CR13,CN13,CM13)*CN13-CU13-CQ13,IF(($B13-Analysis!$C$100+1)&lt;LOOKUP(Analysis!$C$100,$B:$B,CN:CN),IF(CT12-CS13&lt;0, CT12-CS13,0),0)))</f>
        <v>-98495.946533249953</v>
      </c>
      <c r="CU13" s="1">
        <f>IF(OR($B13&lt;Analysis!$C$100, $B13&gt;=Analysis!$C$101),0,IF($B13=Analysis!$C$100,CP13+CS13,IF(CQ12&lt;0,IF(CQ12&gt;LOOKUP(Analysis!$C$100,$B:$B,CU:CU), CQ12*(1+CR12),CU12),0)))</f>
        <v>-22059.883500000004</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21160.496755396984</v>
      </c>
      <c r="DC13" s="64">
        <f>IF(OR($B13&lt;Analysis!$C$100, $B13&gt;=Analysis!$C$101),0,((1+Analysis!$D$114)/(1+$S13))-1)</f>
        <v>3.9215686274509887E-2</v>
      </c>
      <c r="DD13" s="1">
        <f t="shared" si="6"/>
        <v>27021.277308100394</v>
      </c>
      <c r="DE13" s="1">
        <f t="shared" si="27"/>
        <v>-1900.7805527034091</v>
      </c>
      <c r="DF13" s="64">
        <f>IF(OR($B13&lt;Analysis!$C$100, $B13&gt;=Analysis!$C$101),0,Analysis!$C$118)</f>
        <v>3.0000000000000001E-3</v>
      </c>
      <c r="DG13" s="1">
        <f t="shared" si="28"/>
        <v>-4751.951381758523</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-1587.0372566547737</v>
      </c>
      <c r="DR13" s="1">
        <f t="shared" si="29"/>
        <v>-20499.769191116706</v>
      </c>
      <c r="DS13" s="1">
        <f>MIN(0,-(DB13+DR13)*Analysis!$C$28)-CS13*Analysis!$C$28</f>
        <v>4367.1922776087558</v>
      </c>
      <c r="DT13" s="1">
        <f>-Analysis!$C$116*DD13/12</f>
        <v>-2251.7731090083662</v>
      </c>
      <c r="DU13" s="53"/>
      <c r="DV13" s="1">
        <f t="shared" si="30"/>
        <v>-80783.173489894893</v>
      </c>
      <c r="DW13" s="64">
        <f>IF(OR($B13&lt;Analysis!$C$100, $B13&gt;=Analysis!$C$101),0,IF($B13=Analysis!$C$100,Analysis!$C$31,DW12))</f>
        <v>0.1275</v>
      </c>
      <c r="DX13" s="1">
        <f>IF(OR($B13&lt;Analysis!$C$100, $B13&gt;=Analysis!$C$101),0,CK13+DV13)</f>
        <v>552810.3440779082</v>
      </c>
      <c r="DY13" s="1">
        <f>IF(OR($B13&lt;Analysis!$C$100, $B13&gt;=Analysis!$C$101),0,IF($B13-Analysis!$C$100&gt;3,0,IF(CK13&gt;LOOKUP(Analysis!$C$100,$B:$B, CK:CK),$V13*(LOOKUP(Analysis!$C$100,$B:$B, CK:CK)-CK13),0)))</f>
        <v>0</v>
      </c>
      <c r="DZ13" s="1">
        <f t="shared" si="49"/>
        <v>552810.3440779082</v>
      </c>
      <c r="EA13" s="53"/>
      <c r="EB13" s="1">
        <f t="shared" si="31"/>
        <v>1053444.6436669494</v>
      </c>
      <c r="EC13" s="64">
        <f t="shared" si="50"/>
        <v>3.9215686274509887E-2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-122437.65838582715</v>
      </c>
      <c r="FM13" s="1">
        <f>$M13+$R13+DD13+IF(AND($B13&lt;&gt;Analysis!$C$130,$B13=Analysis!$C$101),DZ12+CQ12+CT12+CZ12,0)</f>
        <v>146282.89448319541</v>
      </c>
      <c r="FN13" s="1">
        <f t="shared" si="34"/>
        <v>23845.236097368266</v>
      </c>
      <c r="FO13" s="1">
        <f>IF(FN13 &lt; 0,
    IF(FO12 + FN13 &gt; 0,
        FO12 + FN13, IF(FT12-ABS(FO12 + FN13)*(1+$V13) &gt;= FO12 + FN13,
        0, FO12 + FN13)),
    MIN(FO12 + FN13, Analysis!$C$7))+IF(FO12&lt;0, FO12*Analysis!$C$9,0)</f>
        <v>24000</v>
      </c>
      <c r="FP13" s="53"/>
      <c r="FQ13" s="1">
        <f t="shared" si="51"/>
        <v>8387.7446207422381</v>
      </c>
      <c r="FR13" s="1">
        <f>IF(OR($B13=Analysis!$C$100, $B13=Analysis!$C$130),0,IF(FN13 &gt;= 0,
    MAX(0, FO12 + FN13 - Analysis!$C$7),
    0))</f>
        <v>23845.236097368266</v>
      </c>
      <c r="FS13" s="1">
        <f>IF(OR($B13=Analysis!$C$100, $B13=Analysis!$C$130),0,MAX(0, FS12 + FR13 - IF(FN13 &lt; 0, MIN(ABS(FN13), FS12 + FR13), 0)))</f>
        <v>143703.09747980756</v>
      </c>
      <c r="FT13" s="1">
        <f>IF(OR($B13=Analysis!$C$100, $B13=Analysis!$C$130),0,IF(FN13 &lt; 0,
    IF(FN13 + FO12 &lt; 0,
        MAX(0, FT12 - (ABS(FN13 + FO12) * (1+$V12))),
        FT12 + FQ13),
    FT12 + FR13 + FQ13))</f>
        <v>173027.82882818053</v>
      </c>
      <c r="FU13" s="1">
        <f t="shared" ref="FU13:FU16" si="55">IF(FT13-FS13&gt;0, FT13-$V13*(FT13-FS13),FT13)</f>
        <v>165293.43093504716</v>
      </c>
      <c r="FV13" s="36"/>
      <c r="FW13" s="1">
        <f t="shared" si="52"/>
        <v>633593.51756780304</v>
      </c>
      <c r="FX13" s="64">
        <f t="shared" si="53"/>
        <v>3.9215686274509887E-2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-11543.158920127858</v>
      </c>
      <c r="GC13" s="1">
        <f>IF($B13&lt;Analysis!$C$159,0,IF($B13=Analysis!$C$159,-FY13-GB13,MIN(0,GC12-GB13)))</f>
        <v>-272692.6405358761</v>
      </c>
      <c r="GD13" s="64">
        <f>IF($B13&lt;Analysis!$C$159,0,IF($B13=Analysis!$C$159,Analysis!$C$160,IF(($B13-Analysis!$C$159)&lt;LOOKUP(Analysis!$C$159,$B:$B,FZ:FZ),GD12,0)))</f>
        <v>3.6999999999999998E-2</v>
      </c>
      <c r="GE13" s="1">
        <f>IF($B13&lt;Analysis!$C$159,0,IF($B13=Analysis!$C$159,-GD13*FY13,GD12*GC12))</f>
        <v>-10516.724579872145</v>
      </c>
      <c r="GF13" s="1">
        <f>IF($B13&lt;Analysis!$C$159,0,IF($B13=Analysis!$C$159,PMT(GD13,FZ13,FY13)*FZ13-GG13-GC13,IF(($B13-Analysis!$C$159+1)&lt;LOOKUP(Analysis!$C$159,$B:$B,FZ:FZ),IF(GF12-GE13&lt;0, GF12-GE13,0),0)))</f>
        <v>-98495.946533249953</v>
      </c>
      <c r="GG13" s="1">
        <f>IF($B13&lt;Analysis!$C$159,0,IF($B13=Analysis!$C$159,GB13+GE13,IF(GC12&lt;0,IF(GC12&gt;LOOKUP(Analysis!$C$159,$B:$B,GG:GG), GC12*(1+GD12),GG12),0)))</f>
        <v>-22059.883500000004</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21160.496755396984</v>
      </c>
      <c r="GO13" s="64">
        <f>IF($B13&lt;Analysis!$C$159,0,((1+Analysis!$D$174)/(1+$S13))-1)</f>
        <v>3.9215686274509887E-2</v>
      </c>
      <c r="GP13" s="1">
        <f t="shared" si="7"/>
        <v>27021.277308100394</v>
      </c>
      <c r="GQ13" s="1">
        <f t="shared" si="36"/>
        <v>-1900.7805527034091</v>
      </c>
      <c r="GR13" s="64">
        <f>IF($B13&lt;Analysis!$C$159,0,Analysis!$C$178)</f>
        <v>3.0000000000000001E-3</v>
      </c>
      <c r="GS13" s="1">
        <f t="shared" si="37"/>
        <v>-4751.951381758523</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-1587.0372566547737</v>
      </c>
      <c r="HD13" s="1">
        <f t="shared" si="38"/>
        <v>-20499.769191116706</v>
      </c>
      <c r="HE13" s="1">
        <f>MIN(0,-(GN13+HD13)*Analysis!$C$28)-GE13*Analysis!$C$28</f>
        <v>4367.1922776087558</v>
      </c>
      <c r="HF13" s="1">
        <f>-Analysis!$C$176*GP13/12</f>
        <v>-2251.7731090083662</v>
      </c>
      <c r="HG13" s="38"/>
      <c r="HH13" s="1">
        <f>IF($B13&lt;Analysis!$C$159,0,-$HI13*$FW13)</f>
        <v>-80783.173489894893</v>
      </c>
      <c r="HI13" s="64">
        <f>IF($B13&lt;Analysis!$C$159,0,IF($B13=Analysis!$C$159,Analysis!$C$31,HI12))</f>
        <v>0.1275</v>
      </c>
      <c r="HJ13" s="1">
        <f>IF($B13&lt;Analysis!$C$159,0,$FW13+HH13)</f>
        <v>552810.3440779082</v>
      </c>
      <c r="HK13" s="1">
        <f>IF($B13-Analysis!$C$159&gt;10,0,IF($FW13&gt;LOOKUP(Analysis!$C$159,$B:$B, FW:FW),$V13*(LOOKUP(Analysis!$C$159,$B:$B, FW:FW)-FW13),0))</f>
        <v>0</v>
      </c>
      <c r="HL13" s="1">
        <f t="shared" si="39"/>
        <v>552810.3440779082</v>
      </c>
      <c r="HM13" s="38"/>
      <c r="HN13" s="1">
        <f t="shared" si="40"/>
        <v>-122437.65838582715</v>
      </c>
      <c r="HO13" s="1">
        <f t="shared" si="8"/>
        <v>146282.89448319541</v>
      </c>
      <c r="HP13" s="1">
        <f t="shared" si="41"/>
        <v>23845.236097368266</v>
      </c>
      <c r="HQ13" s="1">
        <f>IF(HP13 &lt; 0,
    IF(HQ12 + HP13 &gt; 0,
        HQ12 + HP13, IF(HV12-ABS(HQ12 + HP13)*(1+$V13) &gt;= HQ12 + HP13,
        0, HQ12 + HP13)),
    MIN(HQ12 + HP13, Analysis!$C$7))+IF(HQ12&lt;0, HQ12*Analysis!$C$9,0)</f>
        <v>24000</v>
      </c>
      <c r="HR13" s="38"/>
      <c r="HS13" s="1">
        <f t="shared" si="54"/>
        <v>8387.7446207422381</v>
      </c>
      <c r="HT13" s="1">
        <f>IF($B13=Analysis!$C$159,0,IF(HP13 &gt;= 0,
    MAX(0, HQ12 + HP13 - Analysis!$C$7),
    0))</f>
        <v>23845.236097368266</v>
      </c>
      <c r="HU13" s="1">
        <f>IF($B13=Analysis!$C$159,0,MAX(0, HU12 + HT13 - IF(HP13 &lt; 0, MIN(ABS(HP13), HU12 + HT13), 0)))</f>
        <v>143703.09747980756</v>
      </c>
      <c r="HV13" s="1">
        <f>IF($B13=Analysis!$C$159,0,IF(HP13 &lt; 0,
    IF(HP13 + HQ12 &lt; 0,
        MAX(0, HV12 - (ABS(HP13 + HQ12) * (1+$V12))),
        HV12 + HS13),
    HV12 + HT13 + HS13))</f>
        <v>173027.82882818053</v>
      </c>
      <c r="HW13" s="1">
        <f t="shared" ref="HW13:HW16" si="56">IF(HV13-HU13&gt;0, HV13-$V13*(HV13-HU13),HV13)</f>
        <v>165293.43093504716</v>
      </c>
      <c r="HX13" s="36"/>
    </row>
    <row r="14" spans="1:232" x14ac:dyDescent="0.35">
      <c r="A14">
        <f t="shared" si="0"/>
        <v>47</v>
      </c>
      <c r="B14">
        <v>2037</v>
      </c>
      <c r="C14" s="1">
        <f>IF($B14&lt;Analysis!C$66,0,$AN14)+$AT14+$AW14+$BC14+$CF14+$CA14</f>
        <v>260126.13040716571</v>
      </c>
      <c r="D14" s="1">
        <f>IF($B14&lt;Analysis!C$66, 0, BV14)+AT14+AW14+BC14+CG14+CA14</f>
        <v>120544.71512129492</v>
      </c>
      <c r="E14" s="1">
        <f t="shared" si="1"/>
        <v>512718.60841878393</v>
      </c>
      <c r="F14" s="1">
        <f t="shared" si="9"/>
        <v>472073.44716975512</v>
      </c>
      <c r="G14" s="1">
        <f>IF(AND($B14&gt;=Analysis!$C$100, $B14&lt;Analysis!$C$101),$CK14,0)+IF($B14&gt;=Analysis!$C$130,EB14,0)+CQ14+CT14+CZ14+EH14+EK14+EQ14+$FO14+$FT14</f>
        <v>540801.34253202321</v>
      </c>
      <c r="H14" s="1">
        <f t="shared" si="10"/>
        <v>446475.30195887992</v>
      </c>
      <c r="I14" s="1">
        <f>IF($B14&lt;Analysis!$C$159,0,$FW14)+$GC14+$GF14+$GL14+$HQ14+$HV14</f>
        <v>540801.34253202321</v>
      </c>
      <c r="J14" s="1">
        <f t="shared" si="2"/>
        <v>446475.30195887992</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-25131.79446579362</v>
      </c>
      <c r="Y14" s="64">
        <f t="shared" si="15"/>
        <v>3.9215686274509887E-2</v>
      </c>
      <c r="Z14" s="1">
        <f t="shared" si="16"/>
        <v>-3960</v>
      </c>
      <c r="AA14" s="64">
        <f t="shared" si="17"/>
        <v>0</v>
      </c>
      <c r="AB14" s="40"/>
      <c r="AC14" s="1">
        <f t="shared" si="3"/>
        <v>-91241.794465793617</v>
      </c>
      <c r="AD14" s="1">
        <f t="shared" si="4"/>
        <v>120723.1566012604</v>
      </c>
      <c r="AE14" s="1">
        <f t="shared" si="18"/>
        <v>29481.362135466785</v>
      </c>
      <c r="AF14" s="1">
        <f>IF(AE14 &lt; 0,
    IF(AF13 + AE14 &gt; 0,
        AF13 + AE14, IF(AK13-ABS(AF13 + AE14)*(1+$V14) &gt;= AF13 + AE14,
        0, AF13 + AE14)),
    MIN(AF13 + AE14, Analysis!$C$7))+IF(AF13&lt;0, AF13*Analysis!$C$9,0)</f>
        <v>24000</v>
      </c>
      <c r="AG14" s="40"/>
      <c r="AH14" s="1">
        <f t="shared" si="19"/>
        <v>25118.108964846924</v>
      </c>
      <c r="AI14" s="1">
        <f>IF(AE14 &gt;= 0,
    MAX(0, AF13 + AE14 - Analysis!$C$7),
    0)</f>
        <v>29481.362135466785</v>
      </c>
      <c r="AJ14" s="1">
        <f t="shared" si="44"/>
        <v>334613.73164521507</v>
      </c>
      <c r="AK14" s="1">
        <f t="shared" si="20"/>
        <v>488718.60841878393</v>
      </c>
      <c r="AL14" s="1">
        <f t="shared" si="5"/>
        <v>448073.44716975512</v>
      </c>
      <c r="AM14" s="36"/>
      <c r="AN14" s="1">
        <f t="shared" si="45"/>
        <v>1094756.1983205553</v>
      </c>
      <c r="AO14" s="64">
        <f t="shared" si="21"/>
        <v>3.9215686274509887E-2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-21460.015148233451</v>
      </c>
      <c r="AT14" s="1">
        <f>IF($B14&lt;Analysis!$C$66,0,IF($B14=Analysis!$C$66,-AP14-AS14,MIN(0,AT13-AS14)))</f>
        <v>-467417.4403049167</v>
      </c>
      <c r="AU14" s="64">
        <f>IF($B14&lt;Analysis!$C$66,0,IF($B14=Analysis!$C$66,Analysis!$C$72,IF(($B14-Analysis!$C$66)&lt;LOOKUP(Analysis!$C$66,$B:$B,AQ:AQ),AU13,0)))</f>
        <v>3.6999999999999998E-2</v>
      </c>
      <c r="AV14" s="1">
        <f>IF($B14&lt;Analysis!$C$66,0,IF($B14=Analysis!$C$66,-AU14*AP14,AU13*AT13))</f>
        <v>-18088.465851766556</v>
      </c>
      <c r="AW14" s="1">
        <f>IF($B14&lt;Analysis!$C$66,0,IF($B14=Analysis!$C$66,PMT(AU14,AQ14,AP14)*AQ14-AX14-AT14,IF(($B14-Analysis!$C$66+1)&lt;LOOKUP(Analysis!$C$66,$B:$B,AQ:AQ),IF(AW13-AV14&lt;0, AW13-AV14,0),0)))</f>
        <v>-158492.93223436803</v>
      </c>
      <c r="AX14" s="1">
        <f>IF($B14&lt;Analysis!$C$66,0,IF($B14=Analysis!$C$66,AS14+AV14,IF(AT13&lt;0,IF(AT13&gt;LOOKUP(Analysis!$C$66,$B:$B,AX:AX), AT13*(1+AU13),AX13),0)))</f>
        <v>-39548.481000000007</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-3284.2685949616657</v>
      </c>
      <c r="BF14" s="64">
        <f>IF($B14&lt;Analysis!$C$66,0,Analysis!$C$78)</f>
        <v>3.0000000000000001E-3</v>
      </c>
      <c r="BG14" s="1">
        <f>IF($B14&lt;Analysis!$C$66,0,-BH14*AN14)</f>
        <v>-8210.6714874041645</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-139581.41528587081</v>
      </c>
      <c r="BS14" s="64">
        <f>IF($B14&lt;Analysis!C$66,0,Analysis!C$31)</f>
        <v>0.1275</v>
      </c>
      <c r="BT14" s="1">
        <f>IF($B14&lt;Analysis!$C$66,0,AN14+BR14)</f>
        <v>955174.78303468449</v>
      </c>
      <c r="BU14" s="1">
        <f>IF($B14-Analysis!$C$66&gt;3,0,IF($AN14&gt;LOOKUP(Analysis!$C$66,$B:$B, AN:AN),$V14*(LOOKUP(Analysis!$C$66,$B:$B, AN:AN)-AN14),0))</f>
        <v>0</v>
      </c>
      <c r="BV14" s="1">
        <f t="shared" si="23"/>
        <v>955174.78303468449</v>
      </c>
      <c r="BW14" s="42"/>
      <c r="BX14" s="1">
        <f>IF($B14&lt;Analysis!$C$66,$P14+$N14+$X14+$Z14,$P14+$N14+AS14+AV14+BB14+BE14+BG14+MAX(BI14,SUM(BJ14:BN14))+BP14)</f>
        <v>-117153.42108236584</v>
      </c>
      <c r="BY14" s="1">
        <f t="shared" si="24"/>
        <v>120723.1566012604</v>
      </c>
      <c r="BZ14" s="1">
        <f t="shared" si="46"/>
        <v>3569.7355188945658</v>
      </c>
      <c r="CA14" s="1">
        <f>IF(BZ14 &lt; 0,
    IF(CA13 + BZ14 &gt; 0,
        CA13 + BZ14, IF(CF13-ABS(CA13 + BZ14)*(1+$V14) &gt;= CA13 + BZ14,
        0, CA13 + BZ14)),
    MIN(CA13 + BZ14, Analysis!$C$7))+IF(CA13&lt;0, CA13*Analysis!$C$9,0)</f>
        <v>-208719.69537410481</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-25131.79446579362</v>
      </c>
      <c r="CJ14" s="1">
        <f>IF(OR($B14&lt;Analysis!$C$100, $B14&gt;=Analysis!$C$130),0,Z14)</f>
        <v>-3960</v>
      </c>
      <c r="CK14" s="1">
        <f t="shared" si="26"/>
        <v>658440.32217830513</v>
      </c>
      <c r="CL14" s="64">
        <f t="shared" si="48"/>
        <v>3.9215686274509887E-2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-11970.255800172588</v>
      </c>
      <c r="CQ14" s="1">
        <f>IF(OR($B14&lt;Analysis!$C$100, $B14&gt;=Analysis!$C$101),0,IF($B14=Analysis!$C$100,-CM14-CP14,MIN(0,CQ13-CP14)))</f>
        <v>-260722.3847357035</v>
      </c>
      <c r="CR14" s="64">
        <f>IF(OR($B14&lt;Analysis!$C$100, $B14&gt;=Analysis!$C$101),0,IF($B14=Analysis!$C$100,Analysis!$C$102,IF(($B14-Analysis!$C$100)&lt;LOOKUP(Analysis!$C$100,$B:$B,CN:CN),CR13,0)))</f>
        <v>3.6999999999999998E-2</v>
      </c>
      <c r="CS14" s="1">
        <f>IF(OR($B14&lt;Analysis!$C$100, $B14&gt;=Analysis!$C$101),0,IF($B14=Analysis!$C$100,-CR14*CM14,CR13*CQ13))</f>
        <v>-10089.627699827415</v>
      </c>
      <c r="CT14" s="1">
        <f>IF(OR($B14&lt;Analysis!$C$100, $B14&gt;=Analysis!$C$101),0,IF($B14=Analysis!$C$100,PMT(CR14,CN14,CM14)*CN14-CU14-CQ14,IF(($B14-Analysis!$C$100+1)&lt;LOOKUP(Analysis!$C$100,$B:$B,CN:CN),IF(CT13-CS14&lt;0, CT13-CS14,0),0)))</f>
        <v>-88406.318833422542</v>
      </c>
      <c r="CU14" s="1">
        <f>IF(OR($B14&lt;Analysis!$C$100, $B14&gt;=Analysis!$C$101),0,IF($B14=Analysis!$C$100,CP14+CS14,IF(CQ13&lt;0,IF(CQ13&gt;LOOKUP(Analysis!$C$100,$B:$B,CU:CU), CQ13*(1+CR13),CU13),0)))</f>
        <v>-22059.883500000004</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21990.320157569415</v>
      </c>
      <c r="DC14" s="64">
        <f>IF(OR($B14&lt;Analysis!$C$100, $B14&gt;=Analysis!$C$101),0,((1+Analysis!$D$114)/(1+$S14))-1)</f>
        <v>3.9215686274509887E-2</v>
      </c>
      <c r="DD14" s="1">
        <f t="shared" si="6"/>
        <v>27925.641124104332</v>
      </c>
      <c r="DE14" s="1">
        <f t="shared" si="27"/>
        <v>-1975.3209665349154</v>
      </c>
      <c r="DF14" s="64">
        <f>IF(OR($B14&lt;Analysis!$C$100, $B14&gt;=Analysis!$C$101),0,Analysis!$C$118)</f>
        <v>3.0000000000000001E-3</v>
      </c>
      <c r="DG14" s="1">
        <f t="shared" si="28"/>
        <v>-4938.3024163372884</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-1649.274011817706</v>
      </c>
      <c r="DR14" s="1">
        <f t="shared" si="29"/>
        <v>-20822.89739468991</v>
      </c>
      <c r="DS14" s="1">
        <f>MIN(0,-(DB14+DR14)*Analysis!$C$28)-CS14*Analysis!$C$28</f>
        <v>3953.4290075616182</v>
      </c>
      <c r="DT14" s="1">
        <f>-Analysis!$C$116*DD14/12</f>
        <v>-2327.1367603420276</v>
      </c>
      <c r="DU14" s="53"/>
      <c r="DV14" s="1">
        <f t="shared" si="30"/>
        <v>-83951.141077733904</v>
      </c>
      <c r="DW14" s="64">
        <f>IF(OR($B14&lt;Analysis!$C$100, $B14&gt;=Analysis!$C$101),0,IF($B14=Analysis!$C$100,Analysis!$C$31,DW13))</f>
        <v>0.1275</v>
      </c>
      <c r="DX14" s="1">
        <f>IF(OR($B14&lt;Analysis!$C$100, $B14&gt;=Analysis!$C$101),0,CK14+DV14)</f>
        <v>574489.18110057118</v>
      </c>
      <c r="DY14" s="1">
        <f>IF(OR($B14&lt;Analysis!$C$100, $B14&gt;=Analysis!$C$101),0,IF($B14-Analysis!$C$100&gt;3,0,IF(CK14&gt;LOOKUP(Analysis!$C$100,$B:$B, CK:CK),$V14*(LOOKUP(Analysis!$C$100,$B:$B, CK:CK)-CK14),0)))</f>
        <v>0</v>
      </c>
      <c r="DZ14" s="1">
        <f t="shared" si="49"/>
        <v>574489.18110057118</v>
      </c>
      <c r="EA14" s="53"/>
      <c r="EB14" s="1">
        <f t="shared" si="31"/>
        <v>1094756.1983205553</v>
      </c>
      <c r="EC14" s="64">
        <f t="shared" si="50"/>
        <v>3.9215686274509887E-2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-124198.28311326393</v>
      </c>
      <c r="FM14" s="1">
        <f>$M14+$R14+DD14+IF(AND($B14&lt;&gt;Analysis!$C$130,$B14=Analysis!$C$101),DZ13+CQ13+CT13+CZ13,0)</f>
        <v>148648.79772536474</v>
      </c>
      <c r="FN14" s="1">
        <f t="shared" si="34"/>
        <v>24450.514612100815</v>
      </c>
      <c r="FO14" s="1">
        <f>IF(FN14 &lt; 0,
    IF(FO13 + FN14 &gt; 0,
        FO13 + FN14, IF(FT13-ABS(FO13 + FN14)*(1+$V14) &gt;= FO13 + FN14,
        0, FO13 + FN14)),
    MIN(FO13 + FN14, Analysis!$C$7))+IF(FO13&lt;0, FO13*Analysis!$C$9,0)</f>
        <v>24000</v>
      </c>
      <c r="FP14" s="53"/>
      <c r="FQ14" s="1">
        <f t="shared" si="51"/>
        <v>10011.38048256277</v>
      </c>
      <c r="FR14" s="1">
        <f>IF(OR($B14=Analysis!$C$100, $B14=Analysis!$C$130),0,IF(FN14 &gt;= 0,
    MAX(0, FO13 + FN14 - Analysis!$C$7),
    0))</f>
        <v>24450.514612100815</v>
      </c>
      <c r="FS14" s="1">
        <f>IF(OR($B14=Analysis!$C$100, $B14=Analysis!$C$130),0,MAX(0, FS13 + FR14 - IF(FN14 &lt; 0, MIN(ABS(FN14), FS13 + FR14), 0)))</f>
        <v>168153.61209190838</v>
      </c>
      <c r="FT14" s="1">
        <f>IF(OR($B14=Analysis!$C$100, $B14=Analysis!$C$130),0,IF(FN14 &lt; 0,
    IF(FN14 + FO13 &lt; 0,
        MAX(0, FT13 - (ABS(FN14 + FO13) * (1+$V13))),
        FT13 + FQ14),
    FT13 + FR14 + FQ14))</f>
        <v>207489.7239228441</v>
      </c>
      <c r="FU14" s="1">
        <f t="shared" si="55"/>
        <v>197114.8244274348</v>
      </c>
      <c r="FV14" s="36"/>
      <c r="FW14" s="1">
        <f t="shared" si="52"/>
        <v>658440.32217830513</v>
      </c>
      <c r="FX14" s="64">
        <f t="shared" si="53"/>
        <v>3.9215686274509887E-2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-11970.255800172588</v>
      </c>
      <c r="GC14" s="1">
        <f>IF($B14&lt;Analysis!$C$159,0,IF($B14=Analysis!$C$159,-FY14-GB14,MIN(0,GC13-GB14)))</f>
        <v>-260722.3847357035</v>
      </c>
      <c r="GD14" s="64">
        <f>IF($B14&lt;Analysis!$C$159,0,IF($B14=Analysis!$C$159,Analysis!$C$160,IF(($B14-Analysis!$C$159)&lt;LOOKUP(Analysis!$C$159,$B:$B,FZ:FZ),GD13,0)))</f>
        <v>3.6999999999999998E-2</v>
      </c>
      <c r="GE14" s="1">
        <f>IF($B14&lt;Analysis!$C$159,0,IF($B14=Analysis!$C$159,-GD14*FY14,GD13*GC13))</f>
        <v>-10089.627699827415</v>
      </c>
      <c r="GF14" s="1">
        <f>IF($B14&lt;Analysis!$C$159,0,IF($B14=Analysis!$C$159,PMT(GD14,FZ14,FY14)*FZ14-GG14-GC14,IF(($B14-Analysis!$C$159+1)&lt;LOOKUP(Analysis!$C$159,$B:$B,FZ:FZ),IF(GF13-GE14&lt;0, GF13-GE14,0),0)))</f>
        <v>-88406.318833422542</v>
      </c>
      <c r="GG14" s="1">
        <f>IF($B14&lt;Analysis!$C$159,0,IF($B14=Analysis!$C$159,GB14+GE14,IF(GC13&lt;0,IF(GC13&gt;LOOKUP(Analysis!$C$159,$B:$B,GG:GG), GC13*(1+GD13),GG13),0)))</f>
        <v>-22059.883500000004</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21990.320157569415</v>
      </c>
      <c r="GO14" s="64">
        <f>IF($B14&lt;Analysis!$C$159,0,((1+Analysis!$D$174)/(1+$S14))-1)</f>
        <v>3.9215686274509887E-2</v>
      </c>
      <c r="GP14" s="1">
        <f t="shared" si="7"/>
        <v>27925.641124104332</v>
      </c>
      <c r="GQ14" s="1">
        <f t="shared" si="36"/>
        <v>-1975.3209665349154</v>
      </c>
      <c r="GR14" s="64">
        <f>IF($B14&lt;Analysis!$C$159,0,Analysis!$C$178)</f>
        <v>3.0000000000000001E-3</v>
      </c>
      <c r="GS14" s="1">
        <f t="shared" si="37"/>
        <v>-4938.3024163372884</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-1649.274011817706</v>
      </c>
      <c r="HD14" s="1">
        <f t="shared" si="38"/>
        <v>-20822.89739468991</v>
      </c>
      <c r="HE14" s="1">
        <f>MIN(0,-(GN14+HD14)*Analysis!$C$28)-GE14*Analysis!$C$28</f>
        <v>3953.4290075616182</v>
      </c>
      <c r="HF14" s="1">
        <f>-Analysis!$C$176*GP14/12</f>
        <v>-2327.1367603420276</v>
      </c>
      <c r="HG14" s="38"/>
      <c r="HH14" s="1">
        <f>IF($B14&lt;Analysis!$C$159,0,-$HI14*$FW14)</f>
        <v>-83951.141077733904</v>
      </c>
      <c r="HI14" s="64">
        <f>IF($B14&lt;Analysis!$C$159,0,IF($B14=Analysis!$C$159,Analysis!$C$31,HI13))</f>
        <v>0.1275</v>
      </c>
      <c r="HJ14" s="1">
        <f>IF($B14&lt;Analysis!$C$159,0,$FW14+HH14)</f>
        <v>574489.18110057118</v>
      </c>
      <c r="HK14" s="1">
        <f>IF($B14-Analysis!$C$159&gt;10,0,IF($FW14&gt;LOOKUP(Analysis!$C$159,$B:$B, FW:FW),$V14*(LOOKUP(Analysis!$C$159,$B:$B, FW:FW)-FW14),0))</f>
        <v>0</v>
      </c>
      <c r="HL14" s="1">
        <f t="shared" si="39"/>
        <v>574489.18110057118</v>
      </c>
      <c r="HM14" s="38"/>
      <c r="HN14" s="1">
        <f t="shared" si="40"/>
        <v>-124198.28311326393</v>
      </c>
      <c r="HO14" s="1">
        <f t="shared" si="8"/>
        <v>148648.79772536474</v>
      </c>
      <c r="HP14" s="1">
        <f t="shared" si="41"/>
        <v>24450.514612100815</v>
      </c>
      <c r="HQ14" s="1">
        <f>IF(HP14 &lt; 0,
    IF(HQ13 + HP14 &gt; 0,
        HQ13 + HP14, IF(HV13-ABS(HQ13 + HP14)*(1+$V14) &gt;= HQ13 + HP14,
        0, HQ13 + HP14)),
    MIN(HQ13 + HP14, Analysis!$C$7))+IF(HQ13&lt;0, HQ13*Analysis!$C$9,0)</f>
        <v>24000</v>
      </c>
      <c r="HR14" s="38"/>
      <c r="HS14" s="1">
        <f t="shared" si="54"/>
        <v>10011.38048256277</v>
      </c>
      <c r="HT14" s="1">
        <f>IF($B14=Analysis!$C$159,0,IF(HP14 &gt;= 0,
    MAX(0, HQ13 + HP14 - Analysis!$C$7),
    0))</f>
        <v>24450.514612100815</v>
      </c>
      <c r="HU14" s="1">
        <f>IF($B14=Analysis!$C$159,0,MAX(0, HU13 + HT14 - IF(HP14 &lt; 0, MIN(ABS(HP14), HU13 + HT14), 0)))</f>
        <v>168153.61209190838</v>
      </c>
      <c r="HV14" s="1">
        <f>IF($B14=Analysis!$C$159,0,IF(HP14 &lt; 0,
    IF(HP14 + HQ13 &lt; 0,
        MAX(0, HV13 - (ABS(HP14 + HQ13) * (1+$V13))),
        HV13 + HS14),
    HV13 + HT14 + HS14))</f>
        <v>207489.7239228441</v>
      </c>
      <c r="HW14" s="1">
        <f t="shared" si="56"/>
        <v>197114.8244274348</v>
      </c>
      <c r="HX14" s="36"/>
    </row>
    <row r="15" spans="1:232" x14ac:dyDescent="0.35">
      <c r="A15">
        <f t="shared" si="0"/>
        <v>48</v>
      </c>
      <c r="B15">
        <v>2038</v>
      </c>
      <c r="C15" s="1">
        <f>IF($B15&lt;Analysis!C$66,0,$AN15)+$AT15+$AW15+$BC15+$CF15+$CA15</f>
        <v>326757.05540107645</v>
      </c>
      <c r="D15" s="1">
        <f>IF($B15&lt;Analysis!C$66, 0, BV15)+AT15+AW15+BC15+CG15+CA15</f>
        <v>181701.85912360289</v>
      </c>
      <c r="E15" s="1">
        <f t="shared" si="1"/>
        <v>566383.28841070877</v>
      </c>
      <c r="F15" s="1">
        <f t="shared" si="9"/>
        <v>518500.97803322121</v>
      </c>
      <c r="G15" s="1">
        <f>IF(AND($B15&gt;=Analysis!$C$100, $B15&lt;Analysis!$C$101),$CK15,0)+IF($B15&gt;=Analysis!$C$130,EB15,0)+CQ15+CT15+CZ15+EH15+EK15+EQ15+$FO15+$FT15</f>
        <v>621622.60687067057</v>
      </c>
      <c r="H15" s="1">
        <f t="shared" si="10"/>
        <v>520931.77025543374</v>
      </c>
      <c r="I15" s="1">
        <f>IF($B15&lt;Analysis!$C$159,0,$FW15)+$GC15+$GF15+$GL15+$HQ15+$HV15</f>
        <v>621622.60687067057</v>
      </c>
      <c r="J15" s="1">
        <f t="shared" si="2"/>
        <v>520931.77025543374</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-26117.355033079646</v>
      </c>
      <c r="Y15" s="64">
        <f t="shared" si="15"/>
        <v>3.9215686274509887E-2</v>
      </c>
      <c r="Z15" s="1">
        <f t="shared" si="16"/>
        <v>-3960</v>
      </c>
      <c r="AA15" s="64">
        <f t="shared" si="17"/>
        <v>0</v>
      </c>
      <c r="AB15" s="40"/>
      <c r="AC15" s="1">
        <f t="shared" si="3"/>
        <v>-95977.355033079642</v>
      </c>
      <c r="AD15" s="1">
        <f t="shared" si="4"/>
        <v>122202.60704980526</v>
      </c>
      <c r="AE15" s="1">
        <f t="shared" si="18"/>
        <v>26225.252016725615</v>
      </c>
      <c r="AF15" s="1">
        <f>IF(AE15 &lt; 0,
    IF(AF14 + AE15 &gt; 0,
        AF14 + AE15, IF(AK14-ABS(AF14 + AE15)*(1+$V15) &gt;= AF14 + AE15,
        0, AF14 + AE15)),
    MIN(AF14 + AE15, Analysis!$C$7))+IF(AF14&lt;0, AF14*Analysis!$C$9,0)</f>
        <v>24000</v>
      </c>
      <c r="AG15" s="40"/>
      <c r="AH15" s="1">
        <f t="shared" si="19"/>
        <v>27439.427975199269</v>
      </c>
      <c r="AI15" s="1">
        <f>IF(AE15 &gt;= 0,
    MAX(0, AF14 + AE15 - Analysis!$C$7),
    0)</f>
        <v>26225.252016725615</v>
      </c>
      <c r="AJ15" s="1">
        <f t="shared" si="44"/>
        <v>360838.98366194067</v>
      </c>
      <c r="AK15" s="1">
        <f t="shared" si="20"/>
        <v>542383.28841070877</v>
      </c>
      <c r="AL15" s="1">
        <f t="shared" si="5"/>
        <v>494500.97803322121</v>
      </c>
      <c r="AM15" s="36"/>
      <c r="AN15" s="1">
        <f t="shared" si="45"/>
        <v>1137687.8139409693</v>
      </c>
      <c r="AO15" s="64">
        <f t="shared" si="21"/>
        <v>3.9215686274509887E-2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-22254.035708718089</v>
      </c>
      <c r="AT15" s="1">
        <f>IF($B15&lt;Analysis!$C$66,0,IF($B15=Analysis!$C$66,-AP15-AS15,MIN(0,AT14-AS15)))</f>
        <v>-445163.40459619858</v>
      </c>
      <c r="AU15" s="64">
        <f>IF($B15&lt;Analysis!$C$66,0,IF($B15=Analysis!$C$66,Analysis!$C$72,IF(($B15-Analysis!$C$66)&lt;LOOKUP(Analysis!$C$66,$B:$B,AQ:AQ),AU14,0)))</f>
        <v>3.6999999999999998E-2</v>
      </c>
      <c r="AV15" s="1">
        <f>IF($B15&lt;Analysis!$C$66,0,IF($B15=Analysis!$C$66,-AU15*AP15,AU14*AT14))</f>
        <v>-17294.445291281918</v>
      </c>
      <c r="AW15" s="1">
        <f>IF($B15&lt;Analysis!$C$66,0,IF($B15=Analysis!$C$66,PMT(AU15,AQ15,AP15)*AQ15-AX15-AT15,IF(($B15-Analysis!$C$66+1)&lt;LOOKUP(Analysis!$C$66,$B:$B,AQ:AQ),IF(AW14-AV15&lt;0, AW14-AV15,0),0)))</f>
        <v>-141198.48694308611</v>
      </c>
      <c r="AX15" s="1">
        <f>IF($B15&lt;Analysis!$C$66,0,IF($B15=Analysis!$C$66,AS15+AV15,IF(AT14&lt;0,IF(AT14&gt;LOOKUP(Analysis!$C$66,$B:$B,AX:AX), AT14*(1+AU14),AX14),0)))</f>
        <v>-39548.481000000007</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-3413.0634418229079</v>
      </c>
      <c r="BF15" s="64">
        <f>IF($B15&lt;Analysis!$C$66,0,Analysis!$C$78)</f>
        <v>3.0000000000000001E-3</v>
      </c>
      <c r="BG15" s="1">
        <f>IF($B15&lt;Analysis!$C$66,0,-BH15*AN15)</f>
        <v>-8532.6586045572694</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-145055.19627747359</v>
      </c>
      <c r="BS15" s="64">
        <f>IF($B15&lt;Analysis!C$66,0,Analysis!C$31)</f>
        <v>0.1275</v>
      </c>
      <c r="BT15" s="1">
        <f>IF($B15&lt;Analysis!$C$66,0,AN15+BR15)</f>
        <v>992632.61766349571</v>
      </c>
      <c r="BU15" s="1">
        <f>IF($B15-Analysis!$C$66&gt;3,0,IF($AN15&gt;LOOKUP(Analysis!$C$66,$B:$B, AN:AN),$V15*(LOOKUP(Analysis!$C$66,$B:$B, AN:AN)-AN15),0))</f>
        <v>0</v>
      </c>
      <c r="BV15" s="1">
        <f t="shared" si="23"/>
        <v>992632.61766349571</v>
      </c>
      <c r="BW15" s="42"/>
      <c r="BX15" s="1">
        <f>IF($B15&lt;Analysis!$C$66,$P15+$N15+$X15+$Z15,$P15+$N15+AS15+AV15+BB15+BE15+BG15+MAX(BI15,SUM(BJ15:BN15))+BP15)</f>
        <v>-121354.20304638016</v>
      </c>
      <c r="BY15" s="1">
        <f t="shared" si="24"/>
        <v>122202.60704980526</v>
      </c>
      <c r="BZ15" s="1">
        <f t="shared" si="46"/>
        <v>848.40400342509383</v>
      </c>
      <c r="CA15" s="1">
        <f>IF(BZ15 &lt; 0,
    IF(CA14 + BZ15 &gt; 0,
        CA14 + BZ15, IF(CF14-ABS(CA14 + BZ15)*(1+$V15) &gt;= CA14 + BZ15,
        0, CA14 + BZ15)),
    MIN(CA14 + BZ15, Analysis!$C$7))+IF(CA14&lt;0, CA14*Analysis!$C$9,0)</f>
        <v>-224568.86700060809</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-26117.355033079646</v>
      </c>
      <c r="CJ15" s="1">
        <f>IF(OR($B15&lt;Analysis!$C$100, $B15&gt;=Analysis!$C$130),0,Z15)</f>
        <v>-3960</v>
      </c>
      <c r="CK15" s="1">
        <f t="shared" si="26"/>
        <v>684261.51128333679</v>
      </c>
      <c r="CL15" s="64">
        <f t="shared" si="48"/>
        <v>3.9215686274509887E-2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-12413.155264778974</v>
      </c>
      <c r="CQ15" s="1">
        <f>IF(OR($B15&lt;Analysis!$C$100, $B15&gt;=Analysis!$C$101),0,IF($B15=Analysis!$C$100,-CM15-CP15,MIN(0,CQ14-CP15)))</f>
        <v>-248309.22947092453</v>
      </c>
      <c r="CR15" s="64">
        <f>IF(OR($B15&lt;Analysis!$C$100, $B15&gt;=Analysis!$C$101),0,IF($B15=Analysis!$C$100,Analysis!$C$102,IF(($B15-Analysis!$C$100)&lt;LOOKUP(Analysis!$C$100,$B:$B,CN:CN),CR14,0)))</f>
        <v>3.6999999999999998E-2</v>
      </c>
      <c r="CS15" s="1">
        <f>IF(OR($B15&lt;Analysis!$C$100, $B15&gt;=Analysis!$C$101),0,IF($B15=Analysis!$C$100,-CR15*CM15,CR14*CQ14))</f>
        <v>-9646.7282352210295</v>
      </c>
      <c r="CT15" s="1">
        <f>IF(OR($B15&lt;Analysis!$C$100, $B15&gt;=Analysis!$C$101),0,IF($B15=Analysis!$C$100,PMT(CR15,CN15,CM15)*CN15-CU15-CQ15,IF(($B15-Analysis!$C$100+1)&lt;LOOKUP(Analysis!$C$100,$B:$B,CN:CN),IF(CT14-CS15&lt;0, CT14-CS15,0),0)))</f>
        <v>-78759.59059820151</v>
      </c>
      <c r="CU15" s="1">
        <f>IF(OR($B15&lt;Analysis!$C$100, $B15&gt;=Analysis!$C$101),0,IF($B15=Analysis!$C$100,CP15+CS15,IF(CQ14&lt;0,IF(CQ14&gt;LOOKUP(Analysis!$C$100,$B:$B,CU:CU), CQ14*(1+CR14),CU14),0)))</f>
        <v>-22059.883500000004</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22852.685653944689</v>
      </c>
      <c r="DC15" s="64">
        <f>IF(OR($B15&lt;Analysis!$C$100, $B15&gt;=Analysis!$C$101),0,((1+Analysis!$D$114)/(1+$S15))-1)</f>
        <v>3.9215686274509887E-2</v>
      </c>
      <c r="DD15" s="1">
        <f t="shared" si="6"/>
        <v>28865.470187794701</v>
      </c>
      <c r="DE15" s="1">
        <f t="shared" si="27"/>
        <v>-2052.7845338500106</v>
      </c>
      <c r="DF15" s="64">
        <f>IF(OR($B15&lt;Analysis!$C$100, $B15&gt;=Analysis!$C$101),0,Analysis!$C$118)</f>
        <v>3.0000000000000001E-3</v>
      </c>
      <c r="DG15" s="1">
        <f t="shared" si="28"/>
        <v>-5131.9613346250253</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-1713.9514240458516</v>
      </c>
      <c r="DR15" s="1">
        <f t="shared" si="29"/>
        <v>-21158.69729252089</v>
      </c>
      <c r="DS15" s="1">
        <f>MIN(0,-(DB15+DR15)*Analysis!$C$28)-CS15*Analysis!$C$28</f>
        <v>3523.8590380795526</v>
      </c>
      <c r="DT15" s="1">
        <f>-Analysis!$C$116*DD15/12</f>
        <v>-2405.4558489828919</v>
      </c>
      <c r="DU15" s="53"/>
      <c r="DV15" s="1">
        <f t="shared" si="30"/>
        <v>-87243.342688625446</v>
      </c>
      <c r="DW15" s="64">
        <f>IF(OR($B15&lt;Analysis!$C$100, $B15&gt;=Analysis!$C$101),0,IF($B15=Analysis!$C$100,Analysis!$C$31,DW14))</f>
        <v>0.1275</v>
      </c>
      <c r="DX15" s="1">
        <f>IF(OR($B15&lt;Analysis!$C$100, $B15&gt;=Analysis!$C$101),0,CK15+DV15)</f>
        <v>597018.16859471134</v>
      </c>
      <c r="DY15" s="1">
        <f>IF(OR($B15&lt;Analysis!$C$100, $B15&gt;=Analysis!$C$101),0,IF($B15-Analysis!$C$100&gt;3,0,IF(CK15&gt;LOOKUP(Analysis!$C$100,$B:$B, CK:CK),$V15*(LOOKUP(Analysis!$C$100,$B:$B, CK:CK)-CK15),0)))</f>
        <v>0</v>
      </c>
      <c r="DZ15" s="1">
        <f t="shared" si="49"/>
        <v>597018.16859471134</v>
      </c>
      <c r="EA15" s="53"/>
      <c r="EB15" s="1">
        <f t="shared" si="31"/>
        <v>1137687.8139409693</v>
      </c>
      <c r="EC15" s="64">
        <f t="shared" si="50"/>
        <v>3.9215686274509887E-2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-129777.53263650388</v>
      </c>
      <c r="FM15" s="1">
        <f>$M15+$R15+DD15+IF(AND($B15&lt;&gt;Analysis!$C$130,$B15=Analysis!$C$101),DZ14+CQ14+CT14+CZ14,0)</f>
        <v>151068.07723759997</v>
      </c>
      <c r="FN15" s="1">
        <f t="shared" si="34"/>
        <v>21290.544601096088</v>
      </c>
      <c r="FO15" s="1">
        <f>IF(FN15 &lt; 0,
    IF(FO14 + FN15 &gt; 0,
        FO14 + FN15, IF(FT14-ABS(FO14 + FN15)*(1+$V15) &gt;= FO14 + FN15,
        0, FO14 + FN15)),
    MIN(FO14 + FN15, Analysis!$C$7))+IF(FO14&lt;0, FO14*Analysis!$C$9,0)</f>
        <v>24000</v>
      </c>
      <c r="FP15" s="53"/>
      <c r="FQ15" s="1">
        <f t="shared" si="51"/>
        <v>11649.647132519613</v>
      </c>
      <c r="FR15" s="1">
        <f>IF(OR($B15=Analysis!$C$100, $B15=Analysis!$C$130),0,IF(FN15 &gt;= 0,
    MAX(0, FO14 + FN15 - Analysis!$C$7),
    0))</f>
        <v>21290.544601096088</v>
      </c>
      <c r="FS15" s="1">
        <f>IF(OR($B15=Analysis!$C$100, $B15=Analysis!$C$130),0,MAX(0, FS14 + FR15 - IF(FN15 &lt; 0, MIN(ABS(FN15), FS14 + FR15), 0)))</f>
        <v>189444.15669300448</v>
      </c>
      <c r="FT15" s="1">
        <f>IF(OR($B15=Analysis!$C$100, $B15=Analysis!$C$130),0,IF(FN15 &lt; 0,
    IF(FN15 + FO14 &lt; 0,
        MAX(0, FT14 - (ABS(FN15 + FO14) * (1+$V14))),
        FT14 + FQ15),
    FT14 + FR15 + FQ15))</f>
        <v>240429.91565645978</v>
      </c>
      <c r="FU15" s="1">
        <f t="shared" si="55"/>
        <v>226982.42172984846</v>
      </c>
      <c r="FV15" s="36"/>
      <c r="FW15" s="1">
        <f t="shared" si="52"/>
        <v>684261.51128333679</v>
      </c>
      <c r="FX15" s="64">
        <f t="shared" si="53"/>
        <v>3.9215686274509887E-2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-12413.155264778974</v>
      </c>
      <c r="GC15" s="1">
        <f>IF($B15&lt;Analysis!$C$159,0,IF($B15=Analysis!$C$159,-FY15-GB15,MIN(0,GC14-GB15)))</f>
        <v>-248309.22947092453</v>
      </c>
      <c r="GD15" s="64">
        <f>IF($B15&lt;Analysis!$C$159,0,IF($B15=Analysis!$C$159,Analysis!$C$160,IF(($B15-Analysis!$C$159)&lt;LOOKUP(Analysis!$C$159,$B:$B,FZ:FZ),GD14,0)))</f>
        <v>3.6999999999999998E-2</v>
      </c>
      <c r="GE15" s="1">
        <f>IF($B15&lt;Analysis!$C$159,0,IF($B15=Analysis!$C$159,-GD15*FY15,GD14*GC14))</f>
        <v>-9646.7282352210295</v>
      </c>
      <c r="GF15" s="1">
        <f>IF($B15&lt;Analysis!$C$159,0,IF($B15=Analysis!$C$159,PMT(GD15,FZ15,FY15)*FZ15-GG15-GC15,IF(($B15-Analysis!$C$159+1)&lt;LOOKUP(Analysis!$C$159,$B:$B,FZ:FZ),IF(GF14-GE15&lt;0, GF14-GE15,0),0)))</f>
        <v>-78759.59059820151</v>
      </c>
      <c r="GG15" s="1">
        <f>IF($B15&lt;Analysis!$C$159,0,IF($B15=Analysis!$C$159,GB15+GE15,IF(GC14&lt;0,IF(GC14&gt;LOOKUP(Analysis!$C$159,$B:$B,GG:GG), GC14*(1+GD14),GG14),0)))</f>
        <v>-22059.883500000004</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22852.685653944689</v>
      </c>
      <c r="GO15" s="64">
        <f>IF($B15&lt;Analysis!$C$159,0,((1+Analysis!$D$174)/(1+$S15))-1)</f>
        <v>3.9215686274509887E-2</v>
      </c>
      <c r="GP15" s="1">
        <f t="shared" si="7"/>
        <v>28865.470187794701</v>
      </c>
      <c r="GQ15" s="1">
        <f t="shared" si="36"/>
        <v>-2052.7845338500106</v>
      </c>
      <c r="GR15" s="64">
        <f>IF($B15&lt;Analysis!$C$159,0,Analysis!$C$178)</f>
        <v>3.0000000000000001E-3</v>
      </c>
      <c r="GS15" s="1">
        <f t="shared" si="37"/>
        <v>-5131.9613346250253</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-1713.9514240458516</v>
      </c>
      <c r="HD15" s="1">
        <f t="shared" si="38"/>
        <v>-21158.69729252089</v>
      </c>
      <c r="HE15" s="1">
        <f>MIN(0,-(GN15+HD15)*Analysis!$C$28)-GE15*Analysis!$C$28</f>
        <v>3523.8590380795526</v>
      </c>
      <c r="HF15" s="1">
        <f>-Analysis!$C$176*GP15/12</f>
        <v>-2405.4558489828919</v>
      </c>
      <c r="HG15" s="38"/>
      <c r="HH15" s="1">
        <f>IF($B15&lt;Analysis!$C$159,0,-$HI15*$FW15)</f>
        <v>-87243.342688625446</v>
      </c>
      <c r="HI15" s="64">
        <f>IF($B15&lt;Analysis!$C$159,0,IF($B15=Analysis!$C$159,Analysis!$C$31,HI14))</f>
        <v>0.1275</v>
      </c>
      <c r="HJ15" s="1">
        <f>IF($B15&lt;Analysis!$C$159,0,$FW15+HH15)</f>
        <v>597018.16859471134</v>
      </c>
      <c r="HK15" s="1">
        <f>IF($B15-Analysis!$C$159&gt;10,0,IF($FW15&gt;LOOKUP(Analysis!$C$159,$B:$B, FW:FW),$V15*(LOOKUP(Analysis!$C$159,$B:$B, FW:FW)-FW15),0))</f>
        <v>0</v>
      </c>
      <c r="HL15" s="1">
        <f t="shared" si="39"/>
        <v>597018.16859471134</v>
      </c>
      <c r="HM15" s="38"/>
      <c r="HN15" s="1">
        <f t="shared" si="40"/>
        <v>-129777.53263650388</v>
      </c>
      <c r="HO15" s="1">
        <f t="shared" si="8"/>
        <v>151068.07723759997</v>
      </c>
      <c r="HP15" s="1">
        <f t="shared" si="41"/>
        <v>21290.544601096088</v>
      </c>
      <c r="HQ15" s="1">
        <f>IF(HP15 &lt; 0,
    IF(HQ14 + HP15 &gt; 0,
        HQ14 + HP15, IF(HV14-ABS(HQ14 + HP15)*(1+$V15) &gt;= HQ14 + HP15,
        0, HQ14 + HP15)),
    MIN(HQ14 + HP15, Analysis!$C$7))+IF(HQ14&lt;0, HQ14*Analysis!$C$9,0)</f>
        <v>24000</v>
      </c>
      <c r="HR15" s="38"/>
      <c r="HS15" s="1">
        <f t="shared" si="54"/>
        <v>11649.647132519613</v>
      </c>
      <c r="HT15" s="1">
        <f>IF($B15=Analysis!$C$159,0,IF(HP15 &gt;= 0,
    MAX(0, HQ14 + HP15 - Analysis!$C$7),
    0))</f>
        <v>21290.544601096088</v>
      </c>
      <c r="HU15" s="1">
        <f>IF($B15=Analysis!$C$159,0,MAX(0, HU14 + HT15 - IF(HP15 &lt; 0, MIN(ABS(HP15), HU14 + HT15), 0)))</f>
        <v>189444.15669300448</v>
      </c>
      <c r="HV15" s="1">
        <f>IF($B15=Analysis!$C$159,0,IF(HP15 &lt; 0,
    IF(HP15 + HQ14 &lt; 0,
        MAX(0, HV14 - (ABS(HP15 + HQ14) * (1+$V14))),
        HV14 + HS15),
    HV14 + HT15 + HS15))</f>
        <v>240429.91565645978</v>
      </c>
      <c r="HW15" s="1">
        <f t="shared" si="56"/>
        <v>226982.42172984846</v>
      </c>
      <c r="HX15" s="36"/>
    </row>
    <row r="16" spans="1:232" x14ac:dyDescent="0.35">
      <c r="A16">
        <f t="shared" si="0"/>
        <v>49</v>
      </c>
      <c r="B16">
        <v>2039</v>
      </c>
      <c r="C16" s="1">
        <f>IF($B16&lt;Analysis!C$66,0,$AN16)+$AT16+$AW16+$BC16+$CF16+$CA16</f>
        <v>394832.76071494911</v>
      </c>
      <c r="D16" s="1">
        <f>IF($B16&lt;Analysis!C$66, 0, BV16)+AT16+AW16+BC16+CG16+CA16</f>
        <v>244089.1253677707</v>
      </c>
      <c r="E16" s="1">
        <f t="shared" si="1"/>
        <v>622604.57823073061</v>
      </c>
      <c r="F16" s="1">
        <f t="shared" si="9"/>
        <v>566935.66447528871</v>
      </c>
      <c r="G16" s="1">
        <f>IF(AND($B16&gt;=Analysis!$C$100, $B16&lt;Analysis!$C$101),$CK16,0)+IF($B16&gt;=Analysis!$C$130,EB16,0)+CQ16+CT16+CZ16+EH16+EK16+EQ16+$FO16+$FT16</f>
        <v>705467.46614016022</v>
      </c>
      <c r="H16" s="1">
        <f t="shared" si="10"/>
        <v>597903.6440989736</v>
      </c>
      <c r="I16" s="1">
        <f>IF($B16&lt;Analysis!$C$159,0,$FW16)+$GC16+$GF16+$GL16+$HQ16+$HV16</f>
        <v>705467.46614016022</v>
      </c>
      <c r="J16" s="1">
        <f t="shared" si="2"/>
        <v>597903.6440989736</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-27141.56503437689</v>
      </c>
      <c r="Y16" s="64">
        <f t="shared" si="15"/>
        <v>3.9215686274509887E-2</v>
      </c>
      <c r="Z16" s="1">
        <f t="shared" si="16"/>
        <v>-3960</v>
      </c>
      <c r="AA16" s="64">
        <f t="shared" si="17"/>
        <v>0</v>
      </c>
      <c r="AB16" s="40"/>
      <c r="AC16" s="1">
        <f t="shared" si="3"/>
        <v>-97001.565034376894</v>
      </c>
      <c r="AD16" s="1">
        <f t="shared" si="4"/>
        <v>123700.18801855287</v>
      </c>
      <c r="AE16" s="1">
        <f t="shared" si="18"/>
        <v>26698.622984175978</v>
      </c>
      <c r="AF16" s="1">
        <f>IF(AE16 &lt; 0,
    IF(AF15 + AE16 &gt; 0,
        AF15 + AE16, IF(AK15-ABS(AF15 + AE16)*(1+$V16) &gt;= AF15 + AE16,
        0, AF15 + AE16)),
    MIN(AF15 + AE16, Analysis!$C$7))+IF(AF15&lt;0, AF15*Analysis!$C$9,0)</f>
        <v>24000</v>
      </c>
      <c r="AG16" s="40"/>
      <c r="AH16" s="1">
        <f t="shared" si="19"/>
        <v>29522.666835845743</v>
      </c>
      <c r="AI16" s="1">
        <f>IF(AE16 &gt;= 0,
    MAX(0, AF15 + AE16 - Analysis!$C$7),
    0)</f>
        <v>26698.622984175978</v>
      </c>
      <c r="AJ16" s="1">
        <f t="shared" si="44"/>
        <v>387537.60664611665</v>
      </c>
      <c r="AK16" s="1">
        <f t="shared" si="20"/>
        <v>598604.57823073061</v>
      </c>
      <c r="AL16" s="1">
        <f t="shared" si="5"/>
        <v>542935.66447528871</v>
      </c>
      <c r="AM16" s="36"/>
      <c r="AN16" s="1">
        <f t="shared" si="45"/>
        <v>1182303.0223308112</v>
      </c>
      <c r="AO16" s="64">
        <f t="shared" si="21"/>
        <v>3.9215686274509887E-2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-23077.435029940661</v>
      </c>
      <c r="AT16" s="1">
        <f>IF($B16&lt;Analysis!$C$66,0,IF($B16=Analysis!$C$66,-AP16-AS16,MIN(0,AT15-AS16)))</f>
        <v>-422085.9695662579</v>
      </c>
      <c r="AU16" s="64">
        <f>IF($B16&lt;Analysis!$C$66,0,IF($B16=Analysis!$C$66,Analysis!$C$72,IF(($B16-Analysis!$C$66)&lt;LOOKUP(Analysis!$C$66,$B:$B,AQ:AQ),AU15,0)))</f>
        <v>3.6999999999999998E-2</v>
      </c>
      <c r="AV16" s="1">
        <f>IF($B16&lt;Analysis!$C$66,0,IF($B16=Analysis!$C$66,-AU16*AP16,AU15*AT15))</f>
        <v>-16471.045970059346</v>
      </c>
      <c r="AW16" s="1">
        <f>IF($B16&lt;Analysis!$C$66,0,IF($B16=Analysis!$C$66,PMT(AU16,AQ16,AP16)*AQ16-AX16-AT16,IF(($B16-Analysis!$C$66+1)&lt;LOOKUP(Analysis!$C$66,$B:$B,AQ:AQ),IF(AW15-AV16&lt;0, AW15-AV16,0),0)))</f>
        <v>-124727.44097302677</v>
      </c>
      <c r="AX16" s="1">
        <f>IF($B16&lt;Analysis!$C$66,0,IF($B16=Analysis!$C$66,AS16+AV16,IF(AT15&lt;0,IF(AT15&gt;LOOKUP(Analysis!$C$66,$B:$B,AX:AX), AT15*(1+AU15),AX15),0)))</f>
        <v>-39548.481000000007</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-3546.909066992434</v>
      </c>
      <c r="BF16" s="64">
        <f>IF($B16&lt;Analysis!$C$66,0,Analysis!$C$78)</f>
        <v>3.0000000000000001E-3</v>
      </c>
      <c r="BG16" s="1">
        <f>IF($B16&lt;Analysis!$C$66,0,-BH16*AN16)</f>
        <v>-8867.2726674810838</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-150743.63534717844</v>
      </c>
      <c r="BS16" s="64">
        <f>IF($B16&lt;Analysis!C$66,0,Analysis!C$31)</f>
        <v>0.1275</v>
      </c>
      <c r="BT16" s="1">
        <f>IF($B16&lt;Analysis!$C$66,0,AN16+BR16)</f>
        <v>1031559.3869836328</v>
      </c>
      <c r="BU16" s="1">
        <f>IF($B16-Analysis!$C$66&gt;3,0,IF($AN16&gt;LOOKUP(Analysis!$C$66,$B:$B, AN:AN),$V16*(LOOKUP(Analysis!$C$66,$B:$B, AN:AN)-AN16),0))</f>
        <v>0</v>
      </c>
      <c r="BV16" s="1">
        <f t="shared" si="23"/>
        <v>1031559.3869836328</v>
      </c>
      <c r="BW16" s="42"/>
      <c r="BX16" s="1">
        <f>IF($B16&lt;Analysis!$C$66,$P16+$N16+$X16+$Z16,$P16+$N16+AS16+AV16+BB16+BE16+BG16+MAX(BI16,SUM(BJ16:BN16))+BP16)</f>
        <v>-121822.66273447353</v>
      </c>
      <c r="BY16" s="1">
        <f t="shared" si="24"/>
        <v>123700.18801855287</v>
      </c>
      <c r="BZ16" s="1">
        <f t="shared" si="46"/>
        <v>1877.5252840793401</v>
      </c>
      <c r="CA16" s="1">
        <f>IF(BZ16 &lt; 0,
    IF(CA15 + BZ16 &gt; 0,
        CA15 + BZ16, IF(CF15-ABS(CA15 + BZ16)*(1+$V16) &gt;= CA15 + BZ16,
        0, CA15 + BZ16)),
    MIN(CA15 + BZ16, Analysis!$C$7))+IF(CA15&lt;0, CA15*Analysis!$C$9,0)</f>
        <v>-240656.85107657741</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-27141.56503437689</v>
      </c>
      <c r="CJ16" s="1">
        <f>IF(OR($B16&lt;Analysis!$C$100, $B16&gt;=Analysis!$C$130),0,Z16)</f>
        <v>-3960</v>
      </c>
      <c r="CK16" s="1">
        <f t="shared" si="26"/>
        <v>711095.29603954614</v>
      </c>
      <c r="CL16" s="64">
        <f t="shared" si="48"/>
        <v>3.9215686274509887E-2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-12872.442009575796</v>
      </c>
      <c r="CQ16" s="1">
        <f>IF(OR($B16&lt;Analysis!$C$100, $B16&gt;=Analysis!$C$101),0,IF($B16=Analysis!$C$100,-CM16-CP16,MIN(0,CQ15-CP16)))</f>
        <v>-235436.78746134875</v>
      </c>
      <c r="CR16" s="64">
        <f>IF(OR($B16&lt;Analysis!$C$100, $B16&gt;=Analysis!$C$101),0,IF($B16=Analysis!$C$100,Analysis!$C$102,IF(($B16-Analysis!$C$100)&lt;LOOKUP(Analysis!$C$100,$B:$B,CN:CN),CR15,0)))</f>
        <v>3.6999999999999998E-2</v>
      </c>
      <c r="CS16" s="1">
        <f>IF(OR($B16&lt;Analysis!$C$100, $B16&gt;=Analysis!$C$101),0,IF($B16=Analysis!$C$100,-CR16*CM16,CR15*CQ15))</f>
        <v>-9187.4414904242076</v>
      </c>
      <c r="CT16" s="1">
        <f>IF(OR($B16&lt;Analysis!$C$100, $B16&gt;=Analysis!$C$101),0,IF($B16=Analysis!$C$100,PMT(CR16,CN16,CM16)*CN16-CU16-CQ16,IF(($B16-Analysis!$C$100+1)&lt;LOOKUP(Analysis!$C$100,$B:$B,CN:CN),IF(CT15-CS16&lt;0, CT15-CS16,0),0)))</f>
        <v>-69572.14910777731</v>
      </c>
      <c r="CU16" s="1">
        <f>IF(OR($B16&lt;Analysis!$C$100, $B16&gt;=Analysis!$C$101),0,IF($B16=Analysis!$C$100,CP16+CS16,IF(CQ15&lt;0,IF(CQ15&gt;LOOKUP(Analysis!$C$100,$B:$B,CU:CU), CQ15*(1+CR15),CU15),0)))</f>
        <v>-22059.883500000004</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23748.869405079779</v>
      </c>
      <c r="DC16" s="64">
        <f>IF(OR($B16&lt;Analysis!$C$100, $B16&gt;=Analysis!$C$101),0,((1+Analysis!$D$114)/(1+$S16))-1)</f>
        <v>3.9215686274509887E-2</v>
      </c>
      <c r="DD16" s="1">
        <f t="shared" si="6"/>
        <v>29842.155293198419</v>
      </c>
      <c r="DE16" s="1">
        <f t="shared" si="27"/>
        <v>-2133.2858881186385</v>
      </c>
      <c r="DF16" s="64">
        <f>IF(OR($B16&lt;Analysis!$C$100, $B16&gt;=Analysis!$C$101),0,Analysis!$C$118)</f>
        <v>3.0000000000000001E-3</v>
      </c>
      <c r="DG16" s="1">
        <f t="shared" si="28"/>
        <v>-5333.2147202965962</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-1781.1652053809833</v>
      </c>
      <c r="DR16" s="1">
        <f t="shared" si="29"/>
        <v>-21507.665813796219</v>
      </c>
      <c r="DS16" s="1">
        <f>MIN(0,-(DB16+DR16)*Analysis!$C$28)-CS16*Analysis!$C$28</f>
        <v>3077.8780131092203</v>
      </c>
      <c r="DT16" s="1">
        <f>-Analysis!$C$116*DD16/12</f>
        <v>-2486.8462744332014</v>
      </c>
      <c r="DU16" s="53"/>
      <c r="DV16" s="1">
        <f t="shared" si="30"/>
        <v>-90664.650245042139</v>
      </c>
      <c r="DW16" s="64">
        <f>IF(OR($B16&lt;Analysis!$C$100, $B16&gt;=Analysis!$C$101),0,IF($B16=Analysis!$C$100,Analysis!$C$31,DW15))</f>
        <v>0.1275</v>
      </c>
      <c r="DX16" s="1">
        <f>IF(OR($B16&lt;Analysis!$C$100, $B16&gt;=Analysis!$C$101),0,CK16+DV16)</f>
        <v>620430.64579450397</v>
      </c>
      <c r="DY16" s="1">
        <f>IF(OR($B16&lt;Analysis!$C$100, $B16&gt;=Analysis!$C$101),0,IF($B16-Analysis!$C$100&gt;3,0,IF(CK16&gt;LOOKUP(Analysis!$C$100,$B:$B, CK:CK),$V16*(LOOKUP(Analysis!$C$100,$B:$B, CK:CK)-CK16),0)))</f>
        <v>0</v>
      </c>
      <c r="DZ16" s="1">
        <f t="shared" si="49"/>
        <v>620430.64579450397</v>
      </c>
      <c r="EA16" s="53"/>
      <c r="EB16" s="1">
        <f t="shared" si="31"/>
        <v>1182303.0223308112</v>
      </c>
      <c r="EC16" s="64">
        <f t="shared" si="50"/>
        <v>3.9215686274509887E-2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-131678.0826094971</v>
      </c>
      <c r="FM16" s="1">
        <f>$M16+$R16+DD16+IF(AND($B16&lt;&gt;Analysis!$C$130,$B16=Analysis!$C$101),DZ15+CQ15+CT15+CZ15,0)</f>
        <v>153542.34331175129</v>
      </c>
      <c r="FN16" s="1">
        <f t="shared" si="34"/>
        <v>21864.260702254192</v>
      </c>
      <c r="FO16" s="1">
        <f>IF(FN16 &lt; 0,
    IF(FO15 + FN16 &gt; 0,
        FO15 + FN16, IF(FT15-ABS(FO15 + FN16)*(1+$V16) &gt;= FO15 + FN16,
        0, FO15 + FN16)),
    MIN(FO15 + FN16, Analysis!$C$7))+IF(FO15&lt;0, FO15*Analysis!$C$9,0)</f>
        <v>24000</v>
      </c>
      <c r="FP16" s="53"/>
      <c r="FQ16" s="1">
        <f t="shared" si="51"/>
        <v>13086.930311026172</v>
      </c>
      <c r="FR16" s="1">
        <f>IF(OR($B16=Analysis!$C$100, $B16=Analysis!$C$130),0,IF(FN16 &gt;= 0,
    MAX(0, FO15 + FN16 - Analysis!$C$7),
    0))</f>
        <v>21864.260702254192</v>
      </c>
      <c r="FS16" s="1">
        <f>IF(OR($B16=Analysis!$C$100, $B16=Analysis!$C$130),0,MAX(0, FS15 + FR16 - IF(FN16 &lt; 0, MIN(ABS(FN16), FS15 + FR16), 0)))</f>
        <v>211308.41739525867</v>
      </c>
      <c r="FT16" s="1">
        <f>IF(OR($B16=Analysis!$C$100, $B16=Analysis!$C$130),0,IF(FN16 &lt; 0,
    IF(FN16 + FO15 &lt; 0,
        MAX(0, FT15 - (ABS(FN16 + FO15) * (1+$V15))),
        FT15 + FQ16),
    FT15 + FR16 + FQ16))</f>
        <v>275381.10666974017</v>
      </c>
      <c r="FU16" s="1">
        <f t="shared" si="55"/>
        <v>258481.93487359566</v>
      </c>
      <c r="FV16" s="36"/>
      <c r="FW16" s="1">
        <f t="shared" si="52"/>
        <v>711095.29603954614</v>
      </c>
      <c r="FX16" s="64">
        <f t="shared" si="53"/>
        <v>3.9215686274509887E-2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-12872.442009575796</v>
      </c>
      <c r="GC16" s="1">
        <f>IF($B16&lt;Analysis!$C$159,0,IF($B16=Analysis!$C$159,-FY16-GB16,MIN(0,GC15-GB16)))</f>
        <v>-235436.78746134875</v>
      </c>
      <c r="GD16" s="64">
        <f>IF($B16&lt;Analysis!$C$159,0,IF($B16=Analysis!$C$159,Analysis!$C$160,IF(($B16-Analysis!$C$159)&lt;LOOKUP(Analysis!$C$159,$B:$B,FZ:FZ),GD15,0)))</f>
        <v>3.6999999999999998E-2</v>
      </c>
      <c r="GE16" s="1">
        <f>IF($B16&lt;Analysis!$C$159,0,IF($B16=Analysis!$C$159,-GD16*FY16,GD15*GC15))</f>
        <v>-9187.4414904242076</v>
      </c>
      <c r="GF16" s="1">
        <f>IF($B16&lt;Analysis!$C$159,0,IF($B16=Analysis!$C$159,PMT(GD16,FZ16,FY16)*FZ16-GG16-GC16,IF(($B16-Analysis!$C$159+1)&lt;LOOKUP(Analysis!$C$159,$B:$B,FZ:FZ),IF(GF15-GE16&lt;0, GF15-GE16,0),0)))</f>
        <v>-69572.14910777731</v>
      </c>
      <c r="GG16" s="1">
        <f>IF($B16&lt;Analysis!$C$159,0,IF($B16=Analysis!$C$159,GB16+GE16,IF(GC15&lt;0,IF(GC15&gt;LOOKUP(Analysis!$C$159,$B:$B,GG:GG), GC15*(1+GD15),GG15),0)))</f>
        <v>-22059.883500000004</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23748.869405079779</v>
      </c>
      <c r="GO16" s="64">
        <f>IF($B16&lt;Analysis!$C$159,0,((1+Analysis!$D$174)/(1+$S16))-1)</f>
        <v>3.9215686274509887E-2</v>
      </c>
      <c r="GP16" s="1">
        <f t="shared" si="7"/>
        <v>29842.155293198419</v>
      </c>
      <c r="GQ16" s="1">
        <f t="shared" si="36"/>
        <v>-2133.2858881186385</v>
      </c>
      <c r="GR16" s="64">
        <f>IF($B16&lt;Analysis!$C$159,0,Analysis!$C$178)</f>
        <v>3.0000000000000001E-3</v>
      </c>
      <c r="GS16" s="1">
        <f t="shared" si="37"/>
        <v>-5333.2147202965962</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-1781.1652053809833</v>
      </c>
      <c r="HD16" s="1">
        <f t="shared" si="38"/>
        <v>-21507.665813796219</v>
      </c>
      <c r="HE16" s="1">
        <f>MIN(0,-(GN16+HD16)*Analysis!$C$28)-GE16*Analysis!$C$28</f>
        <v>3077.8780131092203</v>
      </c>
      <c r="HF16" s="1">
        <f>-Analysis!$C$176*GP16/12</f>
        <v>-2486.8462744332014</v>
      </c>
      <c r="HG16" s="38"/>
      <c r="HH16" s="1">
        <f>IF($B16&lt;Analysis!$C$159,0,-$HI16*$FW16)</f>
        <v>-90664.650245042139</v>
      </c>
      <c r="HI16" s="64">
        <f>IF($B16&lt;Analysis!$C$159,0,IF($B16=Analysis!$C$159,Analysis!$C$31,HI15))</f>
        <v>0.1275</v>
      </c>
      <c r="HJ16" s="1">
        <f>IF($B16&lt;Analysis!$C$159,0,$FW16+HH16)</f>
        <v>620430.64579450397</v>
      </c>
      <c r="HK16" s="1">
        <f>IF($B16-Analysis!$C$159&gt;10,0,IF($FW16&gt;LOOKUP(Analysis!$C$159,$B:$B, FW:FW),$V16*(LOOKUP(Analysis!$C$159,$B:$B, FW:FW)-FW16),0))</f>
        <v>0</v>
      </c>
      <c r="HL16" s="1">
        <f t="shared" si="39"/>
        <v>620430.64579450397</v>
      </c>
      <c r="HM16" s="38"/>
      <c r="HN16" s="1">
        <f t="shared" si="40"/>
        <v>-131678.0826094971</v>
      </c>
      <c r="HO16" s="1">
        <f t="shared" si="8"/>
        <v>153542.34331175129</v>
      </c>
      <c r="HP16" s="1">
        <f t="shared" si="41"/>
        <v>21864.260702254192</v>
      </c>
      <c r="HQ16" s="1">
        <f>IF(HP16 &lt; 0,
    IF(HQ15 + HP16 &gt; 0,
        HQ15 + HP16, IF(HV15-ABS(HQ15 + HP16)*(1+$V16) &gt;= HQ15 + HP16,
        0, HQ15 + HP16)),
    MIN(HQ15 + HP16, Analysis!$C$7))+IF(HQ15&lt;0, HQ15*Analysis!$C$9,0)</f>
        <v>24000</v>
      </c>
      <c r="HR16" s="38"/>
      <c r="HS16" s="1">
        <f t="shared" si="54"/>
        <v>13086.930311026172</v>
      </c>
      <c r="HT16" s="1">
        <f>IF($B16=Analysis!$C$159,0,IF(HP16 &gt;= 0,
    MAX(0, HQ15 + HP16 - Analysis!$C$7),
    0))</f>
        <v>21864.260702254192</v>
      </c>
      <c r="HU16" s="1">
        <f>IF($B16=Analysis!$C$159,0,MAX(0, HU15 + HT16 - IF(HP16 &lt; 0, MIN(ABS(HP16), HU15 + HT16), 0)))</f>
        <v>211308.41739525867</v>
      </c>
      <c r="HV16" s="1">
        <f>IF($B16=Analysis!$C$159,0,IF(HP16 &lt; 0,
    IF(HP16 + HQ15 &lt; 0,
        MAX(0, HV15 - (ABS(HP16 + HQ15) * (1+$V15))),
        HV15 + HS16),
    HV15 + HT16 + HS16))</f>
        <v>275381.10666974017</v>
      </c>
      <c r="HW16" s="1">
        <f t="shared" si="56"/>
        <v>258481.93487359566</v>
      </c>
      <c r="HX16" s="36"/>
    </row>
    <row r="17" spans="1:232" x14ac:dyDescent="0.35">
      <c r="A17">
        <f t="shared" si="0"/>
        <v>50</v>
      </c>
      <c r="B17">
        <v>2040</v>
      </c>
      <c r="C17" s="1">
        <f>IF($B17&lt;Analysis!C$66,0,$AN17)+$AT17+$AW17+$BC17+$CF17+$CA17</f>
        <v>464400.14633847639</v>
      </c>
      <c r="D17" s="1">
        <f>IF($B17&lt;Analysis!C$66, 0, BV17)+AT17+AW17+BC17+CG17+CA17</f>
        <v>307744.99587964389</v>
      </c>
      <c r="E17" s="1">
        <f t="shared" si="1"/>
        <v>681311.44932247594</v>
      </c>
      <c r="F17" s="1">
        <f t="shared" si="9"/>
        <v>617319.45870342827</v>
      </c>
      <c r="G17" s="1">
        <f>IF(AND($B17&gt;=Analysis!$C$100, $B17&lt;Analysis!$C$101),$CK17,0)+IF($B17&gt;=Analysis!$C$130,EB17,0)+CQ17+CT17+CZ17+EH17+EK17+EQ17+$FO17+$FT17</f>
        <v>792351.27982465341</v>
      </c>
      <c r="H17" s="1">
        <f t="shared" si="10"/>
        <v>677403.04614147753</v>
      </c>
      <c r="I17" s="1">
        <f>IF($B17&lt;Analysis!$C$159,0,$FW17)+$GC17+$GF17+$GL17+$HQ17+$HV17</f>
        <v>792351.27982465341</v>
      </c>
      <c r="J17" s="1">
        <f t="shared" si="2"/>
        <v>677403.04614147753</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-28205.940133764223</v>
      </c>
      <c r="Y17" s="64">
        <f t="shared" si="15"/>
        <v>3.9215686274509887E-2</v>
      </c>
      <c r="Z17" s="1">
        <f t="shared" si="16"/>
        <v>-3960</v>
      </c>
      <c r="AA17" s="64">
        <f t="shared" si="17"/>
        <v>0</v>
      </c>
      <c r="AB17" s="40"/>
      <c r="AC17" s="1">
        <f t="shared" si="3"/>
        <v>-98065.940133764219</v>
      </c>
      <c r="AD17" s="1">
        <f t="shared" si="4"/>
        <v>125216.12169525081</v>
      </c>
      <c r="AE17" s="1">
        <f t="shared" si="18"/>
        <v>27150.181561486592</v>
      </c>
      <c r="AF17" s="1">
        <f>IF(AE17 &lt; 0,
    IF(AF16 + AE17 &gt; 0,
        AF16 + AE17, IF(AK16-ABS(AF16 + AE17)*(1+$V17) &gt;= AF16 + AE17,
        0, AF16 + AE17)),
    MIN(AF16 + AE17, Analysis!$C$7))+IF(AF16&lt;0, AF16*Analysis!$C$9,0)</f>
        <v>24000</v>
      </c>
      <c r="AG17" s="40"/>
      <c r="AH17" s="1">
        <f t="shared" si="19"/>
        <v>31556.689530258798</v>
      </c>
      <c r="AI17" s="1">
        <f>IF(AE17 &gt;= 0,
    MAX(0, AF16 + AE17 - Analysis!$C$7),
    0)</f>
        <v>27150.181561486592</v>
      </c>
      <c r="AJ17" s="1">
        <f t="shared" si="44"/>
        <v>414687.78820760327</v>
      </c>
      <c r="AK17" s="1">
        <f t="shared" si="20"/>
        <v>657311.44932247594</v>
      </c>
      <c r="AL17" s="1">
        <f t="shared" si="5"/>
        <v>593319.45870342827</v>
      </c>
      <c r="AM17" s="36"/>
      <c r="AN17" s="1">
        <f t="shared" si="45"/>
        <v>1228667.8467359412</v>
      </c>
      <c r="AO17" s="64">
        <f t="shared" si="21"/>
        <v>3.9215686274509887E-2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-23931.300126048467</v>
      </c>
      <c r="AT17" s="1">
        <f>IF($B17&lt;Analysis!$C$66,0,IF($B17=Analysis!$C$66,-AP17-AS17,MIN(0,AT16-AS17)))</f>
        <v>-398154.66944020946</v>
      </c>
      <c r="AU17" s="64">
        <f>IF($B17&lt;Analysis!$C$66,0,IF($B17=Analysis!$C$66,Analysis!$C$72,IF(($B17-Analysis!$C$66)&lt;LOOKUP(Analysis!$C$66,$B:$B,AQ:AQ),AU16,0)))</f>
        <v>3.6999999999999998E-2</v>
      </c>
      <c r="AV17" s="1">
        <f>IF($B17&lt;Analysis!$C$66,0,IF($B17=Analysis!$C$66,-AU17*AP17,AU16*AT16))</f>
        <v>-15617.180873951542</v>
      </c>
      <c r="AW17" s="1">
        <f>IF($B17&lt;Analysis!$C$66,0,IF($B17=Analysis!$C$66,PMT(AU17,AQ17,AP17)*AQ17-AX17-AT17,IF(($B17-Analysis!$C$66+1)&lt;LOOKUP(Analysis!$C$66,$B:$B,AQ:AQ),IF(AW16-AV17&lt;0, AW16-AV17,0),0)))</f>
        <v>-109110.26009907523</v>
      </c>
      <c r="AX17" s="1">
        <f>IF($B17&lt;Analysis!$C$66,0,IF($B17=Analysis!$C$66,AS17+AV17,IF(AT16&lt;0,IF(AT16&gt;LOOKUP(Analysis!$C$66,$B:$B,AX:AX), AT16*(1+AU16),AX16),0)))</f>
        <v>-39548.481000000007</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-3686.0035402078238</v>
      </c>
      <c r="BF17" s="64">
        <f>IF($B17&lt;Analysis!$C$66,0,Analysis!$C$78)</f>
        <v>3.0000000000000001E-3</v>
      </c>
      <c r="BG17" s="1">
        <f>IF($B17&lt;Analysis!$C$66,0,-BH17*AN17)</f>
        <v>-9215.0088505195581</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-156655.1504588325</v>
      </c>
      <c r="BS17" s="64">
        <f>IF($B17&lt;Analysis!C$66,0,Analysis!C$31)</f>
        <v>0.1275</v>
      </c>
      <c r="BT17" s="1">
        <f>IF($B17&lt;Analysis!$C$66,0,AN17+BR17)</f>
        <v>1072012.6962771087</v>
      </c>
      <c r="BU17" s="1">
        <f>IF($B17-Analysis!$C$66&gt;3,0,IF($AN17&gt;LOOKUP(Analysis!$C$66,$B:$B, AN:AN),$V17*(LOOKUP(Analysis!$C$66,$B:$B, AN:AN)-AN17),0))</f>
        <v>0</v>
      </c>
      <c r="BV17" s="1">
        <f t="shared" si="23"/>
        <v>1072012.6962771087</v>
      </c>
      <c r="BW17" s="42"/>
      <c r="BX17" s="1">
        <f>IF($B17&lt;Analysis!$C$66,$P17+$N17+$X17+$Z17,$P17+$N17+AS17+AV17+BB17+BE17+BG17+MAX(BI17,SUM(BJ17:BN17))+BP17)</f>
        <v>-122309.4933907274</v>
      </c>
      <c r="BY17" s="1">
        <f t="shared" si="24"/>
        <v>125216.12169525081</v>
      </c>
      <c r="BZ17" s="1">
        <f t="shared" si="46"/>
        <v>2906.6283045234159</v>
      </c>
      <c r="CA17" s="1">
        <f>IF(BZ17 &lt; 0,
    IF(CA16 + BZ17 &gt; 0,
        CA16 + BZ17, IF(CF16-ABS(CA16 + BZ17)*(1+$V17) &gt;= CA16 + BZ17,
        0, CA16 + BZ17)),
    MIN(CA16 + BZ17, Analysis!$C$7))+IF(CA16&lt;0, CA16*Analysis!$C$9,0)</f>
        <v>-257002.77085818019</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-28205.940133764223</v>
      </c>
      <c r="CJ17" s="1">
        <f>IF(OR($B17&lt;Analysis!$C$100, $B17&gt;=Analysis!$C$130),0,Z17)</f>
        <v>-3960</v>
      </c>
      <c r="CK17" s="1">
        <f t="shared" si="26"/>
        <v>738981.38608031266</v>
      </c>
      <c r="CL17" s="64">
        <f t="shared" si="48"/>
        <v>3.9215686274509887E-2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-13348.722363930101</v>
      </c>
      <c r="CQ17" s="1">
        <f>IF(OR($B17&lt;Analysis!$C$100, $B17&gt;=Analysis!$C$101),0,IF($B17=Analysis!$C$100,-CM17-CP17,MIN(0,CQ16-CP17)))</f>
        <v>-222088.06509741864</v>
      </c>
      <c r="CR17" s="64">
        <f>IF(OR($B17&lt;Analysis!$C$100, $B17&gt;=Analysis!$C$101),0,IF($B17=Analysis!$C$100,Analysis!$C$102,IF(($B17-Analysis!$C$100)&lt;LOOKUP(Analysis!$C$100,$B:$B,CN:CN),CR16,0)))</f>
        <v>3.6999999999999998E-2</v>
      </c>
      <c r="CS17" s="1">
        <f>IF(OR($B17&lt;Analysis!$C$100, $B17&gt;=Analysis!$C$101),0,IF($B17=Analysis!$C$100,-CR17*CM17,CR16*CQ16))</f>
        <v>-8711.1611360699026</v>
      </c>
      <c r="CT17" s="1">
        <f>IF(OR($B17&lt;Analysis!$C$100, $B17&gt;=Analysis!$C$101),0,IF($B17=Analysis!$C$100,PMT(CR17,CN17,CM17)*CN17-CU17-CQ17,IF(($B17-Analysis!$C$100+1)&lt;LOOKUP(Analysis!$C$100,$B:$B,CN:CN),IF(CT16-CS17&lt;0, CT16-CS17,0),0)))</f>
        <v>-60860.987971707407</v>
      </c>
      <c r="CU17" s="1">
        <f>IF(OR($B17&lt;Analysis!$C$100, $B17&gt;=Analysis!$C$101),0,IF($B17=Analysis!$C$100,CP17+CS17,IF(CQ16&lt;0,IF(CQ16&gt;LOOKUP(Analysis!$C$100,$B:$B,CU:CU), CQ16*(1+CR16),CU16),0)))</f>
        <v>-22059.883500000004</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24680.197617043694</v>
      </c>
      <c r="DC17" s="64">
        <f>IF(OR($B17&lt;Analysis!$C$100, $B17&gt;=Analysis!$C$101),0,((1+Analysis!$D$114)/(1+$S17))-1)</f>
        <v>3.9215686274509887E-2</v>
      </c>
      <c r="DD17" s="1">
        <f t="shared" si="6"/>
        <v>30857.141775284632</v>
      </c>
      <c r="DE17" s="1">
        <f t="shared" si="27"/>
        <v>-2216.9441582409381</v>
      </c>
      <c r="DF17" s="64">
        <f>IF(OR($B17&lt;Analysis!$C$100, $B17&gt;=Analysis!$C$101),0,Analysis!$C$118)</f>
        <v>3.0000000000000001E-3</v>
      </c>
      <c r="DG17" s="1">
        <f t="shared" si="28"/>
        <v>-5542.3603956023444</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-1851.0148212782769</v>
      </c>
      <c r="DR17" s="1">
        <f t="shared" si="29"/>
        <v>-21870.319375121559</v>
      </c>
      <c r="DS17" s="1">
        <f>MIN(0,-(DB17+DR17)*Analysis!$C$28)-CS17*Analysis!$C$28</f>
        <v>2614.858450396875</v>
      </c>
      <c r="DT17" s="1">
        <f>-Analysis!$C$116*DD17/12</f>
        <v>-2571.4284812737192</v>
      </c>
      <c r="DU17" s="53"/>
      <c r="DV17" s="1">
        <f t="shared" si="30"/>
        <v>-94220.126725239868</v>
      </c>
      <c r="DW17" s="64">
        <f>IF(OR($B17&lt;Analysis!$C$100, $B17&gt;=Analysis!$C$101),0,IF($B17=Analysis!$C$100,Analysis!$C$31,DW16))</f>
        <v>0.1275</v>
      </c>
      <c r="DX17" s="1">
        <f>IF(OR($B17&lt;Analysis!$C$100, $B17&gt;=Analysis!$C$101),0,CK17+DV17)</f>
        <v>644761.25935507275</v>
      </c>
      <c r="DY17" s="1">
        <f>IF(OR($B17&lt;Analysis!$C$100, $B17&gt;=Analysis!$C$101),0,IF($B17-Analysis!$C$100&gt;3,0,IF(CK17&gt;LOOKUP(Analysis!$C$100,$B:$B, CK:CK),$V17*(LOOKUP(Analysis!$C$100,$B:$B, CK:CK)-CK17),0)))</f>
        <v>0</v>
      </c>
      <c r="DZ17" s="1">
        <f t="shared" si="49"/>
        <v>644761.25935507275</v>
      </c>
      <c r="EA17" s="53"/>
      <c r="EB17" s="1">
        <f t="shared" si="31"/>
        <v>1228667.8467359412</v>
      </c>
      <c r="EC17" s="64">
        <f t="shared" si="50"/>
        <v>3.9215686274509887E-2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-133652.71303976263</v>
      </c>
      <c r="FM17" s="1">
        <f>$M17+$R17+DD17+IF(AND($B17&lt;&gt;Analysis!$C$130,$B17=Analysis!$C$101),DZ16+CQ16+CT16+CZ16,0)</f>
        <v>156073.26347053546</v>
      </c>
      <c r="FN17" s="1">
        <f t="shared" si="34"/>
        <v>22420.550430772826</v>
      </c>
      <c r="FO17" s="1">
        <f>IF(FN17 &lt; 0,
    IF(FO16 + FN17 &gt; 0,
        FO16 + FN17, IF(FT16-ABS(FO16 + FN17)*(1+$V17) &gt;= FO16 + FN17,
        0, FO16 + FN17)),
    MIN(FO16 + FN17, Analysis!$C$7))+IF(FO16&lt;0, FO16*Analysis!$C$9,0)</f>
        <v>24000</v>
      </c>
      <c r="FP17" s="53"/>
      <c r="FQ17" s="1">
        <f t="shared" si="51"/>
        <v>14517.289712953861</v>
      </c>
      <c r="FR17" s="1">
        <f>IF(OR($B17=Analysis!$C$100, $B17=Analysis!$C$130),0,IF(FN17 &gt;= 0,
    MAX(0, FO16 + FN17 - Analysis!$C$7),
    0))</f>
        <v>22420.550430772826</v>
      </c>
      <c r="FS17" s="1">
        <f>IF(OR($B17=Analysis!$C$100, $B17=Analysis!$C$130),0,MAX(0, FS16 + FR17 - IF(FN17 &lt; 0, MIN(ABS(FN17), FS16 + FR17), 0)))</f>
        <v>233728.9678260315</v>
      </c>
      <c r="FT17" s="1">
        <f>IF(OR($B17=Analysis!$C$100, $B17=Analysis!$C$130),0,IF(FN17 &lt; 0,
    IF(FN17 + FO16 &lt; 0,
        MAX(0, FT16 - (ABS(FN17 + FO16) * (1+$V16))),
        FT16 + FQ17),
    FT16 + FR17 + FQ17))</f>
        <v>312318.94681346684</v>
      </c>
      <c r="FU17" s="1">
        <f>IF(FT17-FS17&gt;0, FT17-$V17*(FT17-FS17),FT17)</f>
        <v>291590.83985553076</v>
      </c>
      <c r="FV17" s="36"/>
      <c r="FW17" s="1">
        <f t="shared" si="52"/>
        <v>738981.38608031266</v>
      </c>
      <c r="FX17" s="64">
        <f t="shared" si="53"/>
        <v>3.9215686274509887E-2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-13348.722363930101</v>
      </c>
      <c r="GC17" s="1">
        <f>IF($B17&lt;Analysis!$C$159,0,IF($B17=Analysis!$C$159,-FY17-GB17,MIN(0,GC16-GB17)))</f>
        <v>-222088.06509741864</v>
      </c>
      <c r="GD17" s="64">
        <f>IF($B17&lt;Analysis!$C$159,0,IF($B17=Analysis!$C$159,Analysis!$C$160,IF(($B17-Analysis!$C$159)&lt;LOOKUP(Analysis!$C$159,$B:$B,FZ:FZ),GD16,0)))</f>
        <v>3.6999999999999998E-2</v>
      </c>
      <c r="GE17" s="1">
        <f>IF($B17&lt;Analysis!$C$159,0,IF($B17=Analysis!$C$159,-GD17*FY17,GD16*GC16))</f>
        <v>-8711.1611360699026</v>
      </c>
      <c r="GF17" s="1">
        <f>IF($B17&lt;Analysis!$C$159,0,IF($B17=Analysis!$C$159,PMT(GD17,FZ17,FY17)*FZ17-GG17-GC17,IF(($B17-Analysis!$C$159+1)&lt;LOOKUP(Analysis!$C$159,$B:$B,FZ:FZ),IF(GF16-GE17&lt;0, GF16-GE17,0),0)))</f>
        <v>-60860.987971707407</v>
      </c>
      <c r="GG17" s="1">
        <f>IF($B17&lt;Analysis!$C$159,0,IF($B17=Analysis!$C$159,GB17+GE17,IF(GC16&lt;0,IF(GC16&gt;LOOKUP(Analysis!$C$159,$B:$B,GG:GG), GC16*(1+GD16),GG16),0)))</f>
        <v>-22059.883500000004</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24680.197617043694</v>
      </c>
      <c r="GO17" s="64">
        <f>IF($B17&lt;Analysis!$C$159,0,((1+Analysis!$D$174)/(1+$S17))-1)</f>
        <v>3.9215686274509887E-2</v>
      </c>
      <c r="GP17" s="1">
        <f t="shared" si="7"/>
        <v>30857.141775284632</v>
      </c>
      <c r="GQ17" s="1">
        <f t="shared" si="36"/>
        <v>-2216.9441582409381</v>
      </c>
      <c r="GR17" s="64">
        <f>IF($B17&lt;Analysis!$C$159,0,Analysis!$C$178)</f>
        <v>3.0000000000000001E-3</v>
      </c>
      <c r="GS17" s="1">
        <f t="shared" si="37"/>
        <v>-5542.3603956023444</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-1851.0148212782769</v>
      </c>
      <c r="HD17" s="1">
        <f t="shared" si="38"/>
        <v>-21870.319375121559</v>
      </c>
      <c r="HE17" s="1">
        <f>MIN(0,-(GN17+HD17)*Analysis!$C$28)-GE17*Analysis!$C$28</f>
        <v>2614.858450396875</v>
      </c>
      <c r="HF17" s="1">
        <f>-Analysis!$C$176*GP17/12</f>
        <v>-2571.4284812737192</v>
      </c>
      <c r="HG17" s="38"/>
      <c r="HH17" s="1">
        <f>IF($B17&lt;Analysis!$C$159,0,-$HI17*$FW17)</f>
        <v>-94220.126725239868</v>
      </c>
      <c r="HI17" s="64">
        <f>IF($B17&lt;Analysis!$C$159,0,IF($B17=Analysis!$C$159,Analysis!$C$31,HI16))</f>
        <v>0.1275</v>
      </c>
      <c r="HJ17" s="1">
        <f>IF($B17&lt;Analysis!$C$159,0,$FW17+HH17)</f>
        <v>644761.25935507275</v>
      </c>
      <c r="HK17" s="1">
        <f>IF($B17-Analysis!$C$159&gt;10,0,IF($FW17&gt;LOOKUP(Analysis!$C$159,$B:$B, FW:FW),$V17*(LOOKUP(Analysis!$C$159,$B:$B, FW:FW)-FW17),0))</f>
        <v>0</v>
      </c>
      <c r="HL17" s="1">
        <f t="shared" si="39"/>
        <v>644761.25935507275</v>
      </c>
      <c r="HM17" s="38"/>
      <c r="HN17" s="1">
        <f t="shared" si="40"/>
        <v>-133652.71303976263</v>
      </c>
      <c r="HO17" s="1">
        <f t="shared" si="8"/>
        <v>156073.26347053546</v>
      </c>
      <c r="HP17" s="1">
        <f t="shared" si="41"/>
        <v>22420.550430772826</v>
      </c>
      <c r="HQ17" s="1">
        <f>IF(HP17 &lt; 0,
    IF(HQ16 + HP17 &gt; 0,
        HQ16 + HP17, IF(HV16-ABS(HQ16 + HP17)*(1+$V17) &gt;= HQ16 + HP17,
        0, HQ16 + HP17)),
    MIN(HQ16 + HP17, Analysis!$C$7))+IF(HQ16&lt;0, HQ16*Analysis!$C$9,0)</f>
        <v>24000</v>
      </c>
      <c r="HR17" s="38"/>
      <c r="HS17" s="1">
        <f t="shared" si="54"/>
        <v>14517.289712953861</v>
      </c>
      <c r="HT17" s="1">
        <f>IF($B17=Analysis!$C$159,0,IF(HP17 &gt;= 0,
    MAX(0, HQ16 + HP17 - Analysis!$C$7),
    0))</f>
        <v>22420.550430772826</v>
      </c>
      <c r="HU17" s="1">
        <f>IF($B17=Analysis!$C$159,0,MAX(0, HU16 + HT17 - IF(HP17 &lt; 0, MIN(ABS(HP17), HU16 + HT17), 0)))</f>
        <v>233728.9678260315</v>
      </c>
      <c r="HV17" s="1">
        <f>IF($B17=Analysis!$C$159,0,IF(HP17 &lt; 0,
    IF(HP17 + HQ16 &lt; 0,
        MAX(0, HV16 - (ABS(HP17 + HQ16) * (1+$V16))),
        HV16 + HS17),
    HV16 + HT17 + HS17))</f>
        <v>312318.94681346684</v>
      </c>
      <c r="HW17" s="1">
        <f>IF(HV17-HU17&gt;0, HV17-$V17*(HV17-HU17),HV17)</f>
        <v>291590.83985553076</v>
      </c>
      <c r="HX17" s="36"/>
    </row>
    <row r="18" spans="1:232" x14ac:dyDescent="0.35">
      <c r="A18">
        <f t="shared" si="0"/>
        <v>51</v>
      </c>
      <c r="B18">
        <v>2041</v>
      </c>
      <c r="C18" s="1">
        <f>IF($B18&lt;Analysis!C$66,0,$AN18)+$AT18+$AW18+$BC18+$CF18+$CA18</f>
        <v>535506.6760282662</v>
      </c>
      <c r="D18" s="1">
        <f>IF($B18&lt;Analysis!C$66, 0, BV18)+AT18+AW18+BC18+CG18+CA18</f>
        <v>372708.186335754</v>
      </c>
      <c r="E18" s="1">
        <f t="shared" si="1"/>
        <v>742414.75200387207</v>
      </c>
      <c r="F18" s="1">
        <f t="shared" si="9"/>
        <v>669580.6151333726</v>
      </c>
      <c r="G18" s="1">
        <f>IF(AND($B18&gt;=Analysis!$C$100, $B18&lt;Analysis!$C$101),$CK18,0)+IF($B18&gt;=Analysis!$C$130,EB18,0)+CQ18+CT18+CZ18+EH18+EK18+EQ18+$FO18+$FT18</f>
        <v>882278.21893427148</v>
      </c>
      <c r="H18" s="1">
        <f t="shared" si="10"/>
        <v>759433.76734753128</v>
      </c>
      <c r="I18" s="1">
        <f>IF($B18&lt;Analysis!$C$159,0,$FW18)+$GC18+$GF18+$GL18+$HQ18+$HV18</f>
        <v>882278.21893427148</v>
      </c>
      <c r="J18" s="1">
        <f t="shared" si="2"/>
        <v>759433.76734753128</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-29312.055433127527</v>
      </c>
      <c r="Y18" s="64">
        <f t="shared" si="15"/>
        <v>3.9215686274509887E-2</v>
      </c>
      <c r="Z18" s="1">
        <f t="shared" si="16"/>
        <v>-3960</v>
      </c>
      <c r="AA18" s="64">
        <f t="shared" si="17"/>
        <v>0</v>
      </c>
      <c r="AB18" s="40"/>
      <c r="AC18" s="1">
        <f t="shared" si="3"/>
        <v>-99172.055433127534</v>
      </c>
      <c r="AD18" s="1">
        <f t="shared" si="4"/>
        <v>126750.63299053574</v>
      </c>
      <c r="AE18" s="1">
        <f t="shared" si="18"/>
        <v>27578.577557408207</v>
      </c>
      <c r="AF18" s="1">
        <f>IF(AE18 &lt; 0,
    IF(AF17 + AE18 &gt; 0,
        AF17 + AE18, IF(AK17-ABS(AF17 + AE18)*(1+$V18) &gt;= AF17 + AE18,
        0, AF17 + AE18)),
    MIN(AF17 + AE18, Analysis!$C$7))+IF(AF17&lt;0, AF17*Analysis!$C$9,0)</f>
        <v>24000</v>
      </c>
      <c r="AG18" s="40"/>
      <c r="AH18" s="1">
        <f t="shared" si="19"/>
        <v>33524.725123987919</v>
      </c>
      <c r="AI18" s="1">
        <f>IF(AE18 &gt;= 0,
    MAX(0, AF17 + AE18 - Analysis!$C$7),
    0)</f>
        <v>27578.577557408207</v>
      </c>
      <c r="AJ18" s="1">
        <f t="shared" si="44"/>
        <v>442266.36576501146</v>
      </c>
      <c r="AK18" s="1">
        <f t="shared" si="20"/>
        <v>718414.75200387207</v>
      </c>
      <c r="AL18" s="1">
        <f t="shared" si="5"/>
        <v>645580.6151333726</v>
      </c>
      <c r="AM18" s="36"/>
      <c r="AN18" s="1">
        <f t="shared" si="45"/>
        <v>1276850.8995491154</v>
      </c>
      <c r="AO18" s="64">
        <f t="shared" si="21"/>
        <v>3.9215686274509887E-2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-24816.758230712258</v>
      </c>
      <c r="AT18" s="1">
        <f>IF($B18&lt;Analysis!$C$66,0,IF($B18=Analysis!$C$66,-AP18-AS18,MIN(0,AT17-AS18)))</f>
        <v>-373337.91120949719</v>
      </c>
      <c r="AU18" s="64">
        <f>IF($B18&lt;Analysis!$C$66,0,IF($B18=Analysis!$C$66,Analysis!$C$72,IF(($B18-Analysis!$C$66)&lt;LOOKUP(Analysis!$C$66,$B:$B,AQ:AQ),AU17,0)))</f>
        <v>3.6999999999999998E-2</v>
      </c>
      <c r="AV18" s="1">
        <f>IF($B18&lt;Analysis!$C$66,0,IF($B18=Analysis!$C$66,-AU18*AP18,AU17*AT17))</f>
        <v>-14731.72276928775</v>
      </c>
      <c r="AW18" s="1">
        <f>IF($B18&lt;Analysis!$C$66,0,IF($B18=Analysis!$C$66,PMT(AU18,AQ18,AP18)*AQ18-AX18-AT18,IF(($B18-Analysis!$C$66+1)&lt;LOOKUP(Analysis!$C$66,$B:$B,AQ:AQ),IF(AW17-AV18&lt;0, AW17-AV18,0),0)))</f>
        <v>-94378.537329787476</v>
      </c>
      <c r="AX18" s="1">
        <f>IF($B18&lt;Analysis!$C$66,0,IF($B18=Analysis!$C$66,AS18+AV18,IF(AT17&lt;0,IF(AT17&gt;LOOKUP(Analysis!$C$66,$B:$B,AX:AX), AT17*(1+AU17),AX17),0)))</f>
        <v>-39548.481000000007</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-3830.5526986473465</v>
      </c>
      <c r="BF18" s="64">
        <f>IF($B18&lt;Analysis!$C$66,0,Analysis!$C$78)</f>
        <v>3.0000000000000001E-3</v>
      </c>
      <c r="BG18" s="1">
        <f>IF($B18&lt;Analysis!$C$66,0,-BH18*AN18)</f>
        <v>-9576.3817466183664</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-162798.48969251223</v>
      </c>
      <c r="BS18" s="64">
        <f>IF($B18&lt;Analysis!C$66,0,Analysis!C$31)</f>
        <v>0.1275</v>
      </c>
      <c r="BT18" s="1">
        <f>IF($B18&lt;Analysis!$C$66,0,AN18+BR18)</f>
        <v>1114052.4098566032</v>
      </c>
      <c r="BU18" s="1">
        <f>IF($B18-Analysis!$C$66&gt;3,0,IF($AN18&gt;LOOKUP(Analysis!$C$66,$B:$B, AN:AN),$V18*(LOOKUP(Analysis!$C$66,$B:$B, AN:AN)-AN18),0))</f>
        <v>0</v>
      </c>
      <c r="BV18" s="1">
        <f t="shared" si="23"/>
        <v>1114052.4098566032</v>
      </c>
      <c r="BW18" s="42"/>
      <c r="BX18" s="1">
        <f>IF($B18&lt;Analysis!$C$66,$P18+$N18+$X18+$Z18,$P18+$N18+AS18+AV18+BB18+BE18+BG18+MAX(BI18,SUM(BJ18:BN18))+BP18)</f>
        <v>-122815.41544526572</v>
      </c>
      <c r="BY18" s="1">
        <f t="shared" si="24"/>
        <v>126750.63299053574</v>
      </c>
      <c r="BZ18" s="1">
        <f t="shared" si="46"/>
        <v>3935.2175452700176</v>
      </c>
      <c r="CA18" s="1">
        <f>IF(BZ18 &lt; 0,
    IF(CA17 + BZ18 &gt; 0,
        CA17 + BZ18, IF(CF17-ABS(CA17 + BZ18)*(1+$V18) &gt;= CA17 + BZ18,
        0, CA17 + BZ18)),
    MIN(CA17 + BZ18, Analysis!$C$7))+IF(CA17&lt;0, CA17*Analysis!$C$9,0)</f>
        <v>-273627.77498156461</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-29312.055433127527</v>
      </c>
      <c r="CJ18" s="1">
        <f>IF(OR($B18&lt;Analysis!$C$100, $B18&gt;=Analysis!$C$130),0,Z18)</f>
        <v>-3960</v>
      </c>
      <c r="CK18" s="1">
        <f t="shared" si="26"/>
        <v>767961.04827954061</v>
      </c>
      <c r="CL18" s="64">
        <f t="shared" si="48"/>
        <v>3.9215686274509887E-2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-13842.625091395514</v>
      </c>
      <c r="CQ18" s="1">
        <f>IF(OR($B18&lt;Analysis!$C$100, $B18&gt;=Analysis!$C$101),0,IF($B18=Analysis!$C$100,-CM18-CP18,MIN(0,CQ17-CP18)))</f>
        <v>-208245.44000602313</v>
      </c>
      <c r="CR18" s="64">
        <f>IF(OR($B18&lt;Analysis!$C$100, $B18&gt;=Analysis!$C$101),0,IF($B18=Analysis!$C$100,Analysis!$C$102,IF(($B18-Analysis!$C$100)&lt;LOOKUP(Analysis!$C$100,$B:$B,CN:CN),CR17,0)))</f>
        <v>3.6999999999999998E-2</v>
      </c>
      <c r="CS18" s="1">
        <f>IF(OR($B18&lt;Analysis!$C$100, $B18&gt;=Analysis!$C$101),0,IF($B18=Analysis!$C$100,-CR18*CM18,CR17*CQ17))</f>
        <v>-8217.2584086044899</v>
      </c>
      <c r="CT18" s="1">
        <f>IF(OR($B18&lt;Analysis!$C$100, $B18&gt;=Analysis!$C$101),0,IF($B18=Analysis!$C$100,PMT(CR18,CN18,CM18)*CN18-CU18-CQ18,IF(($B18-Analysis!$C$100+1)&lt;LOOKUP(Analysis!$C$100,$B:$B,CN:CN),IF(CT17-CS18&lt;0, CT17-CS18,0),0)))</f>
        <v>-52643.729563102919</v>
      </c>
      <c r="CU18" s="1">
        <f>IF(OR($B18&lt;Analysis!$C$100, $B18&gt;=Analysis!$C$101),0,IF($B18=Analysis!$C$100,CP18+CS18,IF(CQ17&lt;0,IF(CQ17&gt;LOOKUP(Analysis!$C$100,$B:$B,CU:CU), CQ17*(1+CR17),CU17),0)))</f>
        <v>-22059.883500000004</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25648.048503986585</v>
      </c>
      <c r="DC18" s="64">
        <f>IF(OR($B18&lt;Analysis!$C$100, $B18&gt;=Analysis!$C$101),0,((1+Analysis!$D$114)/(1+$S18))-1)</f>
        <v>3.9215686274509887E-2</v>
      </c>
      <c r="DD18" s="1">
        <f t="shared" si="6"/>
        <v>31911.931648825208</v>
      </c>
      <c r="DE18" s="1">
        <f t="shared" si="27"/>
        <v>-2303.8831448386218</v>
      </c>
      <c r="DF18" s="64">
        <f>IF(OR($B18&lt;Analysis!$C$100, $B18&gt;=Analysis!$C$101),0,Analysis!$C$118)</f>
        <v>3.0000000000000001E-3</v>
      </c>
      <c r="DG18" s="1">
        <f t="shared" si="28"/>
        <v>-5759.707862096554</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-1923.6036377989938</v>
      </c>
      <c r="DR18" s="1">
        <f t="shared" si="29"/>
        <v>-22247.194644734169</v>
      </c>
      <c r="DS18" s="1">
        <f>MIN(0,-(DB18+DR18)*Analysis!$C$28)-CS18*Analysis!$C$28</f>
        <v>2134.1488558179035</v>
      </c>
      <c r="DT18" s="1">
        <f>-Analysis!$C$116*DD18/12</f>
        <v>-2659.3276374021007</v>
      </c>
      <c r="DU18" s="53"/>
      <c r="DV18" s="1">
        <f t="shared" si="30"/>
        <v>-97915.033655641426</v>
      </c>
      <c r="DW18" s="64">
        <f>IF(OR($B18&lt;Analysis!$C$100, $B18&gt;=Analysis!$C$101),0,IF($B18=Analysis!$C$100,Analysis!$C$31,DW17))</f>
        <v>0.1275</v>
      </c>
      <c r="DX18" s="1">
        <f>IF(OR($B18&lt;Analysis!$C$100, $B18&gt;=Analysis!$C$101),0,CK18+DV18)</f>
        <v>670046.01462389925</v>
      </c>
      <c r="DY18" s="1">
        <f>IF(OR($B18&lt;Analysis!$C$100, $B18&gt;=Analysis!$C$101),0,IF($B18-Analysis!$C$100&gt;3,0,IF(CK18&gt;LOOKUP(Analysis!$C$100,$B:$B, CK:CK),$V18*(LOOKUP(Analysis!$C$100,$B:$B, CK:CK)-CK18),0)))</f>
        <v>0</v>
      </c>
      <c r="DZ18" s="1">
        <f t="shared" si="49"/>
        <v>670046.01462389925</v>
      </c>
      <c r="EA18" s="53"/>
      <c r="EB18" s="1">
        <f t="shared" si="31"/>
        <v>1276850.8995491154</v>
      </c>
      <c r="EC18" s="64">
        <f t="shared" si="50"/>
        <v>3.9215686274509887E-2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-135704.3123594459</v>
      </c>
      <c r="FM18" s="1">
        <f>$M18+$R18+DD18+IF(AND($B18&lt;&gt;Analysis!$C$130,$B18=Analysis!$C$101),DZ17+CQ17+CT17+CZ17,0)</f>
        <v>158662.56463936093</v>
      </c>
      <c r="FN18" s="1">
        <f t="shared" si="34"/>
        <v>22958.252279915032</v>
      </c>
      <c r="FO18" s="1">
        <f>IF(FN18 &lt; 0,
    IF(FO17 + FN18 &gt; 0,
        FO17 + FN18, IF(FT17-ABS(FO17 + FN18)*(1+$V18) &gt;= FO17 + FN18,
        0, FO17 + FN18)),
    MIN(FO17 + FN18, Analysis!$C$7))+IF(FO17&lt;0, FO17*Analysis!$C$9,0)</f>
        <v>24000</v>
      </c>
      <c r="FP18" s="53"/>
      <c r="FQ18" s="1">
        <f t="shared" si="51"/>
        <v>15929.14113047514</v>
      </c>
      <c r="FR18" s="1">
        <f>IF(OR($B18=Analysis!$C$100, $B18=Analysis!$C$130),0,IF(FN18 &gt;= 0,
    MAX(0, FO17 + FN18 - Analysis!$C$7),
    0))</f>
        <v>22958.252279915032</v>
      </c>
      <c r="FS18" s="1">
        <f>IF(OR($B18=Analysis!$C$100, $B18=Analysis!$C$130),0,MAX(0, FS17 + FR18 - IF(FN18 &lt; 0, MIN(ABS(FN18), FS17 + FR18), 0)))</f>
        <v>256687.22010594653</v>
      </c>
      <c r="FT18" s="1">
        <f>IF(OR($B18=Analysis!$C$100, $B18=Analysis!$C$130),0,IF(FN18 &lt; 0,
    IF(FN18 + FO17 &lt; 0,
        MAX(0, FT17 - (ABS(FN18 + FO17) * (1+$V17))),
        FT17 + FQ18),
    FT17 + FR18 + FQ18))</f>
        <v>351206.34022385703</v>
      </c>
      <c r="FU18" s="1">
        <f>IF(FT18-FS18&gt;0, FT18-$V18*(FT18-FS18),FT18)</f>
        <v>326276.92229275813</v>
      </c>
      <c r="FV18" s="36"/>
      <c r="FW18" s="1">
        <f t="shared" si="52"/>
        <v>767961.04827954061</v>
      </c>
      <c r="FX18" s="64">
        <f t="shared" si="53"/>
        <v>3.9215686274509887E-2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-13842.625091395514</v>
      </c>
      <c r="GC18" s="1">
        <f>IF($B18&lt;Analysis!$C$159,0,IF($B18=Analysis!$C$159,-FY18-GB18,MIN(0,GC17-GB18)))</f>
        <v>-208245.44000602313</v>
      </c>
      <c r="GD18" s="64">
        <f>IF($B18&lt;Analysis!$C$159,0,IF($B18=Analysis!$C$159,Analysis!$C$160,IF(($B18-Analysis!$C$159)&lt;LOOKUP(Analysis!$C$159,$B:$B,FZ:FZ),GD17,0)))</f>
        <v>3.6999999999999998E-2</v>
      </c>
      <c r="GE18" s="1">
        <f>IF($B18&lt;Analysis!$C$159,0,IF($B18=Analysis!$C$159,-GD18*FY18,GD17*GC17))</f>
        <v>-8217.2584086044899</v>
      </c>
      <c r="GF18" s="1">
        <f>IF($B18&lt;Analysis!$C$159,0,IF($B18=Analysis!$C$159,PMT(GD18,FZ18,FY18)*FZ18-GG18-GC18,IF(($B18-Analysis!$C$159+1)&lt;LOOKUP(Analysis!$C$159,$B:$B,FZ:FZ),IF(GF17-GE18&lt;0, GF17-GE18,0),0)))</f>
        <v>-52643.729563102919</v>
      </c>
      <c r="GG18" s="1">
        <f>IF($B18&lt;Analysis!$C$159,0,IF($B18=Analysis!$C$159,GB18+GE18,IF(GC17&lt;0,IF(GC17&gt;LOOKUP(Analysis!$C$159,$B:$B,GG:GG), GC17*(1+GD17),GG17),0)))</f>
        <v>-22059.883500000004</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25648.048503986585</v>
      </c>
      <c r="GO18" s="64">
        <f>IF($B18&lt;Analysis!$C$159,0,((1+Analysis!$D$174)/(1+$S18))-1)</f>
        <v>3.9215686274509887E-2</v>
      </c>
      <c r="GP18" s="1">
        <f t="shared" si="7"/>
        <v>31911.931648825208</v>
      </c>
      <c r="GQ18" s="1">
        <f t="shared" si="36"/>
        <v>-2303.8831448386218</v>
      </c>
      <c r="GR18" s="64">
        <f>IF($B18&lt;Analysis!$C$159,0,Analysis!$C$178)</f>
        <v>3.0000000000000001E-3</v>
      </c>
      <c r="GS18" s="1">
        <f t="shared" si="37"/>
        <v>-5759.707862096554</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-1923.6036377989938</v>
      </c>
      <c r="HD18" s="1">
        <f t="shared" si="38"/>
        <v>-22247.194644734169</v>
      </c>
      <c r="HE18" s="1">
        <f>MIN(0,-(GN18+HD18)*Analysis!$C$28)-GE18*Analysis!$C$28</f>
        <v>2134.1488558179035</v>
      </c>
      <c r="HF18" s="1">
        <f>-Analysis!$C$176*GP18/12</f>
        <v>-2659.3276374021007</v>
      </c>
      <c r="HG18" s="38"/>
      <c r="HH18" s="1">
        <f>IF($B18&lt;Analysis!$C$159,0,-$HI18*$FW18)</f>
        <v>-97915.033655641426</v>
      </c>
      <c r="HI18" s="64">
        <f>IF($B18&lt;Analysis!$C$159,0,IF($B18=Analysis!$C$159,Analysis!$C$31,HI17))</f>
        <v>0.1275</v>
      </c>
      <c r="HJ18" s="1">
        <f>IF($B18&lt;Analysis!$C$159,0,$FW18+HH18)</f>
        <v>670046.01462389925</v>
      </c>
      <c r="HK18" s="1">
        <f>IF($B18-Analysis!$C$159&gt;10,0,IF($FW18&gt;LOOKUP(Analysis!$C$159,$B:$B, FW:FW),$V18*(LOOKUP(Analysis!$C$159,$B:$B, FW:FW)-FW18),0))</f>
        <v>0</v>
      </c>
      <c r="HL18" s="1">
        <f t="shared" si="39"/>
        <v>670046.01462389925</v>
      </c>
      <c r="HM18" s="38"/>
      <c r="HN18" s="1">
        <f t="shared" si="40"/>
        <v>-135704.3123594459</v>
      </c>
      <c r="HO18" s="1">
        <f t="shared" si="8"/>
        <v>158662.56463936093</v>
      </c>
      <c r="HP18" s="1">
        <f t="shared" si="41"/>
        <v>22958.252279915032</v>
      </c>
      <c r="HQ18" s="1">
        <f>IF(HP18 &lt; 0,
    IF(HQ17 + HP18 &gt; 0,
        HQ17 + HP18, IF(HV17-ABS(HQ17 + HP18)*(1+$V18) &gt;= HQ17 + HP18,
        0, HQ17 + HP18)),
    MIN(HQ17 + HP18, Analysis!$C$7))+IF(HQ17&lt;0, HQ17*Analysis!$C$9,0)</f>
        <v>24000</v>
      </c>
      <c r="HR18" s="38"/>
      <c r="HS18" s="1">
        <f t="shared" si="54"/>
        <v>15929.14113047514</v>
      </c>
      <c r="HT18" s="1">
        <f>IF($B18=Analysis!$C$159,0,IF(HP18 &gt;= 0,
    MAX(0, HQ17 + HP18 - Analysis!$C$7),
    0))</f>
        <v>22958.252279915032</v>
      </c>
      <c r="HU18" s="1">
        <f>IF($B18=Analysis!$C$159,0,MAX(0, HU17 + HT18 - IF(HP18 &lt; 0, MIN(ABS(HP18), HU17 + HT18), 0)))</f>
        <v>256687.22010594653</v>
      </c>
      <c r="HV18" s="1">
        <f>IF($B18=Analysis!$C$159,0,IF(HP18 &lt; 0,
    IF(HP18 + HQ17 &lt; 0,
        MAX(0, HV17 - (ABS(HP18 + HQ17) * (1+$V17))),
        HV17 + HS18),
    HV17 + HT18 + HS18))</f>
        <v>351206.34022385703</v>
      </c>
      <c r="HW18" s="1">
        <f>IF(HV18-HU18&gt;0, HV18-$V18*(HV18-HU18),HV18)</f>
        <v>326276.92229275813</v>
      </c>
      <c r="HX18" s="36"/>
    </row>
    <row r="19" spans="1:232" x14ac:dyDescent="0.35">
      <c r="A19">
        <f t="shared" si="0"/>
        <v>52</v>
      </c>
      <c r="B19">
        <v>2042</v>
      </c>
      <c r="C19" s="1">
        <f>IF($B19&lt;Analysis!C$66,0,$AN19)+$AT19+$AW19+$BC19+$CF19+$CA19</f>
        <v>608200.29131671297</v>
      </c>
      <c r="D19" s="1">
        <f>IF($B19&lt;Analysis!C$66, 0, BV19)+AT19+AW19+BC19+CG19+CA19</f>
        <v>439017.54712645523</v>
      </c>
      <c r="E19" s="1">
        <f t="shared" si="1"/>
        <v>805806.75034427748</v>
      </c>
      <c r="F19" s="1">
        <f t="shared" si="9"/>
        <v>723633.3323778715</v>
      </c>
      <c r="G19" s="1">
        <f>IF(AND($B19&gt;=Analysis!$C$100, $B19&lt;Analysis!$C$101),$CK19,0)+IF($B19&gt;=Analysis!$C$130,EB19,0)+CQ19+CT19+CZ19+EH19+EK19+EQ19+$FO19+$FT19</f>
        <v>975240.814832706</v>
      </c>
      <c r="H19" s="1">
        <f t="shared" si="10"/>
        <v>843990.92968907719</v>
      </c>
      <c r="I19" s="1">
        <f>IF($B19&lt;Analysis!$C$159,0,$FW19)+$GC19+$GF19+$GL19+$HQ19+$HV19</f>
        <v>975240.814832706</v>
      </c>
      <c r="J19" s="1">
        <f t="shared" si="2"/>
        <v>843990.92968907719</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-30461.547803054098</v>
      </c>
      <c r="Y19" s="64">
        <f t="shared" si="15"/>
        <v>3.9215686274509887E-2</v>
      </c>
      <c r="Z19" s="1">
        <f t="shared" si="16"/>
        <v>-3960</v>
      </c>
      <c r="AA19" s="64">
        <f t="shared" si="17"/>
        <v>0</v>
      </c>
      <c r="AB19" s="40"/>
      <c r="AC19" s="1">
        <f t="shared" si="3"/>
        <v>-100321.5478030541</v>
      </c>
      <c r="AD19" s="1">
        <f t="shared" si="4"/>
        <v>128303.9495713021</v>
      </c>
      <c r="AE19" s="1">
        <f t="shared" si="18"/>
        <v>27982.401768248004</v>
      </c>
      <c r="AF19" s="1">
        <f>IF(AE19 &lt; 0,
    IF(AF18 + AE19 &gt; 0,
        AF18 + AE19, IF(AK18-ABS(AF18 + AE19)*(1+$V19) &gt;= AF18 + AE19,
        0, AF18 + AE19)),
    MIN(AF18 + AE19, Analysis!$C$7))+IF(AF18&lt;0, AF18*Analysis!$C$9,0)</f>
        <v>24000</v>
      </c>
      <c r="AG19" s="40"/>
      <c r="AH19" s="1">
        <f t="shared" si="19"/>
        <v>35409.596572157367</v>
      </c>
      <c r="AI19" s="1">
        <f>IF(AE19 &gt;= 0,
    MAX(0, AF18 + AE19 - Analysis!$C$7),
    0)</f>
        <v>27982.401768248004</v>
      </c>
      <c r="AJ19" s="1">
        <f t="shared" si="44"/>
        <v>470248.76753325947</v>
      </c>
      <c r="AK19" s="1">
        <f t="shared" si="20"/>
        <v>781806.75034427748</v>
      </c>
      <c r="AL19" s="1">
        <f t="shared" si="5"/>
        <v>699633.3323778715</v>
      </c>
      <c r="AM19" s="36"/>
      <c r="AN19" s="1">
        <f t="shared" si="45"/>
        <v>1326923.4838451594</v>
      </c>
      <c r="AO19" s="64">
        <f t="shared" si="21"/>
        <v>3.9215686274509887E-2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-25734.97828524861</v>
      </c>
      <c r="AT19" s="1">
        <f>IF($B19&lt;Analysis!$C$66,0,IF($B19=Analysis!$C$66,-AP19-AS19,MIN(0,AT18-AS19)))</f>
        <v>-347602.93292424857</v>
      </c>
      <c r="AU19" s="64">
        <f>IF($B19&lt;Analysis!$C$66,0,IF($B19=Analysis!$C$66,Analysis!$C$72,IF(($B19-Analysis!$C$66)&lt;LOOKUP(Analysis!$C$66,$B:$B,AQ:AQ),AU18,0)))</f>
        <v>3.6999999999999998E-2</v>
      </c>
      <c r="AV19" s="1">
        <f>IF($B19&lt;Analysis!$C$66,0,IF($B19=Analysis!$C$66,-AU19*AP19,AU18*AT18))</f>
        <v>-13813.502714751396</v>
      </c>
      <c r="AW19" s="1">
        <f>IF($B19&lt;Analysis!$C$66,0,IF($B19=Analysis!$C$66,PMT(AU19,AQ19,AP19)*AQ19-AX19-AT19,IF(($B19-Analysis!$C$66+1)&lt;LOOKUP(Analysis!$C$66,$B:$B,AQ:AQ),IF(AW18-AV19&lt;0, AW18-AV19,0),0)))</f>
        <v>-80565.034615036086</v>
      </c>
      <c r="AX19" s="1">
        <f>IF($B19&lt;Analysis!$C$66,0,IF($B19=Analysis!$C$66,AS19+AV19,IF(AT18&lt;0,IF(AT18&gt;LOOKUP(Analysis!$C$66,$B:$B,AX:AX), AT18*(1+AU18),AX18),0)))</f>
        <v>-39548.481000000007</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-3980.7704515354785</v>
      </c>
      <c r="BF19" s="64">
        <f>IF($B19&lt;Analysis!$C$66,0,Analysis!$C$78)</f>
        <v>3.0000000000000001E-3</v>
      </c>
      <c r="BG19" s="1">
        <f>IF($B19&lt;Analysis!$C$66,0,-BH19*AN19)</f>
        <v>-9951.9261288386951</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-169182.74419025783</v>
      </c>
      <c r="BS19" s="64">
        <f>IF($B19&lt;Analysis!C$66,0,Analysis!C$31)</f>
        <v>0.1275</v>
      </c>
      <c r="BT19" s="1">
        <f>IF($B19&lt;Analysis!$C$66,0,AN19+BR19)</f>
        <v>1157740.7396549017</v>
      </c>
      <c r="BU19" s="1">
        <f>IF($B19-Analysis!$C$66&gt;3,0,IF($AN19&gt;LOOKUP(Analysis!$C$66,$B:$B, AN:AN),$V19*(LOOKUP(Analysis!$C$66,$B:$B, AN:AN)-AN19),0))</f>
        <v>0</v>
      </c>
      <c r="BV19" s="1">
        <f t="shared" si="23"/>
        <v>1157740.7396549017</v>
      </c>
      <c r="BW19" s="42"/>
      <c r="BX19" s="1">
        <f>IF($B19&lt;Analysis!$C$66,$P19+$N19+$X19+$Z19,$P19+$N19+AS19+AV19+BB19+BE19+BG19+MAX(BI19,SUM(BJ19:BN19))+BP19)</f>
        <v>-123341.17758037418</v>
      </c>
      <c r="BY19" s="1">
        <f t="shared" si="24"/>
        <v>128303.9495713021</v>
      </c>
      <c r="BZ19" s="1">
        <f t="shared" si="46"/>
        <v>4962.7719909279258</v>
      </c>
      <c r="CA19" s="1">
        <f>IF(BZ19 &lt; 0,
    IF(CA18 + BZ19 &gt; 0,
        CA18 + BZ19, IF(CF18-ABS(CA18 + BZ19)*(1+$V19) &gt;= CA18 + BZ19,
        0, CA18 + BZ19)),
    MIN(CA18 + BZ19, Analysis!$C$7))+IF(CA18&lt;0, CA18*Analysis!$C$9,0)</f>
        <v>-290555.22498916183</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-30461.547803054098</v>
      </c>
      <c r="CJ19" s="1">
        <f>IF(OR($B19&lt;Analysis!$C$100, $B19&gt;=Analysis!$C$130),0,Z19)</f>
        <v>-3960</v>
      </c>
      <c r="CK19" s="1">
        <f t="shared" si="26"/>
        <v>798077.16781991487</v>
      </c>
      <c r="CL19" s="64">
        <f t="shared" si="48"/>
        <v>3.9215686274509887E-2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-14354.802219777148</v>
      </c>
      <c r="CQ19" s="1">
        <f>IF(OR($B19&lt;Analysis!$C$100, $B19&gt;=Analysis!$C$101),0,IF($B19=Analysis!$C$100,-CM19-CP19,MIN(0,CQ18-CP19)))</f>
        <v>-193890.63778624599</v>
      </c>
      <c r="CR19" s="64">
        <f>IF(OR($B19&lt;Analysis!$C$100, $B19&gt;=Analysis!$C$101),0,IF($B19=Analysis!$C$100,Analysis!$C$102,IF(($B19-Analysis!$C$100)&lt;LOOKUP(Analysis!$C$100,$B:$B,CN:CN),CR18,0)))</f>
        <v>3.6999999999999998E-2</v>
      </c>
      <c r="CS19" s="1">
        <f>IF(OR($B19&lt;Analysis!$C$100, $B19&gt;=Analysis!$C$101),0,IF($B19=Analysis!$C$100,-CR19*CM19,CR18*CQ18))</f>
        <v>-7705.0812802228556</v>
      </c>
      <c r="CT19" s="1">
        <f>IF(OR($B19&lt;Analysis!$C$100, $B19&gt;=Analysis!$C$101),0,IF($B19=Analysis!$C$100,PMT(CR19,CN19,CM19)*CN19-CU19-CQ19,IF(($B19-Analysis!$C$100+1)&lt;LOOKUP(Analysis!$C$100,$B:$B,CN:CN),IF(CT18-CS19&lt;0, CT18-CS19,0),0)))</f>
        <v>-44938.648282880065</v>
      </c>
      <c r="CU19" s="1">
        <f>IF(OR($B19&lt;Analysis!$C$100, $B19&gt;=Analysis!$C$101),0,IF($B19=Analysis!$C$100,CP19+CS19,IF(CQ18&lt;0,IF(CQ18&gt;LOOKUP(Analysis!$C$100,$B:$B,CU:CU), CQ18*(1+CR18),CU18),0)))</f>
        <v>-22059.883500000004</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26653.854327672336</v>
      </c>
      <c r="DC19" s="64">
        <f>IF(OR($B19&lt;Analysis!$C$100, $B19&gt;=Analysis!$C$101),0,((1+Analysis!$D$114)/(1+$S19))-1)</f>
        <v>3.9215686274509887E-2</v>
      </c>
      <c r="DD19" s="1">
        <f t="shared" si="6"/>
        <v>33008.085831132077</v>
      </c>
      <c r="DE19" s="1">
        <f t="shared" si="27"/>
        <v>-2394.2315034597445</v>
      </c>
      <c r="DF19" s="64">
        <f>IF(OR($B19&lt;Analysis!$C$100, $B19&gt;=Analysis!$C$101),0,Analysis!$C$118)</f>
        <v>3.0000000000000001E-3</v>
      </c>
      <c r="DG19" s="1">
        <f t="shared" si="28"/>
        <v>-5985.5787586493616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-1999.039074575425</v>
      </c>
      <c r="DR19" s="1">
        <f t="shared" si="29"/>
        <v>-22638.849336684532</v>
      </c>
      <c r="DS19" s="1">
        <f>MIN(0,-(DB19+DR19)*Analysis!$C$28)-CS19*Analysis!$C$28</f>
        <v>1635.0728037600513</v>
      </c>
      <c r="DT19" s="1">
        <f>-Analysis!$C$116*DD19/12</f>
        <v>-2750.6738192610064</v>
      </c>
      <c r="DU19" s="53"/>
      <c r="DV19" s="1">
        <f t="shared" si="30"/>
        <v>-101754.83889703915</v>
      </c>
      <c r="DW19" s="64">
        <f>IF(OR($B19&lt;Analysis!$C$100, $B19&gt;=Analysis!$C$101),0,IF($B19=Analysis!$C$100,Analysis!$C$31,DW18))</f>
        <v>0.1275</v>
      </c>
      <c r="DX19" s="1">
        <f>IF(OR($B19&lt;Analysis!$C$100, $B19&gt;=Analysis!$C$101),0,CK19+DV19)</f>
        <v>696322.32892287569</v>
      </c>
      <c r="DY19" s="1">
        <f>IF(OR($B19&lt;Analysis!$C$100, $B19&gt;=Analysis!$C$101),0,IF($B19-Analysis!$C$100&gt;3,0,IF(CK19&gt;LOOKUP(Analysis!$C$100,$B:$B, CK:CK),$V19*(LOOKUP(Analysis!$C$100,$B:$B, CK:CK)-CK19),0)))</f>
        <v>0</v>
      </c>
      <c r="DZ19" s="1">
        <f t="shared" si="49"/>
        <v>696322.32892287569</v>
      </c>
      <c r="EA19" s="53"/>
      <c r="EB19" s="1">
        <f t="shared" si="31"/>
        <v>1326923.4838451594</v>
      </c>
      <c r="EC19" s="64">
        <f t="shared" si="50"/>
        <v>3.9215686274509887E-2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-137835.88165523956</v>
      </c>
      <c r="FM19" s="1">
        <f>$M19+$R19+DD19+IF(AND($B19&lt;&gt;Analysis!$C$130,$B19=Analysis!$C$101),DZ18+CQ18+CT18+CZ18,0)</f>
        <v>161312.03540243418</v>
      </c>
      <c r="FN19" s="1">
        <f t="shared" si="34"/>
        <v>23476.153747194621</v>
      </c>
      <c r="FO19" s="1">
        <f>IF(FN19 &lt; 0,
    IF(FO18 + FN19 &gt; 0,
        FO18 + FN19, IF(FT18-ABS(FO18 + FN19)*(1+$V19) &gt;= FO18 + FN19,
        0, FO18 + FN19)),
    MIN(FO18 + FN19, Analysis!$C$7))+IF(FO18&lt;0, FO18*Analysis!$C$9,0)</f>
        <v>24000</v>
      </c>
      <c r="FP19" s="53"/>
      <c r="FQ19" s="1">
        <f t="shared" si="51"/>
        <v>17310.43911086558</v>
      </c>
      <c r="FR19" s="1">
        <f>IF(OR($B19=Analysis!$C$100, $B19=Analysis!$C$130),0,IF(FN19 &gt;= 0,
    MAX(0, FO18 + FN19 - Analysis!$C$7),
    0))</f>
        <v>23476.153747194621</v>
      </c>
      <c r="FS19" s="1">
        <f>IF(OR($B19=Analysis!$C$100, $B19=Analysis!$C$130),0,MAX(0, FS18 + FR19 - IF(FN19 &lt; 0, MIN(ABS(FN19), FS18 + FR19), 0)))</f>
        <v>280163.37385314115</v>
      </c>
      <c r="FT19" s="1">
        <f>IF(OR($B19=Analysis!$C$100, $B19=Analysis!$C$130),0,IF(FN19 &lt; 0,
    IF(FN19 + FO18 &lt; 0,
        MAX(0, FT18 - (ABS(FN19 + FO18) * (1+$V18))),
        FT18 + FQ19),
    FT18 + FR19 + FQ19))</f>
        <v>391992.93308191723</v>
      </c>
      <c r="FU19" s="1">
        <f t="shared" ref="FU19:FU52" si="57">IF(FT19-FS19&gt;0, FT19-$V19*(FT19-FS19),FT19)</f>
        <v>362497.88683532755</v>
      </c>
      <c r="FV19" s="36"/>
      <c r="FW19" s="1">
        <f t="shared" si="52"/>
        <v>798077.16781991487</v>
      </c>
      <c r="FX19" s="64">
        <f t="shared" si="53"/>
        <v>3.9215686274509887E-2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-14354.802219777148</v>
      </c>
      <c r="GC19" s="1">
        <f>IF($B19&lt;Analysis!$C$159,0,IF($B19=Analysis!$C$159,-FY19-GB19,MIN(0,GC18-GB19)))</f>
        <v>-193890.63778624599</v>
      </c>
      <c r="GD19" s="64">
        <f>IF($B19&lt;Analysis!$C$159,0,IF($B19=Analysis!$C$159,Analysis!$C$160,IF(($B19-Analysis!$C$159)&lt;LOOKUP(Analysis!$C$159,$B:$B,FZ:FZ),GD18,0)))</f>
        <v>3.6999999999999998E-2</v>
      </c>
      <c r="GE19" s="1">
        <f>IF($B19&lt;Analysis!$C$159,0,IF($B19=Analysis!$C$159,-GD19*FY19,GD18*GC18))</f>
        <v>-7705.0812802228556</v>
      </c>
      <c r="GF19" s="1">
        <f>IF($B19&lt;Analysis!$C$159,0,IF($B19=Analysis!$C$159,PMT(GD19,FZ19,FY19)*FZ19-GG19-GC19,IF(($B19-Analysis!$C$159+1)&lt;LOOKUP(Analysis!$C$159,$B:$B,FZ:FZ),IF(GF18-GE19&lt;0, GF18-GE19,0),0)))</f>
        <v>-44938.648282880065</v>
      </c>
      <c r="GG19" s="1">
        <f>IF($B19&lt;Analysis!$C$159,0,IF($B19=Analysis!$C$159,GB19+GE19,IF(GC18&lt;0,IF(GC18&gt;LOOKUP(Analysis!$C$159,$B:$B,GG:GG), GC18*(1+GD18),GG18),0)))</f>
        <v>-22059.883500000004</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26653.854327672336</v>
      </c>
      <c r="GO19" s="64">
        <f>IF($B19&lt;Analysis!$C$159,0,((1+Analysis!$D$174)/(1+$S19))-1)</f>
        <v>3.9215686274509887E-2</v>
      </c>
      <c r="GP19" s="1">
        <f t="shared" si="7"/>
        <v>33008.085831132077</v>
      </c>
      <c r="GQ19" s="1">
        <f t="shared" si="36"/>
        <v>-2394.2315034597445</v>
      </c>
      <c r="GR19" s="64">
        <f>IF($B19&lt;Analysis!$C$159,0,Analysis!$C$178)</f>
        <v>3.0000000000000001E-3</v>
      </c>
      <c r="GS19" s="1">
        <f t="shared" si="37"/>
        <v>-5985.5787586493616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-1999.039074575425</v>
      </c>
      <c r="HD19" s="1">
        <f t="shared" si="38"/>
        <v>-22638.849336684532</v>
      </c>
      <c r="HE19" s="1">
        <f>MIN(0,-(GN19+HD19)*Analysis!$C$28)-GE19*Analysis!$C$28</f>
        <v>1635.0728037600513</v>
      </c>
      <c r="HF19" s="1">
        <f>-Analysis!$C$176*GP19/12</f>
        <v>-2750.6738192610064</v>
      </c>
      <c r="HG19" s="38"/>
      <c r="HH19" s="1">
        <f>IF($B19&lt;Analysis!$C$159,0,-$HI19*$FW19)</f>
        <v>-101754.83889703915</v>
      </c>
      <c r="HI19" s="64">
        <f>IF($B19&lt;Analysis!$C$159,0,IF($B19=Analysis!$C$159,Analysis!$C$31,HI18))</f>
        <v>0.1275</v>
      </c>
      <c r="HJ19" s="1">
        <f>IF($B19&lt;Analysis!$C$159,0,$FW19+HH19)</f>
        <v>696322.32892287569</v>
      </c>
      <c r="HK19" s="1">
        <f>IF($B19-Analysis!$C$159&gt;10,0,IF($FW19&gt;LOOKUP(Analysis!$C$159,$B:$B, FW:FW),$V19*(LOOKUP(Analysis!$C$159,$B:$B, FW:FW)-FW19),0))</f>
        <v>0</v>
      </c>
      <c r="HL19" s="1">
        <f t="shared" si="39"/>
        <v>696322.32892287569</v>
      </c>
      <c r="HM19" s="38"/>
      <c r="HN19" s="1">
        <f t="shared" si="40"/>
        <v>-137835.88165523956</v>
      </c>
      <c r="HO19" s="1">
        <f t="shared" si="8"/>
        <v>161312.03540243418</v>
      </c>
      <c r="HP19" s="1">
        <f t="shared" si="41"/>
        <v>23476.153747194621</v>
      </c>
      <c r="HQ19" s="1">
        <f>IF(HP19 &lt; 0,
    IF(HQ18 + HP19 &gt; 0,
        HQ18 + HP19, IF(HV18-ABS(HQ18 + HP19)*(1+$V19) &gt;= HQ18 + HP19,
        0, HQ18 + HP19)),
    MIN(HQ18 + HP19, Analysis!$C$7))+IF(HQ18&lt;0, HQ18*Analysis!$C$9,0)</f>
        <v>24000</v>
      </c>
      <c r="HR19" s="38"/>
      <c r="HS19" s="1">
        <f t="shared" si="54"/>
        <v>17310.43911086558</v>
      </c>
      <c r="HT19" s="1">
        <f>IF($B19=Analysis!$C$159,0,IF(HP19 &gt;= 0,
    MAX(0, HQ18 + HP19 - Analysis!$C$7),
    0))</f>
        <v>23476.153747194621</v>
      </c>
      <c r="HU19" s="1">
        <f>IF($B19=Analysis!$C$159,0,MAX(0, HU18 + HT19 - IF(HP19 &lt; 0, MIN(ABS(HP19), HU18 + HT19), 0)))</f>
        <v>280163.37385314115</v>
      </c>
      <c r="HV19" s="1">
        <f>IF($B19=Analysis!$C$159,0,IF(HP19 &lt; 0,
    IF(HP19 + HQ18 &lt; 0,
        MAX(0, HV18 - (ABS(HP19 + HQ18) * (1+$V18))),
        HV18 + HS19),
    HV18 + HT19 + HS19))</f>
        <v>391992.93308191723</v>
      </c>
      <c r="HW19" s="1">
        <f t="shared" ref="HW19:HW52" si="58">IF(HV19-HU19&gt;0, HV19-$V19*(HV19-HU19),HV19)</f>
        <v>362497.88683532755</v>
      </c>
      <c r="HX19" s="36"/>
    </row>
    <row r="20" spans="1:232" x14ac:dyDescent="0.35">
      <c r="A20">
        <f t="shared" si="0"/>
        <v>53</v>
      </c>
      <c r="B20">
        <v>2043</v>
      </c>
      <c r="C20" s="1">
        <f>IF($B20&lt;Analysis!C$66,0,$AN20)+$AT20+$AW20+$BC20+$CF20+$CA20</f>
        <v>682529.31342638307</v>
      </c>
      <c r="D20" s="1">
        <f>IF($B20&lt;Analysis!C$66, 0, BV20)+AT20+AW20+BC20+CG20+CA20</f>
        <v>506711.95181689941</v>
      </c>
      <c r="E20" s="1">
        <f t="shared" si="1"/>
        <v>871360.78784916119</v>
      </c>
      <c r="F20" s="1">
        <f t="shared" si="9"/>
        <v>779377.49091253197</v>
      </c>
      <c r="G20" s="1">
        <f>IF(AND($B20&gt;=Analysis!$C$100, $B20&lt;Analysis!$C$101),$CK20,0)+IF($B20&gt;=Analysis!$C$130,EB20,0)+CQ20+CT20+CZ20+EH20+EK20+EQ20+$FO20+$FT20</f>
        <v>1071219.5932878847</v>
      </c>
      <c r="H20" s="1">
        <f t="shared" si="10"/>
        <v>931060.71137090295</v>
      </c>
      <c r="I20" s="1">
        <f>IF($B20&lt;Analysis!$C$159,0,$FW20)+$GC20+$GF20+$GL20+$HQ20+$HV20</f>
        <v>1071219.5932878847</v>
      </c>
      <c r="J20" s="1">
        <f t="shared" si="2"/>
        <v>931060.71137090295</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-31656.118305134652</v>
      </c>
      <c r="Y20" s="64">
        <f t="shared" si="15"/>
        <v>3.9215686274509887E-2</v>
      </c>
      <c r="Z20" s="1">
        <f t="shared" si="16"/>
        <v>-3960</v>
      </c>
      <c r="AA20" s="64">
        <f t="shared" si="17"/>
        <v>0</v>
      </c>
      <c r="AB20" s="40"/>
      <c r="AC20" s="1">
        <f t="shared" si="3"/>
        <v>-101516.11830513465</v>
      </c>
      <c r="AD20" s="1">
        <f t="shared" si="4"/>
        <v>129876.30189447982</v>
      </c>
      <c r="AE20" s="1">
        <f t="shared" si="18"/>
        <v>28360.183589345179</v>
      </c>
      <c r="AF20" s="1">
        <f>IF(AE20 &lt; 0,
    IF(AF19 + AE20 &gt; 0,
        AF19 + AE20, IF(AK19-ABS(AF19 + AE20)*(1+$V20) &gt;= AF19 + AE20,
        0, AF19 + AE20)),
    MIN(AF19 + AE20, Analysis!$C$7))+IF(AF19&lt;0, AF19*Analysis!$C$9,0)</f>
        <v>24000</v>
      </c>
      <c r="AG20" s="40"/>
      <c r="AH20" s="1">
        <f t="shared" si="19"/>
        <v>37193.853915538544</v>
      </c>
      <c r="AI20" s="1">
        <f>IF(AE20 &gt;= 0,
    MAX(0, AF19 + AE20 - Analysis!$C$7),
    0)</f>
        <v>28360.183589345179</v>
      </c>
      <c r="AJ20" s="1">
        <f t="shared" si="44"/>
        <v>498608.95112260466</v>
      </c>
      <c r="AK20" s="1">
        <f t="shared" si="20"/>
        <v>847360.78784916119</v>
      </c>
      <c r="AL20" s="1">
        <f t="shared" si="5"/>
        <v>755377.49091253197</v>
      </c>
      <c r="AM20" s="36"/>
      <c r="AN20" s="1">
        <f t="shared" si="45"/>
        <v>1378959.6988979108</v>
      </c>
      <c r="AO20" s="64">
        <f t="shared" si="21"/>
        <v>3.9215686274509887E-2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-26687.172481802809</v>
      </c>
      <c r="AT20" s="1">
        <f>IF($B20&lt;Analysis!$C$66,0,IF($B20=Analysis!$C$66,-AP20-AS20,MIN(0,AT19-AS20)))</f>
        <v>-320915.76044244575</v>
      </c>
      <c r="AU20" s="64">
        <f>IF($B20&lt;Analysis!$C$66,0,IF($B20=Analysis!$C$66,Analysis!$C$72,IF(($B20-Analysis!$C$66)&lt;LOOKUP(Analysis!$C$66,$B:$B,AQ:AQ),AU19,0)))</f>
        <v>3.6999999999999998E-2</v>
      </c>
      <c r="AV20" s="1">
        <f>IF($B20&lt;Analysis!$C$66,0,IF($B20=Analysis!$C$66,-AU20*AP20,AU19*AT19))</f>
        <v>-12861.308518197196</v>
      </c>
      <c r="AW20" s="1">
        <f>IF($B20&lt;Analysis!$C$66,0,IF($B20=Analysis!$C$66,PMT(AU20,AQ20,AP20)*AQ20-AX20-AT20,IF(($B20-Analysis!$C$66+1)&lt;LOOKUP(Analysis!$C$66,$B:$B,AQ:AQ),IF(AW19-AV20&lt;0, AW19-AV20,0),0)))</f>
        <v>-67703.726096838887</v>
      </c>
      <c r="AX20" s="1">
        <f>IF($B20&lt;Analysis!$C$66,0,IF($B20=Analysis!$C$66,AS20+AV20,IF(AT19&lt;0,IF(AT19&gt;LOOKUP(Analysis!$C$66,$B:$B,AX:AX), AT19*(1+AU19),AX19),0)))</f>
        <v>-39548.481000000007</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-4136.8790966937322</v>
      </c>
      <c r="BF20" s="64">
        <f>IF($B20&lt;Analysis!$C$66,0,Analysis!$C$78)</f>
        <v>3.0000000000000001E-3</v>
      </c>
      <c r="BG20" s="1">
        <f>IF($B20&lt;Analysis!$C$66,0,-BH20*AN20)</f>
        <v>-10342.19774173433</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-175817.36160948363</v>
      </c>
      <c r="BS20" s="64">
        <f>IF($B20&lt;Analysis!C$66,0,Analysis!C$31)</f>
        <v>0.1275</v>
      </c>
      <c r="BT20" s="1">
        <f>IF($B20&lt;Analysis!$C$66,0,AN20+BR20)</f>
        <v>1203142.3372884272</v>
      </c>
      <c r="BU20" s="1">
        <f>IF($B20-Analysis!$C$66&gt;3,0,IF($AN20&gt;LOOKUP(Analysis!$C$66,$B:$B, AN:AN),$V20*(LOOKUP(Analysis!$C$66,$B:$B, AN:AN)-AN20),0))</f>
        <v>0</v>
      </c>
      <c r="BV20" s="1">
        <f t="shared" si="23"/>
        <v>1203142.3372884272</v>
      </c>
      <c r="BW20" s="42"/>
      <c r="BX20" s="1">
        <f>IF($B20&lt;Analysis!$C$66,$P20+$N20+$X20+$Z20,$P20+$N20+AS20+AV20+BB20+BE20+BG20+MAX(BI20,SUM(BJ20:BN20))+BP20)</f>
        <v>-123887.55783842808</v>
      </c>
      <c r="BY20" s="1">
        <f t="shared" si="24"/>
        <v>129876.30189447982</v>
      </c>
      <c r="BZ20" s="1">
        <f t="shared" si="46"/>
        <v>5988.7440560517425</v>
      </c>
      <c r="CA20" s="1">
        <f>IF(BZ20 &lt; 0,
    IF(CA19 + BZ20 &gt; 0,
        CA19 + BZ20, IF(CF19-ABS(CA19 + BZ20)*(1+$V20) &gt;= CA19 + BZ20,
        0, CA19 + BZ20)),
    MIN(CA19 + BZ20, Analysis!$C$7))+IF(CA19&lt;0, CA19*Analysis!$C$9,0)</f>
        <v>-307810.89893224306</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-31656.118305134652</v>
      </c>
      <c r="CJ20" s="1">
        <f>IF(OR($B20&lt;Analysis!$C$100, $B20&gt;=Analysis!$C$130),0,Z20)</f>
        <v>-3960</v>
      </c>
      <c r="CK20" s="1">
        <f t="shared" si="26"/>
        <v>829374.31165599008</v>
      </c>
      <c r="CL20" s="64">
        <f t="shared" si="48"/>
        <v>3.9215686274509887E-2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-14885.929901908901</v>
      </c>
      <c r="CQ20" s="1">
        <f>IF(OR($B20&lt;Analysis!$C$100, $B20&gt;=Analysis!$C$101),0,IF($B20=Analysis!$C$100,-CM20-CP20,MIN(0,CQ19-CP20)))</f>
        <v>-179004.70788433708</v>
      </c>
      <c r="CR20" s="64">
        <f>IF(OR($B20&lt;Analysis!$C$100, $B20&gt;=Analysis!$C$101),0,IF($B20=Analysis!$C$100,Analysis!$C$102,IF(($B20-Analysis!$C$100)&lt;LOOKUP(Analysis!$C$100,$B:$B,CN:CN),CR19,0)))</f>
        <v>3.6999999999999998E-2</v>
      </c>
      <c r="CS20" s="1">
        <f>IF(OR($B20&lt;Analysis!$C$100, $B20&gt;=Analysis!$C$101),0,IF($B20=Analysis!$C$100,-CR20*CM20,CR19*CQ19))</f>
        <v>-7173.9535980911014</v>
      </c>
      <c r="CT20" s="1">
        <f>IF(OR($B20&lt;Analysis!$C$100, $B20&gt;=Analysis!$C$101),0,IF($B20=Analysis!$C$100,PMT(CR20,CN20,CM20)*CN20-CU20-CQ20,IF(($B20-Analysis!$C$100+1)&lt;LOOKUP(Analysis!$C$100,$B:$B,CN:CN),IF(CT19-CS20&lt;0, CT19-CS20,0),0)))</f>
        <v>-37764.694684788963</v>
      </c>
      <c r="CU20" s="1">
        <f>IF(OR($B20&lt;Analysis!$C$100, $B20&gt;=Analysis!$C$101),0,IF($B20=Analysis!$C$100,CP20+CS20,IF(CQ19&lt;0,IF(CQ19&gt;LOOKUP(Analysis!$C$100,$B:$B,CU:CU), CQ19*(1+CR19),CU19),0)))</f>
        <v>-22059.883500000004</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27699.103516992822</v>
      </c>
      <c r="DC20" s="64">
        <f>IF(OR($B20&lt;Analysis!$C$100, $B20&gt;=Analysis!$C$101),0,((1+Analysis!$D$114)/(1+$S20))-1)</f>
        <v>3.9215686274509887E-2</v>
      </c>
      <c r="DD20" s="1">
        <f t="shared" si="6"/>
        <v>34147.226451960792</v>
      </c>
      <c r="DE20" s="1">
        <f t="shared" si="27"/>
        <v>-2488.1229349679702</v>
      </c>
      <c r="DF20" s="64">
        <f>IF(OR($B20&lt;Analysis!$C$100, $B20&gt;=Analysis!$C$101),0,Analysis!$C$118)</f>
        <v>3.0000000000000001E-3</v>
      </c>
      <c r="DG20" s="1">
        <f t="shared" si="28"/>
        <v>-6220.3073374199257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-2077.4327637744614</v>
      </c>
      <c r="DR20" s="1">
        <f t="shared" si="29"/>
        <v>-23045.863036162355</v>
      </c>
      <c r="DS20" s="1">
        <f>MIN(0,-(DB20+DR20)*Analysis!$C$28)-CS20*Analysis!$C$28</f>
        <v>1116.9279822581871</v>
      </c>
      <c r="DT20" s="1">
        <f>-Analysis!$C$116*DD20/12</f>
        <v>-2845.6022043300659</v>
      </c>
      <c r="DU20" s="53"/>
      <c r="DV20" s="1">
        <f t="shared" si="30"/>
        <v>-105745.22473613874</v>
      </c>
      <c r="DW20" s="64">
        <f>IF(OR($B20&lt;Analysis!$C$100, $B20&gt;=Analysis!$C$101),0,IF($B20=Analysis!$C$100,Analysis!$C$31,DW19))</f>
        <v>0.1275</v>
      </c>
      <c r="DX20" s="1">
        <f>IF(OR($B20&lt;Analysis!$C$100, $B20&gt;=Analysis!$C$101),0,CK20+DV20)</f>
        <v>723629.08691985137</v>
      </c>
      <c r="DY20" s="1">
        <f>IF(OR($B20&lt;Analysis!$C$100, $B20&gt;=Analysis!$C$101),0,IF($B20-Analysis!$C$100&gt;3,0,IF(CK20&gt;LOOKUP(Analysis!$C$100,$B:$B, CK:CK),$V20*(LOOKUP(Analysis!$C$100,$B:$B, CK:CK)-CK20),0)))</f>
        <v>0</v>
      </c>
      <c r="DZ20" s="1">
        <f t="shared" si="49"/>
        <v>723629.08691985137</v>
      </c>
      <c r="EA20" s="53"/>
      <c r="EB20" s="1">
        <f t="shared" si="31"/>
        <v>1378959.6988979108</v>
      </c>
      <c r="EC20" s="64">
        <f t="shared" si="50"/>
        <v>3.9215686274509887E-2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-140050.53906336889</v>
      </c>
      <c r="FM20" s="1">
        <f>$M20+$R20+DD20+IF(AND($B20&lt;&gt;Analysis!$C$130,$B20=Analysis!$C$101),DZ19+CQ19+CT19+CZ19,0)</f>
        <v>164023.52834644061</v>
      </c>
      <c r="FN20" s="1">
        <f t="shared" si="34"/>
        <v>23972.989283071714</v>
      </c>
      <c r="FO20" s="1">
        <f>IF(FN20 &lt; 0,
    IF(FO19 + FN20 &gt; 0,
        FO19 + FN20, IF(FT19-ABS(FO19 + FN20)*(1+$V20) &gt;= FO19 + FN20,
        0, FO19 + FN20)),
    MIN(FO19 + FN20, Analysis!$C$7))+IF(FO19&lt;0, FO19*Analysis!$C$9,0)</f>
        <v>24000</v>
      </c>
      <c r="FP20" s="53"/>
      <c r="FQ20" s="1">
        <f t="shared" si="51"/>
        <v>18648.761836031674</v>
      </c>
      <c r="FR20" s="1">
        <f>IF(OR($B20=Analysis!$C$100, $B20=Analysis!$C$130),0,IF(FN20 &gt;= 0,
    MAX(0, FO19 + FN20 - Analysis!$C$7),
    0))</f>
        <v>23972.989283071714</v>
      </c>
      <c r="FS20" s="1">
        <f>IF(OR($B20=Analysis!$C$100, $B20=Analysis!$C$130),0,MAX(0, FS19 + FR20 - IF(FN20 &lt; 0, MIN(ABS(FN20), FS19 + FR20), 0)))</f>
        <v>304136.36313621287</v>
      </c>
      <c r="FT20" s="1">
        <f>IF(OR($B20=Analysis!$C$100, $B20=Analysis!$C$130),0,IF(FN20 &lt; 0,
    IF(FN20 + FO19 &lt; 0,
        MAX(0, FT19 - (ABS(FN20 + FO19) * (1+$V19))),
        FT19 + FQ20),
    FT19 + FR20 + FQ20))</f>
        <v>434614.68420102063</v>
      </c>
      <c r="FU20" s="1">
        <f t="shared" si="57"/>
        <v>400201.02702017757</v>
      </c>
      <c r="FV20" s="36"/>
      <c r="FW20" s="1">
        <f t="shared" si="52"/>
        <v>829374.31165599008</v>
      </c>
      <c r="FX20" s="64">
        <f t="shared" si="53"/>
        <v>3.9215686274509887E-2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-14885.929901908901</v>
      </c>
      <c r="GC20" s="1">
        <f>IF($B20&lt;Analysis!$C$159,0,IF($B20=Analysis!$C$159,-FY20-GB20,MIN(0,GC19-GB20)))</f>
        <v>-179004.70788433708</v>
      </c>
      <c r="GD20" s="64">
        <f>IF($B20&lt;Analysis!$C$159,0,IF($B20=Analysis!$C$159,Analysis!$C$160,IF(($B20-Analysis!$C$159)&lt;LOOKUP(Analysis!$C$159,$B:$B,FZ:FZ),GD19,0)))</f>
        <v>3.6999999999999998E-2</v>
      </c>
      <c r="GE20" s="1">
        <f>IF($B20&lt;Analysis!$C$159,0,IF($B20=Analysis!$C$159,-GD20*FY20,GD19*GC19))</f>
        <v>-7173.9535980911014</v>
      </c>
      <c r="GF20" s="1">
        <f>IF($B20&lt;Analysis!$C$159,0,IF($B20=Analysis!$C$159,PMT(GD20,FZ20,FY20)*FZ20-GG20-GC20,IF(($B20-Analysis!$C$159+1)&lt;LOOKUP(Analysis!$C$159,$B:$B,FZ:FZ),IF(GF19-GE20&lt;0, GF19-GE20,0),0)))</f>
        <v>-37764.694684788963</v>
      </c>
      <c r="GG20" s="1">
        <f>IF($B20&lt;Analysis!$C$159,0,IF($B20=Analysis!$C$159,GB20+GE20,IF(GC19&lt;0,IF(GC19&gt;LOOKUP(Analysis!$C$159,$B:$B,GG:GG), GC19*(1+GD19),GG19),0)))</f>
        <v>-22059.883500000004</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27699.103516992822</v>
      </c>
      <c r="GO20" s="64">
        <f>IF($B20&lt;Analysis!$C$159,0,((1+Analysis!$D$174)/(1+$S20))-1)</f>
        <v>3.9215686274509887E-2</v>
      </c>
      <c r="GP20" s="1">
        <f t="shared" si="7"/>
        <v>34147.226451960792</v>
      </c>
      <c r="GQ20" s="1">
        <f t="shared" si="36"/>
        <v>-2488.1229349679702</v>
      </c>
      <c r="GR20" s="64">
        <f>IF($B20&lt;Analysis!$C$159,0,Analysis!$C$178)</f>
        <v>3.0000000000000001E-3</v>
      </c>
      <c r="GS20" s="1">
        <f t="shared" si="37"/>
        <v>-6220.3073374199257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-2077.4327637744614</v>
      </c>
      <c r="HD20" s="1">
        <f t="shared" si="38"/>
        <v>-23045.863036162355</v>
      </c>
      <c r="HE20" s="1">
        <f>MIN(0,-(GN20+HD20)*Analysis!$C$28)-GE20*Analysis!$C$28</f>
        <v>1116.9279822581871</v>
      </c>
      <c r="HF20" s="1">
        <f>-Analysis!$C$176*GP20/12</f>
        <v>-2845.6022043300659</v>
      </c>
      <c r="HG20" s="38"/>
      <c r="HH20" s="1">
        <f>IF($B20&lt;Analysis!$C$159,0,-$HI20*$FW20)</f>
        <v>-105745.22473613874</v>
      </c>
      <c r="HI20" s="64">
        <f>IF($B20&lt;Analysis!$C$159,0,IF($B20=Analysis!$C$159,Analysis!$C$31,HI19))</f>
        <v>0.1275</v>
      </c>
      <c r="HJ20" s="1">
        <f>IF($B20&lt;Analysis!$C$159,0,$FW20+HH20)</f>
        <v>723629.08691985137</v>
      </c>
      <c r="HK20" s="1">
        <f>IF($B20-Analysis!$C$159&gt;10,0,IF($FW20&gt;LOOKUP(Analysis!$C$159,$B:$B, FW:FW),$V20*(LOOKUP(Analysis!$C$159,$B:$B, FW:FW)-FW20),0))</f>
        <v>0</v>
      </c>
      <c r="HL20" s="1">
        <f t="shared" si="39"/>
        <v>723629.08691985137</v>
      </c>
      <c r="HM20" s="38"/>
      <c r="HN20" s="1">
        <f t="shared" si="40"/>
        <v>-140050.53906336889</v>
      </c>
      <c r="HO20" s="1">
        <f t="shared" si="8"/>
        <v>164023.52834644061</v>
      </c>
      <c r="HP20" s="1">
        <f t="shared" si="41"/>
        <v>23972.989283071714</v>
      </c>
      <c r="HQ20" s="1">
        <f>IF(HP20 &lt; 0,
    IF(HQ19 + HP20 &gt; 0,
        HQ19 + HP20, IF(HV19-ABS(HQ19 + HP20)*(1+$V20) &gt;= HQ19 + HP20,
        0, HQ19 + HP20)),
    MIN(HQ19 + HP20, Analysis!$C$7))+IF(HQ19&lt;0, HQ19*Analysis!$C$9,0)</f>
        <v>24000</v>
      </c>
      <c r="HR20" s="38"/>
      <c r="HS20" s="1">
        <f t="shared" si="54"/>
        <v>18648.761836031674</v>
      </c>
      <c r="HT20" s="1">
        <f>IF($B20=Analysis!$C$159,0,IF(HP20 &gt;= 0,
    MAX(0, HQ19 + HP20 - Analysis!$C$7),
    0))</f>
        <v>23972.989283071714</v>
      </c>
      <c r="HU20" s="1">
        <f>IF($B20=Analysis!$C$159,0,MAX(0, HU19 + HT20 - IF(HP20 &lt; 0, MIN(ABS(HP20), HU19 + HT20), 0)))</f>
        <v>304136.36313621287</v>
      </c>
      <c r="HV20" s="1">
        <f>IF($B20=Analysis!$C$159,0,IF(HP20 &lt; 0,
    IF(HP20 + HQ19 &lt; 0,
        MAX(0, HV19 - (ABS(HP20 + HQ19) * (1+$V19))),
        HV19 + HS20),
    HV19 + HT20 + HS20))</f>
        <v>434614.68420102063</v>
      </c>
      <c r="HW20" s="1">
        <f t="shared" si="58"/>
        <v>400201.02702017757</v>
      </c>
      <c r="HX20" s="36"/>
    </row>
    <row r="21" spans="1:232" x14ac:dyDescent="0.35">
      <c r="A21">
        <f t="shared" si="0"/>
        <v>54</v>
      </c>
      <c r="B21">
        <v>2044</v>
      </c>
      <c r="C21" s="1">
        <f>IF($B21&lt;Analysis!C$66,0,$AN21)+$AT21+$AW21+$BC21+$CF21+$CA21</f>
        <v>754292.331916934</v>
      </c>
      <c r="D21" s="1">
        <f>IF($B21&lt;Analysis!C$66, 0, BV21)+AT21+AW21+BC21+CG21+CA21</f>
        <v>571580.17181296088</v>
      </c>
      <c r="E21" s="1">
        <f t="shared" si="1"/>
        <v>934681.09464069968</v>
      </c>
      <c r="F21" s="1">
        <f t="shared" si="9"/>
        <v>832448.49426310882</v>
      </c>
      <c r="G21" s="1">
        <f>IF(AND($B21&gt;=Analysis!$C$100, $B21&lt;Analysis!$C$101),$CK21,0)+IF($B21&gt;=Analysis!$C$130,EB21,0)+CQ21+CT21+CZ21+EH21+EK21+EQ21+$FO21+$FT21</f>
        <v>1165932.8028263613</v>
      </c>
      <c r="H21" s="1">
        <f t="shared" si="10"/>
        <v>1016370.1412640723</v>
      </c>
      <c r="I21" s="1">
        <f>IF($B21&lt;Analysis!$C$159,0,$FW21)+$GC21+$GF21+$GL21+$HQ21+$HV21</f>
        <v>1165932.8028263613</v>
      </c>
      <c r="J21" s="1">
        <f t="shared" si="2"/>
        <v>1016370.1412640723</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-32897.534709257583</v>
      </c>
      <c r="Y21" s="64">
        <f t="shared" si="15"/>
        <v>3.9215686274509887E-2</v>
      </c>
      <c r="Z21" s="1">
        <f t="shared" si="16"/>
        <v>-3960</v>
      </c>
      <c r="AA21" s="64">
        <f t="shared" si="17"/>
        <v>0</v>
      </c>
      <c r="AB21" s="40"/>
      <c r="AC21" s="1">
        <f t="shared" si="3"/>
        <v>-107007.53470925758</v>
      </c>
      <c r="AD21" s="1">
        <f t="shared" si="4"/>
        <v>131467.92324122589</v>
      </c>
      <c r="AE21" s="1">
        <f t="shared" si="18"/>
        <v>24460.388531968303</v>
      </c>
      <c r="AF21" s="1">
        <f>IF(AE21 &lt; 0,
    IF(AF20 + AE21 &gt; 0,
        AF20 + AE21, IF(AK20-ABS(AF20 + AE21)*(1+$V21) &gt;= AF20 + AE21,
        0, AF20 + AE21)),
    MIN(AF20 + AE21, Analysis!$C$7))+IF(AF20&lt;0, AF20*Analysis!$C$9,0)</f>
        <v>24000</v>
      </c>
      <c r="AG21" s="40"/>
      <c r="AH21" s="1">
        <f t="shared" si="19"/>
        <v>38859.918259570091</v>
      </c>
      <c r="AI21" s="1">
        <f>IF(AE21 &gt;= 0,
    MAX(0, AF20 + AE21 - Analysis!$C$7),
    0)</f>
        <v>24460.388531968303</v>
      </c>
      <c r="AJ21" s="1">
        <f t="shared" si="44"/>
        <v>523069.33965457295</v>
      </c>
      <c r="AK21" s="1">
        <f t="shared" si="20"/>
        <v>910681.09464069968</v>
      </c>
      <c r="AL21" s="1">
        <f t="shared" si="5"/>
        <v>808448.49426310882</v>
      </c>
      <c r="AM21" s="36"/>
      <c r="AN21" s="1">
        <f t="shared" si="45"/>
        <v>1433036.5498350838</v>
      </c>
      <c r="AO21" s="64">
        <f t="shared" si="21"/>
        <v>3.9215686274509887E-2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-27674.597863629515</v>
      </c>
      <c r="AT21" s="1">
        <f>IF($B21&lt;Analysis!$C$66,0,IF($B21=Analysis!$C$66,-AP21-AS21,MIN(0,AT20-AS21)))</f>
        <v>-293241.16257881623</v>
      </c>
      <c r="AU21" s="64">
        <f>IF($B21&lt;Analysis!$C$66,0,IF($B21=Analysis!$C$66,Analysis!$C$72,IF(($B21-Analysis!$C$66)&lt;LOOKUP(Analysis!$C$66,$B:$B,AQ:AQ),AU20,0)))</f>
        <v>3.6999999999999998E-2</v>
      </c>
      <c r="AV21" s="1">
        <f>IF($B21&lt;Analysis!$C$66,0,IF($B21=Analysis!$C$66,-AU21*AP21,AU20*AT20))</f>
        <v>-11873.883136370492</v>
      </c>
      <c r="AW21" s="1">
        <f>IF($B21&lt;Analysis!$C$66,0,IF($B21=Analysis!$C$66,PMT(AU21,AQ21,AP21)*AQ21-AX21-AT21,IF(($B21-Analysis!$C$66+1)&lt;LOOKUP(Analysis!$C$66,$B:$B,AQ:AQ),IF(AW20-AV21&lt;0, AW20-AV21,0),0)))</f>
        <v>-55829.842960468392</v>
      </c>
      <c r="AX21" s="1">
        <f>IF($B21&lt;Analysis!$C$66,0,IF($B21=Analysis!$C$66,AS21+AV21,IF(AT20&lt;0,IF(AT20&gt;LOOKUP(Analysis!$C$66,$B:$B,AX:AX), AT20*(1+AU20),AX20),0)))</f>
        <v>-39548.481000000007</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-4299.1096495052516</v>
      </c>
      <c r="BF21" s="64">
        <f>IF($B21&lt;Analysis!$C$66,0,Analysis!$C$78)</f>
        <v>3.0000000000000001E-3</v>
      </c>
      <c r="BG21" s="1">
        <f>IF($B21&lt;Analysis!$C$66,0,-BH21*AN21)</f>
        <v>-10747.774123763127</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-182712.16010397318</v>
      </c>
      <c r="BS21" s="64">
        <f>IF($B21&lt;Analysis!C$66,0,Analysis!C$31)</f>
        <v>0.1275</v>
      </c>
      <c r="BT21" s="1">
        <f>IF($B21&lt;Analysis!$C$66,0,AN21+BR21)</f>
        <v>1250324.3897311105</v>
      </c>
      <c r="BU21" s="1">
        <f>IF($B21-Analysis!$C$66&gt;3,0,IF($AN21&gt;LOOKUP(Analysis!$C$66,$B:$B, AN:AN),$V21*(LOOKUP(Analysis!$C$66,$B:$B, AN:AN)-AN21),0))</f>
        <v>0</v>
      </c>
      <c r="BV21" s="1">
        <f t="shared" si="23"/>
        <v>1250324.3897311105</v>
      </c>
      <c r="BW21" s="42"/>
      <c r="BX21" s="1">
        <f>IF($B21&lt;Analysis!$C$66,$P21+$N21+$X21+$Z21,$P21+$N21+AS21+AV21+BB21+BE21+BG21+MAX(BI21,SUM(BJ21:BN21))+BP21)</f>
        <v>-128705.36477326839</v>
      </c>
      <c r="BY21" s="1">
        <f t="shared" si="24"/>
        <v>131467.92324122589</v>
      </c>
      <c r="BZ21" s="1">
        <f t="shared" si="46"/>
        <v>2762.5584679574968</v>
      </c>
      <c r="CA21" s="1">
        <f>IF(BZ21 &lt; 0,
    IF(CA20 + BZ21 &gt; 0,
        CA20 + BZ21, IF(CF20-ABS(CA20 + BZ21)*(1+$V21) &gt;= CA20 + BZ21,
        0, CA20 + BZ21)),
    MIN(CA20 + BZ21, Analysis!$C$7))+IF(CA20&lt;0, CA20*Analysis!$C$9,0)</f>
        <v>-329673.21237886499</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-32897.534709257583</v>
      </c>
      <c r="CJ21" s="1">
        <f>IF(OR($B21&lt;Analysis!$C$100, $B21&gt;=Analysis!$C$130),0,Z21)</f>
        <v>-3960</v>
      </c>
      <c r="CK21" s="1">
        <f t="shared" si="26"/>
        <v>861898.79446602892</v>
      </c>
      <c r="CL21" s="64">
        <f t="shared" si="48"/>
        <v>3.9215686274509887E-2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-15436.709308279533</v>
      </c>
      <c r="CQ21" s="1">
        <f>IF(OR($B21&lt;Analysis!$C$100, $B21&gt;=Analysis!$C$101),0,IF($B21=Analysis!$C$100,-CM21-CP21,MIN(0,CQ20-CP21)))</f>
        <v>-163567.99857605755</v>
      </c>
      <c r="CR21" s="64">
        <f>IF(OR($B21&lt;Analysis!$C$100, $B21&gt;=Analysis!$C$101),0,IF($B21=Analysis!$C$100,Analysis!$C$102,IF(($B21-Analysis!$C$100)&lt;LOOKUP(Analysis!$C$100,$B:$B,CN:CN),CR20,0)))</f>
        <v>3.6999999999999998E-2</v>
      </c>
      <c r="CS21" s="1">
        <f>IF(OR($B21&lt;Analysis!$C$100, $B21&gt;=Analysis!$C$101),0,IF($B21=Analysis!$C$100,-CR21*CM21,CR20*CQ20))</f>
        <v>-6623.1741917204718</v>
      </c>
      <c r="CT21" s="1">
        <f>IF(OR($B21&lt;Analysis!$C$100, $B21&gt;=Analysis!$C$101),0,IF($B21=Analysis!$C$100,PMT(CR21,CN21,CM21)*CN21-CU21-CQ21,IF(($B21-Analysis!$C$100+1)&lt;LOOKUP(Analysis!$C$100,$B:$B,CN:CN),IF(CT20-CS21&lt;0, CT20-CS21,0),0)))</f>
        <v>-31141.520493068492</v>
      </c>
      <c r="CU21" s="1">
        <f>IF(OR($B21&lt;Analysis!$C$100, $B21&gt;=Analysis!$C$101),0,IF($B21=Analysis!$C$100,CP21+CS21,IF(CQ20&lt;0,IF(CQ20&gt;LOOKUP(Analysis!$C$100,$B:$B,CU:CU), CQ20*(1+CR20),CU20),0)))</f>
        <v>-22059.883500000004</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28785.342870600387</v>
      </c>
      <c r="DC21" s="64">
        <f>IF(OR($B21&lt;Analysis!$C$100, $B21&gt;=Analysis!$C$101),0,((1+Analysis!$D$114)/(1+$S21))-1)</f>
        <v>3.9215686274509887E-2</v>
      </c>
      <c r="DD21" s="1">
        <f t="shared" si="6"/>
        <v>35331.039253998475</v>
      </c>
      <c r="DE21" s="1">
        <f t="shared" si="27"/>
        <v>-2585.6963833980867</v>
      </c>
      <c r="DF21" s="64">
        <f>IF(OR($B21&lt;Analysis!$C$100, $B21&gt;=Analysis!$C$101),0,Analysis!$C$118)</f>
        <v>3.0000000000000001E-3</v>
      </c>
      <c r="DG21" s="1">
        <f t="shared" si="28"/>
        <v>-6464.2409584952165</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-2158.9007152950289</v>
      </c>
      <c r="DR21" s="1">
        <f t="shared" si="29"/>
        <v>-23468.838057188332</v>
      </c>
      <c r="DS21" s="1">
        <f>MIN(0,-(DB21+DR21)*Analysis!$C$28)-CS21*Analysis!$C$28</f>
        <v>578.98520152845958</v>
      </c>
      <c r="DT21" s="1">
        <f>-Analysis!$C$116*DD21/12</f>
        <v>-2944.2532711665394</v>
      </c>
      <c r="DU21" s="53"/>
      <c r="DV21" s="1">
        <f t="shared" si="30"/>
        <v>-109892.09629441869</v>
      </c>
      <c r="DW21" s="64">
        <f>IF(OR($B21&lt;Analysis!$C$100, $B21&gt;=Analysis!$C$101),0,IF($B21=Analysis!$C$100,Analysis!$C$31,DW20))</f>
        <v>0.1275</v>
      </c>
      <c r="DX21" s="1">
        <f>IF(OR($B21&lt;Analysis!$C$100, $B21&gt;=Analysis!$C$101),0,CK21+DV21)</f>
        <v>752006.69817161025</v>
      </c>
      <c r="DY21" s="1">
        <f>IF(OR($B21&lt;Analysis!$C$100, $B21&gt;=Analysis!$C$101),0,IF($B21-Analysis!$C$100&gt;3,0,IF(CK21&gt;LOOKUP(Analysis!$C$100,$B:$B, CK:CK),$V21*(LOOKUP(Analysis!$C$100,$B:$B, CK:CK)-CK21),0)))</f>
        <v>0</v>
      </c>
      <c r="DZ21" s="1">
        <f t="shared" si="49"/>
        <v>752006.69817161025</v>
      </c>
      <c r="EA21" s="53"/>
      <c r="EB21" s="1">
        <f t="shared" si="31"/>
        <v>1433036.5498350838</v>
      </c>
      <c r="EC21" s="64">
        <f t="shared" si="50"/>
        <v>3.9215686274509887E-2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-146601.52433608397</v>
      </c>
      <c r="FM21" s="1">
        <f>$M21+$R21+DD21+IF(AND($B21&lt;&gt;Analysis!$C$130,$B21=Analysis!$C$101),DZ20+CQ20+CT20+CZ20,0)</f>
        <v>166798.96249522438</v>
      </c>
      <c r="FN21" s="1">
        <f t="shared" si="34"/>
        <v>20197.438159140409</v>
      </c>
      <c r="FO21" s="1">
        <f>IF(FN21 &lt; 0,
    IF(FO20 + FN21 &gt; 0,
        FO20 + FN21, IF(FT20-ABS(FO20 + FN21)*(1+$V21) &gt;= FO20 + FN21,
        0, FO20 + FN21)),
    MIN(FO20 + FN21, Analysis!$C$7))+IF(FO20&lt;0, FO20*Analysis!$C$9,0)</f>
        <v>24000</v>
      </c>
      <c r="FP21" s="53"/>
      <c r="FQ21" s="1">
        <f t="shared" si="51"/>
        <v>19931.405069297303</v>
      </c>
      <c r="FR21" s="1">
        <f>IF(OR($B21=Analysis!$C$100, $B21=Analysis!$C$130),0,IF(FN21 &gt;= 0,
    MAX(0, FO20 + FN21 - Analysis!$C$7),
    0))</f>
        <v>20197.438159140409</v>
      </c>
      <c r="FS21" s="1">
        <f>IF(OR($B21=Analysis!$C$100, $B21=Analysis!$C$130),0,MAX(0, FS20 + FR21 - IF(FN21 &lt; 0, MIN(ABS(FN21), FS20 + FR21), 0)))</f>
        <v>324333.80129535327</v>
      </c>
      <c r="FT21" s="1">
        <f>IF(OR($B21=Analysis!$C$100, $B21=Analysis!$C$130),0,IF(FN21 &lt; 0,
    IF(FN21 + FO20 &lt; 0,
        MAX(0, FT20 - (ABS(FN21 + FO20) * (1+$V20))),
        FT20 + FQ21),
    FT20 + FR21 + FQ21))</f>
        <v>474743.52742945834</v>
      </c>
      <c r="FU21" s="1">
        <f t="shared" si="57"/>
        <v>435072.96216158813</v>
      </c>
      <c r="FV21" s="36"/>
      <c r="FW21" s="1">
        <f t="shared" si="52"/>
        <v>861898.79446602892</v>
      </c>
      <c r="FX21" s="64">
        <f t="shared" si="53"/>
        <v>3.9215686274509887E-2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-15436.709308279533</v>
      </c>
      <c r="GC21" s="1">
        <f>IF($B21&lt;Analysis!$C$159,0,IF($B21=Analysis!$C$159,-FY21-GB21,MIN(0,GC20-GB21)))</f>
        <v>-163567.99857605755</v>
      </c>
      <c r="GD21" s="64">
        <f>IF($B21&lt;Analysis!$C$159,0,IF($B21=Analysis!$C$159,Analysis!$C$160,IF(($B21-Analysis!$C$159)&lt;LOOKUP(Analysis!$C$159,$B:$B,FZ:FZ),GD20,0)))</f>
        <v>3.6999999999999998E-2</v>
      </c>
      <c r="GE21" s="1">
        <f>IF($B21&lt;Analysis!$C$159,0,IF($B21=Analysis!$C$159,-GD21*FY21,GD20*GC20))</f>
        <v>-6623.1741917204718</v>
      </c>
      <c r="GF21" s="1">
        <f>IF($B21&lt;Analysis!$C$159,0,IF($B21=Analysis!$C$159,PMT(GD21,FZ21,FY21)*FZ21-GG21-GC21,IF(($B21-Analysis!$C$159+1)&lt;LOOKUP(Analysis!$C$159,$B:$B,FZ:FZ),IF(GF20-GE21&lt;0, GF20-GE21,0),0)))</f>
        <v>-31141.520493068492</v>
      </c>
      <c r="GG21" s="1">
        <f>IF($B21&lt;Analysis!$C$159,0,IF($B21=Analysis!$C$159,GB21+GE21,IF(GC20&lt;0,IF(GC20&gt;LOOKUP(Analysis!$C$159,$B:$B,GG:GG), GC20*(1+GD20),GG20),0)))</f>
        <v>-22059.883500000004</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28785.342870600387</v>
      </c>
      <c r="GO21" s="64">
        <f>IF($B21&lt;Analysis!$C$159,0,((1+Analysis!$D$174)/(1+$S21))-1)</f>
        <v>3.9215686274509887E-2</v>
      </c>
      <c r="GP21" s="1">
        <f t="shared" si="7"/>
        <v>35331.039253998475</v>
      </c>
      <c r="GQ21" s="1">
        <f t="shared" si="36"/>
        <v>-2585.6963833980867</v>
      </c>
      <c r="GR21" s="64">
        <f>IF($B21&lt;Analysis!$C$159,0,Analysis!$C$178)</f>
        <v>3.0000000000000001E-3</v>
      </c>
      <c r="GS21" s="1">
        <f t="shared" si="37"/>
        <v>-6464.2409584952165</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-2158.9007152950289</v>
      </c>
      <c r="HD21" s="1">
        <f t="shared" si="38"/>
        <v>-23468.838057188332</v>
      </c>
      <c r="HE21" s="1">
        <f>MIN(0,-(GN21+HD21)*Analysis!$C$28)-GE21*Analysis!$C$28</f>
        <v>578.98520152845958</v>
      </c>
      <c r="HF21" s="1">
        <f>-Analysis!$C$176*GP21/12</f>
        <v>-2944.2532711665394</v>
      </c>
      <c r="HG21" s="38"/>
      <c r="HH21" s="1">
        <f>IF($B21&lt;Analysis!$C$159,0,-$HI21*$FW21)</f>
        <v>-109892.09629441869</v>
      </c>
      <c r="HI21" s="64">
        <f>IF($B21&lt;Analysis!$C$159,0,IF($B21=Analysis!$C$159,Analysis!$C$31,HI20))</f>
        <v>0.1275</v>
      </c>
      <c r="HJ21" s="1">
        <f>IF($B21&lt;Analysis!$C$159,0,$FW21+HH21)</f>
        <v>752006.69817161025</v>
      </c>
      <c r="HK21" s="1">
        <f>IF($B21-Analysis!$C$159&gt;10,0,IF($FW21&gt;LOOKUP(Analysis!$C$159,$B:$B, FW:FW),$V21*(LOOKUP(Analysis!$C$159,$B:$B, FW:FW)-FW21),0))</f>
        <v>0</v>
      </c>
      <c r="HL21" s="1">
        <f t="shared" si="39"/>
        <v>752006.69817161025</v>
      </c>
      <c r="HM21" s="38"/>
      <c r="HN21" s="1">
        <f t="shared" si="40"/>
        <v>-146601.52433608397</v>
      </c>
      <c r="HO21" s="1">
        <f t="shared" si="8"/>
        <v>166798.96249522438</v>
      </c>
      <c r="HP21" s="1">
        <f t="shared" si="41"/>
        <v>20197.438159140409</v>
      </c>
      <c r="HQ21" s="1">
        <f>IF(HP21 &lt; 0,
    IF(HQ20 + HP21 &gt; 0,
        HQ20 + HP21, IF(HV20-ABS(HQ20 + HP21)*(1+$V21) &gt;= HQ20 + HP21,
        0, HQ20 + HP21)),
    MIN(HQ20 + HP21, Analysis!$C$7))+IF(HQ20&lt;0, HQ20*Analysis!$C$9,0)</f>
        <v>24000</v>
      </c>
      <c r="HR21" s="38"/>
      <c r="HS21" s="1">
        <f t="shared" si="54"/>
        <v>19931.405069297303</v>
      </c>
      <c r="HT21" s="1">
        <f>IF($B21=Analysis!$C$159,0,IF(HP21 &gt;= 0,
    MAX(0, HQ20 + HP21 - Analysis!$C$7),
    0))</f>
        <v>20197.438159140409</v>
      </c>
      <c r="HU21" s="1">
        <f>IF($B21=Analysis!$C$159,0,MAX(0, HU20 + HT21 - IF(HP21 &lt; 0, MIN(ABS(HP21), HU20 + HT21), 0)))</f>
        <v>324333.80129535327</v>
      </c>
      <c r="HV21" s="1">
        <f>IF($B21=Analysis!$C$159,0,IF(HP21 &lt; 0,
    IF(HP21 + HQ20 &lt; 0,
        MAX(0, HV20 - (ABS(HP21 + HQ20) * (1+$V20))),
        HV20 + HS21),
    HV20 + HT21 + HS21))</f>
        <v>474743.52742945834</v>
      </c>
      <c r="HW21" s="1">
        <f t="shared" si="58"/>
        <v>435072.96216158813</v>
      </c>
      <c r="HX21" s="36"/>
    </row>
    <row r="22" spans="1:232" x14ac:dyDescent="0.35">
      <c r="A22">
        <f t="shared" si="0"/>
        <v>55</v>
      </c>
      <c r="B22">
        <v>2045</v>
      </c>
      <c r="C22" s="1">
        <f>IF($B22&lt;Analysis!C$66,0,$AN22)+$AT22+$AW22+$BC22+$CF22+$CA22</f>
        <v>875836.9522793598</v>
      </c>
      <c r="D22" s="1">
        <f>IF($B22&lt;Analysis!C$66, 0, BV22)+AT22+AW22+BC22+CG22+CA22</f>
        <v>685959.6094262111</v>
      </c>
      <c r="E22" s="1">
        <f t="shared" si="1"/>
        <v>1048054.0001631663</v>
      </c>
      <c r="F22" s="1">
        <f t="shared" si="9"/>
        <v>935217.95971248567</v>
      </c>
      <c r="G22" s="1">
        <f>IF(AND($B22&gt;=Analysis!$C$100, $B22&lt;Analysis!$C$101),$CK22,0)+IF($B22&gt;=Analysis!$C$130,EB22,0)+CQ22+CT22+CZ22+EH22+EK22+EQ22+$FO22+$FT22</f>
        <v>1311787.5003174962</v>
      </c>
      <c r="H22" s="1">
        <f t="shared" si="10"/>
        <v>1152387.7077507596</v>
      </c>
      <c r="I22" s="1">
        <f>IF($B22&lt;Analysis!$C$159,0,$FW22)+$GC22+$GF22+$GL22+$HQ22+$HV22</f>
        <v>1311787.5003174962</v>
      </c>
      <c r="J22" s="1">
        <f t="shared" si="2"/>
        <v>1152387.7077507596</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-34187.634109620631</v>
      </c>
      <c r="Y22" s="64">
        <f t="shared" si="15"/>
        <v>3.9215686274509887E-2</v>
      </c>
      <c r="Z22" s="1">
        <f t="shared" si="16"/>
        <v>-3960</v>
      </c>
      <c r="AA22" s="64">
        <f t="shared" si="17"/>
        <v>0</v>
      </c>
      <c r="AB22" s="40"/>
      <c r="AC22" s="1">
        <f t="shared" si="3"/>
        <v>-108297.63410962063</v>
      </c>
      <c r="AD22" s="1">
        <f t="shared" si="4"/>
        <v>181467.92324122589</v>
      </c>
      <c r="AE22" s="1">
        <f t="shared" si="18"/>
        <v>73170.289131605256</v>
      </c>
      <c r="AF22" s="1">
        <f>IF(AE22 &lt; 0,
    IF(AF21 + AE22 &gt; 0,
        AF21 + AE22, IF(AK21-ABS(AF21 + AE22)*(1+$V22) &gt;= AF21 + AE22,
        0, AF21 + AE22)),
    MIN(AF21 + AE22, Analysis!$C$7))+IF(AF21&lt;0, AF21*Analysis!$C$9,0)</f>
        <v>24000</v>
      </c>
      <c r="AG22" s="40"/>
      <c r="AH22" s="1">
        <f t="shared" si="19"/>
        <v>40202.616390861302</v>
      </c>
      <c r="AI22" s="1">
        <f>IF(AE22 &gt;= 0,
    MAX(0, AF21 + AE22 - Analysis!$C$7),
    0)</f>
        <v>73170.289131605256</v>
      </c>
      <c r="AJ22" s="1">
        <f t="shared" si="44"/>
        <v>596239.62878617819</v>
      </c>
      <c r="AK22" s="1">
        <f t="shared" si="20"/>
        <v>1024054.0001631663</v>
      </c>
      <c r="AL22" s="1">
        <f t="shared" si="5"/>
        <v>911217.95971248567</v>
      </c>
      <c r="AM22" s="36"/>
      <c r="AN22" s="1">
        <f t="shared" si="45"/>
        <v>1489234.0615933225</v>
      </c>
      <c r="AO22" s="64">
        <f t="shared" si="21"/>
        <v>3.9215686274509887E-2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-28698.557984583807</v>
      </c>
      <c r="AT22" s="1">
        <f>IF($B22&lt;Analysis!$C$66,0,IF($B22=Analysis!$C$66,-AP22-AS22,MIN(0,AT21-AS22)))</f>
        <v>-264542.6045942324</v>
      </c>
      <c r="AU22" s="64">
        <f>IF($B22&lt;Analysis!$C$66,0,IF($B22=Analysis!$C$66,Analysis!$C$72,IF(($B22-Analysis!$C$66)&lt;LOOKUP(Analysis!$C$66,$B:$B,AQ:AQ),AU21,0)))</f>
        <v>3.6999999999999998E-2</v>
      </c>
      <c r="AV22" s="1">
        <f>IF($B22&lt;Analysis!$C$66,0,IF($B22=Analysis!$C$66,-AU22*AP22,AU21*AT21))</f>
        <v>-10849.9230154162</v>
      </c>
      <c r="AW22" s="1">
        <f>IF($B22&lt;Analysis!$C$66,0,IF($B22=Analysis!$C$66,PMT(AU22,AQ22,AP22)*AQ22-AX22-AT22,IF(($B22-Analysis!$C$66+1)&lt;LOOKUP(Analysis!$C$66,$B:$B,AQ:AQ),IF(AW21-AV22&lt;0, AW21-AV22,0),0)))</f>
        <v>-44979.919945052192</v>
      </c>
      <c r="AX22" s="1">
        <f>IF($B22&lt;Analysis!$C$66,0,IF($B22=Analysis!$C$66,AS22+AV22,IF(AT21&lt;0,IF(AT21&gt;LOOKUP(Analysis!$C$66,$B:$B,AX:AX), AT21*(1+AU21),AX21),0)))</f>
        <v>-39548.481000000007</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-4467.7021847799679</v>
      </c>
      <c r="BF22" s="64">
        <f>IF($B22&lt;Analysis!$C$66,0,Analysis!$C$78)</f>
        <v>3.0000000000000001E-3</v>
      </c>
      <c r="BG22" s="1">
        <f>IF($B22&lt;Analysis!$C$66,0,-BH22*AN22)</f>
        <v>-11169.255461949919</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-189877.34285314864</v>
      </c>
      <c r="BS22" s="64">
        <f>IF($B22&lt;Analysis!C$66,0,Analysis!C$31)</f>
        <v>0.1275</v>
      </c>
      <c r="BT22" s="1">
        <f>IF($B22&lt;Analysis!$C$66,0,AN22+BR22)</f>
        <v>1299356.7187401738</v>
      </c>
      <c r="BU22" s="1">
        <f>IF($B22-Analysis!$C$66&gt;3,0,IF($AN22&gt;LOOKUP(Analysis!$C$66,$B:$B, AN:AN),$V22*(LOOKUP(Analysis!$C$66,$B:$B, AN:AN)-AN22),0))</f>
        <v>0</v>
      </c>
      <c r="BV22" s="1">
        <f t="shared" si="23"/>
        <v>1299356.7187401738</v>
      </c>
      <c r="BW22" s="42"/>
      <c r="BX22" s="1">
        <f>IF($B22&lt;Analysis!$C$66,$P22+$N22+$X22+$Z22,$P22+$N22+AS22+AV22+BB22+BE22+BG22+MAX(BI22,SUM(BJ22:BN22))+BP22)</f>
        <v>-129295.43864672988</v>
      </c>
      <c r="BY22" s="1">
        <f t="shared" si="24"/>
        <v>181467.92324122589</v>
      </c>
      <c r="BZ22" s="1">
        <f t="shared" si="46"/>
        <v>52172.484594496011</v>
      </c>
      <c r="CA22" s="1">
        <f>IF(BZ22 &lt; 0,
    IF(CA21 + BZ22 &gt; 0,
        CA21 + BZ22, IF(CF21-ABS(CA21 + BZ22)*(1+$V22) &gt;= CA21 + BZ22,
        0, CA21 + BZ22)),
    MIN(CA21 + BZ22, Analysis!$C$7))+IF(CA21&lt;0, CA21*Analysis!$C$9,0)</f>
        <v>-303874.58477467817</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-34187.634109620631</v>
      </c>
      <c r="CJ22" s="1">
        <f>IF(OR($B22&lt;Analysis!$C$100, $B22&gt;=Analysis!$C$130),0,Z22)</f>
        <v>-3960</v>
      </c>
      <c r="CK22" s="1">
        <f t="shared" si="26"/>
        <v>895698.74719018699</v>
      </c>
      <c r="CL22" s="64">
        <f t="shared" si="48"/>
        <v>3.9215686274509887E-2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-16007.867552685875</v>
      </c>
      <c r="CQ22" s="1">
        <f>IF(OR($B22&lt;Analysis!$C$100, $B22&gt;=Analysis!$C$101),0,IF($B22=Analysis!$C$100,-CM22-CP22,MIN(0,CQ21-CP22)))</f>
        <v>-147560.13102337168</v>
      </c>
      <c r="CR22" s="64">
        <f>IF(OR($B22&lt;Analysis!$C$100, $B22&gt;=Analysis!$C$101),0,IF($B22=Analysis!$C$100,Analysis!$C$102,IF(($B22-Analysis!$C$100)&lt;LOOKUP(Analysis!$C$100,$B:$B,CN:CN),CR21,0)))</f>
        <v>3.6999999999999998E-2</v>
      </c>
      <c r="CS22" s="1">
        <f>IF(OR($B22&lt;Analysis!$C$100, $B22&gt;=Analysis!$C$101),0,IF($B22=Analysis!$C$100,-CR22*CM22,CR21*CQ21))</f>
        <v>-6052.0159473141293</v>
      </c>
      <c r="CT22" s="1">
        <f>IF(OR($B22&lt;Analysis!$C$100, $B22&gt;=Analysis!$C$101),0,IF($B22=Analysis!$C$100,PMT(CR22,CN22,CM22)*CN22-CU22-CQ22,IF(($B22-Analysis!$C$100+1)&lt;LOOKUP(Analysis!$C$100,$B:$B,CN:CN),IF(CT21-CS22&lt;0, CT21-CS22,0),0)))</f>
        <v>-25089.504545754364</v>
      </c>
      <c r="CU22" s="1">
        <f>IF(OR($B22&lt;Analysis!$C$100, $B22&gt;=Analysis!$C$101),0,IF($B22=Analysis!$C$100,CP22+CS22,IF(CQ21&lt;0,IF(CQ21&gt;LOOKUP(Analysis!$C$100,$B:$B,CU:CU), CQ21*(1+CR21),CU21),0)))</f>
        <v>-22059.883500000004</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29914.17984591805</v>
      </c>
      <c r="DC22" s="64">
        <f>IF(OR($B22&lt;Analysis!$C$100, $B22&gt;=Analysis!$C$101),0,((1+Analysis!$D$114)/(1+$S22))-1)</f>
        <v>3.9215686274509887E-2</v>
      </c>
      <c r="DD22" s="1">
        <f t="shared" si="6"/>
        <v>36561.276087488608</v>
      </c>
      <c r="DE22" s="1">
        <f t="shared" si="27"/>
        <v>-2687.0962415705612</v>
      </c>
      <c r="DF22" s="64">
        <f>IF(OR($B22&lt;Analysis!$C$100, $B22&gt;=Analysis!$C$101),0,Analysis!$C$118)</f>
        <v>3.0000000000000001E-3</v>
      </c>
      <c r="DG22" s="1">
        <f t="shared" si="28"/>
        <v>-6717.7406039264024</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-2243.5634884438537</v>
      </c>
      <c r="DR22" s="1">
        <f t="shared" si="29"/>
        <v>-23908.400333940819</v>
      </c>
      <c r="DS22" s="1">
        <f>MIN(0,-(DB22+DR22)*Analysis!$C$28)-CS22*Analysis!$C$28</f>
        <v>20.487364497779708</v>
      </c>
      <c r="DT22" s="1">
        <f>-Analysis!$C$116*DD22/12</f>
        <v>-3046.7730072907175</v>
      </c>
      <c r="DU22" s="53"/>
      <c r="DV22" s="1">
        <f t="shared" si="30"/>
        <v>-114201.59026674884</v>
      </c>
      <c r="DW22" s="64">
        <f>IF(OR($B22&lt;Analysis!$C$100, $B22&gt;=Analysis!$C$101),0,IF($B22=Analysis!$C$100,Analysis!$C$31,DW21))</f>
        <v>0.1275</v>
      </c>
      <c r="DX22" s="1">
        <f>IF(OR($B22&lt;Analysis!$C$100, $B22&gt;=Analysis!$C$101),0,CK22+DV22)</f>
        <v>781497.15692343819</v>
      </c>
      <c r="DY22" s="1">
        <f>IF(OR($B22&lt;Analysis!$C$100, $B22&gt;=Analysis!$C$101),0,IF($B22-Analysis!$C$100&gt;3,0,IF(CK22&gt;LOOKUP(Analysis!$C$100,$B:$B, CK:CK),$V22*(LOOKUP(Analysis!$C$100,$B:$B, CK:CK)-CK22),0)))</f>
        <v>0</v>
      </c>
      <c r="DZ22" s="1">
        <f t="shared" si="49"/>
        <v>781497.15692343819</v>
      </c>
      <c r="EA22" s="53"/>
      <c r="EB22" s="1">
        <f t="shared" si="31"/>
        <v>1489234.0615933225</v>
      </c>
      <c r="EC22" s="64">
        <f t="shared" si="50"/>
        <v>3.9215686274509887E-2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-148992.20358635439</v>
      </c>
      <c r="FM22" s="1">
        <f>$M22+$R22+DD22+IF(AND($B22&lt;&gt;Analysis!$C$130,$B22=Analysis!$C$101),DZ21+CQ21+CT21+CZ21,0)</f>
        <v>218029.19932871449</v>
      </c>
      <c r="FN22" s="1">
        <f t="shared" si="34"/>
        <v>69036.995742360101</v>
      </c>
      <c r="FO22" s="1">
        <f>IF(FN22 &lt; 0,
    IF(FO21 + FN22 &gt; 0,
        FO21 + FN22, IF(FT21-ABS(FO21 + FN22)*(1+$V22) &gt;= FO21 + FN22,
        0, FO21 + FN22)),
    MIN(FO21 + FN22, Analysis!$C$7))+IF(FO21&lt;0, FO21*Analysis!$C$9,0)</f>
        <v>24000</v>
      </c>
      <c r="FP22" s="53"/>
      <c r="FQ22" s="1">
        <f t="shared" si="51"/>
        <v>20957.865524617067</v>
      </c>
      <c r="FR22" s="1">
        <f>IF(OR($B22=Analysis!$C$100, $B22=Analysis!$C$130),0,IF(FN22 &gt;= 0,
    MAX(0, FO21 + FN22 - Analysis!$C$7),
    0))</f>
        <v>69036.995742360101</v>
      </c>
      <c r="FS22" s="1">
        <f>IF(OR($B22=Analysis!$C$100, $B22=Analysis!$C$130),0,MAX(0, FS21 + FR22 - IF(FN22 &lt; 0, MIN(ABS(FN22), FS21 + FR22), 0)))</f>
        <v>393370.79703771335</v>
      </c>
      <c r="FT22" s="1">
        <f>IF(OR($B22=Analysis!$C$100, $B22=Analysis!$C$130),0,IF(FN22 &lt; 0,
    IF(FN22 + FO21 &lt; 0,
        MAX(0, FT21 - (ABS(FN22 + FO21) * (1+$V21))),
        FT21 + FQ22),
    FT21 + FR22 + FQ22))</f>
        <v>564738.38869643549</v>
      </c>
      <c r="FU22" s="1">
        <f t="shared" si="57"/>
        <v>519540.18639644753</v>
      </c>
      <c r="FV22" s="36"/>
      <c r="FW22" s="1">
        <f t="shared" si="52"/>
        <v>895698.74719018699</v>
      </c>
      <c r="FX22" s="64">
        <f t="shared" si="53"/>
        <v>3.9215686274509887E-2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-16007.867552685875</v>
      </c>
      <c r="GC22" s="1">
        <f>IF($B22&lt;Analysis!$C$159,0,IF($B22=Analysis!$C$159,-FY22-GB22,MIN(0,GC21-GB22)))</f>
        <v>-147560.13102337168</v>
      </c>
      <c r="GD22" s="64">
        <f>IF($B22&lt;Analysis!$C$159,0,IF($B22=Analysis!$C$159,Analysis!$C$160,IF(($B22-Analysis!$C$159)&lt;LOOKUP(Analysis!$C$159,$B:$B,FZ:FZ),GD21,0)))</f>
        <v>3.6999999999999998E-2</v>
      </c>
      <c r="GE22" s="1">
        <f>IF($B22&lt;Analysis!$C$159,0,IF($B22=Analysis!$C$159,-GD22*FY22,GD21*GC21))</f>
        <v>-6052.0159473141293</v>
      </c>
      <c r="GF22" s="1">
        <f>IF($B22&lt;Analysis!$C$159,0,IF($B22=Analysis!$C$159,PMT(GD22,FZ22,FY22)*FZ22-GG22-GC22,IF(($B22-Analysis!$C$159+1)&lt;LOOKUP(Analysis!$C$159,$B:$B,FZ:FZ),IF(GF21-GE22&lt;0, GF21-GE22,0),0)))</f>
        <v>-25089.504545754364</v>
      </c>
      <c r="GG22" s="1">
        <f>IF($B22&lt;Analysis!$C$159,0,IF($B22=Analysis!$C$159,GB22+GE22,IF(GC21&lt;0,IF(GC21&gt;LOOKUP(Analysis!$C$159,$B:$B,GG:GG), GC21*(1+GD21),GG21),0)))</f>
        <v>-22059.883500000004</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29914.17984591805</v>
      </c>
      <c r="GO22" s="64">
        <f>IF($B22&lt;Analysis!$C$159,0,((1+Analysis!$D$174)/(1+$S22))-1)</f>
        <v>3.9215686274509887E-2</v>
      </c>
      <c r="GP22" s="1">
        <f t="shared" si="7"/>
        <v>36561.276087488608</v>
      </c>
      <c r="GQ22" s="1">
        <f t="shared" si="36"/>
        <v>-2687.0962415705612</v>
      </c>
      <c r="GR22" s="64">
        <f>IF($B22&lt;Analysis!$C$159,0,Analysis!$C$178)</f>
        <v>3.0000000000000001E-3</v>
      </c>
      <c r="GS22" s="1">
        <f t="shared" si="37"/>
        <v>-6717.7406039264024</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-2243.5634884438537</v>
      </c>
      <c r="HD22" s="1">
        <f t="shared" si="38"/>
        <v>-23908.400333940819</v>
      </c>
      <c r="HE22" s="1">
        <f>MIN(0,-(GN22+HD22)*Analysis!$C$28)-GE22*Analysis!$C$28</f>
        <v>20.487364497779708</v>
      </c>
      <c r="HF22" s="1">
        <f>-Analysis!$C$176*GP22/12</f>
        <v>-3046.7730072907175</v>
      </c>
      <c r="HG22" s="38"/>
      <c r="HH22" s="1">
        <f>IF($B22&lt;Analysis!$C$159,0,-$HI22*$FW22)</f>
        <v>-114201.59026674884</v>
      </c>
      <c r="HI22" s="64">
        <f>IF($B22&lt;Analysis!$C$159,0,IF($B22=Analysis!$C$159,Analysis!$C$31,HI21))</f>
        <v>0.1275</v>
      </c>
      <c r="HJ22" s="1">
        <f>IF($B22&lt;Analysis!$C$159,0,$FW22+HH22)</f>
        <v>781497.15692343819</v>
      </c>
      <c r="HK22" s="1">
        <f>IF($B22-Analysis!$C$159&gt;10,0,IF($FW22&gt;LOOKUP(Analysis!$C$159,$B:$B, FW:FW),$V22*(LOOKUP(Analysis!$C$159,$B:$B, FW:FW)-FW22),0))</f>
        <v>0</v>
      </c>
      <c r="HL22" s="1">
        <f t="shared" si="39"/>
        <v>781497.15692343819</v>
      </c>
      <c r="HM22" s="38"/>
      <c r="HN22" s="1">
        <f t="shared" si="40"/>
        <v>-148992.20358635439</v>
      </c>
      <c r="HO22" s="1">
        <f t="shared" si="8"/>
        <v>218029.19932871449</v>
      </c>
      <c r="HP22" s="1">
        <f t="shared" si="41"/>
        <v>69036.995742360101</v>
      </c>
      <c r="HQ22" s="1">
        <f>IF(HP22 &lt; 0,
    IF(HQ21 + HP22 &gt; 0,
        HQ21 + HP22, IF(HV21-ABS(HQ21 + HP22)*(1+$V22) &gt;= HQ21 + HP22,
        0, HQ21 + HP22)),
    MIN(HQ21 + HP22, Analysis!$C$7))+IF(HQ21&lt;0, HQ21*Analysis!$C$9,0)</f>
        <v>24000</v>
      </c>
      <c r="HR22" s="38"/>
      <c r="HS22" s="1">
        <f t="shared" si="54"/>
        <v>20957.865524617067</v>
      </c>
      <c r="HT22" s="1">
        <f>IF($B22=Analysis!$C$159,0,IF(HP22 &gt;= 0,
    MAX(0, HQ21 + HP22 - Analysis!$C$7),
    0))</f>
        <v>69036.995742360101</v>
      </c>
      <c r="HU22" s="1">
        <f>IF($B22=Analysis!$C$159,0,MAX(0, HU21 + HT22 - IF(HP22 &lt; 0, MIN(ABS(HP22), HU21 + HT22), 0)))</f>
        <v>393370.79703771335</v>
      </c>
      <c r="HV22" s="1">
        <f>IF($B22=Analysis!$C$159,0,IF(HP22 &lt; 0,
    IF(HP22 + HQ21 &lt; 0,
        MAX(0, HV21 - (ABS(HP22 + HQ21) * (1+$V21))),
        HV21 + HS22),
    HV21 + HT22 + HS22))</f>
        <v>564738.38869643549</v>
      </c>
      <c r="HW22" s="1">
        <f t="shared" si="58"/>
        <v>519540.18639644753</v>
      </c>
      <c r="HX22" s="36"/>
    </row>
    <row r="23" spans="1:232" x14ac:dyDescent="0.35">
      <c r="A23">
        <f t="shared" si="0"/>
        <v>56</v>
      </c>
      <c r="B23">
        <v>2046</v>
      </c>
      <c r="C23" s="1">
        <f>IF($B23&lt;Analysis!C$66,0,$AN23)+$AT23+$AW23+$BC23+$CF23+$CA23</f>
        <v>946786.07281527761</v>
      </c>
      <c r="D23" s="1">
        <f>IF($B23&lt;Analysis!C$66, 0, BV23)+AT23+AW23+BC23+CG23+CA23</f>
        <v>749462.55965416227</v>
      </c>
      <c r="E23" s="1">
        <f t="shared" si="1"/>
        <v>1109085.6145522981</v>
      </c>
      <c r="F23" s="1">
        <f t="shared" si="9"/>
        <v>984789.10467292869</v>
      </c>
      <c r="G23" s="1">
        <f>IF(AND($B23&gt;=Analysis!$C$100, $B23&lt;Analysis!$C$101),$CK23,0)+IF($B23&gt;=Analysis!$C$130,EB23,0)+CQ23+CT23+CZ23+EH23+EK23+EQ23+$FO23+$FT23</f>
        <v>1406517.0563734793</v>
      </c>
      <c r="H23" s="1">
        <f t="shared" si="10"/>
        <v>1236318.6277366653</v>
      </c>
      <c r="I23" s="1">
        <f>IF($B23&lt;Analysis!$C$159,0,$FW23)+$GC23+$GF23+$GL23+$HQ23+$HV23</f>
        <v>1406517.0563734793</v>
      </c>
      <c r="J23" s="1">
        <f t="shared" si="2"/>
        <v>1236318.6277366653</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-35528.325643331249</v>
      </c>
      <c r="Y23" s="64">
        <f t="shared" si="15"/>
        <v>3.9215686274509887E-2</v>
      </c>
      <c r="Z23" s="1">
        <f t="shared" si="16"/>
        <v>-3960</v>
      </c>
      <c r="AA23" s="64">
        <f t="shared" si="17"/>
        <v>0</v>
      </c>
      <c r="AB23" s="40"/>
      <c r="AC23" s="1">
        <f t="shared" si="3"/>
        <v>-113888.32564333125</v>
      </c>
      <c r="AD23" s="1">
        <f t="shared" si="4"/>
        <v>131467.92324122589</v>
      </c>
      <c r="AE23" s="1">
        <f t="shared" si="18"/>
        <v>17579.597597894637</v>
      </c>
      <c r="AF23" s="1">
        <f>IF(AE23 &lt; 0,
    IF(AF22 + AE23 &gt; 0,
        AF22 + AE23, IF(AK22-ABS(AF22 + AE23)*(1+$V23) &gt;= AF22 + AE23,
        0, AF22 + AE23)),
    MIN(AF22 + AE23, Analysis!$C$7))+IF(AF22&lt;0, AF22*Analysis!$C$9,0)</f>
        <v>24000</v>
      </c>
      <c r="AG23" s="40"/>
      <c r="AH23" s="1">
        <f t="shared" si="19"/>
        <v>43452.016791237278</v>
      </c>
      <c r="AI23" s="1">
        <f>IF(AE23 &gt;= 0,
    MAX(0, AF22 + AE23 - Analysis!$C$7),
    0)</f>
        <v>17579.597597894637</v>
      </c>
      <c r="AJ23" s="1">
        <f t="shared" si="44"/>
        <v>613819.2263840728</v>
      </c>
      <c r="AK23" s="1">
        <f t="shared" si="20"/>
        <v>1085085.6145522981</v>
      </c>
      <c r="AL23" s="1">
        <f t="shared" si="5"/>
        <v>960789.10467292869</v>
      </c>
      <c r="AM23" s="36"/>
      <c r="AN23" s="1">
        <f t="shared" si="45"/>
        <v>1547635.3973420805</v>
      </c>
      <c r="AO23" s="64">
        <f t="shared" si="21"/>
        <v>3.9215686274509887E-2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-29760.404630013407</v>
      </c>
      <c r="AT23" s="1">
        <f>IF($B23&lt;Analysis!$C$66,0,IF($B23=Analysis!$C$66,-AP23-AS23,MIN(0,AT22-AS23)))</f>
        <v>-234782.19996421901</v>
      </c>
      <c r="AU23" s="64">
        <f>IF($B23&lt;Analysis!$C$66,0,IF($B23=Analysis!$C$66,Analysis!$C$72,IF(($B23-Analysis!$C$66)&lt;LOOKUP(Analysis!$C$66,$B:$B,AQ:AQ),AU22,0)))</f>
        <v>3.6999999999999998E-2</v>
      </c>
      <c r="AV23" s="1">
        <f>IF($B23&lt;Analysis!$C$66,0,IF($B23=Analysis!$C$66,-AU23*AP23,AU22*AT22))</f>
        <v>-9788.0763699865984</v>
      </c>
      <c r="AW23" s="1">
        <f>IF($B23&lt;Analysis!$C$66,0,IF($B23=Analysis!$C$66,PMT(AU23,AQ23,AP23)*AQ23-AX23-AT23,IF(($B23-Analysis!$C$66+1)&lt;LOOKUP(Analysis!$C$66,$B:$B,AQ:AQ),IF(AW22-AV23&lt;0, AW22-AV23,0),0)))</f>
        <v>-35191.843575065592</v>
      </c>
      <c r="AX23" s="1">
        <f>IF($B23&lt;Analysis!$C$66,0,IF($B23=Analysis!$C$66,AS23+AV23,IF(AT22&lt;0,IF(AT22&gt;LOOKUP(Analysis!$C$66,$B:$B,AX:AX), AT22*(1+AU22),AX22),0)))</f>
        <v>-39548.481000000007</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-4642.9061920262411</v>
      </c>
      <c r="BF23" s="64">
        <f>IF($B23&lt;Analysis!$C$66,0,Analysis!$C$78)</f>
        <v>3.0000000000000001E-3</v>
      </c>
      <c r="BG23" s="1">
        <f>IF($B23&lt;Analysis!$C$66,0,-BH23*AN23)</f>
        <v>-11607.265480065604</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-197323.51316111526</v>
      </c>
      <c r="BS23" s="64">
        <f>IF($B23&lt;Analysis!C$66,0,Analysis!C$31)</f>
        <v>0.1275</v>
      </c>
      <c r="BT23" s="1">
        <f>IF($B23&lt;Analysis!$C$66,0,AN23+BR23)</f>
        <v>1350311.8841809651</v>
      </c>
      <c r="BU23" s="1">
        <f>IF($B23-Analysis!$C$66&gt;3,0,IF($AN23&gt;LOOKUP(Analysis!$C$66,$B:$B, AN:AN),$V23*(LOOKUP(Analysis!$C$66,$B:$B, AN:AN)-AN23),0))</f>
        <v>0</v>
      </c>
      <c r="BV23" s="1">
        <f t="shared" si="23"/>
        <v>1350311.8841809651</v>
      </c>
      <c r="BW23" s="42"/>
      <c r="BX23" s="1">
        <f>IF($B23&lt;Analysis!$C$66,$P23+$N23+$X23+$Z23,$P23+$N23+AS23+AV23+BB23+BE23+BG23+MAX(BI23,SUM(BJ23:BN23))+BP23)</f>
        <v>-134158.65267209185</v>
      </c>
      <c r="BY23" s="1">
        <f t="shared" si="24"/>
        <v>131467.92324122589</v>
      </c>
      <c r="BZ23" s="1">
        <f t="shared" si="46"/>
        <v>-2690.7294308659621</v>
      </c>
      <c r="CA23" s="1">
        <f>IF(BZ23 &lt; 0,
    IF(CA22 + BZ23 &gt; 0,
        CA22 + BZ23, IF(CF22-ABS(CA22 + BZ23)*(1+$V23) &gt;= CA22 + BZ23,
        0, CA22 + BZ23)),
    MIN(CA22 + BZ23, Analysis!$C$7))+IF(CA22&lt;0, CA22*Analysis!$C$9,0)</f>
        <v>-330875.28098751837</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-35528.325643331249</v>
      </c>
      <c r="CJ23" s="1">
        <f>IF(OR($B23&lt;Analysis!$C$100, $B23&gt;=Analysis!$C$130),0,Z23)</f>
        <v>-3960</v>
      </c>
      <c r="CK23" s="1">
        <f t="shared" si="26"/>
        <v>930824.18825646886</v>
      </c>
      <c r="CL23" s="64">
        <f t="shared" si="48"/>
        <v>3.9215686274509887E-2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-16600.158652135251</v>
      </c>
      <c r="CQ23" s="1">
        <f>IF(OR($B23&lt;Analysis!$C$100, $B23&gt;=Analysis!$C$101),0,IF($B23=Analysis!$C$100,-CM23-CP23,MIN(0,CQ22-CP23)))</f>
        <v>-130959.97237123642</v>
      </c>
      <c r="CR23" s="64">
        <f>IF(OR($B23&lt;Analysis!$C$100, $B23&gt;=Analysis!$C$101),0,IF($B23=Analysis!$C$100,Analysis!$C$102,IF(($B23-Analysis!$C$100)&lt;LOOKUP(Analysis!$C$100,$B:$B,CN:CN),CR22,0)))</f>
        <v>3.6999999999999998E-2</v>
      </c>
      <c r="CS23" s="1">
        <f>IF(OR($B23&lt;Analysis!$C$100, $B23&gt;=Analysis!$C$101),0,IF($B23=Analysis!$C$100,-CR23*CM23,CR22*CQ22))</f>
        <v>-5459.7248478647516</v>
      </c>
      <c r="CT23" s="1">
        <f>IF(OR($B23&lt;Analysis!$C$100, $B23&gt;=Analysis!$C$101),0,IF($B23=Analysis!$C$100,PMT(CR23,CN23,CM23)*CN23-CU23-CQ23,IF(($B23-Analysis!$C$100+1)&lt;LOOKUP(Analysis!$C$100,$B:$B,CN:CN),IF(CT22-CS23&lt;0, CT22-CS23,0),0)))</f>
        <v>-19629.779697889611</v>
      </c>
      <c r="CU23" s="1">
        <f>IF(OR($B23&lt;Analysis!$C$100, $B23&gt;=Analysis!$C$101),0,IF($B23=Analysis!$C$100,CP23+CS23,IF(CQ22&lt;0,IF(CQ22&gt;LOOKUP(Analysis!$C$100,$B:$B,CU:CU), CQ22*(1+CR22),CU22),0)))</f>
        <v>-22059.883500000004</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31087.284937914839</v>
      </c>
      <c r="DC23" s="64">
        <f>IF(OR($B23&lt;Analysis!$C$100, $B23&gt;=Analysis!$C$101),0,((1+Analysis!$D$114)/(1+$S23))-1)</f>
        <v>3.9215686274509887E-2</v>
      </c>
      <c r="DD23" s="1">
        <f t="shared" si="6"/>
        <v>37839.757502684246</v>
      </c>
      <c r="DE23" s="1">
        <f t="shared" si="27"/>
        <v>-2792.4725647694067</v>
      </c>
      <c r="DF23" s="64">
        <f>IF(OR($B23&lt;Analysis!$C$100, $B23&gt;=Analysis!$C$101),0,Analysis!$C$118)</f>
        <v>3.0000000000000001E-3</v>
      </c>
      <c r="DG23" s="1">
        <f t="shared" si="28"/>
        <v>-6981.181411923516</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-2331.546370343613</v>
      </c>
      <c r="DR23" s="1">
        <f t="shared" si="29"/>
        <v>-24365.200347036538</v>
      </c>
      <c r="DS23" s="1">
        <f>MIN(0,-(DB23+DR23)*Analysis!$C$28)-CS23*Analysis!$C$28</f>
        <v>-559.3516021293035</v>
      </c>
      <c r="DT23" s="1">
        <f>-Analysis!$C$116*DD23/12</f>
        <v>-3153.3131252236872</v>
      </c>
      <c r="DU23" s="53"/>
      <c r="DV23" s="1">
        <f t="shared" si="30"/>
        <v>-118680.08400269978</v>
      </c>
      <c r="DW23" s="64">
        <f>IF(OR($B23&lt;Analysis!$C$100, $B23&gt;=Analysis!$C$101),0,IF($B23=Analysis!$C$100,Analysis!$C$31,DW22))</f>
        <v>0.1275</v>
      </c>
      <c r="DX23" s="1">
        <f>IF(OR($B23&lt;Analysis!$C$100, $B23&gt;=Analysis!$C$101),0,CK23+DV23)</f>
        <v>812144.10425376904</v>
      </c>
      <c r="DY23" s="1">
        <f>IF(OR($B23&lt;Analysis!$C$100, $B23&gt;=Analysis!$C$101),0,IF($B23-Analysis!$C$100&gt;3,0,IF(CK23&gt;LOOKUP(Analysis!$C$100,$B:$B, CK:CK),$V23*(LOOKUP(Analysis!$C$100,$B:$B, CK:CK)-CK23),0)))</f>
        <v>0</v>
      </c>
      <c r="DZ23" s="1">
        <f t="shared" si="49"/>
        <v>812144.10425376904</v>
      </c>
      <c r="EA23" s="53"/>
      <c r="EB23" s="1">
        <f t="shared" si="31"/>
        <v>1547635.3973420805</v>
      </c>
      <c r="EC23" s="64">
        <f t="shared" si="50"/>
        <v>3.9215686274509887E-2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-155726.07421772077</v>
      </c>
      <c r="FM23" s="1">
        <f>$M23+$R23+DD23+IF(AND($B23&lt;&gt;Analysis!$C$130,$B23=Analysis!$C$101),DZ22+CQ22+CT22+CZ22,0)</f>
        <v>169307.68074391014</v>
      </c>
      <c r="FN23" s="1">
        <f t="shared" si="34"/>
        <v>13581.606526189367</v>
      </c>
      <c r="FO23" s="1">
        <f>IF(FN23 &lt; 0,
    IF(FO22 + FN23 &gt; 0,
        FO22 + FN23, IF(FT22-ABS(FO22 + FN23)*(1+$V23) &gt;= FO22 + FN23,
        0, FO22 + FN23)),
    MIN(FO22 + FN23, Analysis!$C$7))+IF(FO22&lt;0, FO22*Analysis!$C$9,0)</f>
        <v>24000</v>
      </c>
      <c r="FP23" s="53"/>
      <c r="FQ23" s="1">
        <f t="shared" si="51"/>
        <v>23962.624963511596</v>
      </c>
      <c r="FR23" s="1">
        <f>IF(OR($B23=Analysis!$C$100, $B23=Analysis!$C$130),0,IF(FN23 &gt;= 0,
    MAX(0, FO22 + FN23 - Analysis!$C$7),
    0))</f>
        <v>13581.606526189367</v>
      </c>
      <c r="FS23" s="1">
        <f>IF(OR($B23=Analysis!$C$100, $B23=Analysis!$C$130),0,MAX(0, FS22 + FR23 - IF(FN23 &lt; 0, MIN(ABS(FN23), FS22 + FR23), 0)))</f>
        <v>406952.40356390271</v>
      </c>
      <c r="FT23" s="1">
        <f>IF(OR($B23=Analysis!$C$100, $B23=Analysis!$C$130),0,IF(FN23 &lt; 0,
    IF(FN23 + FO22 &lt; 0,
        MAX(0, FT22 - (ABS(FN23 + FO22) * (1+$V22))),
        FT22 + FQ23),
    FT22 + FR23 + FQ23))</f>
        <v>602282.62018613645</v>
      </c>
      <c r="FU23" s="1">
        <f t="shared" si="57"/>
        <v>550764.27555202227</v>
      </c>
      <c r="FV23" s="36"/>
      <c r="FW23" s="1">
        <f t="shared" si="52"/>
        <v>930824.18825646886</v>
      </c>
      <c r="FX23" s="64">
        <f t="shared" si="53"/>
        <v>3.9215686274509887E-2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-16600.158652135251</v>
      </c>
      <c r="GC23" s="1">
        <f>IF($B23&lt;Analysis!$C$159,0,IF($B23=Analysis!$C$159,-FY23-GB23,MIN(0,GC22-GB23)))</f>
        <v>-130959.97237123642</v>
      </c>
      <c r="GD23" s="64">
        <f>IF($B23&lt;Analysis!$C$159,0,IF($B23=Analysis!$C$159,Analysis!$C$160,IF(($B23-Analysis!$C$159)&lt;LOOKUP(Analysis!$C$159,$B:$B,FZ:FZ),GD22,0)))</f>
        <v>3.6999999999999998E-2</v>
      </c>
      <c r="GE23" s="1">
        <f>IF($B23&lt;Analysis!$C$159,0,IF($B23=Analysis!$C$159,-GD23*FY23,GD22*GC22))</f>
        <v>-5459.7248478647516</v>
      </c>
      <c r="GF23" s="1">
        <f>IF($B23&lt;Analysis!$C$159,0,IF($B23=Analysis!$C$159,PMT(GD23,FZ23,FY23)*FZ23-GG23-GC23,IF(($B23-Analysis!$C$159+1)&lt;LOOKUP(Analysis!$C$159,$B:$B,FZ:FZ),IF(GF22-GE23&lt;0, GF22-GE23,0),0)))</f>
        <v>-19629.779697889611</v>
      </c>
      <c r="GG23" s="1">
        <f>IF($B23&lt;Analysis!$C$159,0,IF($B23=Analysis!$C$159,GB23+GE23,IF(GC22&lt;0,IF(GC22&gt;LOOKUP(Analysis!$C$159,$B:$B,GG:GG), GC22*(1+GD22),GG22),0)))</f>
        <v>-22059.883500000004</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31087.284937914839</v>
      </c>
      <c r="GO23" s="64">
        <f>IF($B23&lt;Analysis!$C$159,0,((1+Analysis!$D$174)/(1+$S23))-1)</f>
        <v>3.9215686274509887E-2</v>
      </c>
      <c r="GP23" s="1">
        <f t="shared" si="7"/>
        <v>37839.757502684246</v>
      </c>
      <c r="GQ23" s="1">
        <f t="shared" si="36"/>
        <v>-2792.4725647694067</v>
      </c>
      <c r="GR23" s="64">
        <f>IF($B23&lt;Analysis!$C$159,0,Analysis!$C$178)</f>
        <v>3.0000000000000001E-3</v>
      </c>
      <c r="GS23" s="1">
        <f t="shared" si="37"/>
        <v>-6981.181411923516</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-2331.546370343613</v>
      </c>
      <c r="HD23" s="1">
        <f t="shared" si="38"/>
        <v>-24365.200347036538</v>
      </c>
      <c r="HE23" s="1">
        <f>MIN(0,-(GN23+HD23)*Analysis!$C$28)-GE23*Analysis!$C$28</f>
        <v>-559.3516021293035</v>
      </c>
      <c r="HF23" s="1">
        <f>-Analysis!$C$176*GP23/12</f>
        <v>-3153.3131252236872</v>
      </c>
      <c r="HG23" s="38"/>
      <c r="HH23" s="1">
        <f>IF($B23&lt;Analysis!$C$159,0,-$HI23*$FW23)</f>
        <v>-118680.08400269978</v>
      </c>
      <c r="HI23" s="64">
        <f>IF($B23&lt;Analysis!$C$159,0,IF($B23=Analysis!$C$159,Analysis!$C$31,HI22))</f>
        <v>0.1275</v>
      </c>
      <c r="HJ23" s="1">
        <f>IF($B23&lt;Analysis!$C$159,0,$FW23+HH23)</f>
        <v>812144.10425376904</v>
      </c>
      <c r="HK23" s="1">
        <f>IF($B23-Analysis!$C$159&gt;10,0,IF($FW23&gt;LOOKUP(Analysis!$C$159,$B:$B, FW:FW),$V23*(LOOKUP(Analysis!$C$159,$B:$B, FW:FW)-FW23),0))</f>
        <v>0</v>
      </c>
      <c r="HL23" s="1">
        <f t="shared" si="39"/>
        <v>812144.10425376904</v>
      </c>
      <c r="HM23" s="38"/>
      <c r="HN23" s="1">
        <f t="shared" si="40"/>
        <v>-155726.07421772077</v>
      </c>
      <c r="HO23" s="1">
        <f t="shared" si="8"/>
        <v>169307.68074391014</v>
      </c>
      <c r="HP23" s="1">
        <f t="shared" si="41"/>
        <v>13581.606526189367</v>
      </c>
      <c r="HQ23" s="1">
        <f>IF(HP23 &lt; 0,
    IF(HQ22 + HP23 &gt; 0,
        HQ22 + HP23, IF(HV22-ABS(HQ22 + HP23)*(1+$V23) &gt;= HQ22 + HP23,
        0, HQ22 + HP23)),
    MIN(HQ22 + HP23, Analysis!$C$7))+IF(HQ22&lt;0, HQ22*Analysis!$C$9,0)</f>
        <v>24000</v>
      </c>
      <c r="HR23" s="38"/>
      <c r="HS23" s="1">
        <f t="shared" si="54"/>
        <v>23962.624963511596</v>
      </c>
      <c r="HT23" s="1">
        <f>IF($B23=Analysis!$C$159,0,IF(HP23 &gt;= 0,
    MAX(0, HQ22 + HP23 - Analysis!$C$7),
    0))</f>
        <v>13581.606526189367</v>
      </c>
      <c r="HU23" s="1">
        <f>IF($B23=Analysis!$C$159,0,MAX(0, HU22 + HT23 - IF(HP23 &lt; 0, MIN(ABS(HP23), HU22 + HT23), 0)))</f>
        <v>406952.40356390271</v>
      </c>
      <c r="HV23" s="1">
        <f>IF($B23=Analysis!$C$159,0,IF(HP23 &lt; 0,
    IF(HP23 + HQ22 &lt; 0,
        MAX(0, HV22 - (ABS(HP23 + HQ22) * (1+$V22))),
        HV22 + HS23),
    HV22 + HT23 + HS23))</f>
        <v>602282.62018613645</v>
      </c>
      <c r="HW23" s="1">
        <f t="shared" si="58"/>
        <v>550764.27555202227</v>
      </c>
      <c r="HX23" s="36"/>
    </row>
    <row r="24" spans="1:232" x14ac:dyDescent="0.35">
      <c r="A24">
        <f t="shared" si="0"/>
        <v>57</v>
      </c>
      <c r="B24">
        <v>2047</v>
      </c>
      <c r="C24" s="1">
        <f>IF($B24&lt;Analysis!C$66,0,$AN24)+$AT24+$AW24+$BC24+$CF24+$CA24</f>
        <v>1017228.124480704</v>
      </c>
      <c r="D24" s="1">
        <f>IF($B24&lt;Analysis!C$66, 0, BV24)+AT24+AW24+BC24+CG24+CA24</f>
        <v>812166.43433287821</v>
      </c>
      <c r="E24" s="1">
        <f t="shared" si="1"/>
        <v>1169453.469668752</v>
      </c>
      <c r="F24" s="1">
        <f t="shared" si="9"/>
        <v>1033504.0825202968</v>
      </c>
      <c r="G24" s="1">
        <f>IF(AND($B24&gt;=Analysis!$C$100, $B24&lt;Analysis!$C$101),$CK24,0)+IF($B24&gt;=Analysis!$C$130,EB24,0)+CQ24+CT24+CZ24+EH24+EK24+EQ24+$FO24+$FT24</f>
        <v>1501932.5716006998</v>
      </c>
      <c r="H24" s="1">
        <f t="shared" si="10"/>
        <v>1320612.0296723149</v>
      </c>
      <c r="I24" s="1">
        <f>IF($B24&lt;Analysis!$C$159,0,$FW24)+$GC24+$GF24+$GL24+$HQ24+$HV24</f>
        <v>1501932.5716006998</v>
      </c>
      <c r="J24" s="1">
        <f t="shared" si="2"/>
        <v>1320612.0296723149</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-36921.593315618753</v>
      </c>
      <c r="Y24" s="64">
        <f t="shared" si="15"/>
        <v>3.9215686274509887E-2</v>
      </c>
      <c r="Z24" s="1">
        <f t="shared" si="16"/>
        <v>-3960</v>
      </c>
      <c r="AA24" s="64">
        <f t="shared" si="17"/>
        <v>0</v>
      </c>
      <c r="AB24" s="40"/>
      <c r="AC24" s="1">
        <f t="shared" si="3"/>
        <v>-115281.59331561875</v>
      </c>
      <c r="AD24" s="1">
        <f t="shared" si="4"/>
        <v>131467.92324122589</v>
      </c>
      <c r="AE24" s="1">
        <f t="shared" si="18"/>
        <v>16186.329925607133</v>
      </c>
      <c r="AF24" s="1">
        <f>IF(AE24 &lt; 0,
    IF(AF23 + AE24 &gt; 0,
        AF23 + AE24, IF(AK23-ABS(AF23 + AE24)*(1+$V24) &gt;= AF23 + AE24,
        0, AF23 + AE24)),
    MIN(AF23 + AE24, Analysis!$C$7))+IF(AF23&lt;0, AF23*Analysis!$C$9,0)</f>
        <v>24000</v>
      </c>
      <c r="AG24" s="40"/>
      <c r="AH24" s="1">
        <f t="shared" si="19"/>
        <v>44181.525190846703</v>
      </c>
      <c r="AI24" s="1">
        <f>IF(AE24 &gt;= 0,
    MAX(0, AF23 + AE24 - Analysis!$C$7),
    0)</f>
        <v>16186.329925607133</v>
      </c>
      <c r="AJ24" s="1">
        <f t="shared" si="44"/>
        <v>630005.55630967999</v>
      </c>
      <c r="AK24" s="1">
        <f t="shared" si="20"/>
        <v>1145453.469668752</v>
      </c>
      <c r="AL24" s="1">
        <f t="shared" si="5"/>
        <v>1009504.0825202968</v>
      </c>
      <c r="AM24" s="36"/>
      <c r="AN24" s="1">
        <f t="shared" si="45"/>
        <v>1608326.9815515741</v>
      </c>
      <c r="AO24" s="64">
        <f t="shared" si="21"/>
        <v>3.9215686274509887E-2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-30861.539601323904</v>
      </c>
      <c r="AT24" s="1">
        <f>IF($B24&lt;Analysis!$C$66,0,IF($B24=Analysis!$C$66,-AP24-AS24,MIN(0,AT23-AS24)))</f>
        <v>-203920.66036289511</v>
      </c>
      <c r="AU24" s="64">
        <f>IF($B24&lt;Analysis!$C$66,0,IF($B24=Analysis!$C$66,Analysis!$C$72,IF(($B24-Analysis!$C$66)&lt;LOOKUP(Analysis!$C$66,$B:$B,AQ:AQ),AU23,0)))</f>
        <v>3.6999999999999998E-2</v>
      </c>
      <c r="AV24" s="1">
        <f>IF($B24&lt;Analysis!$C$66,0,IF($B24=Analysis!$C$66,-AU24*AP24,AU23*AT23))</f>
        <v>-8686.9413986761028</v>
      </c>
      <c r="AW24" s="1">
        <f>IF($B24&lt;Analysis!$C$66,0,IF($B24=Analysis!$C$66,PMT(AU24,AQ24,AP24)*AQ24-AX24-AT24,IF(($B24-Analysis!$C$66+1)&lt;LOOKUP(Analysis!$C$66,$B:$B,AQ:AQ),IF(AW23-AV24&lt;0, AW23-AV24,0),0)))</f>
        <v>-26504.902176389489</v>
      </c>
      <c r="AX24" s="1">
        <f>IF($B24&lt;Analysis!$C$66,0,IF($B24=Analysis!$C$66,AS24+AV24,IF(AT23&lt;0,IF(AT23&gt;LOOKUP(Analysis!$C$66,$B:$B,AX:AX), AT23*(1+AU23),AX23),0)))</f>
        <v>-39548.481000000007</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-4824.9809446547224</v>
      </c>
      <c r="BF24" s="64">
        <f>IF($B24&lt;Analysis!$C$66,0,Analysis!$C$78)</f>
        <v>3.0000000000000001E-3</v>
      </c>
      <c r="BG24" s="1">
        <f>IF($B24&lt;Analysis!$C$66,0,-BH24*AN24)</f>
        <v>-12062.452361636806</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-205061.69014782569</v>
      </c>
      <c r="BS24" s="64">
        <f>IF($B24&lt;Analysis!C$66,0,Analysis!C$31)</f>
        <v>0.1275</v>
      </c>
      <c r="BT24" s="1">
        <f>IF($B24&lt;Analysis!$C$66,0,AN24+BR24)</f>
        <v>1403265.2914037483</v>
      </c>
      <c r="BU24" s="1">
        <f>IF($B24-Analysis!$C$66&gt;3,0,IF($AN24&gt;LOOKUP(Analysis!$C$66,$B:$B, AN:AN),$V24*(LOOKUP(Analysis!$C$66,$B:$B, AN:AN)-AN24),0))</f>
        <v>0</v>
      </c>
      <c r="BV24" s="1">
        <f t="shared" si="23"/>
        <v>1403265.2914037483</v>
      </c>
      <c r="BW24" s="42"/>
      <c r="BX24" s="1">
        <f>IF($B24&lt;Analysis!$C$66,$P24+$N24+$X24+$Z24,$P24+$N24+AS24+AV24+BB24+BE24+BG24+MAX(BI24,SUM(BJ24:BN24))+BP24)</f>
        <v>-134795.91430629155</v>
      </c>
      <c r="BY24" s="1">
        <f t="shared" si="24"/>
        <v>131467.92324122589</v>
      </c>
      <c r="BZ24" s="1">
        <f t="shared" si="46"/>
        <v>-3327.9910650656675</v>
      </c>
      <c r="CA24" s="1">
        <f>IF(BZ24 &lt; 0,
    IF(CA23 + BZ24 &gt; 0,
        CA23 + BZ24, IF(CF23-ABS(CA23 + BZ24)*(1+$V24) &gt;= CA23 + BZ24,
        0, CA23 + BZ24)),
    MIN(CA23 + BZ24, Analysis!$C$7))+IF(CA23&lt;0, CA23*Analysis!$C$9,0)</f>
        <v>-360673.29453158553</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-36921.593315618753</v>
      </c>
      <c r="CJ24" s="1">
        <f>IF(OR($B24&lt;Analysis!$C$100, $B24&gt;=Analysis!$C$130),0,Z24)</f>
        <v>-3960</v>
      </c>
      <c r="CK24" s="1">
        <f t="shared" si="26"/>
        <v>967327.09759985982</v>
      </c>
      <c r="CL24" s="64">
        <f t="shared" si="48"/>
        <v>3.9215686274509887E-2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-17214.364522264255</v>
      </c>
      <c r="CQ24" s="1">
        <f>IF(OR($B24&lt;Analysis!$C$100, $B24&gt;=Analysis!$C$101),0,IF($B24=Analysis!$C$100,-CM24-CP24,MIN(0,CQ23-CP24)))</f>
        <v>-113745.60784897217</v>
      </c>
      <c r="CR24" s="64">
        <f>IF(OR($B24&lt;Analysis!$C$100, $B24&gt;=Analysis!$C$101),0,IF($B24=Analysis!$C$100,Analysis!$C$102,IF(($B24-Analysis!$C$100)&lt;LOOKUP(Analysis!$C$100,$B:$B,CN:CN),CR23,0)))</f>
        <v>3.6999999999999998E-2</v>
      </c>
      <c r="CS24" s="1">
        <f>IF(OR($B24&lt;Analysis!$C$100, $B24&gt;=Analysis!$C$101),0,IF($B24=Analysis!$C$100,-CR24*CM24,CR23*CQ23))</f>
        <v>-4845.5189777357473</v>
      </c>
      <c r="CT24" s="1">
        <f>IF(OR($B24&lt;Analysis!$C$100, $B24&gt;=Analysis!$C$101),0,IF($B24=Analysis!$C$100,PMT(CR24,CN24,CM24)*CN24-CU24-CQ24,IF(($B24-Analysis!$C$100+1)&lt;LOOKUP(Analysis!$C$100,$B:$B,CN:CN),IF(CT23-CS24&lt;0, CT23-CS24,0),0)))</f>
        <v>-14784.260720153863</v>
      </c>
      <c r="CU24" s="1">
        <f>IF(OR($B24&lt;Analysis!$C$100, $B24&gt;=Analysis!$C$101),0,IF($B24=Analysis!$C$100,CP24+CS24,IF(CQ23&lt;0,IF(CQ23&gt;LOOKUP(Analysis!$C$100,$B:$B,CU:CU), CQ23*(1+CR23),CU23),0)))</f>
        <v>-22059.883500000004</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32306.394151166405</v>
      </c>
      <c r="DC24" s="64">
        <f>IF(OR($B24&lt;Analysis!$C$100, $B24&gt;=Analysis!$C$101),0,((1+Analysis!$D$114)/(1+$S24))-1)</f>
        <v>3.9215686274509887E-2</v>
      </c>
      <c r="DD24" s="1">
        <f t="shared" si="6"/>
        <v>39168.375443965982</v>
      </c>
      <c r="DE24" s="1">
        <f t="shared" si="27"/>
        <v>-2901.9812927995795</v>
      </c>
      <c r="DF24" s="64">
        <f>IF(OR($B24&lt;Analysis!$C$100, $B24&gt;=Analysis!$C$101),0,Analysis!$C$118)</f>
        <v>3.0000000000000001E-3</v>
      </c>
      <c r="DG24" s="1">
        <f t="shared" si="28"/>
        <v>-7254.9532319989485</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-2422.9795613374804</v>
      </c>
      <c r="DR24" s="1">
        <f t="shared" si="29"/>
        <v>-24839.914086136007</v>
      </c>
      <c r="DS24" s="1">
        <f>MIN(0,-(DB24+DR24)*Analysis!$C$28)-CS24*Analysis!$C$28</f>
        <v>-1161.3478577802598</v>
      </c>
      <c r="DT24" s="1">
        <f>-Analysis!$C$116*DD24/12</f>
        <v>-3264.0312869971654</v>
      </c>
      <c r="DU24" s="53"/>
      <c r="DV24" s="1">
        <f t="shared" si="30"/>
        <v>-123334.20494398213</v>
      </c>
      <c r="DW24" s="64">
        <f>IF(OR($B24&lt;Analysis!$C$100, $B24&gt;=Analysis!$C$101),0,IF($B24=Analysis!$C$100,Analysis!$C$31,DW23))</f>
        <v>0.1275</v>
      </c>
      <c r="DX24" s="1">
        <f>IF(OR($B24&lt;Analysis!$C$100, $B24&gt;=Analysis!$C$101),0,CK24+DV24)</f>
        <v>843992.89265587763</v>
      </c>
      <c r="DY24" s="1">
        <f>IF(OR($B24&lt;Analysis!$C$100, $B24&gt;=Analysis!$C$101),0,IF($B24-Analysis!$C$100&gt;3,0,IF(CK24&gt;LOOKUP(Analysis!$C$100,$B:$B, CK:CK),$V24*(LOOKUP(Analysis!$C$100,$B:$B, CK:CK)-CK24),0)))</f>
        <v>0</v>
      </c>
      <c r="DZ24" s="1">
        <f t="shared" si="49"/>
        <v>843992.89265587763</v>
      </c>
      <c r="EA24" s="53"/>
      <c r="EB24" s="1">
        <f t="shared" si="31"/>
        <v>1608326.9815515741</v>
      </c>
      <c r="EC24" s="64">
        <f t="shared" si="50"/>
        <v>3.9215686274509887E-2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-158306.77004653218</v>
      </c>
      <c r="FM24" s="1">
        <f>$M24+$R24+DD24+IF(AND($B24&lt;&gt;Analysis!$C$130,$B24=Analysis!$C$101),DZ23+CQ23+CT23+CZ23,0)</f>
        <v>170636.29868519187</v>
      </c>
      <c r="FN24" s="1">
        <f t="shared" si="34"/>
        <v>12329.528638659685</v>
      </c>
      <c r="FO24" s="1">
        <f>IF(FN24 &lt; 0,
    IF(FO23 + FN24 &gt; 0,
        FO23 + FN24, IF(FT23-ABS(FO23 + FN24)*(1+$V24) &gt;= FO23 + FN24,
        0, FO23 + FN24)),
    MIN(FO23 + FN24, Analysis!$C$7))+IF(FO23&lt;0, FO23*Analysis!$C$9,0)</f>
        <v>24000</v>
      </c>
      <c r="FP24" s="53"/>
      <c r="FQ24" s="1">
        <f t="shared" si="51"/>
        <v>24523.193745170076</v>
      </c>
      <c r="FR24" s="1">
        <f>IF(OR($B24=Analysis!$C$100, $B24=Analysis!$C$130),0,IF(FN24 &gt;= 0,
    MAX(0, FO23 + FN24 - Analysis!$C$7),
    0))</f>
        <v>12329.528638659685</v>
      </c>
      <c r="FS24" s="1">
        <f>IF(OR($B24=Analysis!$C$100, $B24=Analysis!$C$130),0,MAX(0, FS23 + FR24 - IF(FN24 &lt; 0, MIN(ABS(FN24), FS23 + FR24), 0)))</f>
        <v>419281.9322025624</v>
      </c>
      <c r="FT24" s="1">
        <f>IF(OR($B24=Analysis!$C$100, $B24=Analysis!$C$130),0,IF(FN24 &lt; 0,
    IF(FN24 + FO23 &lt; 0,
        MAX(0, FT23 - (ABS(FN24 + FO23) * (1+$V23))),
        FT23 + FQ24),
    FT23 + FR24 + FQ24))</f>
        <v>639135.3425699661</v>
      </c>
      <c r="FU24" s="1">
        <f t="shared" si="57"/>
        <v>581149.00558556337</v>
      </c>
      <c r="FV24" s="36"/>
      <c r="FW24" s="1">
        <f t="shared" si="52"/>
        <v>967327.09759985982</v>
      </c>
      <c r="FX24" s="64">
        <f t="shared" si="53"/>
        <v>3.9215686274509887E-2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-17214.364522264255</v>
      </c>
      <c r="GC24" s="1">
        <f>IF($B24&lt;Analysis!$C$159,0,IF($B24=Analysis!$C$159,-FY24-GB24,MIN(0,GC23-GB24)))</f>
        <v>-113745.60784897217</v>
      </c>
      <c r="GD24" s="64">
        <f>IF($B24&lt;Analysis!$C$159,0,IF($B24=Analysis!$C$159,Analysis!$C$160,IF(($B24-Analysis!$C$159)&lt;LOOKUP(Analysis!$C$159,$B:$B,FZ:FZ),GD23,0)))</f>
        <v>3.6999999999999998E-2</v>
      </c>
      <c r="GE24" s="1">
        <f>IF($B24&lt;Analysis!$C$159,0,IF($B24=Analysis!$C$159,-GD24*FY24,GD23*GC23))</f>
        <v>-4845.5189777357473</v>
      </c>
      <c r="GF24" s="1">
        <f>IF($B24&lt;Analysis!$C$159,0,IF($B24=Analysis!$C$159,PMT(GD24,FZ24,FY24)*FZ24-GG24-GC24,IF(($B24-Analysis!$C$159+1)&lt;LOOKUP(Analysis!$C$159,$B:$B,FZ:FZ),IF(GF23-GE24&lt;0, GF23-GE24,0),0)))</f>
        <v>-14784.260720153863</v>
      </c>
      <c r="GG24" s="1">
        <f>IF($B24&lt;Analysis!$C$159,0,IF($B24=Analysis!$C$159,GB24+GE24,IF(GC23&lt;0,IF(GC23&gt;LOOKUP(Analysis!$C$159,$B:$B,GG:GG), GC23*(1+GD23),GG23),0)))</f>
        <v>-22059.883500000004</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32306.394151166405</v>
      </c>
      <c r="GO24" s="64">
        <f>IF($B24&lt;Analysis!$C$159,0,((1+Analysis!$D$174)/(1+$S24))-1)</f>
        <v>3.9215686274509887E-2</v>
      </c>
      <c r="GP24" s="1">
        <f t="shared" si="7"/>
        <v>39168.375443965982</v>
      </c>
      <c r="GQ24" s="1">
        <f t="shared" si="36"/>
        <v>-2901.9812927995795</v>
      </c>
      <c r="GR24" s="64">
        <f>IF($B24&lt;Analysis!$C$159,0,Analysis!$C$178)</f>
        <v>3.0000000000000001E-3</v>
      </c>
      <c r="GS24" s="1">
        <f t="shared" si="37"/>
        <v>-7254.9532319989485</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-2422.9795613374804</v>
      </c>
      <c r="HD24" s="1">
        <f t="shared" si="38"/>
        <v>-24839.914086136007</v>
      </c>
      <c r="HE24" s="1">
        <f>MIN(0,-(GN24+HD24)*Analysis!$C$28)-GE24*Analysis!$C$28</f>
        <v>-1161.3478577802598</v>
      </c>
      <c r="HF24" s="1">
        <f>-Analysis!$C$176*GP24/12</f>
        <v>-3264.0312869971654</v>
      </c>
      <c r="HG24" s="38"/>
      <c r="HH24" s="1">
        <f>IF($B24&lt;Analysis!$C$159,0,-$HI24*$FW24)</f>
        <v>-123334.20494398213</v>
      </c>
      <c r="HI24" s="64">
        <f>IF($B24&lt;Analysis!$C$159,0,IF($B24=Analysis!$C$159,Analysis!$C$31,HI23))</f>
        <v>0.1275</v>
      </c>
      <c r="HJ24" s="1">
        <f>IF($B24&lt;Analysis!$C$159,0,$FW24+HH24)</f>
        <v>843992.89265587763</v>
      </c>
      <c r="HK24" s="1">
        <f>IF($B24-Analysis!$C$159&gt;10,0,IF($FW24&gt;LOOKUP(Analysis!$C$159,$B:$B, FW:FW),$V24*(LOOKUP(Analysis!$C$159,$B:$B, FW:FW)-FW24),0))</f>
        <v>0</v>
      </c>
      <c r="HL24" s="1">
        <f t="shared" si="39"/>
        <v>843992.89265587763</v>
      </c>
      <c r="HM24" s="38"/>
      <c r="HN24" s="1">
        <f t="shared" si="40"/>
        <v>-158306.77004653218</v>
      </c>
      <c r="HO24" s="1">
        <f t="shared" si="8"/>
        <v>170636.29868519187</v>
      </c>
      <c r="HP24" s="1">
        <f t="shared" si="41"/>
        <v>12329.528638659685</v>
      </c>
      <c r="HQ24" s="1">
        <f>IF(HP24 &lt; 0,
    IF(HQ23 + HP24 &gt; 0,
        HQ23 + HP24, IF(HV23-ABS(HQ23 + HP24)*(1+$V24) &gt;= HQ23 + HP24,
        0, HQ23 + HP24)),
    MIN(HQ23 + HP24, Analysis!$C$7))+IF(HQ23&lt;0, HQ23*Analysis!$C$9,0)</f>
        <v>24000</v>
      </c>
      <c r="HR24" s="38"/>
      <c r="HS24" s="1">
        <f t="shared" si="54"/>
        <v>24523.193745170076</v>
      </c>
      <c r="HT24" s="1">
        <f>IF($B24=Analysis!$C$159,0,IF(HP24 &gt;= 0,
    MAX(0, HQ23 + HP24 - Analysis!$C$7),
    0))</f>
        <v>12329.528638659685</v>
      </c>
      <c r="HU24" s="1">
        <f>IF($B24=Analysis!$C$159,0,MAX(0, HU23 + HT24 - IF(HP24 &lt; 0, MIN(ABS(HP24), HU23 + HT24), 0)))</f>
        <v>419281.9322025624</v>
      </c>
      <c r="HV24" s="1">
        <f>IF($B24=Analysis!$C$159,0,IF(HP24 &lt; 0,
    IF(HP24 + HQ23 &lt; 0,
        MAX(0, HV23 - (ABS(HP24 + HQ23) * (1+$V23))),
        HV23 + HS24),
    HV23 + HT24 + HS24))</f>
        <v>639135.3425699661</v>
      </c>
      <c r="HW24" s="1">
        <f t="shared" si="58"/>
        <v>581149.00558556337</v>
      </c>
      <c r="HX24" s="36"/>
    </row>
    <row r="25" spans="1:232" x14ac:dyDescent="0.35">
      <c r="A25">
        <f t="shared" si="0"/>
        <v>58</v>
      </c>
      <c r="B25">
        <v>2048</v>
      </c>
      <c r="C25" s="1">
        <f>IF($B25&lt;Analysis!C$66,0,$AN25)+$AT25+$AW25+$BC25+$CF25+$CA25</f>
        <v>1087004.1449019462</v>
      </c>
      <c r="D25" s="1">
        <f>IF($B25&lt;Analysis!C$66, 0, BV25)+AT25+AW25+BC25+CG25+CA25</f>
        <v>873900.81984636257</v>
      </c>
      <c r="E25" s="1">
        <f t="shared" si="1"/>
        <v>1228867.7878443568</v>
      </c>
      <c r="F25" s="1">
        <f t="shared" si="9"/>
        <v>1081135.1336876317</v>
      </c>
      <c r="G25" s="1">
        <f>IF(AND($B25&gt;=Analysis!$C$100, $B25&lt;Analysis!$C$101),$CK25,0)+IF($B25&gt;=Analysis!$C$130,EB25,0)+CQ25+CT25+CZ25+EH25+EK25+EQ25+$FO25+$FT25</f>
        <v>1597883.8724070741</v>
      </c>
      <c r="H25" s="1">
        <f t="shared" si="10"/>
        <v>1405151.916882853</v>
      </c>
      <c r="I25" s="1">
        <f>IF($B25&lt;Analysis!$C$159,0,$FW25)+$GC25+$GF25+$GL25+$HQ25+$HV25</f>
        <v>1597883.8724070741</v>
      </c>
      <c r="J25" s="1">
        <f t="shared" si="2"/>
        <v>1405151.916882853</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-38369.498935839096</v>
      </c>
      <c r="Y25" s="64">
        <f t="shared" si="15"/>
        <v>3.9215686274509887E-2</v>
      </c>
      <c r="Z25" s="1">
        <f t="shared" si="16"/>
        <v>-3960</v>
      </c>
      <c r="AA25" s="64">
        <f t="shared" si="17"/>
        <v>0</v>
      </c>
      <c r="AB25" s="40"/>
      <c r="AC25" s="1">
        <f t="shared" si="3"/>
        <v>-116729.4989358391</v>
      </c>
      <c r="AD25" s="1">
        <f t="shared" si="4"/>
        <v>131467.92324122589</v>
      </c>
      <c r="AE25" s="1">
        <f t="shared" si="18"/>
        <v>14738.424305386783</v>
      </c>
      <c r="AF25" s="1">
        <f>IF(AE25 &lt; 0,
    IF(AF24 + AE25 &gt; 0,
        AF24 + AE25, IF(AK24-ABS(AF24 + AE25)*(1+$V25) &gt;= AF24 + AE25,
        0, AF24 + AE25)),
    MIN(AF24 + AE25, Analysis!$C$7))+IF(AF24&lt;0, AF24*Analysis!$C$9,0)</f>
        <v>24000</v>
      </c>
      <c r="AG25" s="40"/>
      <c r="AH25" s="1">
        <f t="shared" si="19"/>
        <v>44675.893870217849</v>
      </c>
      <c r="AI25" s="1">
        <f>IF(AE25 &gt;= 0,
    MAX(0, AF24 + AE25 - Analysis!$C$7),
    0)</f>
        <v>14738.424305386783</v>
      </c>
      <c r="AJ25" s="1">
        <f t="shared" si="44"/>
        <v>644743.98061506683</v>
      </c>
      <c r="AK25" s="1">
        <f t="shared" si="20"/>
        <v>1204867.7878443568</v>
      </c>
      <c r="AL25" s="1">
        <f t="shared" si="5"/>
        <v>1057135.1336876317</v>
      </c>
      <c r="AM25" s="36"/>
      <c r="AN25" s="1">
        <f t="shared" si="45"/>
        <v>1671398.62788693</v>
      </c>
      <c r="AO25" s="64">
        <f t="shared" si="21"/>
        <v>3.9215686274509887E-2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-32003.416566572887</v>
      </c>
      <c r="AT25" s="1">
        <f>IF($B25&lt;Analysis!$C$66,0,IF($B25=Analysis!$C$66,-AP25-AS25,MIN(0,AT24-AS25)))</f>
        <v>-171917.24379632223</v>
      </c>
      <c r="AU25" s="64">
        <f>IF($B25&lt;Analysis!$C$66,0,IF($B25=Analysis!$C$66,Analysis!$C$72,IF(($B25-Analysis!$C$66)&lt;LOOKUP(Analysis!$C$66,$B:$B,AQ:AQ),AU24,0)))</f>
        <v>3.6999999999999998E-2</v>
      </c>
      <c r="AV25" s="1">
        <f>IF($B25&lt;Analysis!$C$66,0,IF($B25=Analysis!$C$66,-AU25*AP25,AU24*AT24))</f>
        <v>-7545.0644334271192</v>
      </c>
      <c r="AW25" s="1">
        <f>IF($B25&lt;Analysis!$C$66,0,IF($B25=Analysis!$C$66,PMT(AU25,AQ25,AP25)*AQ25-AX25-AT25,IF(($B25-Analysis!$C$66+1)&lt;LOOKUP(Analysis!$C$66,$B:$B,AQ:AQ),IF(AW24-AV25&lt;0, AW24-AV25,0),0)))</f>
        <v>-18959.837742962369</v>
      </c>
      <c r="AX25" s="1">
        <f>IF($B25&lt;Analysis!$C$66,0,IF($B25=Analysis!$C$66,AS25+AV25,IF(AT24&lt;0,IF(AT24&gt;LOOKUP(Analysis!$C$66,$B:$B,AX:AX), AT24*(1+AU24),AX24),0)))</f>
        <v>-39548.481000000007</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-5014.1958836607901</v>
      </c>
      <c r="BF25" s="64">
        <f>IF($B25&lt;Analysis!$C$66,0,Analysis!$C$78)</f>
        <v>3.0000000000000001E-3</v>
      </c>
      <c r="BG25" s="1">
        <f>IF($B25&lt;Analysis!$C$66,0,-BH25*AN25)</f>
        <v>-12535.489709151974</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-213103.32505558358</v>
      </c>
      <c r="BS25" s="64">
        <f>IF($B25&lt;Analysis!C$66,0,Analysis!C$31)</f>
        <v>0.1275</v>
      </c>
      <c r="BT25" s="1">
        <f>IF($B25&lt;Analysis!$C$66,0,AN25+BR25)</f>
        <v>1458295.3028313464</v>
      </c>
      <c r="BU25" s="1">
        <f>IF($B25-Analysis!$C$66&gt;3,0,IF($AN25&gt;LOOKUP(Analysis!$C$66,$B:$B, AN:AN),$V25*(LOOKUP(Analysis!$C$66,$B:$B, AN:AN)-AN25),0))</f>
        <v>0</v>
      </c>
      <c r="BV25" s="1">
        <f t="shared" si="23"/>
        <v>1458295.3028313464</v>
      </c>
      <c r="BW25" s="42"/>
      <c r="BX25" s="1">
        <f>IF($B25&lt;Analysis!$C$66,$P25+$N25+$X25+$Z25,$P25+$N25+AS25+AV25+BB25+BE25+BG25+MAX(BI25,SUM(BJ25:BN25))+BP25)</f>
        <v>-135458.16659281278</v>
      </c>
      <c r="BY25" s="1">
        <f t="shared" si="24"/>
        <v>131467.92324122589</v>
      </c>
      <c r="BZ25" s="1">
        <f t="shared" si="46"/>
        <v>-3990.2433515868906</v>
      </c>
      <c r="CA25" s="1">
        <f>IF(BZ25 &lt; 0,
    IF(CA24 + BZ25 &gt; 0,
        CA24 + BZ25, IF(CF24-ABS(CA24 + BZ25)*(1+$V25) &gt;= CA24 + BZ25,
        0, CA24 + BZ25)),
    MIN(CA24 + BZ25, Analysis!$C$7))+IF(CA24&lt;0, CA24*Analysis!$C$9,0)</f>
        <v>-393517.40144569922</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-38369.498935839096</v>
      </c>
      <c r="CJ25" s="1">
        <f>IF(OR($B25&lt;Analysis!$C$100, $B25&gt;=Analysis!$C$130),0,Z25)</f>
        <v>-3960</v>
      </c>
      <c r="CK25" s="1">
        <f t="shared" si="26"/>
        <v>1005261.4935841681</v>
      </c>
      <c r="CL25" s="64">
        <f t="shared" si="48"/>
        <v>3.9215686274509887E-2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-17851.296009588033</v>
      </c>
      <c r="CQ25" s="1">
        <f>IF(OR($B25&lt;Analysis!$C$100, $B25&gt;=Analysis!$C$101),0,IF($B25=Analysis!$C$100,-CM25-CP25,MIN(0,CQ24-CP25)))</f>
        <v>-95894.311839384143</v>
      </c>
      <c r="CR25" s="64">
        <f>IF(OR($B25&lt;Analysis!$C$100, $B25&gt;=Analysis!$C$101),0,IF($B25=Analysis!$C$100,Analysis!$C$102,IF(($B25-Analysis!$C$100)&lt;LOOKUP(Analysis!$C$100,$B:$B,CN:CN),CR24,0)))</f>
        <v>3.6999999999999998E-2</v>
      </c>
      <c r="CS25" s="1">
        <f>IF(OR($B25&lt;Analysis!$C$100, $B25&gt;=Analysis!$C$101),0,IF($B25=Analysis!$C$100,-CR25*CM25,CR24*CQ24))</f>
        <v>-4208.5874904119701</v>
      </c>
      <c r="CT25" s="1">
        <f>IF(OR($B25&lt;Analysis!$C$100, $B25&gt;=Analysis!$C$101),0,IF($B25=Analysis!$C$100,PMT(CR25,CN25,CM25)*CN25-CU25-CQ25,IF(($B25-Analysis!$C$100+1)&lt;LOOKUP(Analysis!$C$100,$B:$B,CN:CN),IF(CT24-CS25&lt;0, CT24-CS25,0),0)))</f>
        <v>-10575.673229741893</v>
      </c>
      <c r="CU25" s="1">
        <f>IF(OR($B25&lt;Analysis!$C$100, $B25&gt;=Analysis!$C$101),0,IF($B25=Analysis!$C$100,CP25+CS25,IF(CQ24&lt;0,IF(CQ24&gt;LOOKUP(Analysis!$C$100,$B:$B,CU:CU), CQ24*(1+CR24),CU24),0)))</f>
        <v>-22059.883500000004</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33573.311568859208</v>
      </c>
      <c r="DC25" s="64">
        <f>IF(OR($B25&lt;Analysis!$C$100, $B25&gt;=Analysis!$C$101),0,((1+Analysis!$D$114)/(1+$S25))-1)</f>
        <v>3.9215686274509887E-2</v>
      </c>
      <c r="DD25" s="1">
        <f t="shared" si="6"/>
        <v>40549.096049611711</v>
      </c>
      <c r="DE25" s="1">
        <f t="shared" si="27"/>
        <v>-3015.7844807525044</v>
      </c>
      <c r="DF25" s="64">
        <f>IF(OR($B25&lt;Analysis!$C$100, $B25&gt;=Analysis!$C$101),0,Analysis!$C$118)</f>
        <v>3.0000000000000001E-3</v>
      </c>
      <c r="DG25" s="1">
        <f t="shared" si="28"/>
        <v>-7539.4612018812604</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-2517.9983676644406</v>
      </c>
      <c r="DR25" s="1">
        <f t="shared" si="29"/>
        <v>-25333.244050298206</v>
      </c>
      <c r="DS25" s="1">
        <f>MIN(0,-(DB25+DR25)*Analysis!$C$28)-CS25*Analysis!$C$28</f>
        <v>-1786.3488004728356</v>
      </c>
      <c r="DT25" s="1">
        <f>-Analysis!$C$116*DD25/12</f>
        <v>-3379.0913374676425</v>
      </c>
      <c r="DU25" s="53"/>
      <c r="DV25" s="1">
        <f t="shared" si="30"/>
        <v>-128170.84043198144</v>
      </c>
      <c r="DW25" s="64">
        <f>IF(OR($B25&lt;Analysis!$C$100, $B25&gt;=Analysis!$C$101),0,IF($B25=Analysis!$C$100,Analysis!$C$31,DW24))</f>
        <v>0.1275</v>
      </c>
      <c r="DX25" s="1">
        <f>IF(OR($B25&lt;Analysis!$C$100, $B25&gt;=Analysis!$C$101),0,CK25+DV25)</f>
        <v>877090.65315218666</v>
      </c>
      <c r="DY25" s="1">
        <f>IF(OR($B25&lt;Analysis!$C$100, $B25&gt;=Analysis!$C$101),0,IF($B25-Analysis!$C$100&gt;3,0,IF(CK25&gt;LOOKUP(Analysis!$C$100,$B:$B, CK:CK),$V25*(LOOKUP(Analysis!$C$100,$B:$B, CK:CK)-CK25),0)))</f>
        <v>0</v>
      </c>
      <c r="DZ25" s="1">
        <f t="shared" si="49"/>
        <v>877090.65315218666</v>
      </c>
      <c r="EA25" s="53"/>
      <c r="EB25" s="1">
        <f t="shared" si="31"/>
        <v>1671398.62788693</v>
      </c>
      <c r="EC25" s="64">
        <f t="shared" si="50"/>
        <v>3.9215686274509887E-2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-160988.06662407776</v>
      </c>
      <c r="FM25" s="1">
        <f>$M25+$R25+DD25+IF(AND($B25&lt;&gt;Analysis!$C$130,$B25=Analysis!$C$101),DZ24+CQ24+CT24+CZ24,0)</f>
        <v>172017.0192908376</v>
      </c>
      <c r="FN25" s="1">
        <f t="shared" si="34"/>
        <v>11028.95266675984</v>
      </c>
      <c r="FO25" s="1">
        <f>IF(FN25 &lt; 0,
    IF(FO24 + FN25 &gt; 0,
        FO24 + FN25, IF(FT24-ABS(FO24 + FN25)*(1+$V25) &gt;= FO24 + FN25,
        0, FO24 + FN25)),
    MIN(FO24 + FN25, Analysis!$C$7))+IF(FO24&lt;0, FO24*Analysis!$C$9,0)</f>
        <v>24000</v>
      </c>
      <c r="FP25" s="53"/>
      <c r="FQ25" s="1">
        <f t="shared" si="51"/>
        <v>24928.068655306015</v>
      </c>
      <c r="FR25" s="1">
        <f>IF(OR($B25=Analysis!$C$100, $B25=Analysis!$C$130),0,IF(FN25 &gt;= 0,
    MAX(0, FO24 + FN25 - Analysis!$C$7),
    0))</f>
        <v>11028.95266675984</v>
      </c>
      <c r="FS25" s="1">
        <f>IF(OR($B25=Analysis!$C$100, $B25=Analysis!$C$130),0,MAX(0, FS24 + FR25 - IF(FN25 &lt; 0, MIN(ABS(FN25), FS24 + FR25), 0)))</f>
        <v>430310.88486932224</v>
      </c>
      <c r="FT25" s="1">
        <f>IF(OR($B25=Analysis!$C$100, $B25=Analysis!$C$130),0,IF(FN25 &lt; 0,
    IF(FN25 + FO24 &lt; 0,
        MAX(0, FT24 - (ABS(FN25 + FO24) * (1+$V24))),
        FT24 + FQ25),
    FT24 + FR25 + FQ25))</f>
        <v>675092.36389203195</v>
      </c>
      <c r="FU25" s="1">
        <f t="shared" si="57"/>
        <v>610531.24879979226</v>
      </c>
      <c r="FV25" s="36"/>
      <c r="FW25" s="1">
        <f t="shared" si="52"/>
        <v>1005261.4935841681</v>
      </c>
      <c r="FX25" s="64">
        <f t="shared" si="53"/>
        <v>3.9215686274509887E-2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-17851.296009588033</v>
      </c>
      <c r="GC25" s="1">
        <f>IF($B25&lt;Analysis!$C$159,0,IF($B25=Analysis!$C$159,-FY25-GB25,MIN(0,GC24-GB25)))</f>
        <v>-95894.311839384143</v>
      </c>
      <c r="GD25" s="64">
        <f>IF($B25&lt;Analysis!$C$159,0,IF($B25=Analysis!$C$159,Analysis!$C$160,IF(($B25-Analysis!$C$159)&lt;LOOKUP(Analysis!$C$159,$B:$B,FZ:FZ),GD24,0)))</f>
        <v>3.6999999999999998E-2</v>
      </c>
      <c r="GE25" s="1">
        <f>IF($B25&lt;Analysis!$C$159,0,IF($B25=Analysis!$C$159,-GD25*FY25,GD24*GC24))</f>
        <v>-4208.5874904119701</v>
      </c>
      <c r="GF25" s="1">
        <f>IF($B25&lt;Analysis!$C$159,0,IF($B25=Analysis!$C$159,PMT(GD25,FZ25,FY25)*FZ25-GG25-GC25,IF(($B25-Analysis!$C$159+1)&lt;LOOKUP(Analysis!$C$159,$B:$B,FZ:FZ),IF(GF24-GE25&lt;0, GF24-GE25,0),0)))</f>
        <v>-10575.673229741893</v>
      </c>
      <c r="GG25" s="1">
        <f>IF($B25&lt;Analysis!$C$159,0,IF($B25=Analysis!$C$159,GB25+GE25,IF(GC24&lt;0,IF(GC24&gt;LOOKUP(Analysis!$C$159,$B:$B,GG:GG), GC24*(1+GD24),GG24),0)))</f>
        <v>-22059.883500000004</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33573.311568859208</v>
      </c>
      <c r="GO25" s="64">
        <f>IF($B25&lt;Analysis!$C$159,0,((1+Analysis!$D$174)/(1+$S25))-1)</f>
        <v>3.9215686274509887E-2</v>
      </c>
      <c r="GP25" s="1">
        <f t="shared" si="7"/>
        <v>40549.096049611711</v>
      </c>
      <c r="GQ25" s="1">
        <f t="shared" si="36"/>
        <v>-3015.7844807525044</v>
      </c>
      <c r="GR25" s="64">
        <f>IF($B25&lt;Analysis!$C$159,0,Analysis!$C$178)</f>
        <v>3.0000000000000001E-3</v>
      </c>
      <c r="GS25" s="1">
        <f t="shared" si="37"/>
        <v>-7539.4612018812604</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-2517.9983676644406</v>
      </c>
      <c r="HD25" s="1">
        <f t="shared" si="38"/>
        <v>-25333.244050298206</v>
      </c>
      <c r="HE25" s="1">
        <f>MIN(0,-(GN25+HD25)*Analysis!$C$28)-GE25*Analysis!$C$28</f>
        <v>-1786.3488004728356</v>
      </c>
      <c r="HF25" s="1">
        <f>-Analysis!$C$176*GP25/12</f>
        <v>-3379.0913374676425</v>
      </c>
      <c r="HG25" s="38"/>
      <c r="HH25" s="1">
        <f>IF($B25&lt;Analysis!$C$159,0,-$HI25*$FW25)</f>
        <v>-128170.84043198144</v>
      </c>
      <c r="HI25" s="64">
        <f>IF($B25&lt;Analysis!$C$159,0,IF($B25=Analysis!$C$159,Analysis!$C$31,HI24))</f>
        <v>0.1275</v>
      </c>
      <c r="HJ25" s="1">
        <f>IF($B25&lt;Analysis!$C$159,0,$FW25+HH25)</f>
        <v>877090.65315218666</v>
      </c>
      <c r="HK25" s="1">
        <f>IF($B25-Analysis!$C$159&gt;10,0,IF($FW25&gt;LOOKUP(Analysis!$C$159,$B:$B, FW:FW),$V25*(LOOKUP(Analysis!$C$159,$B:$B, FW:FW)-FW25),0))</f>
        <v>0</v>
      </c>
      <c r="HL25" s="1">
        <f t="shared" si="39"/>
        <v>877090.65315218666</v>
      </c>
      <c r="HM25" s="38"/>
      <c r="HN25" s="1">
        <f t="shared" si="40"/>
        <v>-160988.06662407776</v>
      </c>
      <c r="HO25" s="1">
        <f t="shared" si="8"/>
        <v>172017.0192908376</v>
      </c>
      <c r="HP25" s="1">
        <f t="shared" si="41"/>
        <v>11028.95266675984</v>
      </c>
      <c r="HQ25" s="1">
        <f>IF(HP25 &lt; 0,
    IF(HQ24 + HP25 &gt; 0,
        HQ24 + HP25, IF(HV24-ABS(HQ24 + HP25)*(1+$V25) &gt;= HQ24 + HP25,
        0, HQ24 + HP25)),
    MIN(HQ24 + HP25, Analysis!$C$7))+IF(HQ24&lt;0, HQ24*Analysis!$C$9,0)</f>
        <v>24000</v>
      </c>
      <c r="HR25" s="38"/>
      <c r="HS25" s="1">
        <f t="shared" si="54"/>
        <v>24928.068655306015</v>
      </c>
      <c r="HT25" s="1">
        <f>IF($B25=Analysis!$C$159,0,IF(HP25 &gt;= 0,
    MAX(0, HQ24 + HP25 - Analysis!$C$7),
    0))</f>
        <v>11028.95266675984</v>
      </c>
      <c r="HU25" s="1">
        <f>IF($B25=Analysis!$C$159,0,MAX(0, HU24 + HT25 - IF(HP25 &lt; 0, MIN(ABS(HP25), HU24 + HT25), 0)))</f>
        <v>430310.88486932224</v>
      </c>
      <c r="HV25" s="1">
        <f>IF($B25=Analysis!$C$159,0,IF(HP25 &lt; 0,
    IF(HP25 + HQ24 &lt; 0,
        MAX(0, HV24 - (ABS(HP25 + HQ24) * (1+$V24))),
        HV24 + HS25),
    HV24 + HT25 + HS25))</f>
        <v>675092.36389203195</v>
      </c>
      <c r="HW25" s="1">
        <f t="shared" si="58"/>
        <v>610531.24879979226</v>
      </c>
      <c r="HX25" s="36"/>
    </row>
    <row r="26" spans="1:232" x14ac:dyDescent="0.35">
      <c r="A26">
        <f t="shared" si="0"/>
        <v>59</v>
      </c>
      <c r="B26">
        <v>2049</v>
      </c>
      <c r="C26" s="1">
        <f>IF($B26&lt;Analysis!C$66,0,$AN26)+$AT26+$AW26+$BC26+$CF26+$CA26</f>
        <v>1155937.8117011397</v>
      </c>
      <c r="D26" s="1">
        <f>IF($B26&lt;Analysis!C$66, 0, BV26)+AT26+AW26+BC26+CG26+CA26</f>
        <v>934477.49350612145</v>
      </c>
      <c r="E26" s="1">
        <f t="shared" si="1"/>
        <v>1287029.2569863892</v>
      </c>
      <c r="F26" s="1">
        <f t="shared" si="9"/>
        <v>1127446.9137601035</v>
      </c>
      <c r="G26" s="1">
        <f>IF(AND($B26&gt;=Analysis!$C$100, $B26&lt;Analysis!$C$101),$CK26,0)+IF($B26&gt;=Analysis!$C$130,EB26,0)+CQ26+CT26+CZ26+EH26+EK26+EQ26+$FO26+$FT26</f>
        <v>1694216.9663110576</v>
      </c>
      <c r="H26" s="1">
        <f t="shared" si="10"/>
        <v>1489819.2739258637</v>
      </c>
      <c r="I26" s="1">
        <f>IF($B26&lt;Analysis!$C$159,0,$FW26)+$GC26+$GF26+$GL26+$HQ26+$HV26</f>
        <v>1694216.9663110576</v>
      </c>
      <c r="J26" s="1">
        <f t="shared" si="2"/>
        <v>1489819.2739258637</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-39874.185168617099</v>
      </c>
      <c r="Y26" s="64">
        <f t="shared" si="15"/>
        <v>3.9215686274509887E-2</v>
      </c>
      <c r="Z26" s="1">
        <f t="shared" si="16"/>
        <v>-3960</v>
      </c>
      <c r="AA26" s="64">
        <f t="shared" si="17"/>
        <v>0</v>
      </c>
      <c r="AB26" s="40"/>
      <c r="AC26" s="1">
        <f t="shared" si="3"/>
        <v>-118234.1851686171</v>
      </c>
      <c r="AD26" s="1">
        <f t="shared" si="4"/>
        <v>131467.92324122589</v>
      </c>
      <c r="AE26" s="1">
        <f t="shared" si="18"/>
        <v>13233.738072608787</v>
      </c>
      <c r="AF26" s="1">
        <f>IF(AE26 &lt; 0,
    IF(AF25 + AE26 &gt; 0,
        AF25 + AE26, IF(AK25-ABS(AF25 + AE26)*(1+$V26) &gt;= AF25 + AE26,
        0, AF25 + AE26)),
    MIN(AF25 + AE26, Analysis!$C$7))+IF(AF25&lt;0, AF25*Analysis!$C$9,0)</f>
        <v>24000</v>
      </c>
      <c r="AG26" s="40"/>
      <c r="AH26" s="1">
        <f t="shared" si="19"/>
        <v>44927.731069423389</v>
      </c>
      <c r="AI26" s="1">
        <f>IF(AE26 &gt;= 0,
    MAX(0, AF25 + AE26 - Analysis!$C$7),
    0)</f>
        <v>13233.738072608787</v>
      </c>
      <c r="AJ26" s="1">
        <f t="shared" si="44"/>
        <v>657977.71868767566</v>
      </c>
      <c r="AK26" s="1">
        <f t="shared" si="20"/>
        <v>1263029.2569863892</v>
      </c>
      <c r="AL26" s="1">
        <f t="shared" si="5"/>
        <v>1103446.9137601035</v>
      </c>
      <c r="AM26" s="36"/>
      <c r="AN26" s="1">
        <f t="shared" si="45"/>
        <v>1736943.6721177902</v>
      </c>
      <c r="AO26" s="64">
        <f t="shared" si="21"/>
        <v>3.9215686274509887E-2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-33187.542979536083</v>
      </c>
      <c r="AT26" s="1">
        <f>IF($B26&lt;Analysis!$C$66,0,IF($B26=Analysis!$C$66,-AP26-AS26,MIN(0,AT25-AS26)))</f>
        <v>-138729.70081678615</v>
      </c>
      <c r="AU26" s="64">
        <f>IF($B26&lt;Analysis!$C$66,0,IF($B26=Analysis!$C$66,Analysis!$C$72,IF(($B26-Analysis!$C$66)&lt;LOOKUP(Analysis!$C$66,$B:$B,AQ:AQ),AU25,0)))</f>
        <v>3.6999999999999998E-2</v>
      </c>
      <c r="AV26" s="1">
        <f>IF($B26&lt;Analysis!$C$66,0,IF($B26=Analysis!$C$66,-AU26*AP26,AU25*AT25))</f>
        <v>-6360.9380204639219</v>
      </c>
      <c r="AW26" s="1">
        <f>IF($B26&lt;Analysis!$C$66,0,IF($B26=Analysis!$C$66,PMT(AU26,AQ26,AP26)*AQ26-AX26-AT26,IF(($B26-Analysis!$C$66+1)&lt;LOOKUP(Analysis!$C$66,$B:$B,AQ:AQ),IF(AW25-AV26&lt;0, AW25-AV26,0),0)))</f>
        <v>-12598.899722498447</v>
      </c>
      <c r="AX26" s="1">
        <f>IF($B26&lt;Analysis!$C$66,0,IF($B26=Analysis!$C$66,AS26+AV26,IF(AT25&lt;0,IF(AT25&gt;LOOKUP(Analysis!$C$66,$B:$B,AX:AX), AT25*(1+AU25),AX25),0)))</f>
        <v>-39548.481000000007</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-5210.8310163533706</v>
      </c>
      <c r="BF26" s="64">
        <f>IF($B26&lt;Analysis!$C$66,0,Analysis!$C$78)</f>
        <v>3.0000000000000001E-3</v>
      </c>
      <c r="BG26" s="1">
        <f>IF($B26&lt;Analysis!$C$66,0,-BH26*AN26)</f>
        <v>-13027.077540883425</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-221460.31819501825</v>
      </c>
      <c r="BS26" s="64">
        <f>IF($B26&lt;Analysis!C$66,0,Analysis!C$31)</f>
        <v>0.1275</v>
      </c>
      <c r="BT26" s="1">
        <f>IF($B26&lt;Analysis!$C$66,0,AN26+BR26)</f>
        <v>1515483.353922772</v>
      </c>
      <c r="BU26" s="1">
        <f>IF($B26-Analysis!$C$66&gt;3,0,IF($AN26&gt;LOOKUP(Analysis!$C$66,$B:$B, AN:AN),$V26*(LOOKUP(Analysis!$C$66,$B:$B, AN:AN)-AN26),0))</f>
        <v>0</v>
      </c>
      <c r="BV26" s="1">
        <f t="shared" si="23"/>
        <v>1515483.353922772</v>
      </c>
      <c r="BW26" s="42"/>
      <c r="BX26" s="1">
        <f>IF($B26&lt;Analysis!$C$66,$P26+$N26+$X26+$Z26,$P26+$N26+AS26+AV26+BB26+BE26+BG26+MAX(BI26,SUM(BJ26:BN26))+BP26)</f>
        <v>-136146.38955723681</v>
      </c>
      <c r="BY26" s="1">
        <f t="shared" si="24"/>
        <v>131467.92324122589</v>
      </c>
      <c r="BZ26" s="1">
        <f t="shared" si="46"/>
        <v>-4678.4663160109194</v>
      </c>
      <c r="CA26" s="1">
        <f>IF(BZ26 &lt; 0,
    IF(CA25 + BZ26 &gt; 0,
        CA25 + BZ26, IF(CF25-ABS(CA25 + BZ26)*(1+$V26) &gt;= CA25 + BZ26,
        0, CA25 + BZ26)),
    MIN(CA25 + BZ26, Analysis!$C$7))+IF(CA25&lt;0, CA25*Analysis!$C$9,0)</f>
        <v>-429677.25987736607</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-39874.185168617099</v>
      </c>
      <c r="CJ26" s="1">
        <f>IF(OR($B26&lt;Analysis!$C$100, $B26&gt;=Analysis!$C$130),0,Z26)</f>
        <v>-3960</v>
      </c>
      <c r="CK26" s="1">
        <f t="shared" si="26"/>
        <v>1044683.5129404101</v>
      </c>
      <c r="CL26" s="64">
        <f t="shared" si="48"/>
        <v>3.9215686274509887E-2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-18511.793961942789</v>
      </c>
      <c r="CQ26" s="1">
        <f>IF(OR($B26&lt;Analysis!$C$100, $B26&gt;=Analysis!$C$101),0,IF($B26=Analysis!$C$100,-CM26-CP26,MIN(0,CQ25-CP26)))</f>
        <v>-77382.517877441351</v>
      </c>
      <c r="CR26" s="64">
        <f>IF(OR($B26&lt;Analysis!$C$100, $B26&gt;=Analysis!$C$101),0,IF($B26=Analysis!$C$100,Analysis!$C$102,IF(($B26-Analysis!$C$100)&lt;LOOKUP(Analysis!$C$100,$B:$B,CN:CN),CR25,0)))</f>
        <v>3.6999999999999998E-2</v>
      </c>
      <c r="CS26" s="1">
        <f>IF(OR($B26&lt;Analysis!$C$100, $B26&gt;=Analysis!$C$101),0,IF($B26=Analysis!$C$100,-CR26*CM26,CR25*CQ25))</f>
        <v>-3548.0895380572133</v>
      </c>
      <c r="CT26" s="1">
        <f>IF(OR($B26&lt;Analysis!$C$100, $B26&gt;=Analysis!$C$101),0,IF($B26=Analysis!$C$100,PMT(CR26,CN26,CM26)*CN26-CU26-CQ26,IF(($B26-Analysis!$C$100+1)&lt;LOOKUP(Analysis!$C$100,$B:$B,CN:CN),IF(CT25-CS26&lt;0, CT25-CS26,0),0)))</f>
        <v>-7027.5836916846802</v>
      </c>
      <c r="CU26" s="1">
        <f>IF(OR($B26&lt;Analysis!$C$100, $B26&gt;=Analysis!$C$101),0,IF($B26=Analysis!$C$100,CP26+CS26,IF(CQ25&lt;0,IF(CQ25&gt;LOOKUP(Analysis!$C$100,$B:$B,CU:CU), CQ25*(1+CR25),CU25),0)))</f>
        <v>-22059.883500000004</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34889.912022539967</v>
      </c>
      <c r="DC26" s="64">
        <f>IF(OR($B26&lt;Analysis!$C$100, $B26&gt;=Analysis!$C$101),0,((1+Analysis!$D$114)/(1+$S26))-1)</f>
        <v>3.9215686274509887E-2</v>
      </c>
      <c r="DD26" s="1">
        <f t="shared" si="6"/>
        <v>41983.962561361201</v>
      </c>
      <c r="DE26" s="1">
        <f t="shared" si="27"/>
        <v>-3134.05053882123</v>
      </c>
      <c r="DF26" s="64">
        <f>IF(OR($B26&lt;Analysis!$C$100, $B26&gt;=Analysis!$C$101),0,Analysis!$C$118)</f>
        <v>3.0000000000000001E-3</v>
      </c>
      <c r="DG26" s="1">
        <f t="shared" si="28"/>
        <v>-7835.1263470530748</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-2616.7434016904976</v>
      </c>
      <c r="DR26" s="1">
        <f t="shared" si="29"/>
        <v>-25845.920287564804</v>
      </c>
      <c r="DS26" s="1">
        <f>MIN(0,-(DB26+DR26)*Analysis!$C$28)-CS26*Analysis!$C$28</f>
        <v>-2435.2342634543429</v>
      </c>
      <c r="DT26" s="1">
        <f>-Analysis!$C$116*DD26/12</f>
        <v>-3498.6635467801002</v>
      </c>
      <c r="DU26" s="53"/>
      <c r="DV26" s="1">
        <f t="shared" si="30"/>
        <v>-133197.14789990228</v>
      </c>
      <c r="DW26" s="64">
        <f>IF(OR($B26&lt;Analysis!$C$100, $B26&gt;=Analysis!$C$101),0,IF($B26=Analysis!$C$100,Analysis!$C$31,DW25))</f>
        <v>0.1275</v>
      </c>
      <c r="DX26" s="1">
        <f>IF(OR($B26&lt;Analysis!$C$100, $B26&gt;=Analysis!$C$101),0,CK26+DV26)</f>
        <v>911486.36504050775</v>
      </c>
      <c r="DY26" s="1">
        <f>IF(OR($B26&lt;Analysis!$C$100, $B26&gt;=Analysis!$C$101),0,IF($B26-Analysis!$C$100&gt;3,0,IF(CK26&gt;LOOKUP(Analysis!$C$100,$B:$B, CK:CK),$V26*(LOOKUP(Analysis!$C$100,$B:$B, CK:CK)-CK26),0)))</f>
        <v>0</v>
      </c>
      <c r="DZ26" s="1">
        <f t="shared" si="49"/>
        <v>911486.36504050775</v>
      </c>
      <c r="EA26" s="53"/>
      <c r="EB26" s="1">
        <f t="shared" si="31"/>
        <v>1736943.6721177902</v>
      </c>
      <c r="EC26" s="64">
        <f t="shared" si="50"/>
        <v>3.9215686274509887E-2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-163773.88676641634</v>
      </c>
      <c r="FM26" s="1">
        <f>$M26+$R26+DD26+IF(AND($B26&lt;&gt;Analysis!$C$130,$B26=Analysis!$C$101),DZ25+CQ25+CT25+CZ25,0)</f>
        <v>173451.88580258709</v>
      </c>
      <c r="FN26" s="1">
        <f t="shared" si="34"/>
        <v>9677.999036170746</v>
      </c>
      <c r="FO26" s="1">
        <f>IF(FN26 &lt; 0,
    IF(FO25 + FN26 &gt; 0,
        FO25 + FN26, IF(FT25-ABS(FO25 + FN26)*(1+$V26) &gt;= FO25 + FN26,
        0, FO25 + FN26)),
    MIN(FO25 + FN26, Analysis!$C$7))+IF(FO25&lt;0, FO25*Analysis!$C$9,0)</f>
        <v>24000</v>
      </c>
      <c r="FP26" s="53"/>
      <c r="FQ26" s="1">
        <f t="shared" si="51"/>
        <v>25173.192011570784</v>
      </c>
      <c r="FR26" s="1">
        <f>IF(OR($B26=Analysis!$C$100, $B26=Analysis!$C$130),0,IF(FN26 &gt;= 0,
    MAX(0, FO25 + FN26 - Analysis!$C$7),
    0))</f>
        <v>9677.999036170746</v>
      </c>
      <c r="FS26" s="1">
        <f>IF(OR($B26=Analysis!$C$100, $B26=Analysis!$C$130),0,MAX(0, FS25 + FR26 - IF(FN26 &lt; 0, MIN(ABS(FN26), FS25 + FR26), 0)))</f>
        <v>439988.88390549296</v>
      </c>
      <c r="FT26" s="1">
        <f>IF(OR($B26=Analysis!$C$100, $B26=Analysis!$C$130),0,IF(FN26 &lt; 0,
    IF(FN26 + FO25 &lt; 0,
        MAX(0, FT25 - (ABS(FN26 + FO25) * (1+$V25))),
        FT25 + FQ26),
    FT25 + FR26 + FQ26))</f>
        <v>709943.55493977352</v>
      </c>
      <c r="FU26" s="1">
        <f t="shared" si="57"/>
        <v>638743.01045448205</v>
      </c>
      <c r="FV26" s="36"/>
      <c r="FW26" s="1">
        <f t="shared" si="52"/>
        <v>1044683.5129404101</v>
      </c>
      <c r="FX26" s="64">
        <f t="shared" si="53"/>
        <v>3.9215686274509887E-2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-18511.793961942789</v>
      </c>
      <c r="GC26" s="1">
        <f>IF($B26&lt;Analysis!$C$159,0,IF($B26=Analysis!$C$159,-FY26-GB26,MIN(0,GC25-GB26)))</f>
        <v>-77382.517877441351</v>
      </c>
      <c r="GD26" s="64">
        <f>IF($B26&lt;Analysis!$C$159,0,IF($B26=Analysis!$C$159,Analysis!$C$160,IF(($B26-Analysis!$C$159)&lt;LOOKUP(Analysis!$C$159,$B:$B,FZ:FZ),GD25,0)))</f>
        <v>3.6999999999999998E-2</v>
      </c>
      <c r="GE26" s="1">
        <f>IF($B26&lt;Analysis!$C$159,0,IF($B26=Analysis!$C$159,-GD26*FY26,GD25*GC25))</f>
        <v>-3548.0895380572133</v>
      </c>
      <c r="GF26" s="1">
        <f>IF($B26&lt;Analysis!$C$159,0,IF($B26=Analysis!$C$159,PMT(GD26,FZ26,FY26)*FZ26-GG26-GC26,IF(($B26-Analysis!$C$159+1)&lt;LOOKUP(Analysis!$C$159,$B:$B,FZ:FZ),IF(GF25-GE26&lt;0, GF25-GE26,0),0)))</f>
        <v>-7027.5836916846802</v>
      </c>
      <c r="GG26" s="1">
        <f>IF($B26&lt;Analysis!$C$159,0,IF($B26=Analysis!$C$159,GB26+GE26,IF(GC25&lt;0,IF(GC25&gt;LOOKUP(Analysis!$C$159,$B:$B,GG:GG), GC25*(1+GD25),GG25),0)))</f>
        <v>-22059.883500000004</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34889.912022539967</v>
      </c>
      <c r="GO26" s="64">
        <f>IF($B26&lt;Analysis!$C$159,0,((1+Analysis!$D$174)/(1+$S26))-1)</f>
        <v>3.9215686274509887E-2</v>
      </c>
      <c r="GP26" s="1">
        <f t="shared" si="7"/>
        <v>41983.962561361201</v>
      </c>
      <c r="GQ26" s="1">
        <f t="shared" si="36"/>
        <v>-3134.05053882123</v>
      </c>
      <c r="GR26" s="64">
        <f>IF($B26&lt;Analysis!$C$159,0,Analysis!$C$178)</f>
        <v>3.0000000000000001E-3</v>
      </c>
      <c r="GS26" s="1">
        <f t="shared" si="37"/>
        <v>-7835.1263470530748</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-2616.7434016904976</v>
      </c>
      <c r="HD26" s="1">
        <f t="shared" si="38"/>
        <v>-25845.920287564804</v>
      </c>
      <c r="HE26" s="1">
        <f>MIN(0,-(GN26+HD26)*Analysis!$C$28)-GE26*Analysis!$C$28</f>
        <v>-2435.2342634543429</v>
      </c>
      <c r="HF26" s="1">
        <f>-Analysis!$C$176*GP26/12</f>
        <v>-3498.6635467801002</v>
      </c>
      <c r="HG26" s="38"/>
      <c r="HH26" s="1">
        <f>IF($B26&lt;Analysis!$C$159,0,-$HI26*$FW26)</f>
        <v>-133197.14789990228</v>
      </c>
      <c r="HI26" s="64">
        <f>IF($B26&lt;Analysis!$C$159,0,IF($B26=Analysis!$C$159,Analysis!$C$31,HI25))</f>
        <v>0.1275</v>
      </c>
      <c r="HJ26" s="1">
        <f>IF($B26&lt;Analysis!$C$159,0,$FW26+HH26)</f>
        <v>911486.36504050775</v>
      </c>
      <c r="HK26" s="1">
        <f>IF($B26-Analysis!$C$159&gt;10,0,IF($FW26&gt;LOOKUP(Analysis!$C$159,$B:$B, FW:FW),$V26*(LOOKUP(Analysis!$C$159,$B:$B, FW:FW)-FW26),0))</f>
        <v>0</v>
      </c>
      <c r="HL26" s="1">
        <f t="shared" si="39"/>
        <v>911486.36504050775</v>
      </c>
      <c r="HM26" s="38"/>
      <c r="HN26" s="1">
        <f t="shared" si="40"/>
        <v>-163773.88676641634</v>
      </c>
      <c r="HO26" s="1">
        <f t="shared" si="8"/>
        <v>173451.88580258709</v>
      </c>
      <c r="HP26" s="1">
        <f t="shared" si="41"/>
        <v>9677.999036170746</v>
      </c>
      <c r="HQ26" s="1">
        <f>IF(HP26 &lt; 0,
    IF(HQ25 + HP26 &gt; 0,
        HQ25 + HP26, IF(HV25-ABS(HQ25 + HP26)*(1+$V26) &gt;= HQ25 + HP26,
        0, HQ25 + HP26)),
    MIN(HQ25 + HP26, Analysis!$C$7))+IF(HQ25&lt;0, HQ25*Analysis!$C$9,0)</f>
        <v>24000</v>
      </c>
      <c r="HR26" s="38"/>
      <c r="HS26" s="1">
        <f t="shared" si="54"/>
        <v>25173.192011570784</v>
      </c>
      <c r="HT26" s="1">
        <f>IF($B26=Analysis!$C$159,0,IF(HP26 &gt;= 0,
    MAX(0, HQ25 + HP26 - Analysis!$C$7),
    0))</f>
        <v>9677.999036170746</v>
      </c>
      <c r="HU26" s="1">
        <f>IF($B26=Analysis!$C$159,0,MAX(0, HU25 + HT26 - IF(HP26 &lt; 0, MIN(ABS(HP26), HU25 + HT26), 0)))</f>
        <v>439988.88390549296</v>
      </c>
      <c r="HV26" s="1">
        <f>IF($B26=Analysis!$C$159,0,IF(HP26 &lt; 0,
    IF(HP26 + HQ25 &lt; 0,
        MAX(0, HV25 - (ABS(HP26 + HQ25) * (1+$V25))),
        HV25 + HS26),
    HV25 + HT26 + HS26))</f>
        <v>709943.55493977352</v>
      </c>
      <c r="HW26" s="1">
        <f t="shared" si="58"/>
        <v>638743.01045448205</v>
      </c>
      <c r="HX26" s="36"/>
    </row>
    <row r="27" spans="1:232" x14ac:dyDescent="0.35">
      <c r="A27">
        <f t="shared" si="0"/>
        <v>60</v>
      </c>
      <c r="B27">
        <v>2050</v>
      </c>
      <c r="C27" s="1">
        <f>IF($B27&lt;Analysis!C$66,0,$AN27)+$AT27+$AW27+$BC27+$CF27+$CA27</f>
        <v>1223833.8716169219</v>
      </c>
      <c r="D27" s="1">
        <f>IF($B27&lt;Analysis!C$66, 0, BV27)+AT27+AW27+BC27+CG27+CA27</f>
        <v>993688.83506131463</v>
      </c>
      <c r="E27" s="1">
        <f t="shared" si="1"/>
        <v>1343630.5944185681</v>
      </c>
      <c r="F27" s="1">
        <f t="shared" si="9"/>
        <v>1172197.6226910693</v>
      </c>
      <c r="G27" s="1">
        <f>IF(AND($B27&gt;=Analysis!$C$100, $B27&lt;Analysis!$C$101),$CK27,0)+IF($B27&gt;=Analysis!$C$130,EB27,0)+CQ27+CT27+CZ27+EH27+EK27+EQ27+$FO27+$FT27</f>
        <v>1790775.241091673</v>
      </c>
      <c r="H27" s="1">
        <f t="shared" si="10"/>
        <v>1574492.9415613427</v>
      </c>
      <c r="I27" s="1">
        <f>IF($B27&lt;Analysis!$C$159,0,$FW27)+$GC27+$GF27+$GL27+$HQ27+$HV27</f>
        <v>1790775.241091673</v>
      </c>
      <c r="J27" s="1">
        <f t="shared" si="2"/>
        <v>1574492.9415613427</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-41437.878704641305</v>
      </c>
      <c r="Y27" s="64">
        <f t="shared" si="15"/>
        <v>3.9215686274509887E-2</v>
      </c>
      <c r="Z27" s="1">
        <f t="shared" si="16"/>
        <v>-3960</v>
      </c>
      <c r="AA27" s="64">
        <f t="shared" si="17"/>
        <v>0</v>
      </c>
      <c r="AB27" s="40"/>
      <c r="AC27" s="1">
        <f t="shared" si="3"/>
        <v>-119797.87870464131</v>
      </c>
      <c r="AD27" s="1">
        <f t="shared" si="4"/>
        <v>131467.92324122589</v>
      </c>
      <c r="AE27" s="1">
        <f t="shared" si="18"/>
        <v>11670.044536584581</v>
      </c>
      <c r="AF27" s="1">
        <f>IF(AE27 &lt; 0,
    IF(AF26 + AE27 &gt; 0,
        AF26 + AE27, IF(AK26-ABS(AF26 + AE27)*(1+$V27) &gt;= AF26 + AE27,
        0, AF26 + AE27)),
    MIN(AF26 + AE27, Analysis!$C$7))+IF(AF26&lt;0, AF26*Analysis!$C$9,0)</f>
        <v>24000</v>
      </c>
      <c r="AG27" s="40"/>
      <c r="AH27" s="1">
        <f t="shared" si="19"/>
        <v>44931.292895594444</v>
      </c>
      <c r="AI27" s="1">
        <f>IF(AE27 &gt;= 0,
    MAX(0, AF26 + AE27 - Analysis!$C$7),
    0)</f>
        <v>11670.044536584581</v>
      </c>
      <c r="AJ27" s="1">
        <f t="shared" si="44"/>
        <v>669647.76322426018</v>
      </c>
      <c r="AK27" s="1">
        <f t="shared" si="20"/>
        <v>1319630.5944185681</v>
      </c>
      <c r="AL27" s="1">
        <f t="shared" si="5"/>
        <v>1148197.6226910693</v>
      </c>
      <c r="AM27" s="36"/>
      <c r="AN27" s="1">
        <f t="shared" si="45"/>
        <v>1805059.1102400566</v>
      </c>
      <c r="AO27" s="64">
        <f t="shared" si="21"/>
        <v>3.9215686274509887E-2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-34415.482069778918</v>
      </c>
      <c r="AT27" s="1">
        <f>IF($B27&lt;Analysis!$C$66,0,IF($B27=Analysis!$C$66,-AP27-AS27,MIN(0,AT26-AS27)))</f>
        <v>-104314.21874700722</v>
      </c>
      <c r="AU27" s="64">
        <f>IF($B27&lt;Analysis!$C$66,0,IF($B27=Analysis!$C$66,Analysis!$C$72,IF(($B27-Analysis!$C$66)&lt;LOOKUP(Analysis!$C$66,$B:$B,AQ:AQ),AU26,0)))</f>
        <v>3.6999999999999998E-2</v>
      </c>
      <c r="AV27" s="1">
        <f>IF($B27&lt;Analysis!$C$66,0,IF($B27=Analysis!$C$66,-AU27*AP27,AU26*AT26))</f>
        <v>-5132.998930221087</v>
      </c>
      <c r="AW27" s="1">
        <f>IF($B27&lt;Analysis!$C$66,0,IF($B27=Analysis!$C$66,PMT(AU27,AQ27,AP27)*AQ27-AX27-AT27,IF(($B27-Analysis!$C$66+1)&lt;LOOKUP(Analysis!$C$66,$B:$B,AQ:AQ),IF(AW26-AV27&lt;0, AW26-AV27,0),0)))</f>
        <v>-7465.9007922773599</v>
      </c>
      <c r="AX27" s="1">
        <f>IF($B27&lt;Analysis!$C$66,0,IF($B27=Analysis!$C$66,AS27+AV27,IF(AT26&lt;0,IF(AT26&gt;LOOKUP(Analysis!$C$66,$B:$B,AX:AX), AT26*(1+AU26),AX26),0)))</f>
        <v>-39548.481000000007</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-5415.1773307201702</v>
      </c>
      <c r="BF27" s="64">
        <f>IF($B27&lt;Analysis!$C$66,0,Analysis!$C$78)</f>
        <v>3.0000000000000001E-3</v>
      </c>
      <c r="BG27" s="1">
        <f>IF($B27&lt;Analysis!$C$66,0,-BH27*AN27)</f>
        <v>-13537.943326800425</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-230145.03655560722</v>
      </c>
      <c r="BS27" s="64">
        <f>IF($B27&lt;Analysis!C$66,0,Analysis!C$31)</f>
        <v>0.1275</v>
      </c>
      <c r="BT27" s="1">
        <f>IF($B27&lt;Analysis!$C$66,0,AN27+BR27)</f>
        <v>1574914.0736844493</v>
      </c>
      <c r="BU27" s="1">
        <f>IF($B27-Analysis!$C$66&gt;3,0,IF($AN27&gt;LOOKUP(Analysis!$C$66,$B:$B, AN:AN),$V27*(LOOKUP(Analysis!$C$66,$B:$B, AN:AN)-AN27),0))</f>
        <v>0</v>
      </c>
      <c r="BV27" s="1">
        <f t="shared" si="23"/>
        <v>1574914.0736844493</v>
      </c>
      <c r="BW27" s="42"/>
      <c r="BX27" s="1">
        <f>IF($B27&lt;Analysis!$C$66,$P27+$N27+$X27+$Z27,$P27+$N27+AS27+AV27+BB27+BE27+BG27+MAX(BI27,SUM(BJ27:BN27))+BP27)</f>
        <v>-136861.6016575206</v>
      </c>
      <c r="BY27" s="1">
        <f t="shared" si="24"/>
        <v>131467.92324122589</v>
      </c>
      <c r="BZ27" s="1">
        <f t="shared" si="46"/>
        <v>-5393.6784162947151</v>
      </c>
      <c r="CA27" s="1">
        <f>IF(BZ27 &lt; 0,
    IF(CA26 + BZ27 &gt; 0,
        CA26 + BZ27, IF(CF26-ABS(CA26 + BZ27)*(1+$V27) &gt;= CA26 + BZ27,
        0, CA26 + BZ27)),
    MIN(CA26 + BZ27, Analysis!$C$7))+IF(CA26&lt;0, CA26*Analysis!$C$9,0)</f>
        <v>-469445.11908385006</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-41437.878704641305</v>
      </c>
      <c r="CJ27" s="1">
        <f>IF(OR($B27&lt;Analysis!$C$100, $B27&gt;=Analysis!$C$130),0,Z27)</f>
        <v>-3960</v>
      </c>
      <c r="CK27" s="1">
        <f t="shared" si="26"/>
        <v>1085651.4938400341</v>
      </c>
      <c r="CL27" s="64">
        <f t="shared" si="48"/>
        <v>3.9215686274509887E-2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-19196.730338534675</v>
      </c>
      <c r="CQ27" s="1">
        <f>IF(OR($B27&lt;Analysis!$C$100, $B27&gt;=Analysis!$C$101),0,IF($B27=Analysis!$C$100,-CM27-CP27,MIN(0,CQ26-CP27)))</f>
        <v>-58185.787538906676</v>
      </c>
      <c r="CR27" s="64">
        <f>IF(OR($B27&lt;Analysis!$C$100, $B27&gt;=Analysis!$C$101),0,IF($B27=Analysis!$C$100,Analysis!$C$102,IF(($B27-Analysis!$C$100)&lt;LOOKUP(Analysis!$C$100,$B:$B,CN:CN),CR26,0)))</f>
        <v>3.6999999999999998E-2</v>
      </c>
      <c r="CS27" s="1">
        <f>IF(OR($B27&lt;Analysis!$C$100, $B27&gt;=Analysis!$C$101),0,IF($B27=Analysis!$C$100,-CR27*CM27,CR26*CQ26))</f>
        <v>-2863.15316146533</v>
      </c>
      <c r="CT27" s="1">
        <f>IF(OR($B27&lt;Analysis!$C$100, $B27&gt;=Analysis!$C$101),0,IF($B27=Analysis!$C$100,PMT(CR27,CN27,CM27)*CN27-CU27-CQ27,IF(($B27-Analysis!$C$100+1)&lt;LOOKUP(Analysis!$C$100,$B:$B,CN:CN),IF(CT26-CS27&lt;0, CT26-CS27,0),0)))</f>
        <v>-4164.4305302193497</v>
      </c>
      <c r="CU27" s="1">
        <f>IF(OR($B27&lt;Analysis!$C$100, $B27&gt;=Analysis!$C$101),0,IF($B27=Analysis!$C$100,CP27+CS27,IF(CQ26&lt;0,IF(CQ26&gt;LOOKUP(Analysis!$C$100,$B:$B,CU:CU), CQ26*(1+CR26),CU26),0)))</f>
        <v>-22059.883500000004</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36258.143866561142</v>
      </c>
      <c r="DC27" s="64">
        <f>IF(OR($B27&lt;Analysis!$C$100, $B27&gt;=Analysis!$C$101),0,((1+Analysis!$D$114)/(1+$S27))-1)</f>
        <v>3.9215686274509887E-2</v>
      </c>
      <c r="DD27" s="1">
        <f t="shared" si="6"/>
        <v>43475.098348081243</v>
      </c>
      <c r="DE27" s="1">
        <f t="shared" si="27"/>
        <v>-3256.9544815201025</v>
      </c>
      <c r="DF27" s="64">
        <f>IF(OR($B27&lt;Analysis!$C$100, $B27&gt;=Analysis!$C$101),0,Analysis!$C$118)</f>
        <v>3.0000000000000001E-3</v>
      </c>
      <c r="DG27" s="1">
        <f t="shared" si="28"/>
        <v>-8142.3862038002553</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-2719.3607899920858</v>
      </c>
      <c r="DR27" s="1">
        <f t="shared" si="29"/>
        <v>-26378.701475312442</v>
      </c>
      <c r="DS27" s="1">
        <f>MIN(0,-(DB27+DR27)*Analysis!$C$28)-CS27*Analysis!$C$28</f>
        <v>-3108.9177577170108</v>
      </c>
      <c r="DT27" s="1">
        <f>-Analysis!$C$116*DD27/12</f>
        <v>-3622.9248623401036</v>
      </c>
      <c r="DU27" s="53"/>
      <c r="DV27" s="1">
        <f t="shared" si="30"/>
        <v>-138420.56546460435</v>
      </c>
      <c r="DW27" s="64">
        <f>IF(OR($B27&lt;Analysis!$C$100, $B27&gt;=Analysis!$C$101),0,IF($B27=Analysis!$C$100,Analysis!$C$31,DW26))</f>
        <v>0.1275</v>
      </c>
      <c r="DX27" s="1">
        <f>IF(OR($B27&lt;Analysis!$C$100, $B27&gt;=Analysis!$C$101),0,CK27+DV27)</f>
        <v>947230.92837542971</v>
      </c>
      <c r="DY27" s="1">
        <f>IF(OR($B27&lt;Analysis!$C$100, $B27&gt;=Analysis!$C$101),0,IF($B27-Analysis!$C$100&gt;3,0,IF(CK27&gt;LOOKUP(Analysis!$C$100,$B:$B, CK:CK),$V27*(LOOKUP(Analysis!$C$100,$B:$B, CK:CK)-CK27),0)))</f>
        <v>0</v>
      </c>
      <c r="DZ27" s="1">
        <f t="shared" si="49"/>
        <v>947230.92837542971</v>
      </c>
      <c r="EA27" s="53"/>
      <c r="EB27" s="1">
        <f t="shared" si="31"/>
        <v>1805059.1102400566</v>
      </c>
      <c r="EC27" s="64">
        <f t="shared" si="50"/>
        <v>3.9215686274509887E-2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-166668.30630001088</v>
      </c>
      <c r="FM27" s="1">
        <f>$M27+$R27+DD27+IF(AND($B27&lt;&gt;Analysis!$C$130,$B27=Analysis!$C$101),DZ26+CQ26+CT26+CZ26,0)</f>
        <v>174943.02158930711</v>
      </c>
      <c r="FN27" s="1">
        <f t="shared" si="34"/>
        <v>8274.7152892962331</v>
      </c>
      <c r="FO27" s="1">
        <f>IF(FN27 &lt; 0,
    IF(FO26 + FN27 &gt; 0,
        FO26 + FN27, IF(FT26-ABS(FO26 + FN27)*(1+$V27) &gt;= FO26 + FN27,
        0, FO26 + FN27)),
    MIN(FO26 + FN27, Analysis!$C$7))+IF(FO26&lt;0, FO26*Analysis!$C$9,0)</f>
        <v>24000</v>
      </c>
      <c r="FP27" s="53"/>
      <c r="FQ27" s="1">
        <f t="shared" si="51"/>
        <v>25255.695091695143</v>
      </c>
      <c r="FR27" s="1">
        <f>IF(OR($B27=Analysis!$C$100, $B27=Analysis!$C$130),0,IF(FN27 &gt;= 0,
    MAX(0, FO26 + FN27 - Analysis!$C$7),
    0))</f>
        <v>8274.7152892962331</v>
      </c>
      <c r="FS27" s="1">
        <f>IF(OR($B27=Analysis!$C$100, $B27=Analysis!$C$130),0,MAX(0, FS26 + FR27 - IF(FN27 &lt; 0, MIN(ABS(FN27), FS26 + FR27), 0)))</f>
        <v>448263.59919478919</v>
      </c>
      <c r="FT27" s="1">
        <f>IF(OR($B27=Analysis!$C$100, $B27=Analysis!$C$130),0,IF(FN27 &lt; 0,
    IF(FN27 + FO26 &lt; 0,
        MAX(0, FT26 - (ABS(FN27 + FO26) * (1+$V26))),
        FT26 + FQ27),
    FT26 + FR27 + FQ27))</f>
        <v>743473.96532076492</v>
      </c>
      <c r="FU27" s="1">
        <f t="shared" si="57"/>
        <v>665612.23125503887</v>
      </c>
      <c r="FV27" s="36"/>
      <c r="FW27" s="1">
        <f t="shared" si="52"/>
        <v>1085651.4938400341</v>
      </c>
      <c r="FX27" s="64">
        <f t="shared" si="53"/>
        <v>3.9215686274509887E-2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-19196.730338534675</v>
      </c>
      <c r="GC27" s="1">
        <f>IF($B27&lt;Analysis!$C$159,0,IF($B27=Analysis!$C$159,-FY27-GB27,MIN(0,GC26-GB27)))</f>
        <v>-58185.787538906676</v>
      </c>
      <c r="GD27" s="64">
        <f>IF($B27&lt;Analysis!$C$159,0,IF($B27=Analysis!$C$159,Analysis!$C$160,IF(($B27-Analysis!$C$159)&lt;LOOKUP(Analysis!$C$159,$B:$B,FZ:FZ),GD26,0)))</f>
        <v>3.6999999999999998E-2</v>
      </c>
      <c r="GE27" s="1">
        <f>IF($B27&lt;Analysis!$C$159,0,IF($B27=Analysis!$C$159,-GD27*FY27,GD26*GC26))</f>
        <v>-2863.15316146533</v>
      </c>
      <c r="GF27" s="1">
        <f>IF($B27&lt;Analysis!$C$159,0,IF($B27=Analysis!$C$159,PMT(GD27,FZ27,FY27)*FZ27-GG27-GC27,IF(($B27-Analysis!$C$159+1)&lt;LOOKUP(Analysis!$C$159,$B:$B,FZ:FZ),IF(GF26-GE27&lt;0, GF26-GE27,0),0)))</f>
        <v>-4164.4305302193497</v>
      </c>
      <c r="GG27" s="1">
        <f>IF($B27&lt;Analysis!$C$159,0,IF($B27=Analysis!$C$159,GB27+GE27,IF(GC26&lt;0,IF(GC26&gt;LOOKUP(Analysis!$C$159,$B:$B,GG:GG), GC26*(1+GD26),GG26),0)))</f>
        <v>-22059.883500000004</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36258.143866561142</v>
      </c>
      <c r="GO27" s="64">
        <f>IF($B27&lt;Analysis!$C$159,0,((1+Analysis!$D$174)/(1+$S27))-1)</f>
        <v>3.9215686274509887E-2</v>
      </c>
      <c r="GP27" s="1">
        <f t="shared" si="7"/>
        <v>43475.098348081243</v>
      </c>
      <c r="GQ27" s="1">
        <f t="shared" si="36"/>
        <v>-3256.9544815201025</v>
      </c>
      <c r="GR27" s="64">
        <f>IF($B27&lt;Analysis!$C$159,0,Analysis!$C$178)</f>
        <v>3.0000000000000001E-3</v>
      </c>
      <c r="GS27" s="1">
        <f t="shared" si="37"/>
        <v>-8142.3862038002553</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-2719.3607899920858</v>
      </c>
      <c r="HD27" s="1">
        <f t="shared" si="38"/>
        <v>-26378.701475312442</v>
      </c>
      <c r="HE27" s="1">
        <f>MIN(0,-(GN27+HD27)*Analysis!$C$28)-GE27*Analysis!$C$28</f>
        <v>-3108.9177577170108</v>
      </c>
      <c r="HF27" s="1">
        <f>-Analysis!$C$176*GP27/12</f>
        <v>-3622.9248623401036</v>
      </c>
      <c r="HG27" s="38"/>
      <c r="HH27" s="1">
        <f>IF($B27&lt;Analysis!$C$159,0,-$HI27*$FW27)</f>
        <v>-138420.56546460435</v>
      </c>
      <c r="HI27" s="64">
        <f>IF($B27&lt;Analysis!$C$159,0,IF($B27=Analysis!$C$159,Analysis!$C$31,HI26))</f>
        <v>0.1275</v>
      </c>
      <c r="HJ27" s="1">
        <f>IF($B27&lt;Analysis!$C$159,0,$FW27+HH27)</f>
        <v>947230.92837542971</v>
      </c>
      <c r="HK27" s="1">
        <f>IF($B27-Analysis!$C$159&gt;10,0,IF($FW27&gt;LOOKUP(Analysis!$C$159,$B:$B, FW:FW),$V27*(LOOKUP(Analysis!$C$159,$B:$B, FW:FW)-FW27),0))</f>
        <v>0</v>
      </c>
      <c r="HL27" s="1">
        <f t="shared" si="39"/>
        <v>947230.92837542971</v>
      </c>
      <c r="HM27" s="38"/>
      <c r="HN27" s="1">
        <f t="shared" si="40"/>
        <v>-166668.30630001088</v>
      </c>
      <c r="HO27" s="1">
        <f t="shared" si="8"/>
        <v>174943.02158930711</v>
      </c>
      <c r="HP27" s="1">
        <f t="shared" si="41"/>
        <v>8274.7152892962331</v>
      </c>
      <c r="HQ27" s="1">
        <f>IF(HP27 &lt; 0,
    IF(HQ26 + HP27 &gt; 0,
        HQ26 + HP27, IF(HV26-ABS(HQ26 + HP27)*(1+$V27) &gt;= HQ26 + HP27,
        0, HQ26 + HP27)),
    MIN(HQ26 + HP27, Analysis!$C$7))+IF(HQ26&lt;0, HQ26*Analysis!$C$9,0)</f>
        <v>24000</v>
      </c>
      <c r="HR27" s="38"/>
      <c r="HS27" s="1">
        <f t="shared" si="54"/>
        <v>25255.695091695143</v>
      </c>
      <c r="HT27" s="1">
        <f>IF($B27=Analysis!$C$159,0,IF(HP27 &gt;= 0,
    MAX(0, HQ26 + HP27 - Analysis!$C$7),
    0))</f>
        <v>8274.7152892962331</v>
      </c>
      <c r="HU27" s="1">
        <f>IF($B27=Analysis!$C$159,0,MAX(0, HU26 + HT27 - IF(HP27 &lt; 0, MIN(ABS(HP27), HU26 + HT27), 0)))</f>
        <v>448263.59919478919</v>
      </c>
      <c r="HV27" s="1">
        <f>IF($B27=Analysis!$C$159,0,IF(HP27 &lt; 0,
    IF(HP27 + HQ26 &lt; 0,
        MAX(0, HV26 - (ABS(HP27 + HQ26) * (1+$V26))),
        HV26 + HS27),
    HV26 + HT27 + HS27))</f>
        <v>743473.96532076492</v>
      </c>
      <c r="HW27" s="1">
        <f t="shared" si="58"/>
        <v>665612.23125503887</v>
      </c>
      <c r="HX27" s="36"/>
    </row>
    <row r="28" spans="1:232" x14ac:dyDescent="0.35">
      <c r="A28">
        <f t="shared" si="0"/>
        <v>61</v>
      </c>
      <c r="B28">
        <v>2051</v>
      </c>
      <c r="C28" s="1">
        <f>IF($B28&lt;Analysis!C$66,0,$AN28)+$AT28+$AW28+$BC28+$CF28+$CA28</f>
        <v>1303676.4368144108</v>
      </c>
      <c r="D28" s="1">
        <f>IF($B28&lt;Analysis!C$66, 0, BV28)+AT28+AW28+BC28+CG28+CA28</f>
        <v>1064506.1047076033</v>
      </c>
      <c r="E28" s="1">
        <f t="shared" si="1"/>
        <v>1411558.2421021182</v>
      </c>
      <c r="F28" s="1">
        <f t="shared" si="9"/>
        <v>1228340.2298776133</v>
      </c>
      <c r="G28" s="1">
        <f>IF(AND($B28&gt;=Analysis!$C$100, $B28&lt;Analysis!$C$101),$CK28,0)+IF($B28&gt;=Analysis!$C$130,EB28,0)+CQ28+CT28+CZ28+EH28+EK28+EQ28+$FO28+$FT28</f>
        <v>1900600.753049755</v>
      </c>
      <c r="H28" s="1">
        <f t="shared" si="10"/>
        <v>1672250.5570278848</v>
      </c>
      <c r="I28" s="1">
        <f>IF($B28&lt;Analysis!$C$159,0,$FW28)+$GC28+$GF28+$GL28+$HQ28+$HV28</f>
        <v>1900600.753049755</v>
      </c>
      <c r="J28" s="1">
        <f t="shared" si="2"/>
        <v>1672250.5570278848</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-43062.893555803712</v>
      </c>
      <c r="Y28" s="64">
        <f t="shared" si="15"/>
        <v>3.9215686274509887E-2</v>
      </c>
      <c r="Z28" s="1">
        <f t="shared" si="16"/>
        <v>-3960</v>
      </c>
      <c r="AA28" s="64">
        <f t="shared" si="17"/>
        <v>0</v>
      </c>
      <c r="AB28" s="40"/>
      <c r="AC28" s="1">
        <f t="shared" si="3"/>
        <v>-108222.89355580372</v>
      </c>
      <c r="AD28" s="1">
        <f t="shared" si="4"/>
        <v>131467.92324122589</v>
      </c>
      <c r="AE28" s="1">
        <f t="shared" si="18"/>
        <v>23245.029685422167</v>
      </c>
      <c r="AF28" s="1">
        <f>IF(AE28 &lt; 0,
    IF(AF27 + AE28 &gt; 0,
        AF27 + AE28, IF(AK27-ABS(AF27 + AE28)*(1+$V28) &gt;= AF27 + AE28,
        0, AF27 + AE28)),
    MIN(AF27 + AE28, Analysis!$C$7))+IF(AF27&lt;0, AF27*Analysis!$C$9,0)</f>
        <v>24000</v>
      </c>
      <c r="AG28" s="40"/>
      <c r="AH28" s="1">
        <f t="shared" si="19"/>
        <v>44682.617998128087</v>
      </c>
      <c r="AI28" s="1">
        <f>IF(AE28 &gt;= 0,
    MAX(0, AF27 + AE28 - Analysis!$C$7),
    0)</f>
        <v>23245.029685422167</v>
      </c>
      <c r="AJ28" s="1">
        <f t="shared" si="44"/>
        <v>692892.79290968238</v>
      </c>
      <c r="AK28" s="1">
        <f t="shared" si="20"/>
        <v>1387558.2421021182</v>
      </c>
      <c r="AL28" s="1">
        <f t="shared" si="5"/>
        <v>1204340.2298776133</v>
      </c>
      <c r="AM28" s="36"/>
      <c r="AN28" s="1">
        <f t="shared" si="45"/>
        <v>1875845.7420141767</v>
      </c>
      <c r="AO28" s="64">
        <f t="shared" si="21"/>
        <v>3.9215686274509887E-2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-35688.854906360742</v>
      </c>
      <c r="AT28" s="1">
        <f>IF($B28&lt;Analysis!$C$66,0,IF($B28=Analysis!$C$66,-AP28-AS28,MIN(0,AT27-AS28)))</f>
        <v>-68625.363840646489</v>
      </c>
      <c r="AU28" s="64">
        <f>IF($B28&lt;Analysis!$C$66,0,IF($B28=Analysis!$C$66,Analysis!$C$72,IF(($B28-Analysis!$C$66)&lt;LOOKUP(Analysis!$C$66,$B:$B,AQ:AQ),AU27,0)))</f>
        <v>3.6999999999999998E-2</v>
      </c>
      <c r="AV28" s="1">
        <f>IF($B28&lt;Analysis!$C$66,0,IF($B28=Analysis!$C$66,-AU28*AP28,AU27*AT27))</f>
        <v>-3859.6260936392673</v>
      </c>
      <c r="AW28" s="1">
        <f>IF($B28&lt;Analysis!$C$66,0,IF($B28=Analysis!$C$66,PMT(AU28,AQ28,AP28)*AQ28-AX28-AT28,IF(($B28-Analysis!$C$66+1)&lt;LOOKUP(Analysis!$C$66,$B:$B,AQ:AQ),IF(AW27-AV28&lt;0, AW27-AV28,0),0)))</f>
        <v>-3606.2746986380926</v>
      </c>
      <c r="AX28" s="1">
        <f>IF($B28&lt;Analysis!$C$66,0,IF($B28=Analysis!$C$66,AS28+AV28,IF(AT27&lt;0,IF(AT27&gt;LOOKUP(Analysis!$C$66,$B:$B,AX:AX), AT27*(1+AU27),AX27),0)))</f>
        <v>-39548.481000000007</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-5627.5372260425302</v>
      </c>
      <c r="BF28" s="64">
        <f>IF($B28&lt;Analysis!$C$66,0,Analysis!$C$78)</f>
        <v>3.0000000000000001E-3</v>
      </c>
      <c r="BG28" s="1">
        <f>IF($B28&lt;Analysis!$C$66,0,-BH28*AN28)</f>
        <v>-14068.843065106325</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-239170.33210680753</v>
      </c>
      <c r="BS28" s="64">
        <f>IF($B28&lt;Analysis!C$66,0,Analysis!C$31)</f>
        <v>0.1275</v>
      </c>
      <c r="BT28" s="1">
        <f>IF($B28&lt;Analysis!$C$66,0,AN28+BR28)</f>
        <v>1636675.4099073692</v>
      </c>
      <c r="BU28" s="1">
        <f>IF($B28-Analysis!$C$66&gt;3,0,IF($AN28&gt;LOOKUP(Analysis!$C$66,$B:$B, AN:AN),$V28*(LOOKUP(Analysis!$C$66,$B:$B, AN:AN)-AN28),0))</f>
        <v>0</v>
      </c>
      <c r="BV28" s="1">
        <f t="shared" si="23"/>
        <v>1636675.4099073692</v>
      </c>
      <c r="BW28" s="42"/>
      <c r="BX28" s="1">
        <f>IF($B28&lt;Analysis!$C$66,$P28+$N28+$X28+$Z28,$P28+$N28+AS28+AV28+BB28+BE28+BG28+MAX(BI28,SUM(BJ28:BN28))+BP28)</f>
        <v>-124404.86129114886</v>
      </c>
      <c r="BY28" s="1">
        <f t="shared" si="24"/>
        <v>131467.92324122589</v>
      </c>
      <c r="BZ28" s="1">
        <f t="shared" si="46"/>
        <v>7063.0619500770263</v>
      </c>
      <c r="CA28" s="1">
        <f>IF(BZ28 &lt; 0,
    IF(CA27 + BZ28 &gt; 0,
        CA27 + BZ28, IF(CF27-ABS(CA27 + BZ28)*(1+$V28) &gt;= CA27 + BZ28,
        0, CA27 + BZ28)),
    MIN(CA27 + BZ28, Analysis!$C$7))+IF(CA27&lt;0, CA27*Analysis!$C$9,0)</f>
        <v>-499937.66666048107</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-43062.893555803712</v>
      </c>
      <c r="CJ28" s="1">
        <f>IF(OR($B28&lt;Analysis!$C$100, $B28&gt;=Analysis!$C$130),0,Z28)</f>
        <v>-3960</v>
      </c>
      <c r="CK28" s="1">
        <f t="shared" si="26"/>
        <v>1128226.0622259178</v>
      </c>
      <c r="CL28" s="64">
        <f t="shared" si="48"/>
        <v>3.9215686274509887E-2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-19907.009361060456</v>
      </c>
      <c r="CQ28" s="1">
        <f>IF(OR($B28&lt;Analysis!$C$100, $B28&gt;=Analysis!$C$101),0,IF($B28=Analysis!$C$100,-CM28-CP28,MIN(0,CQ27-CP28)))</f>
        <v>-38278.778177846223</v>
      </c>
      <c r="CR28" s="64">
        <f>IF(OR($B28&lt;Analysis!$C$100, $B28&gt;=Analysis!$C$101),0,IF($B28=Analysis!$C$100,Analysis!$C$102,IF(($B28-Analysis!$C$100)&lt;LOOKUP(Analysis!$C$100,$B:$B,CN:CN),CR27,0)))</f>
        <v>3.6999999999999998E-2</v>
      </c>
      <c r="CS28" s="1">
        <f>IF(OR($B28&lt;Analysis!$C$100, $B28&gt;=Analysis!$C$101),0,IF($B28=Analysis!$C$100,-CR28*CM28,CR27*CQ27))</f>
        <v>-2152.8741389395468</v>
      </c>
      <c r="CT28" s="1">
        <f>IF(OR($B28&lt;Analysis!$C$100, $B28&gt;=Analysis!$C$101),0,IF($B28=Analysis!$C$100,PMT(CR28,CN28,CM28)*CN28-CU28-CQ28,IF(($B28-Analysis!$C$100+1)&lt;LOOKUP(Analysis!$C$100,$B:$B,CN:CN),IF(CT27-CS28&lt;0, CT27-CS28,0),0)))</f>
        <v>-2011.5563912798029</v>
      </c>
      <c r="CU28" s="1">
        <f>IF(OR($B28&lt;Analysis!$C$100, $B28&gt;=Analysis!$C$101),0,IF($B28=Analysis!$C$100,CP28+CS28,IF(CQ27&lt;0,IF(CQ27&gt;LOOKUP(Analysis!$C$100,$B:$B,CU:CU), CQ27*(1+CR27),CU27),0)))</f>
        <v>-22059.883500000004</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37680.031861328251</v>
      </c>
      <c r="DC28" s="64">
        <f>IF(OR($B28&lt;Analysis!$C$100, $B28&gt;=Analysis!$C$101),0,((1+Analysis!$D$114)/(1+$S28))-1)</f>
        <v>3.9215686274509887E-2</v>
      </c>
      <c r="DD28" s="1">
        <f t="shared" si="6"/>
        <v>45024.710048006003</v>
      </c>
      <c r="DE28" s="1">
        <f t="shared" si="27"/>
        <v>-3384.6781866777537</v>
      </c>
      <c r="DF28" s="64">
        <f>IF(OR($B28&lt;Analysis!$C$100, $B28&gt;=Analysis!$C$101),0,Analysis!$C$118)</f>
        <v>3.0000000000000001E-3</v>
      </c>
      <c r="DG28" s="1">
        <f t="shared" si="28"/>
        <v>-8461.6954666943839</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-2826.0023895996187</v>
      </c>
      <c r="DR28" s="1">
        <f t="shared" si="29"/>
        <v>-26932.376042971759</v>
      </c>
      <c r="DS28" s="1">
        <f>MIN(0,-(DB28+DR28)*Analysis!$C$28)-CS28*Analysis!$C$28</f>
        <v>-3808.3477621496477</v>
      </c>
      <c r="DT28" s="1">
        <f>-Analysis!$C$116*DD28/12</f>
        <v>-3752.0591706671671</v>
      </c>
      <c r="DU28" s="53"/>
      <c r="DV28" s="1">
        <f t="shared" si="30"/>
        <v>-143848.82293380453</v>
      </c>
      <c r="DW28" s="64">
        <f>IF(OR($B28&lt;Analysis!$C$100, $B28&gt;=Analysis!$C$101),0,IF($B28=Analysis!$C$100,Analysis!$C$31,DW27))</f>
        <v>0.1275</v>
      </c>
      <c r="DX28" s="1">
        <f>IF(OR($B28&lt;Analysis!$C$100, $B28&gt;=Analysis!$C$101),0,CK28+DV28)</f>
        <v>984377.23929211334</v>
      </c>
      <c r="DY28" s="1">
        <f>IF(OR($B28&lt;Analysis!$C$100, $B28&gt;=Analysis!$C$101),0,IF($B28-Analysis!$C$100&gt;3,0,IF(CK28&gt;LOOKUP(Analysis!$C$100,$B:$B, CK:CK),$V28*(LOOKUP(Analysis!$C$100,$B:$B, CK:CK)-CK28),0)))</f>
        <v>0</v>
      </c>
      <c r="DZ28" s="1">
        <f t="shared" si="49"/>
        <v>984377.23929211334</v>
      </c>
      <c r="EA28" s="53"/>
      <c r="EB28" s="1">
        <f t="shared" si="31"/>
        <v>1875845.7420141767</v>
      </c>
      <c r="EC28" s="64">
        <f t="shared" si="50"/>
        <v>3.9215686274509887E-2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-156475.56003159229</v>
      </c>
      <c r="FM28" s="1">
        <f>$M28+$R28+DD28+IF(AND($B28&lt;&gt;Analysis!$C$130,$B28=Analysis!$C$101),DZ27+CQ27+CT27+CZ27,0)</f>
        <v>176492.63328923189</v>
      </c>
      <c r="FN28" s="1">
        <f t="shared" si="34"/>
        <v>20017.073257639597</v>
      </c>
      <c r="FO28" s="1">
        <f>IF(FN28 &lt; 0,
    IF(FO27 + FN28 &gt; 0,
        FO27 + FN28, IF(FT27-ABS(FO27 + FN28)*(1+$V28) &gt;= FO27 + FN28,
        0, FO27 + FN28)),
    MIN(FO27 + FN28, Analysis!$C$7))+IF(FO27&lt;0, FO27*Analysis!$C$9,0)</f>
        <v>24000</v>
      </c>
      <c r="FP28" s="53"/>
      <c r="FQ28" s="1">
        <f t="shared" si="51"/>
        <v>25173.986814558681</v>
      </c>
      <c r="FR28" s="1">
        <f>IF(OR($B28=Analysis!$C$100, $B28=Analysis!$C$130),0,IF(FN28 &gt;= 0,
    MAX(0, FO27 + FN28 - Analysis!$C$7),
    0))</f>
        <v>20017.073257639597</v>
      </c>
      <c r="FS28" s="1">
        <f>IF(OR($B28=Analysis!$C$100, $B28=Analysis!$C$130),0,MAX(0, FS27 + FR28 - IF(FN28 &lt; 0, MIN(ABS(FN28), FS27 + FR28), 0)))</f>
        <v>468280.67245242879</v>
      </c>
      <c r="FT28" s="1">
        <f>IF(OR($B28=Analysis!$C$100, $B28=Analysis!$C$130),0,IF(FN28 &lt; 0,
    IF(FN28 + FO27 &lt; 0,
        MAX(0, FT27 - (ABS(FN28 + FO27) * (1+$V27))),
        FT27 + FQ28),
    FT27 + FR28 + FQ28))</f>
        <v>788665.02539296332</v>
      </c>
      <c r="FU28" s="1">
        <f t="shared" si="57"/>
        <v>704163.65230489732</v>
      </c>
      <c r="FV28" s="36"/>
      <c r="FW28" s="1">
        <f t="shared" si="52"/>
        <v>1128226.0622259178</v>
      </c>
      <c r="FX28" s="64">
        <f t="shared" si="53"/>
        <v>3.9215686274509887E-2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-19907.009361060456</v>
      </c>
      <c r="GC28" s="1">
        <f>IF($B28&lt;Analysis!$C$159,0,IF($B28=Analysis!$C$159,-FY28-GB28,MIN(0,GC27-GB28)))</f>
        <v>-38278.778177846223</v>
      </c>
      <c r="GD28" s="64">
        <f>IF($B28&lt;Analysis!$C$159,0,IF($B28=Analysis!$C$159,Analysis!$C$160,IF(($B28-Analysis!$C$159)&lt;LOOKUP(Analysis!$C$159,$B:$B,FZ:FZ),GD27,0)))</f>
        <v>3.6999999999999998E-2</v>
      </c>
      <c r="GE28" s="1">
        <f>IF($B28&lt;Analysis!$C$159,0,IF($B28=Analysis!$C$159,-GD28*FY28,GD27*GC27))</f>
        <v>-2152.8741389395468</v>
      </c>
      <c r="GF28" s="1">
        <f>IF($B28&lt;Analysis!$C$159,0,IF($B28=Analysis!$C$159,PMT(GD28,FZ28,FY28)*FZ28-GG28-GC28,IF(($B28-Analysis!$C$159+1)&lt;LOOKUP(Analysis!$C$159,$B:$B,FZ:FZ),IF(GF27-GE28&lt;0, GF27-GE28,0),0)))</f>
        <v>-2011.5563912798029</v>
      </c>
      <c r="GG28" s="1">
        <f>IF($B28&lt;Analysis!$C$159,0,IF($B28=Analysis!$C$159,GB28+GE28,IF(GC27&lt;0,IF(GC27&gt;LOOKUP(Analysis!$C$159,$B:$B,GG:GG), GC27*(1+GD27),GG27),0)))</f>
        <v>-22059.883500000004</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37680.031861328251</v>
      </c>
      <c r="GO28" s="64">
        <f>IF($B28&lt;Analysis!$C$159,0,((1+Analysis!$D$174)/(1+$S28))-1)</f>
        <v>3.9215686274509887E-2</v>
      </c>
      <c r="GP28" s="1">
        <f t="shared" si="7"/>
        <v>45024.710048006003</v>
      </c>
      <c r="GQ28" s="1">
        <f t="shared" si="36"/>
        <v>-3384.6781866777537</v>
      </c>
      <c r="GR28" s="64">
        <f>IF($B28&lt;Analysis!$C$159,0,Analysis!$C$178)</f>
        <v>3.0000000000000001E-3</v>
      </c>
      <c r="GS28" s="1">
        <f t="shared" si="37"/>
        <v>-8461.6954666943839</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-2826.0023895996187</v>
      </c>
      <c r="HD28" s="1">
        <f t="shared" si="38"/>
        <v>-26932.376042971759</v>
      </c>
      <c r="HE28" s="1">
        <f>MIN(0,-(GN28+HD28)*Analysis!$C$28)-GE28*Analysis!$C$28</f>
        <v>-3808.3477621496477</v>
      </c>
      <c r="HF28" s="1">
        <f>-Analysis!$C$176*GP28/12</f>
        <v>-3752.0591706671671</v>
      </c>
      <c r="HG28" s="38"/>
      <c r="HH28" s="1">
        <f>IF($B28&lt;Analysis!$C$159,0,-$HI28*$FW28)</f>
        <v>-143848.82293380453</v>
      </c>
      <c r="HI28" s="64">
        <f>IF($B28&lt;Analysis!$C$159,0,IF($B28=Analysis!$C$159,Analysis!$C$31,HI27))</f>
        <v>0.1275</v>
      </c>
      <c r="HJ28" s="1">
        <f>IF($B28&lt;Analysis!$C$159,0,$FW28+HH28)</f>
        <v>984377.23929211334</v>
      </c>
      <c r="HK28" s="1">
        <f>IF($B28-Analysis!$C$159&gt;10,0,IF($FW28&gt;LOOKUP(Analysis!$C$159,$B:$B, FW:FW),$V28*(LOOKUP(Analysis!$C$159,$B:$B, FW:FW)-FW28),0))</f>
        <v>0</v>
      </c>
      <c r="HL28" s="1">
        <f t="shared" si="39"/>
        <v>984377.23929211334</v>
      </c>
      <c r="HM28" s="38"/>
      <c r="HN28" s="1">
        <f t="shared" si="40"/>
        <v>-156475.56003159229</v>
      </c>
      <c r="HO28" s="1">
        <f t="shared" si="8"/>
        <v>176492.63328923189</v>
      </c>
      <c r="HP28" s="1">
        <f t="shared" si="41"/>
        <v>20017.073257639597</v>
      </c>
      <c r="HQ28" s="1">
        <f>IF(HP28 &lt; 0,
    IF(HQ27 + HP28 &gt; 0,
        HQ27 + HP28, IF(HV27-ABS(HQ27 + HP28)*(1+$V28) &gt;= HQ27 + HP28,
        0, HQ27 + HP28)),
    MIN(HQ27 + HP28, Analysis!$C$7))+IF(HQ27&lt;0, HQ27*Analysis!$C$9,0)</f>
        <v>24000</v>
      </c>
      <c r="HR28" s="38"/>
      <c r="HS28" s="1">
        <f t="shared" si="54"/>
        <v>25173.986814558681</v>
      </c>
      <c r="HT28" s="1">
        <f>IF($B28=Analysis!$C$159,0,IF(HP28 &gt;= 0,
    MAX(0, HQ27 + HP28 - Analysis!$C$7),
    0))</f>
        <v>20017.073257639597</v>
      </c>
      <c r="HU28" s="1">
        <f>IF($B28=Analysis!$C$159,0,MAX(0, HU27 + HT28 - IF(HP28 &lt; 0, MIN(ABS(HP28), HU27 + HT28), 0)))</f>
        <v>468280.67245242879</v>
      </c>
      <c r="HV28" s="1">
        <f>IF($B28=Analysis!$C$159,0,IF(HP28 &lt; 0,
    IF(HP28 + HQ27 &lt; 0,
        MAX(0, HV27 - (ABS(HP28 + HQ27) * (1+$V27))),
        HV27 + HS28),
    HV27 + HT28 + HS28))</f>
        <v>788665.02539296332</v>
      </c>
      <c r="HW28" s="1">
        <f t="shared" si="58"/>
        <v>704163.65230489732</v>
      </c>
      <c r="HX28" s="36"/>
    </row>
    <row r="29" spans="1:232" x14ac:dyDescent="0.35">
      <c r="A29">
        <f t="shared" si="0"/>
        <v>62</v>
      </c>
      <c r="B29">
        <v>2052</v>
      </c>
      <c r="C29" s="1">
        <f>IF($B29&lt;Analysis!C$66,0,$AN29)+$AT29+$AW29+$BC29+$CF29+$CA29</f>
        <v>1383083.1374796117</v>
      </c>
      <c r="D29" s="1">
        <f>IF($B29&lt;Analysis!C$66, 0, BV29)+AT29+AW29+BC29+CG29+CA29</f>
        <v>1134533.5766627332</v>
      </c>
      <c r="E29" s="1">
        <f t="shared" si="1"/>
        <v>1477718.5039348309</v>
      </c>
      <c r="F29" s="1">
        <f t="shared" si="9"/>
        <v>1282736.1938128371</v>
      </c>
      <c r="G29" s="1">
        <f>IF(AND($B29&gt;=Analysis!$C$100, $B29&lt;Analysis!$C$101),$CK29,0)+IF($B29&gt;=Analysis!$C$130,EB29,0)+CQ29+CT29+CZ29+EH29+EK29+EQ29+$FO29+$FT29</f>
        <v>2010759.9183676585</v>
      </c>
      <c r="H29" s="1">
        <f t="shared" si="10"/>
        <v>1770081.960786663</v>
      </c>
      <c r="I29" s="1">
        <f>IF($B29&lt;Analysis!$C$159,0,$FW29)+$GC29+$GF29+$GL29+$HQ29+$HV29</f>
        <v>2010759.9183676585</v>
      </c>
      <c r="J29" s="1">
        <f t="shared" si="2"/>
        <v>1770081.960786663</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-44751.634479560722</v>
      </c>
      <c r="Y29" s="64">
        <f t="shared" si="15"/>
        <v>3.9215686274509887E-2</v>
      </c>
      <c r="Z29" s="1">
        <f t="shared" si="16"/>
        <v>-3960</v>
      </c>
      <c r="AA29" s="64">
        <f t="shared" si="17"/>
        <v>0</v>
      </c>
      <c r="AB29" s="40"/>
      <c r="AC29" s="1">
        <f t="shared" si="3"/>
        <v>-109911.63447956071</v>
      </c>
      <c r="AD29" s="1">
        <f t="shared" si="4"/>
        <v>131467.92324122589</v>
      </c>
      <c r="AE29" s="1">
        <f t="shared" si="18"/>
        <v>21556.288761665171</v>
      </c>
      <c r="AF29" s="1">
        <f>IF(AE29 &lt; 0,
    IF(AF28 + AE29 &gt; 0,
        AF28 + AE29, IF(AK28-ABS(AF28 + AE29)*(1+$V29) &gt;= AF28 + AE29,
        0, AF28 + AE29)),
    MIN(AF28 + AE29, Analysis!$C$7))+IF(AF28&lt;0, AF28*Analysis!$C$9,0)</f>
        <v>24000</v>
      </c>
      <c r="AG29" s="40"/>
      <c r="AH29" s="1">
        <f t="shared" si="19"/>
        <v>44603.973071047585</v>
      </c>
      <c r="AI29" s="1">
        <f>IF(AE29 &gt;= 0,
    MAX(0, AF28 + AE29 - Analysis!$C$7),
    0)</f>
        <v>21556.288761665171</v>
      </c>
      <c r="AJ29" s="1">
        <f t="shared" si="44"/>
        <v>714449.08167134761</v>
      </c>
      <c r="AK29" s="1">
        <f t="shared" si="20"/>
        <v>1453718.5039348309</v>
      </c>
      <c r="AL29" s="1">
        <f t="shared" si="5"/>
        <v>1258736.1938128371</v>
      </c>
      <c r="AM29" s="36"/>
      <c r="AN29" s="1">
        <f t="shared" si="45"/>
        <v>1949408.3201323799</v>
      </c>
      <c r="AO29" s="64">
        <f t="shared" si="21"/>
        <v>3.9215686274509887E-2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-37009.342537896089</v>
      </c>
      <c r="AT29" s="1">
        <f>IF($B29&lt;Analysis!$C$66,0,IF($B29=Analysis!$C$66,-AP29-AS29,MIN(0,AT28-AS29)))</f>
        <v>-31616.0213027504</v>
      </c>
      <c r="AU29" s="64">
        <f>IF($B29&lt;Analysis!$C$66,0,IF($B29=Analysis!$C$66,Analysis!$C$72,IF(($B29-Analysis!$C$66)&lt;LOOKUP(Analysis!$C$66,$B:$B,AQ:AQ),AU28,0)))</f>
        <v>3.6999999999999998E-2</v>
      </c>
      <c r="AV29" s="1">
        <f>IF($B29&lt;Analysis!$C$66,0,IF($B29=Analysis!$C$66,-AU29*AP29,AU28*AT28))</f>
        <v>-2539.1384621039201</v>
      </c>
      <c r="AW29" s="1">
        <f>IF($B29&lt;Analysis!$C$66,0,IF($B29=Analysis!$C$66,PMT(AU29,AQ29,AP29)*AQ29-AX29-AT29,IF(($B29-Analysis!$C$66+1)&lt;LOOKUP(Analysis!$C$66,$B:$B,AQ:AQ),IF(AW28-AV29&lt;0, AW28-AV29,0),0)))</f>
        <v>-1067.1362365341724</v>
      </c>
      <c r="AX29" s="1">
        <f>IF($B29&lt;Analysis!$C$66,0,IF($B29=Analysis!$C$66,AS29+AV29,IF(AT28&lt;0,IF(AT28&gt;LOOKUP(Analysis!$C$66,$B:$B,AX:AX), AT28*(1+AU28),AX28),0)))</f>
        <v>-39548.481000000007</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-5848.2249603971395</v>
      </c>
      <c r="BF29" s="64">
        <f>IF($B29&lt;Analysis!$C$66,0,Analysis!$C$78)</f>
        <v>3.0000000000000001E-3</v>
      </c>
      <c r="BG29" s="1">
        <f>IF($B29&lt;Analysis!$C$66,0,-BH29*AN29)</f>
        <v>-14620.562400992849</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-248549.56081687845</v>
      </c>
      <c r="BS29" s="64">
        <f>IF($B29&lt;Analysis!C$66,0,Analysis!C$31)</f>
        <v>0.1275</v>
      </c>
      <c r="BT29" s="1">
        <f>IF($B29&lt;Analysis!$C$66,0,AN29+BR29)</f>
        <v>1700858.7593155014</v>
      </c>
      <c r="BU29" s="1">
        <f>IF($B29-Analysis!$C$66&gt;3,0,IF($AN29&gt;LOOKUP(Analysis!$C$66,$B:$B, AN:AN),$V29*(LOOKUP(Analysis!$C$66,$B:$B, AN:AN)-AN29),0))</f>
        <v>0</v>
      </c>
      <c r="BV29" s="1">
        <f t="shared" si="23"/>
        <v>1700858.7593155014</v>
      </c>
      <c r="BW29" s="42"/>
      <c r="BX29" s="1">
        <f>IF($B29&lt;Analysis!$C$66,$P29+$N29+$X29+$Z29,$P29+$N29+AS29+AV29+BB29+BE29+BG29+MAX(BI29,SUM(BJ29:BN29))+BP29)</f>
        <v>-125177.26836139</v>
      </c>
      <c r="BY29" s="1">
        <f t="shared" si="24"/>
        <v>131467.92324122589</v>
      </c>
      <c r="BZ29" s="1">
        <f t="shared" si="46"/>
        <v>6290.6548798358854</v>
      </c>
      <c r="CA29" s="1">
        <f>IF(BZ29 &lt; 0,
    IF(CA28 + BZ29 &gt; 0,
        CA28 + BZ29, IF(CF28-ABS(CA28 + BZ29)*(1+$V29) &gt;= CA28 + BZ29,
        0, CA28 + BZ29)),
    MIN(CA28 + BZ29, Analysis!$C$7))+IF(CA28&lt;0, CA28*Analysis!$C$9,0)</f>
        <v>-533642.02511348366</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-44751.634479560722</v>
      </c>
      <c r="CJ29" s="1">
        <f>IF(OR($B29&lt;Analysis!$C$100, $B29&gt;=Analysis!$C$130),0,Z29)</f>
        <v>-3960</v>
      </c>
      <c r="CK29" s="1">
        <f t="shared" si="26"/>
        <v>1172470.221528895</v>
      </c>
      <c r="CL29" s="64">
        <f t="shared" si="48"/>
        <v>3.9215686274509887E-2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-20643.568707419694</v>
      </c>
      <c r="CQ29" s="1">
        <f>IF(OR($B29&lt;Analysis!$C$100, $B29&gt;=Analysis!$C$101),0,IF($B29=Analysis!$C$100,-CM29-CP29,MIN(0,CQ28-CP29)))</f>
        <v>-17635.209470426529</v>
      </c>
      <c r="CR29" s="64">
        <f>IF(OR($B29&lt;Analysis!$C$100, $B29&gt;=Analysis!$C$101),0,IF($B29=Analysis!$C$100,Analysis!$C$102,IF(($B29-Analysis!$C$100)&lt;LOOKUP(Analysis!$C$100,$B:$B,CN:CN),CR28,0)))</f>
        <v>3.6999999999999998E-2</v>
      </c>
      <c r="CS29" s="1">
        <f>IF(OR($B29&lt;Analysis!$C$100, $B29&gt;=Analysis!$C$101),0,IF($B29=Analysis!$C$100,-CR29*CM29,CR28*CQ28))</f>
        <v>-1416.3147925803103</v>
      </c>
      <c r="CT29" s="1">
        <f>IF(OR($B29&lt;Analysis!$C$100, $B29&gt;=Analysis!$C$101),0,IF($B29=Analysis!$C$100,PMT(CR29,CN29,CM29)*CN29-CU29-CQ29,IF(($B29-Analysis!$C$100+1)&lt;LOOKUP(Analysis!$C$100,$B:$B,CN:CN),IF(CT28-CS29&lt;0, CT28-CS29,0),0)))</f>
        <v>-595.24159869949267</v>
      </c>
      <c r="CU29" s="1">
        <f>IF(OR($B29&lt;Analysis!$C$100, $B29&gt;=Analysis!$C$101),0,IF($B29=Analysis!$C$100,CP29+CS29,IF(CQ28&lt;0,IF(CQ28&gt;LOOKUP(Analysis!$C$100,$B:$B,CU:CU), CQ28*(1+CR28),CU28),0)))</f>
        <v>-22059.883500000004</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39157.680169615633</v>
      </c>
      <c r="DC29" s="64">
        <f>IF(OR($B29&lt;Analysis!$C$100, $B29&gt;=Analysis!$C$101),0,((1+Analysis!$D$114)/(1+$S29))-1)</f>
        <v>3.9215686274509887E-2</v>
      </c>
      <c r="DD29" s="1">
        <f t="shared" si="6"/>
        <v>46635.090834202318</v>
      </c>
      <c r="DE29" s="1">
        <f t="shared" si="27"/>
        <v>-3517.410664586685</v>
      </c>
      <c r="DF29" s="64">
        <f>IF(OR($B29&lt;Analysis!$C$100, $B29&gt;=Analysis!$C$101),0,Analysis!$C$118)</f>
        <v>3.0000000000000001E-3</v>
      </c>
      <c r="DG29" s="1">
        <f t="shared" si="28"/>
        <v>-8793.5266614667125</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-2936.8260127211724</v>
      </c>
      <c r="DR29" s="1">
        <f t="shared" si="29"/>
        <v>-27507.76333877457</v>
      </c>
      <c r="DS29" s="1">
        <f>MIN(0,-(DB29+DR29)*Analysis!$C$28)-CS29*Analysis!$C$28</f>
        <v>-4534.5090631533385</v>
      </c>
      <c r="DT29" s="1">
        <f>-Analysis!$C$116*DD29/12</f>
        <v>-3886.2575695168598</v>
      </c>
      <c r="DU29" s="53"/>
      <c r="DV29" s="1">
        <f t="shared" si="30"/>
        <v>-149489.95324493412</v>
      </c>
      <c r="DW29" s="64">
        <f>IF(OR($B29&lt;Analysis!$C$100, $B29&gt;=Analysis!$C$101),0,IF($B29=Analysis!$C$100,Analysis!$C$31,DW28))</f>
        <v>0.1275</v>
      </c>
      <c r="DX29" s="1">
        <f>IF(OR($B29&lt;Analysis!$C$100, $B29&gt;=Analysis!$C$101),0,CK29+DV29)</f>
        <v>1022980.2682839609</v>
      </c>
      <c r="DY29" s="1">
        <f>IF(OR($B29&lt;Analysis!$C$100, $B29&gt;=Analysis!$C$101),0,IF($B29-Analysis!$C$100&gt;3,0,IF(CK29&gt;LOOKUP(Analysis!$C$100,$B:$B, CK:CK),$V29*(LOOKUP(Analysis!$C$100,$B:$B, CK:CK)-CK29),0)))</f>
        <v>0</v>
      </c>
      <c r="DZ29" s="1">
        <f t="shared" si="49"/>
        <v>1022980.2682839609</v>
      </c>
      <c r="EA29" s="53"/>
      <c r="EB29" s="1">
        <f t="shared" si="31"/>
        <v>1949408.3201323799</v>
      </c>
      <c r="EC29" s="64">
        <f t="shared" si="50"/>
        <v>3.9215686274509887E-2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-159600.04795100549</v>
      </c>
      <c r="FM29" s="1">
        <f>$M29+$R29+DD29+IF(AND($B29&lt;&gt;Analysis!$C$130,$B29=Analysis!$C$101),DZ28+CQ28+CT28+CZ28,0)</f>
        <v>178103.01407542819</v>
      </c>
      <c r="FN29" s="1">
        <f t="shared" si="34"/>
        <v>18502.966124422703</v>
      </c>
      <c r="FO29" s="1">
        <f>IF(FN29 &lt; 0,
    IF(FO28 + FN29 &gt; 0,
        FO28 + FN29, IF(FT28-ABS(FO28 + FN29)*(1+$V29) &gt;= FO28 + FN29,
        0, FO28 + FN29)),
    MIN(FO28 + FN29, Analysis!$C$7))+IF(FO28&lt;0, FO28*Analysis!$C$9,0)</f>
        <v>24000</v>
      </c>
      <c r="FP29" s="53"/>
      <c r="FQ29" s="1">
        <f t="shared" si="51"/>
        <v>25352.15639050334</v>
      </c>
      <c r="FR29" s="1">
        <f>IF(OR($B29=Analysis!$C$100, $B29=Analysis!$C$130),0,IF(FN29 &gt;= 0,
    MAX(0, FO28 + FN29 - Analysis!$C$7),
    0))</f>
        <v>18502.966124422703</v>
      </c>
      <c r="FS29" s="1">
        <f>IF(OR($B29=Analysis!$C$100, $B29=Analysis!$C$130),0,MAX(0, FS28 + FR29 - IF(FN29 &lt; 0, MIN(ABS(FN29), FS28 + FR29), 0)))</f>
        <v>486783.63857685146</v>
      </c>
      <c r="FT29" s="1">
        <f>IF(OR($B29=Analysis!$C$100, $B29=Analysis!$C$130),0,IF(FN29 &lt; 0,
    IF(FN29 + FO28 &lt; 0,
        MAX(0, FT28 - (ABS(FN29 + FO28) * (1+$V28))),
        FT28 + FQ29),
    FT28 + FR29 + FQ29))</f>
        <v>832520.14790788945</v>
      </c>
      <c r="FU29" s="1">
        <f t="shared" si="57"/>
        <v>741332.14357182814</v>
      </c>
      <c r="FV29" s="36"/>
      <c r="FW29" s="1">
        <f t="shared" si="52"/>
        <v>1172470.221528895</v>
      </c>
      <c r="FX29" s="64">
        <f t="shared" si="53"/>
        <v>3.9215686274509887E-2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-20643.568707419694</v>
      </c>
      <c r="GC29" s="1">
        <f>IF($B29&lt;Analysis!$C$159,0,IF($B29=Analysis!$C$159,-FY29-GB29,MIN(0,GC28-GB29)))</f>
        <v>-17635.209470426529</v>
      </c>
      <c r="GD29" s="64">
        <f>IF($B29&lt;Analysis!$C$159,0,IF($B29=Analysis!$C$159,Analysis!$C$160,IF(($B29-Analysis!$C$159)&lt;LOOKUP(Analysis!$C$159,$B:$B,FZ:FZ),GD28,0)))</f>
        <v>3.6999999999999998E-2</v>
      </c>
      <c r="GE29" s="1">
        <f>IF($B29&lt;Analysis!$C$159,0,IF($B29=Analysis!$C$159,-GD29*FY29,GD28*GC28))</f>
        <v>-1416.3147925803103</v>
      </c>
      <c r="GF29" s="1">
        <f>IF($B29&lt;Analysis!$C$159,0,IF($B29=Analysis!$C$159,PMT(GD29,FZ29,FY29)*FZ29-GG29-GC29,IF(($B29-Analysis!$C$159+1)&lt;LOOKUP(Analysis!$C$159,$B:$B,FZ:FZ),IF(GF28-GE29&lt;0, GF28-GE29,0),0)))</f>
        <v>-595.24159869949267</v>
      </c>
      <c r="GG29" s="1">
        <f>IF($B29&lt;Analysis!$C$159,0,IF($B29=Analysis!$C$159,GB29+GE29,IF(GC28&lt;0,IF(GC28&gt;LOOKUP(Analysis!$C$159,$B:$B,GG:GG), GC28*(1+GD28),GG28),0)))</f>
        <v>-22059.883500000004</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39157.680169615633</v>
      </c>
      <c r="GO29" s="64">
        <f>IF($B29&lt;Analysis!$C$159,0,((1+Analysis!$D$174)/(1+$S29))-1)</f>
        <v>3.9215686274509887E-2</v>
      </c>
      <c r="GP29" s="1">
        <f t="shared" si="7"/>
        <v>46635.090834202318</v>
      </c>
      <c r="GQ29" s="1">
        <f t="shared" si="36"/>
        <v>-3517.410664586685</v>
      </c>
      <c r="GR29" s="64">
        <f>IF($B29&lt;Analysis!$C$159,0,Analysis!$C$178)</f>
        <v>3.0000000000000001E-3</v>
      </c>
      <c r="GS29" s="1">
        <f t="shared" si="37"/>
        <v>-8793.5266614667125</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-2936.8260127211724</v>
      </c>
      <c r="HD29" s="1">
        <f t="shared" si="38"/>
        <v>-27507.76333877457</v>
      </c>
      <c r="HE29" s="1">
        <f>MIN(0,-(GN29+HD29)*Analysis!$C$28)-GE29*Analysis!$C$28</f>
        <v>-4534.5090631533385</v>
      </c>
      <c r="HF29" s="1">
        <f>-Analysis!$C$176*GP29/12</f>
        <v>-3886.2575695168598</v>
      </c>
      <c r="HG29" s="38"/>
      <c r="HH29" s="1">
        <f>IF($B29&lt;Analysis!$C$159,0,-$HI29*$FW29)</f>
        <v>-149489.95324493412</v>
      </c>
      <c r="HI29" s="64">
        <f>IF($B29&lt;Analysis!$C$159,0,IF($B29=Analysis!$C$159,Analysis!$C$31,HI28))</f>
        <v>0.1275</v>
      </c>
      <c r="HJ29" s="1">
        <f>IF($B29&lt;Analysis!$C$159,0,$FW29+HH29)</f>
        <v>1022980.2682839609</v>
      </c>
      <c r="HK29" s="1">
        <f>IF($B29-Analysis!$C$159&gt;10,0,IF($FW29&gt;LOOKUP(Analysis!$C$159,$B:$B, FW:FW),$V29*(LOOKUP(Analysis!$C$159,$B:$B, FW:FW)-FW29),0))</f>
        <v>0</v>
      </c>
      <c r="HL29" s="1">
        <f t="shared" si="39"/>
        <v>1022980.2682839609</v>
      </c>
      <c r="HM29" s="38"/>
      <c r="HN29" s="1">
        <f t="shared" si="40"/>
        <v>-159600.04795100549</v>
      </c>
      <c r="HO29" s="1">
        <f t="shared" si="8"/>
        <v>178103.01407542819</v>
      </c>
      <c r="HP29" s="1">
        <f t="shared" si="41"/>
        <v>18502.966124422703</v>
      </c>
      <c r="HQ29" s="1">
        <f>IF(HP29 &lt; 0,
    IF(HQ28 + HP29 &gt; 0,
        HQ28 + HP29, IF(HV28-ABS(HQ28 + HP29)*(1+$V29) &gt;= HQ28 + HP29,
        0, HQ28 + HP29)),
    MIN(HQ28 + HP29, Analysis!$C$7))+IF(HQ28&lt;0, HQ28*Analysis!$C$9,0)</f>
        <v>24000</v>
      </c>
      <c r="HR29" s="38"/>
      <c r="HS29" s="1">
        <f t="shared" si="54"/>
        <v>25352.15639050334</v>
      </c>
      <c r="HT29" s="1">
        <f>IF($B29=Analysis!$C$159,0,IF(HP29 &gt;= 0,
    MAX(0, HQ28 + HP29 - Analysis!$C$7),
    0))</f>
        <v>18502.966124422703</v>
      </c>
      <c r="HU29" s="1">
        <f>IF($B29=Analysis!$C$159,0,MAX(0, HU28 + HT29 - IF(HP29 &lt; 0, MIN(ABS(HP29), HU28 + HT29), 0)))</f>
        <v>486783.63857685146</v>
      </c>
      <c r="HV29" s="1">
        <f>IF($B29=Analysis!$C$159,0,IF(HP29 &lt; 0,
    IF(HP29 + HQ28 &lt; 0,
        MAX(0, HV28 - (ABS(HP29 + HQ28) * (1+$V28))),
        HV28 + HS29),
    HV28 + HT29 + HS29))</f>
        <v>832520.14790788945</v>
      </c>
      <c r="HW29" s="1">
        <f t="shared" si="58"/>
        <v>741332.14357182814</v>
      </c>
      <c r="HX29" s="36"/>
    </row>
    <row r="30" spans="1:232" x14ac:dyDescent="0.35">
      <c r="A30">
        <f t="shared" si="0"/>
        <v>63</v>
      </c>
      <c r="B30">
        <v>2053</v>
      </c>
      <c r="C30" s="1">
        <f>IF($B30&lt;Analysis!C$66,0,$AN30)+$AT30+$AW30+$BC30+$CF30+$CA30</f>
        <v>1474972.9423583481</v>
      </c>
      <c r="D30" s="1">
        <f>IF($B30&lt;Analysis!C$66, 0, BV30)+AT30+AW30+BC30+CG30+CA30</f>
        <v>1216676.3399408078</v>
      </c>
      <c r="E30" s="1">
        <f t="shared" si="1"/>
        <v>1554958.4760131186</v>
      </c>
      <c r="F30" s="1">
        <f t="shared" si="9"/>
        <v>1348308.2221185626</v>
      </c>
      <c r="G30" s="1">
        <f>IF(AND($B30&gt;=Analysis!$C$100, $B30&lt;Analysis!$C$101),$CK30,0)+IF($B30&gt;=Analysis!$C$130,EB30,0)+CQ30+CT30+CZ30+EH30+EK30+EQ30+$FO30+$FT30</f>
        <v>2134206.7012383705</v>
      </c>
      <c r="H30" s="1">
        <f t="shared" si="10"/>
        <v>1880984.3573076795</v>
      </c>
      <c r="I30" s="1">
        <f>IF($B30&lt;Analysis!$C$159,0,$FW30)+$GC30+$GF30+$GL30+$HQ30+$HV30</f>
        <v>2134206.7012383705</v>
      </c>
      <c r="J30" s="1">
        <f t="shared" si="2"/>
        <v>1880984.3573076795</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-46506.600537582715</v>
      </c>
      <c r="Y30" s="64">
        <f t="shared" si="15"/>
        <v>3.9215686274509887E-2</v>
      </c>
      <c r="Z30" s="1">
        <f t="shared" si="16"/>
        <v>-3960</v>
      </c>
      <c r="AA30" s="64">
        <f t="shared" si="17"/>
        <v>0</v>
      </c>
      <c r="AB30" s="40"/>
      <c r="AC30" s="1">
        <f t="shared" si="3"/>
        <v>-98466.600537582708</v>
      </c>
      <c r="AD30" s="1">
        <f t="shared" si="4"/>
        <v>131467.92324122589</v>
      </c>
      <c r="AE30" s="1">
        <f t="shared" si="18"/>
        <v>33001.322703643178</v>
      </c>
      <c r="AF30" s="1">
        <f>IF(AE30 &lt; 0,
    IF(AF29 + AE30 &gt; 0,
        AF29 + AE30, IF(AK29-ABS(AF29 + AE30)*(1+$V30) &gt;= AF29 + AE30,
        0, AF29 + AE30)),
    MIN(AF29 + AE30, Analysis!$C$7))+IF(AF29&lt;0, AF29*Analysis!$C$9,0)</f>
        <v>24000</v>
      </c>
      <c r="AG30" s="40"/>
      <c r="AH30" s="1">
        <f t="shared" si="19"/>
        <v>44238.649374644498</v>
      </c>
      <c r="AI30" s="1">
        <f>IF(AE30 &gt;= 0,
    MAX(0, AF29 + AE30 - Analysis!$C$7),
    0)</f>
        <v>33001.322703643178</v>
      </c>
      <c r="AJ30" s="1">
        <f t="shared" si="44"/>
        <v>747450.40437499085</v>
      </c>
      <c r="AK30" s="1">
        <f t="shared" si="20"/>
        <v>1530958.4760131186</v>
      </c>
      <c r="AL30" s="1">
        <f t="shared" si="5"/>
        <v>1324308.2221185626</v>
      </c>
      <c r="AM30" s="36"/>
      <c r="AN30" s="1">
        <f t="shared" si="45"/>
        <v>2025855.7052356107</v>
      </c>
      <c r="AO30" s="64">
        <f t="shared" si="21"/>
        <v>3.9215686274509887E-2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-31616.021302750396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-1169.7927882017648</v>
      </c>
      <c r="AW30" s="1">
        <f>IF($B30&lt;Analysis!$C$66,0,IF($B30=Analysis!$C$66,PMT(AU30,AQ30,AP30)*AQ30-AX30-AT30,IF(($B30-Analysis!$C$66+1)&lt;LOOKUP(Analysis!$C$66,$B:$B,AQ:AQ),IF(AW29-AV30&lt;0, AW29-AV30,0),0)))</f>
        <v>0</v>
      </c>
      <c r="AX30" s="1">
        <f>IF($B30&lt;Analysis!$C$66,0,IF($B30=Analysis!$C$66,AS30+AV30,IF(AT29&lt;0,IF(AT29&gt;LOOKUP(Analysis!$C$66,$B:$B,AX:AX), AT29*(1+AU29),AX29),0)))</f>
        <v>-32785.814090952161</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-6077.5671157068318</v>
      </c>
      <c r="BF30" s="64">
        <f>IF($B30&lt;Analysis!$C$66,0,Analysis!$C$78)</f>
        <v>3.0000000000000001E-3</v>
      </c>
      <c r="BG30" s="1">
        <f>IF($B30&lt;Analysis!$C$66,0,-BH30*AN30)</f>
        <v>-15193.91778926708</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-258296.60241754036</v>
      </c>
      <c r="BS30" s="64">
        <f>IF($B30&lt;Analysis!C$66,0,Analysis!C$31)</f>
        <v>0.1275</v>
      </c>
      <c r="BT30" s="1">
        <f>IF($B30&lt;Analysis!$C$66,0,AN30+BR30)</f>
        <v>1767559.1028180704</v>
      </c>
      <c r="BU30" s="1">
        <f>IF($B30-Analysis!$C$66&gt;3,0,IF($AN30&gt;LOOKUP(Analysis!$C$66,$B:$B, AN:AN),$V30*(LOOKUP(Analysis!$C$66,$B:$B, AN:AN)-AN30),0))</f>
        <v>0</v>
      </c>
      <c r="BV30" s="1">
        <f t="shared" si="23"/>
        <v>1767559.1028180704</v>
      </c>
      <c r="BW30" s="42"/>
      <c r="BX30" s="1">
        <f>IF($B30&lt;Analysis!$C$66,$P30+$N30+$X30+$Z30,$P30+$N30+AS30+AV30+BB30+BE30+BG30+MAX(BI30,SUM(BJ30:BN30))+BP30)</f>
        <v>-106017.29899592607</v>
      </c>
      <c r="BY30" s="1">
        <f t="shared" si="24"/>
        <v>131467.92324122589</v>
      </c>
      <c r="BZ30" s="1">
        <f t="shared" si="46"/>
        <v>25450.624245299812</v>
      </c>
      <c r="CA30" s="1">
        <f>IF(BZ30 &lt; 0,
    IF(CA29 + BZ30 &gt; 0,
        CA29 + BZ30, IF(CF29-ABS(CA29 + BZ30)*(1+$V30) &gt;= CA29 + BZ30,
        0, CA29 + BZ30)),
    MIN(CA29 + BZ30, Analysis!$C$7))+IF(CA29&lt;0, CA29*Analysis!$C$9,0)</f>
        <v>-550882.76287726255</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-46506.600537582715</v>
      </c>
      <c r="CJ30" s="1">
        <f>IF(OR($B30&lt;Analysis!$C$100, $B30&gt;=Analysis!$C$130),0,Z30)</f>
        <v>-3960</v>
      </c>
      <c r="CK30" s="1">
        <f t="shared" si="26"/>
        <v>1218449.4459025771</v>
      </c>
      <c r="CL30" s="64">
        <f t="shared" si="48"/>
        <v>3.9215686274509887E-2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-17635.209470426529</v>
      </c>
      <c r="CQ30" s="1">
        <f>IF(OR($B30&lt;Analysis!$C$100, $B30&gt;=Analysis!$C$101),0,IF($B30=Analysis!$C$100,-CM30-CP30,MIN(0,CQ29-CP30)))</f>
        <v>0</v>
      </c>
      <c r="CR30" s="64">
        <f>IF(OR($B30&lt;Analysis!$C$100, $B30&gt;=Analysis!$C$101),0,IF($B30=Analysis!$C$100,Analysis!$C$102,IF(($B30-Analysis!$C$100)&lt;LOOKUP(Analysis!$C$100,$B:$B,CN:CN),CR29,0)))</f>
        <v>3.6999999999999998E-2</v>
      </c>
      <c r="CS30" s="1">
        <f>IF(OR($B30&lt;Analysis!$C$100, $B30&gt;=Analysis!$C$101),0,IF($B30=Analysis!$C$100,-CR30*CM30,CR29*CQ29))</f>
        <v>-652.50275040578151</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-18287.712220832309</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40693.275470384877</v>
      </c>
      <c r="DC30" s="64">
        <f>IF(OR($B30&lt;Analysis!$C$100, $B30&gt;=Analysis!$C$101),0,((1+Analysis!$D$114)/(1+$S30))-1)</f>
        <v>3.9215686274509887E-2</v>
      </c>
      <c r="DD30" s="1">
        <f t="shared" si="6"/>
        <v>48308.623808092605</v>
      </c>
      <c r="DE30" s="1">
        <f t="shared" si="27"/>
        <v>-3655.3483377077314</v>
      </c>
      <c r="DF30" s="64">
        <f>IF(OR($B30&lt;Analysis!$C$100, $B30&gt;=Analysis!$C$101),0,Analysis!$C$118)</f>
        <v>3.0000000000000001E-3</v>
      </c>
      <c r="DG30" s="1">
        <f t="shared" si="28"/>
        <v>-9138.3708442693278</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-3051.9956602788657</v>
      </c>
      <c r="DR30" s="1">
        <f t="shared" si="29"/>
        <v>-28105.714842255926</v>
      </c>
      <c r="DS30" s="1">
        <f>MIN(0,-(DB30+DR30)*Analysis!$C$28)-CS30*Analysis!$C$28</f>
        <v>-5288.4241456191357</v>
      </c>
      <c r="DT30" s="1">
        <f>-Analysis!$C$116*DD30/12</f>
        <v>-4025.7186506743838</v>
      </c>
      <c r="DU30" s="53"/>
      <c r="DV30" s="1">
        <f t="shared" si="30"/>
        <v>-155352.30435257859</v>
      </c>
      <c r="DW30" s="64">
        <f>IF(OR($B30&lt;Analysis!$C$100, $B30&gt;=Analysis!$C$101),0,IF($B30=Analysis!$C$100,Analysis!$C$31,DW29))</f>
        <v>0.1275</v>
      </c>
      <c r="DX30" s="1">
        <f>IF(OR($B30&lt;Analysis!$C$100, $B30&gt;=Analysis!$C$101),0,CK30+DV30)</f>
        <v>1063097.1415499984</v>
      </c>
      <c r="DY30" s="1">
        <f>IF(OR($B30&lt;Analysis!$C$100, $B30&gt;=Analysis!$C$101),0,IF($B30-Analysis!$C$100&gt;3,0,IF(CK30&gt;LOOKUP(Analysis!$C$100,$B:$B, CK:CK),$V30*(LOOKUP(Analysis!$C$100,$B:$B, CK:CK)-CK30),0)))</f>
        <v>0</v>
      </c>
      <c r="DZ30" s="1">
        <f t="shared" si="49"/>
        <v>1063097.1415499984</v>
      </c>
      <c r="EA30" s="53"/>
      <c r="EB30" s="1">
        <f t="shared" si="31"/>
        <v>2025855.7052356107</v>
      </c>
      <c r="EC30" s="64">
        <f t="shared" si="50"/>
        <v>3.9215686274509887E-2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-145874.17039696447</v>
      </c>
      <c r="FM30" s="1">
        <f>$M30+$R30+DD30+IF(AND($B30&lt;&gt;Analysis!$C$130,$B30=Analysis!$C$101),DZ29+CQ29+CT29+CZ29,0)</f>
        <v>179776.5470493185</v>
      </c>
      <c r="FN30" s="1">
        <f t="shared" si="34"/>
        <v>33902.376652354025</v>
      </c>
      <c r="FO30" s="1">
        <f>IF(FN30 &lt; 0,
    IF(FO29 + FN30 &gt; 0,
        FO29 + FN30, IF(FT29-ABS(FO29 + FN30)*(1+$V30) &gt;= FO29 + FN30,
        0, FO29 + FN30)),
    MIN(FO29 + FN30, Analysis!$C$7))+IF(FO29&lt;0, FO29*Analysis!$C$9,0)</f>
        <v>24000</v>
      </c>
      <c r="FP30" s="53"/>
      <c r="FQ30" s="1">
        <f t="shared" si="51"/>
        <v>25334.730775550026</v>
      </c>
      <c r="FR30" s="1">
        <f>IF(OR($B30=Analysis!$C$100, $B30=Analysis!$C$130),0,IF(FN30 &gt;= 0,
    MAX(0, FO29 + FN30 - Analysis!$C$7),
    0))</f>
        <v>33902.376652354025</v>
      </c>
      <c r="FS30" s="1">
        <f>IF(OR($B30=Analysis!$C$100, $B30=Analysis!$C$130),0,MAX(0, FS29 + FR30 - IF(FN30 &lt; 0, MIN(ABS(FN30), FS29 + FR30), 0)))</f>
        <v>520686.01522920548</v>
      </c>
      <c r="FT30" s="1">
        <f>IF(OR($B30=Analysis!$C$100, $B30=Analysis!$C$130),0,IF(FN30 &lt; 0,
    IF(FN30 + FO29 &lt; 0,
        MAX(0, FT29 - (ABS(FN30 + FO29) * (1+$V29))),
        FT29 + FQ30),
    FT29 + FR30 + FQ30))</f>
        <v>891757.25533579348</v>
      </c>
      <c r="FU30" s="1">
        <f t="shared" si="57"/>
        <v>793887.21575768094</v>
      </c>
      <c r="FV30" s="36"/>
      <c r="FW30" s="1">
        <f t="shared" si="52"/>
        <v>1218449.4459025771</v>
      </c>
      <c r="FX30" s="64">
        <f t="shared" si="53"/>
        <v>3.9215686274509887E-2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-17635.209470426529</v>
      </c>
      <c r="GC30" s="1">
        <f>IF($B30&lt;Analysis!$C$159,0,IF($B30=Analysis!$C$159,-FY30-GB30,MIN(0,GC29-GB30)))</f>
        <v>0</v>
      </c>
      <c r="GD30" s="64">
        <f>IF($B30&lt;Analysis!$C$159,0,IF($B30=Analysis!$C$159,Analysis!$C$160,IF(($B30-Analysis!$C$159)&lt;LOOKUP(Analysis!$C$159,$B:$B,FZ:FZ),GD29,0)))</f>
        <v>3.6999999999999998E-2</v>
      </c>
      <c r="GE30" s="1">
        <f>IF($B30&lt;Analysis!$C$159,0,IF($B30=Analysis!$C$159,-GD30*FY30,GD29*GC29))</f>
        <v>-652.50275040578151</v>
      </c>
      <c r="GF30" s="1">
        <f>IF($B30&lt;Analysis!$C$159,0,IF($B30=Analysis!$C$159,PMT(GD30,FZ30,FY30)*FZ30-GG30-GC30,IF(($B30-Analysis!$C$159+1)&lt;LOOKUP(Analysis!$C$159,$B:$B,FZ:FZ),IF(GF29-GE30&lt;0, GF29-GE30,0),0)))</f>
        <v>0</v>
      </c>
      <c r="GG30" s="1">
        <f>IF($B30&lt;Analysis!$C$159,0,IF($B30=Analysis!$C$159,GB30+GE30,IF(GC29&lt;0,IF(GC29&gt;LOOKUP(Analysis!$C$159,$B:$B,GG:GG), GC29*(1+GD29),GG29),0)))</f>
        <v>-18287.712220832309</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40693.275470384877</v>
      </c>
      <c r="GO30" s="64">
        <f>IF($B30&lt;Analysis!$C$159,0,((1+Analysis!$D$174)/(1+$S30))-1)</f>
        <v>3.9215686274509887E-2</v>
      </c>
      <c r="GP30" s="1">
        <f t="shared" si="7"/>
        <v>48308.623808092605</v>
      </c>
      <c r="GQ30" s="1">
        <f t="shared" si="36"/>
        <v>-3655.3483377077314</v>
      </c>
      <c r="GR30" s="64">
        <f>IF($B30&lt;Analysis!$C$159,0,Analysis!$C$178)</f>
        <v>3.0000000000000001E-3</v>
      </c>
      <c r="GS30" s="1">
        <f t="shared" si="37"/>
        <v>-9138.3708442693278</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-3051.9956602788657</v>
      </c>
      <c r="HD30" s="1">
        <f t="shared" si="38"/>
        <v>-28105.714842255926</v>
      </c>
      <c r="HE30" s="1">
        <f>MIN(0,-(GN30+HD30)*Analysis!$C$28)-GE30*Analysis!$C$28</f>
        <v>-5288.4241456191357</v>
      </c>
      <c r="HF30" s="1">
        <f>-Analysis!$C$176*GP30/12</f>
        <v>-4025.7186506743838</v>
      </c>
      <c r="HG30" s="38"/>
      <c r="HH30" s="1">
        <f>IF($B30&lt;Analysis!$C$159,0,-$HI30*$FW30)</f>
        <v>-155352.30435257859</v>
      </c>
      <c r="HI30" s="64">
        <f>IF($B30&lt;Analysis!$C$159,0,IF($B30=Analysis!$C$159,Analysis!$C$31,HI29))</f>
        <v>0.1275</v>
      </c>
      <c r="HJ30" s="1">
        <f>IF($B30&lt;Analysis!$C$159,0,$FW30+HH30)</f>
        <v>1063097.1415499984</v>
      </c>
      <c r="HK30" s="1">
        <f>IF($B30-Analysis!$C$159&gt;10,0,IF($FW30&gt;LOOKUP(Analysis!$C$159,$B:$B, FW:FW),$V30*(LOOKUP(Analysis!$C$159,$B:$B, FW:FW)-FW30),0))</f>
        <v>0</v>
      </c>
      <c r="HL30" s="1">
        <f t="shared" si="39"/>
        <v>1063097.1415499984</v>
      </c>
      <c r="HM30" s="38"/>
      <c r="HN30" s="1">
        <f t="shared" si="40"/>
        <v>-145874.17039696447</v>
      </c>
      <c r="HO30" s="1">
        <f t="shared" si="8"/>
        <v>179776.5470493185</v>
      </c>
      <c r="HP30" s="1">
        <f t="shared" si="41"/>
        <v>33902.376652354025</v>
      </c>
      <c r="HQ30" s="1">
        <f>IF(HP30 &lt; 0,
    IF(HQ29 + HP30 &gt; 0,
        HQ29 + HP30, IF(HV29-ABS(HQ29 + HP30)*(1+$V30) &gt;= HQ29 + HP30,
        0, HQ29 + HP30)),
    MIN(HQ29 + HP30, Analysis!$C$7))+IF(HQ29&lt;0, HQ29*Analysis!$C$9,0)</f>
        <v>24000</v>
      </c>
      <c r="HR30" s="38"/>
      <c r="HS30" s="1">
        <f t="shared" si="54"/>
        <v>25334.730775550026</v>
      </c>
      <c r="HT30" s="1">
        <f>IF($B30=Analysis!$C$159,0,IF(HP30 &gt;= 0,
    MAX(0, HQ29 + HP30 - Analysis!$C$7),
    0))</f>
        <v>33902.376652354025</v>
      </c>
      <c r="HU30" s="1">
        <f>IF($B30=Analysis!$C$159,0,MAX(0, HU29 + HT30 - IF(HP30 &lt; 0, MIN(ABS(HP30), HU29 + HT30), 0)))</f>
        <v>520686.01522920548</v>
      </c>
      <c r="HV30" s="1">
        <f>IF($B30=Analysis!$C$159,0,IF(HP30 &lt; 0,
    IF(HP30 + HQ29 &lt; 0,
        MAX(0, HV29 - (ABS(HP30 + HQ29) * (1+$V29))),
        HV29 + HS30),
    HV29 + HT30 + HS30))</f>
        <v>891757.25533579348</v>
      </c>
      <c r="HW30" s="1">
        <f t="shared" si="58"/>
        <v>793887.21575768094</v>
      </c>
      <c r="HX30" s="36"/>
    </row>
    <row r="31" spans="1:232" x14ac:dyDescent="0.35">
      <c r="A31">
        <f t="shared" si="0"/>
        <v>64</v>
      </c>
      <c r="B31">
        <v>2054</v>
      </c>
      <c r="C31" s="1">
        <f>IF($B31&lt;Analysis!C$66,0,$AN31)+$AT31+$AW31+$BC31+$CF31+$CA31</f>
        <v>1567749.9055597386</v>
      </c>
      <c r="D31" s="1">
        <f>IF($B31&lt;Analysis!C$66, 0, BV31)+AT31+AW31+BC31+CG31+CA31</f>
        <v>1299324.0246160203</v>
      </c>
      <c r="E31" s="1">
        <f t="shared" si="1"/>
        <v>1630100.677956427</v>
      </c>
      <c r="F31" s="1">
        <f t="shared" si="9"/>
        <v>1411854.7430097901</v>
      </c>
      <c r="G31" s="1">
        <f>IF(AND($B31&gt;=Analysis!$C$100, $B31&lt;Analysis!$C$101),$CK31,0)+IF($B31&gt;=Analysis!$C$130,EB31,0)+CQ31+CT31+CZ31+EH31+EK31+EQ31+$FO31+$FT31</f>
        <v>2258215.9477216317</v>
      </c>
      <c r="H31" s="1">
        <f t="shared" si="10"/>
        <v>1992147.0697072987</v>
      </c>
      <c r="I31" s="1">
        <f>IF($B31&lt;Analysis!$C$159,0,$FW31)+$GC31+$GF31+$GL31+$HQ31+$HV31</f>
        <v>2258215.9477216317</v>
      </c>
      <c r="J31" s="1">
        <f t="shared" si="2"/>
        <v>1992147.0697072987</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-48330.388793958511</v>
      </c>
      <c r="Y31" s="64">
        <f t="shared" si="15"/>
        <v>3.9215686274509887E-2</v>
      </c>
      <c r="Z31" s="1">
        <f t="shared" si="16"/>
        <v>-3960</v>
      </c>
      <c r="AA31" s="64">
        <f t="shared" si="17"/>
        <v>0</v>
      </c>
      <c r="AB31" s="40"/>
      <c r="AC31" s="1">
        <f t="shared" si="3"/>
        <v>-100290.38879395851</v>
      </c>
      <c r="AD31" s="1">
        <f t="shared" si="4"/>
        <v>131467.92324122589</v>
      </c>
      <c r="AE31" s="1">
        <f t="shared" si="18"/>
        <v>31177.534447267375</v>
      </c>
      <c r="AF31" s="1">
        <f>IF(AE31 &lt; 0,
    IF(AF30 + AE31 &gt; 0,
        AF30 + AE31, IF(AK30-ABS(AF30 + AE31)*(1+$V31) &gt;= AF30 + AE31,
        0, AF30 + AE31)),
    MIN(AF30 + AE31, Analysis!$C$7))+IF(AF30&lt;0, AF30*Analysis!$C$9,0)</f>
        <v>24000</v>
      </c>
      <c r="AG31" s="40"/>
      <c r="AH31" s="1">
        <f t="shared" si="19"/>
        <v>43964.667496040842</v>
      </c>
      <c r="AI31" s="1">
        <f>IF(AE31 &gt;= 0,
    MAX(0, AF30 + AE31 - Analysis!$C$7),
    0)</f>
        <v>31177.534447267375</v>
      </c>
      <c r="AJ31" s="1">
        <f t="shared" si="44"/>
        <v>778627.93882225826</v>
      </c>
      <c r="AK31" s="1">
        <f t="shared" si="20"/>
        <v>1606100.677956427</v>
      </c>
      <c r="AL31" s="1">
        <f t="shared" si="5"/>
        <v>1387854.7430097901</v>
      </c>
      <c r="AM31" s="36"/>
      <c r="AN31" s="1">
        <f t="shared" si="45"/>
        <v>2105301.0270095565</v>
      </c>
      <c r="AO31" s="64">
        <f t="shared" si="21"/>
        <v>3.9215686274509887E-2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-6315.9030810286695</v>
      </c>
      <c r="BF31" s="64">
        <f>IF($B31&lt;Analysis!$C$66,0,Analysis!$C$78)</f>
        <v>3.0000000000000001E-3</v>
      </c>
      <c r="BG31" s="1">
        <f>IF($B31&lt;Analysis!$C$66,0,-BH31*AN31)</f>
        <v>-15789.757702571673</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-268425.88094371848</v>
      </c>
      <c r="BS31" s="64">
        <f>IF($B31&lt;Analysis!C$66,0,Analysis!C$31)</f>
        <v>0.1275</v>
      </c>
      <c r="BT31" s="1">
        <f>IF($B31&lt;Analysis!$C$66,0,AN31+BR31)</f>
        <v>1836875.1460658382</v>
      </c>
      <c r="BU31" s="1">
        <f>IF($B31-Analysis!$C$66&gt;3,0,IF($AN31&gt;LOOKUP(Analysis!$C$66,$B:$B, AN:AN),$V31*(LOOKUP(Analysis!$C$66,$B:$B, AN:AN)-AN31),0))</f>
        <v>0</v>
      </c>
      <c r="BV31" s="1">
        <f t="shared" si="23"/>
        <v>1836875.1460658382</v>
      </c>
      <c r="BW31" s="42"/>
      <c r="BX31" s="1">
        <f>IF($B31&lt;Analysis!$C$66,$P31+$N31+$X31+$Z31,$P31+$N31+AS31+AV31+BB31+BE31+BG31+MAX(BI31,SUM(BJ31:BN31))+BP31)</f>
        <v>-74065.660783600339</v>
      </c>
      <c r="BY31" s="1">
        <f t="shared" si="24"/>
        <v>131467.92324122589</v>
      </c>
      <c r="BZ31" s="1">
        <f t="shared" si="46"/>
        <v>57402.262457625548</v>
      </c>
      <c r="CA31" s="1">
        <f>IF(BZ31 &lt; 0,
    IF(CA30 + BZ31 &gt; 0,
        CA30 + BZ31, IF(CF30-ABS(CA30 + BZ31)*(1+$V31) &gt;= CA30 + BZ31,
        0, CA30 + BZ31)),
    MIN(CA30 + BZ31, Analysis!$C$7))+IF(CA30&lt;0, CA30*Analysis!$C$9,0)</f>
        <v>-537551.12144981802</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-48330.388793958511</v>
      </c>
      <c r="CJ31" s="1">
        <f>IF(OR($B31&lt;Analysis!$C$100, $B31&gt;=Analysis!$C$130),0,Z31)</f>
        <v>-3960</v>
      </c>
      <c r="CK31" s="1">
        <f t="shared" si="26"/>
        <v>1266231.777114443</v>
      </c>
      <c r="CL31" s="64">
        <f t="shared" si="48"/>
        <v>3.9215686274509887E-2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0</v>
      </c>
      <c r="CQ31" s="1">
        <f>IF(OR($B31&lt;Analysis!$C$100, $B31&gt;=Analysis!$C$101),0,IF($B31=Analysis!$C$100,-CM31-CP31,MIN(0,CQ30-CP31)))</f>
        <v>0</v>
      </c>
      <c r="CR31" s="64">
        <f>IF(OR($B31&lt;Analysis!$C$100, $B31&gt;=Analysis!$C$101),0,IF($B31=Analysis!$C$100,Analysis!$C$102,IF(($B31-Analysis!$C$100)&lt;LOOKUP(Analysis!$C$100,$B:$B,CN:CN),CR30,0)))</f>
        <v>0</v>
      </c>
      <c r="CS31" s="1">
        <f>IF(OR($B31&lt;Analysis!$C$100, $B31&gt;=Analysis!$C$101),0,IF($B31=Analysis!$C$100,-CR31*CM31,CR30*CQ30))</f>
        <v>0</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0</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42289.090194713695</v>
      </c>
      <c r="DC31" s="64">
        <f>IF(OR($B31&lt;Analysis!$C$100, $B31&gt;=Analysis!$C$101),0,((1+Analysis!$D$114)/(1+$S31))-1)</f>
        <v>3.9215686274509887E-2</v>
      </c>
      <c r="DD31" s="1">
        <f t="shared" si="6"/>
        <v>50047.785526057021</v>
      </c>
      <c r="DE31" s="1">
        <f t="shared" si="27"/>
        <v>-3798.6953313433291</v>
      </c>
      <c r="DF31" s="64">
        <f>IF(OR($B31&lt;Analysis!$C$100, $B31&gt;=Analysis!$C$101),0,Analysis!$C$118)</f>
        <v>3.0000000000000001E-3</v>
      </c>
      <c r="DG31" s="1">
        <f t="shared" si="28"/>
        <v>-9496.7383283583222</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-3171.681764603527</v>
      </c>
      <c r="DR31" s="1">
        <f t="shared" si="29"/>
        <v>-28727.115424305179</v>
      </c>
      <c r="DS31" s="1">
        <f>MIN(0,-(DB31+DR31)*Analysis!$C$28)-CS31*Analysis!$C$28</f>
        <v>-6009.3110207680129</v>
      </c>
      <c r="DT31" s="1">
        <f>-Analysis!$C$116*DD31/12</f>
        <v>-4170.6487938380851</v>
      </c>
      <c r="DU31" s="53"/>
      <c r="DV31" s="1">
        <f t="shared" si="30"/>
        <v>-161444.55158209149</v>
      </c>
      <c r="DW31" s="64">
        <f>IF(OR($B31&lt;Analysis!$C$100, $B31&gt;=Analysis!$C$101),0,IF($B31=Analysis!$C$100,Analysis!$C$31,DW30))</f>
        <v>0.1275</v>
      </c>
      <c r="DX31" s="1">
        <f>IF(OR($B31&lt;Analysis!$C$100, $B31&gt;=Analysis!$C$101),0,CK31+DV31)</f>
        <v>1104787.2255323515</v>
      </c>
      <c r="DY31" s="1">
        <f>IF(OR($B31&lt;Analysis!$C$100, $B31&gt;=Analysis!$C$101),0,IF($B31-Analysis!$C$100&gt;3,0,IF(CK31&gt;LOOKUP(Analysis!$C$100,$B:$B, CK:CK),$V31*(LOOKUP(Analysis!$C$100,$B:$B, CK:CK)-CK31),0)))</f>
        <v>0</v>
      </c>
      <c r="DZ31" s="1">
        <f t="shared" si="49"/>
        <v>1104787.2255323515</v>
      </c>
      <c r="EA31" s="53"/>
      <c r="EB31" s="1">
        <f t="shared" si="31"/>
        <v>2105301.0270095565</v>
      </c>
      <c r="EC31" s="64">
        <f t="shared" si="50"/>
        <v>3.9215686274509887E-2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-130897.4640328698</v>
      </c>
      <c r="FM31" s="1">
        <f>$M31+$R31+DD31+IF(AND($B31&lt;&gt;Analysis!$C$130,$B31=Analysis!$C$101),DZ30+CQ30+CT30+CZ30,0)</f>
        <v>181515.70876728289</v>
      </c>
      <c r="FN31" s="1">
        <f t="shared" si="34"/>
        <v>50618.244734413092</v>
      </c>
      <c r="FO31" s="1">
        <f>IF(FN31 &lt; 0,
    IF(FO30 + FN31 &gt; 0,
        FO30 + FN31, IF(FT30-ABS(FO30 + FN31)*(1+$V31) &gt;= FO30 + FN31,
        0, FO30 + FN31)),
    MIN(FO30 + FN31, Analysis!$C$7))+IF(FO30&lt;0, FO30*Analysis!$C$9,0)</f>
        <v>24000</v>
      </c>
      <c r="FP31" s="53"/>
      <c r="FQ31" s="1">
        <f t="shared" si="51"/>
        <v>25608.670536982092</v>
      </c>
      <c r="FR31" s="1">
        <f>IF(OR($B31=Analysis!$C$100, $B31=Analysis!$C$130),0,IF(FN31 &gt;= 0,
    MAX(0, FO30 + FN31 - Analysis!$C$7),
    0))</f>
        <v>50618.244734413092</v>
      </c>
      <c r="FS31" s="1">
        <f>IF(OR($B31=Analysis!$C$100, $B31=Analysis!$C$130),0,MAX(0, FS30 + FR31 - IF(FN31 &lt; 0, MIN(ABS(FN31), FS30 + FR31), 0)))</f>
        <v>571304.25996361859</v>
      </c>
      <c r="FT31" s="1">
        <f>IF(OR($B31=Analysis!$C$100, $B31=Analysis!$C$130),0,IF(FN31 &lt; 0,
    IF(FN31 + FO30 &lt; 0,
        MAX(0, FT30 - (ABS(FN31 + FO30) * (1+$V30))),
        FT30 + FQ31),
    FT30 + FR31 + FQ31))</f>
        <v>967984.17060718872</v>
      </c>
      <c r="FU31" s="1">
        <f t="shared" si="57"/>
        <v>863359.84417494712</v>
      </c>
      <c r="FV31" s="36"/>
      <c r="FW31" s="1">
        <f t="shared" si="52"/>
        <v>1266231.777114443</v>
      </c>
      <c r="FX31" s="64">
        <f t="shared" si="53"/>
        <v>3.9215686274509887E-2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42289.090194713695</v>
      </c>
      <c r="GO31" s="64">
        <f>IF($B31&lt;Analysis!$C$159,0,((1+Analysis!$D$174)/(1+$S31))-1)</f>
        <v>3.9215686274509887E-2</v>
      </c>
      <c r="GP31" s="1">
        <f t="shared" si="7"/>
        <v>50047.785526057021</v>
      </c>
      <c r="GQ31" s="1">
        <f t="shared" si="36"/>
        <v>-3798.6953313433291</v>
      </c>
      <c r="GR31" s="64">
        <f>IF($B31&lt;Analysis!$C$159,0,Analysis!$C$178)</f>
        <v>3.0000000000000001E-3</v>
      </c>
      <c r="GS31" s="1">
        <f t="shared" si="37"/>
        <v>-9496.7383283583222</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-3171.681764603527</v>
      </c>
      <c r="HD31" s="1">
        <f t="shared" si="38"/>
        <v>-28727.115424305179</v>
      </c>
      <c r="HE31" s="1">
        <f>MIN(0,-(GN31+HD31)*Analysis!$C$28)-GE31*Analysis!$C$28</f>
        <v>-6009.3110207680129</v>
      </c>
      <c r="HF31" s="1">
        <f>-Analysis!$C$176*GP31/12</f>
        <v>-4170.6487938380851</v>
      </c>
      <c r="HG31" s="38"/>
      <c r="HH31" s="1">
        <f>IF($B31&lt;Analysis!$C$159,0,-$HI31*$FW31)</f>
        <v>-161444.55158209149</v>
      </c>
      <c r="HI31" s="64">
        <f>IF($B31&lt;Analysis!$C$159,0,IF($B31=Analysis!$C$159,Analysis!$C$31,HI30))</f>
        <v>0.1275</v>
      </c>
      <c r="HJ31" s="1">
        <f>IF($B31&lt;Analysis!$C$159,0,$FW31+HH31)</f>
        <v>1104787.2255323515</v>
      </c>
      <c r="HK31" s="1">
        <f>IF($B31-Analysis!$C$159&gt;10,0,IF($FW31&gt;LOOKUP(Analysis!$C$159,$B:$B, FW:FW),$V31*(LOOKUP(Analysis!$C$159,$B:$B, FW:FW)-FW31),0))</f>
        <v>0</v>
      </c>
      <c r="HL31" s="1">
        <f t="shared" si="39"/>
        <v>1104787.2255323515</v>
      </c>
      <c r="HM31" s="38"/>
      <c r="HN31" s="1">
        <f t="shared" si="40"/>
        <v>-130897.4640328698</v>
      </c>
      <c r="HO31" s="1">
        <f t="shared" si="8"/>
        <v>181515.70876728289</v>
      </c>
      <c r="HP31" s="1">
        <f t="shared" si="41"/>
        <v>50618.244734413092</v>
      </c>
      <c r="HQ31" s="1">
        <f>IF(HP31 &lt; 0,
    IF(HQ30 + HP31 &gt; 0,
        HQ30 + HP31, IF(HV30-ABS(HQ30 + HP31)*(1+$V31) &gt;= HQ30 + HP31,
        0, HQ30 + HP31)),
    MIN(HQ30 + HP31, Analysis!$C$7))+IF(HQ30&lt;0, HQ30*Analysis!$C$9,0)</f>
        <v>24000</v>
      </c>
      <c r="HR31" s="38"/>
      <c r="HS31" s="1">
        <f t="shared" si="54"/>
        <v>25608.670536982092</v>
      </c>
      <c r="HT31" s="1">
        <f>IF($B31=Analysis!$C$159,0,IF(HP31 &gt;= 0,
    MAX(0, HQ30 + HP31 - Analysis!$C$7),
    0))</f>
        <v>50618.244734413092</v>
      </c>
      <c r="HU31" s="1">
        <f>IF($B31=Analysis!$C$159,0,MAX(0, HU30 + HT31 - IF(HP31 &lt; 0, MIN(ABS(HP31), HU30 + HT31), 0)))</f>
        <v>571304.25996361859</v>
      </c>
      <c r="HV31" s="1">
        <f>IF($B31=Analysis!$C$159,0,IF(HP31 &lt; 0,
    IF(HP31 + HQ30 &lt; 0,
        MAX(0, HV30 - (ABS(HP31 + HQ30) * (1+$V30))),
        HV30 + HS31),
    HV30 + HT31 + HS31))</f>
        <v>967984.17060718872</v>
      </c>
      <c r="HW31" s="1">
        <f t="shared" si="58"/>
        <v>863359.84417494712</v>
      </c>
      <c r="HX31" s="36"/>
    </row>
    <row r="32" spans="1:232" x14ac:dyDescent="0.35">
      <c r="A32">
        <f t="shared" si="0"/>
        <v>65</v>
      </c>
      <c r="B32">
        <v>2055</v>
      </c>
      <c r="C32" s="1">
        <f>IF($B32&lt;Analysis!C$66,0,$AN32)+$AT32+$AW32+$BC32+$CF32+$CA32</f>
        <v>1663842.0142318085</v>
      </c>
      <c r="D32" s="1">
        <f>IF($B32&lt;Analysis!C$66, 0, BV32)+AT32+AW32+BC32+CG32+CA32</f>
        <v>1384889.6281530422</v>
      </c>
      <c r="E32" s="1">
        <f t="shared" si="1"/>
        <v>1702752.1202255001</v>
      </c>
      <c r="F32" s="1">
        <f t="shared" si="9"/>
        <v>1473067.5542459833</v>
      </c>
      <c r="G32" s="1">
        <f>IF(AND($B32&gt;=Analysis!$C$100, $B32&lt;Analysis!$C$101),$CK32,0)+IF($B32&gt;=Analysis!$C$130,EB32,0)+CQ32+CT32+CZ32+EH32+EK32+EQ32+$FO32+$FT32</f>
        <v>2383295.6017029923</v>
      </c>
      <c r="H32" s="1">
        <f t="shared" si="10"/>
        <v>2104001.5923857838</v>
      </c>
      <c r="I32" s="1">
        <f>IF($B32&lt;Analysis!$C$159,0,$FW32)+$GC32+$GF32+$GL32+$HQ32+$HV32</f>
        <v>2383295.6017029923</v>
      </c>
      <c r="J32" s="1">
        <f t="shared" si="2"/>
        <v>2104001.5923857838</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-50225.698158427476</v>
      </c>
      <c r="Y32" s="64">
        <f t="shared" si="15"/>
        <v>3.9215686274509887E-2</v>
      </c>
      <c r="Z32" s="1">
        <f t="shared" si="16"/>
        <v>-3960</v>
      </c>
      <c r="AA32" s="64">
        <f t="shared" si="17"/>
        <v>0</v>
      </c>
      <c r="AB32" s="40"/>
      <c r="AC32" s="1">
        <f t="shared" si="3"/>
        <v>-102185.69815842748</v>
      </c>
      <c r="AD32" s="1">
        <f t="shared" si="4"/>
        <v>131467.92324122589</v>
      </c>
      <c r="AE32" s="1">
        <f t="shared" si="18"/>
        <v>29282.22508279841</v>
      </c>
      <c r="AF32" s="1">
        <f>IF(AE32 &lt; 0,
    IF(AF31 + AE32 &gt; 0,
        AF31 + AE32, IF(AK31-ABS(AF31 + AE32)*(1+$V32) &gt;= AF31 + AE32,
        0, AF31 + AE32)),
    MIN(AF31 + AE32, Analysis!$C$7))+IF(AF31&lt;0, AF31*Analysis!$C$9,0)</f>
        <v>24000</v>
      </c>
      <c r="AG32" s="40"/>
      <c r="AH32" s="1">
        <f t="shared" si="19"/>
        <v>43369.217186274647</v>
      </c>
      <c r="AI32" s="1">
        <f>IF(AE32 &gt;= 0,
    MAX(0, AF31 + AE32 - Analysis!$C$7),
    0)</f>
        <v>29282.22508279841</v>
      </c>
      <c r="AJ32" s="1">
        <f t="shared" si="44"/>
        <v>807910.16390505666</v>
      </c>
      <c r="AK32" s="1">
        <f t="shared" si="20"/>
        <v>1678752.1202255001</v>
      </c>
      <c r="AL32" s="1">
        <f t="shared" si="5"/>
        <v>1449067.5542459833</v>
      </c>
      <c r="AM32" s="36"/>
      <c r="AN32" s="1">
        <f t="shared" si="45"/>
        <v>2187861.8515981669</v>
      </c>
      <c r="AO32" s="64">
        <f t="shared" si="21"/>
        <v>3.9215686274509887E-2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-6563.5855547945011</v>
      </c>
      <c r="BF32" s="64">
        <f>IF($B32&lt;Analysis!$C$66,0,Analysis!$C$78)</f>
        <v>3.0000000000000001E-3</v>
      </c>
      <c r="BG32" s="1">
        <f>IF($B32&lt;Analysis!$C$66,0,-BH32*AN32)</f>
        <v>-16408.96388698625</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-278952.38607876626</v>
      </c>
      <c r="BS32" s="64">
        <f>IF($B32&lt;Analysis!C$66,0,Analysis!C$31)</f>
        <v>0.1275</v>
      </c>
      <c r="BT32" s="1">
        <f>IF($B32&lt;Analysis!$C$66,0,AN32+BR32)</f>
        <v>1908909.4655194005</v>
      </c>
      <c r="BU32" s="1">
        <f>IF($B32-Analysis!$C$66&gt;3,0,IF($AN32&gt;LOOKUP(Analysis!$C$66,$B:$B, AN:AN),$V32*(LOOKUP(Analysis!$C$66,$B:$B, AN:AN)-AN32),0))</f>
        <v>0</v>
      </c>
      <c r="BV32" s="1">
        <f t="shared" si="23"/>
        <v>1908909.4655194005</v>
      </c>
      <c r="BW32" s="42"/>
      <c r="BX32" s="1">
        <f>IF($B32&lt;Analysis!$C$66,$P32+$N32+$X32+$Z32,$P32+$N32+AS32+AV32+BB32+BE32+BG32+MAX(BI32,SUM(BJ32:BN32))+BP32)</f>
        <v>-74932.549441780749</v>
      </c>
      <c r="BY32" s="1">
        <f t="shared" si="24"/>
        <v>131467.92324122589</v>
      </c>
      <c r="BZ32" s="1">
        <f t="shared" si="46"/>
        <v>56535.373799445137</v>
      </c>
      <c r="CA32" s="1">
        <f>IF(BZ32 &lt; 0,
    IF(CA31 + BZ32 &gt; 0,
        CA31 + BZ32, IF(CF31-ABS(CA31 + BZ32)*(1+$V32) &gt;= CA31 + BZ32,
        0, CA31 + BZ32)),
    MIN(CA31 + BZ32, Analysis!$C$7))+IF(CA31&lt;0, CA31*Analysis!$C$9,0)</f>
        <v>-524019.83736635838</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-50225.698158427476</v>
      </c>
      <c r="CJ32" s="1">
        <f>IF(OR($B32&lt;Analysis!$C$100, $B32&gt;=Analysis!$C$130),0,Z32)</f>
        <v>-3960</v>
      </c>
      <c r="CK32" s="1">
        <f t="shared" si="26"/>
        <v>1315887.9252365781</v>
      </c>
      <c r="CL32" s="64">
        <f t="shared" si="48"/>
        <v>3.9215686274509887E-2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0</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0</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43947.48588862404</v>
      </c>
      <c r="DC32" s="64">
        <f>IF(OR($B32&lt;Analysis!$C$100, $B32&gt;=Analysis!$C$101),0,((1+Analysis!$D$114)/(1+$S32))-1)</f>
        <v>3.9215686274509887E-2</v>
      </c>
      <c r="DD32" s="1">
        <f t="shared" si="6"/>
        <v>51855.149664333774</v>
      </c>
      <c r="DE32" s="1">
        <f t="shared" si="27"/>
        <v>-3947.6637757097342</v>
      </c>
      <c r="DF32" s="64">
        <f>IF(OR($B32&lt;Analysis!$C$100, $B32&gt;=Analysis!$C$101),0,Analysis!$C$118)</f>
        <v>3.0000000000000001E-3</v>
      </c>
      <c r="DG32" s="1">
        <f t="shared" si="28"/>
        <v>-9869.1594392743355</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-3296.0614416468029</v>
      </c>
      <c r="DR32" s="1">
        <f t="shared" si="29"/>
        <v>-29372.884656630871</v>
      </c>
      <c r="DS32" s="1">
        <f>MIN(0,-(DB32+DR32)*Analysis!$C$28)-CS32*Analysis!$C$28</f>
        <v>-6458.0058058961722</v>
      </c>
      <c r="DT32" s="1">
        <f>-Analysis!$C$116*DD32/12</f>
        <v>-4321.2624720278145</v>
      </c>
      <c r="DU32" s="53"/>
      <c r="DV32" s="1">
        <f t="shared" si="30"/>
        <v>-167775.71046766371</v>
      </c>
      <c r="DW32" s="64">
        <f>IF(OR($B32&lt;Analysis!$C$100, $B32&gt;=Analysis!$C$101),0,IF($B32=Analysis!$C$100,Analysis!$C$31,DW31))</f>
        <v>0.1275</v>
      </c>
      <c r="DX32" s="1">
        <f>IF(OR($B32&lt;Analysis!$C$100, $B32&gt;=Analysis!$C$101),0,CK32+DV32)</f>
        <v>1148112.2147689145</v>
      </c>
      <c r="DY32" s="1">
        <f>IF(OR($B32&lt;Analysis!$C$100, $B32&gt;=Analysis!$C$101),0,IF($B32-Analysis!$C$100&gt;3,0,IF(CK32&gt;LOOKUP(Analysis!$C$100,$B:$B, CK:CK),$V32*(LOOKUP(Analysis!$C$100,$B:$B, CK:CK)-CK32),0)))</f>
        <v>0</v>
      </c>
      <c r="DZ32" s="1">
        <f t="shared" si="49"/>
        <v>1148112.2147689145</v>
      </c>
      <c r="EA32" s="53"/>
      <c r="EB32" s="1">
        <f t="shared" si="31"/>
        <v>2187861.8515981669</v>
      </c>
      <c r="EC32" s="64">
        <f t="shared" si="50"/>
        <v>3.9215686274509887E-2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-134037.85109298234</v>
      </c>
      <c r="FM32" s="1">
        <f>$M32+$R32+DD32+IF(AND($B32&lt;&gt;Analysis!$C$130,$B32=Analysis!$C$101),DZ31+CQ31+CT31+CZ31,0)</f>
        <v>183323.07290555967</v>
      </c>
      <c r="FN32" s="1">
        <f t="shared" si="34"/>
        <v>49285.221812577336</v>
      </c>
      <c r="FO32" s="1">
        <f>IF(FN32 &lt; 0,
    IF(FO31 + FN32 &gt; 0,
        FO31 + FN32, IF(FT31-ABS(FO31 + FN32)*(1+$V32) &gt;= FO31 + FN32,
        0, FO31 + FN32)),
    MIN(FO31 + FN32, Analysis!$C$7))+IF(FO31&lt;0, FO31*Analysis!$C$9,0)</f>
        <v>24000</v>
      </c>
      <c r="FP32" s="53"/>
      <c r="FQ32" s="1">
        <f t="shared" si="51"/>
        <v>26138.284046648056</v>
      </c>
      <c r="FR32" s="1">
        <f>IF(OR($B32=Analysis!$C$100, $B32=Analysis!$C$130),0,IF(FN32 &gt;= 0,
    MAX(0, FO31 + FN32 - Analysis!$C$7),
    0))</f>
        <v>49285.221812577336</v>
      </c>
      <c r="FS32" s="1">
        <f>IF(OR($B32=Analysis!$C$100, $B32=Analysis!$C$130),0,MAX(0, FS31 + FR32 - IF(FN32 &lt; 0, MIN(ABS(FN32), FS31 + FR32), 0)))</f>
        <v>620589.48177619593</v>
      </c>
      <c r="FT32" s="1">
        <f>IF(OR($B32=Analysis!$C$100, $B32=Analysis!$C$130),0,IF(FN32 &lt; 0,
    IF(FN32 + FO31 &lt; 0,
        MAX(0, FT31 - (ABS(FN32 + FO31) * (1+$V31))),
        FT31 + FQ32),
    FT31 + FR32 + FQ32))</f>
        <v>1043407.6764664141</v>
      </c>
      <c r="FU32" s="1">
        <f t="shared" si="57"/>
        <v>931889.37761686905</v>
      </c>
      <c r="FV32" s="36"/>
      <c r="FW32" s="1">
        <f t="shared" si="52"/>
        <v>1315887.9252365781</v>
      </c>
      <c r="FX32" s="64">
        <f t="shared" si="53"/>
        <v>3.9215686274509887E-2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43947.48588862404</v>
      </c>
      <c r="GO32" s="64">
        <f>IF($B32&lt;Analysis!$C$159,0,((1+Analysis!$D$174)/(1+$S32))-1)</f>
        <v>3.9215686274509887E-2</v>
      </c>
      <c r="GP32" s="1">
        <f t="shared" si="7"/>
        <v>51855.149664333774</v>
      </c>
      <c r="GQ32" s="1">
        <f t="shared" si="36"/>
        <v>-3947.6637757097342</v>
      </c>
      <c r="GR32" s="64">
        <f>IF($B32&lt;Analysis!$C$159,0,Analysis!$C$178)</f>
        <v>3.0000000000000001E-3</v>
      </c>
      <c r="GS32" s="1">
        <f t="shared" si="37"/>
        <v>-9869.1594392743355</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-3296.0614416468029</v>
      </c>
      <c r="HD32" s="1">
        <f t="shared" si="38"/>
        <v>-29372.884656630871</v>
      </c>
      <c r="HE32" s="1">
        <f>MIN(0,-(GN32+HD32)*Analysis!$C$28)-GE32*Analysis!$C$28</f>
        <v>-6458.0058058961722</v>
      </c>
      <c r="HF32" s="1">
        <f>-Analysis!$C$176*GP32/12</f>
        <v>-4321.2624720278145</v>
      </c>
      <c r="HG32" s="38"/>
      <c r="HH32" s="1">
        <f>IF($B32&lt;Analysis!$C$159,0,-$HI32*$FW32)</f>
        <v>-167775.71046766371</v>
      </c>
      <c r="HI32" s="64">
        <f>IF($B32&lt;Analysis!$C$159,0,IF($B32=Analysis!$C$159,Analysis!$C$31,HI31))</f>
        <v>0.1275</v>
      </c>
      <c r="HJ32" s="1">
        <f>IF($B32&lt;Analysis!$C$159,0,$FW32+HH32)</f>
        <v>1148112.2147689145</v>
      </c>
      <c r="HK32" s="1">
        <f>IF($B32-Analysis!$C$159&gt;10,0,IF($FW32&gt;LOOKUP(Analysis!$C$159,$B:$B, FW:FW),$V32*(LOOKUP(Analysis!$C$159,$B:$B, FW:FW)-FW32),0))</f>
        <v>0</v>
      </c>
      <c r="HL32" s="1">
        <f t="shared" si="39"/>
        <v>1148112.2147689145</v>
      </c>
      <c r="HM32" s="38"/>
      <c r="HN32" s="1">
        <f t="shared" si="40"/>
        <v>-134037.85109298234</v>
      </c>
      <c r="HO32" s="1">
        <f t="shared" si="8"/>
        <v>183323.07290555967</v>
      </c>
      <c r="HP32" s="1">
        <f t="shared" si="41"/>
        <v>49285.221812577336</v>
      </c>
      <c r="HQ32" s="1">
        <f>IF(HP32 &lt; 0,
    IF(HQ31 + HP32 &gt; 0,
        HQ31 + HP32, IF(HV31-ABS(HQ31 + HP32)*(1+$V32) &gt;= HQ31 + HP32,
        0, HQ31 + HP32)),
    MIN(HQ31 + HP32, Analysis!$C$7))+IF(HQ31&lt;0, HQ31*Analysis!$C$9,0)</f>
        <v>24000</v>
      </c>
      <c r="HR32" s="38"/>
      <c r="HS32" s="1">
        <f t="shared" si="54"/>
        <v>26138.284046648056</v>
      </c>
      <c r="HT32" s="1">
        <f>IF($B32=Analysis!$C$159,0,IF(HP32 &gt;= 0,
    MAX(0, HQ31 + HP32 - Analysis!$C$7),
    0))</f>
        <v>49285.221812577336</v>
      </c>
      <c r="HU32" s="1">
        <f>IF($B32=Analysis!$C$159,0,MAX(0, HU31 + HT32 - IF(HP32 &lt; 0, MIN(ABS(HP32), HU31 + HT32), 0)))</f>
        <v>620589.48177619593</v>
      </c>
      <c r="HV32" s="1">
        <f>IF($B32=Analysis!$C$159,0,IF(HP32 &lt; 0,
    IF(HP32 + HQ31 &lt; 0,
        MAX(0, HV31 - (ABS(HP32 + HQ31) * (1+$V31))),
        HV31 + HS32),
    HV31 + HT32 + HS32))</f>
        <v>1043407.6764664141</v>
      </c>
      <c r="HW32" s="1">
        <f t="shared" si="58"/>
        <v>931889.37761686905</v>
      </c>
      <c r="HX32" s="36"/>
    </row>
    <row r="33" spans="1:232" x14ac:dyDescent="0.35">
      <c r="A33">
        <f t="shared" si="0"/>
        <v>66</v>
      </c>
      <c r="B33">
        <v>2056</v>
      </c>
      <c r="C33" s="1">
        <f>IF($B33&lt;Analysis!C$66,0,$AN33)+$AT33+$AW33+$BC33+$CF33+$CA33</f>
        <v>1763353.4207343527</v>
      </c>
      <c r="D33" s="1">
        <f>IF($B33&lt;Analysis!C$66, 0, BV33)+AT33+AW33+BC33+CG33+CA33</f>
        <v>1473461.7253975954</v>
      </c>
      <c r="E33" s="1">
        <f t="shared" si="1"/>
        <v>1772517.8589418503</v>
      </c>
      <c r="F33" s="1">
        <f t="shared" si="9"/>
        <v>1531636.274951708</v>
      </c>
      <c r="G33" s="1">
        <f>IF(AND($B33&gt;=Analysis!$C$100, $B33&lt;Analysis!$C$101),$CK33,0)+IF($B33&gt;=Analysis!$C$130,EB33,0)+CQ33+CT33+CZ33+EH33+EK33+EQ33+$FO33+$FT33</f>
        <v>2509185.2043347573</v>
      </c>
      <c r="H33" s="1">
        <f t="shared" si="10"/>
        <v>2216352.3869384164</v>
      </c>
      <c r="I33" s="1">
        <f>IF($B33&lt;Analysis!$C$159,0,$FW33)+$GC33+$GF33+$GL33+$HQ33+$HV33</f>
        <v>2509185.2043347573</v>
      </c>
      <c r="J33" s="1">
        <f t="shared" si="2"/>
        <v>2216352.3869384164</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-52195.3333803266</v>
      </c>
      <c r="Y33" s="64">
        <f t="shared" si="15"/>
        <v>3.9215686274509887E-2</v>
      </c>
      <c r="Z33" s="1">
        <f t="shared" si="16"/>
        <v>-3960</v>
      </c>
      <c r="AA33" s="64">
        <f t="shared" si="17"/>
        <v>0</v>
      </c>
      <c r="AB33" s="40"/>
      <c r="AC33" s="1">
        <f t="shared" si="3"/>
        <v>-104155.3333803266</v>
      </c>
      <c r="AD33" s="1">
        <f t="shared" si="4"/>
        <v>131467.92324122589</v>
      </c>
      <c r="AE33" s="1">
        <f t="shared" si="18"/>
        <v>27312.589860899287</v>
      </c>
      <c r="AF33" s="1">
        <f>IF(AE33 &lt; 0,
    IF(AF32 + AE33 &gt; 0,
        AF32 + AE33, IF(AK32-ABS(AF32 + AE33)*(1+$V33) &gt;= AF32 + AE33,
        0, AF32 + AE33)),
    MIN(AF32 + AE33, Analysis!$C$7))+IF(AF32&lt;0, AF32*Analysis!$C$9,0)</f>
        <v>24000</v>
      </c>
      <c r="AG33" s="40"/>
      <c r="AH33" s="1">
        <f t="shared" si="19"/>
        <v>42453.148855450738</v>
      </c>
      <c r="AI33" s="1">
        <f>IF(AE33 &gt;= 0,
    MAX(0, AF32 + AE33 - Analysis!$C$7),
    0)</f>
        <v>27312.589860899287</v>
      </c>
      <c r="AJ33" s="1">
        <f t="shared" si="44"/>
        <v>835222.75376595592</v>
      </c>
      <c r="AK33" s="1">
        <f t="shared" si="20"/>
        <v>1748517.8589418503</v>
      </c>
      <c r="AL33" s="1">
        <f t="shared" si="5"/>
        <v>1507636.274951708</v>
      </c>
      <c r="AM33" s="36"/>
      <c r="AN33" s="1">
        <f t="shared" si="45"/>
        <v>2273660.3555824091</v>
      </c>
      <c r="AO33" s="64">
        <f t="shared" si="21"/>
        <v>3.9215686274509887E-2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-6820.9810667472275</v>
      </c>
      <c r="BF33" s="64">
        <f>IF($B33&lt;Analysis!$C$66,0,Analysis!$C$78)</f>
        <v>3.0000000000000001E-3</v>
      </c>
      <c r="BG33" s="1">
        <f>IF($B33&lt;Analysis!$C$66,0,-BH33*AN33)</f>
        <v>-17052.452666868066</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-289891.69533675717</v>
      </c>
      <c r="BS33" s="64">
        <f>IF($B33&lt;Analysis!C$66,0,Analysis!C$31)</f>
        <v>0.1275</v>
      </c>
      <c r="BT33" s="1">
        <f>IF($B33&lt;Analysis!$C$66,0,AN33+BR33)</f>
        <v>1983768.6602456518</v>
      </c>
      <c r="BU33" s="1">
        <f>IF($B33-Analysis!$C$66&gt;3,0,IF($AN33&gt;LOOKUP(Analysis!$C$66,$B:$B, AN:AN),$V33*(LOOKUP(Analysis!$C$66,$B:$B, AN:AN)-AN33),0))</f>
        <v>0</v>
      </c>
      <c r="BV33" s="1">
        <f t="shared" si="23"/>
        <v>1983768.6602456518</v>
      </c>
      <c r="BW33" s="42"/>
      <c r="BX33" s="1">
        <f>IF($B33&lt;Analysis!$C$66,$P33+$N33+$X33+$Z33,$P33+$N33+AS33+AV33+BB33+BE33+BG33+MAX(BI33,SUM(BJ33:BN33))+BP33)</f>
        <v>-75833.433733615297</v>
      </c>
      <c r="BY33" s="1">
        <f t="shared" si="24"/>
        <v>131467.92324122589</v>
      </c>
      <c r="BZ33" s="1">
        <f t="shared" si="46"/>
        <v>55634.489507610589</v>
      </c>
      <c r="CA33" s="1">
        <f>IF(BZ33 &lt; 0,
    IF(CA32 + BZ33 &gt; 0,
        CA32 + BZ33, IF(CF32-ABS(CA32 + BZ33)*(1+$V33) &gt;= CA32 + BZ33,
        0, CA32 + BZ33)),
    MIN(CA32 + BZ33, Analysis!$C$7))+IF(CA32&lt;0, CA32*Analysis!$C$9,0)</f>
        <v>-510306.93484805647</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-52195.3333803266</v>
      </c>
      <c r="CJ33" s="1">
        <f>IF(OR($B33&lt;Analysis!$C$100, $B33&gt;=Analysis!$C$130),0,Z33)</f>
        <v>-3960</v>
      </c>
      <c r="CK33" s="1">
        <f t="shared" si="26"/>
        <v>1367491.3732850715</v>
      </c>
      <c r="CL33" s="64">
        <f t="shared" si="48"/>
        <v>3.9215686274509887E-2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45670.916707785771</v>
      </c>
      <c r="DC33" s="64">
        <f>IF(OR($B33&lt;Analysis!$C$100, $B33&gt;=Analysis!$C$101),0,((1+Analysis!$D$114)/(1+$S33))-1)</f>
        <v>3.9215686274509887E-2</v>
      </c>
      <c r="DD33" s="1">
        <f t="shared" si="6"/>
        <v>53733.390827640986</v>
      </c>
      <c r="DE33" s="1">
        <f t="shared" si="27"/>
        <v>-4102.4741198552147</v>
      </c>
      <c r="DF33" s="64">
        <f>IF(OR($B33&lt;Analysis!$C$100, $B33&gt;=Analysis!$C$101),0,Analysis!$C$118)</f>
        <v>3.0000000000000001E-3</v>
      </c>
      <c r="DG33" s="1">
        <f t="shared" si="28"/>
        <v>-10256.185299638035</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-3425.3187530839327</v>
      </c>
      <c r="DR33" s="1">
        <f t="shared" si="29"/>
        <v>-30043.978172577179</v>
      </c>
      <c r="DS33" s="1">
        <f>MIN(0,-(DB33+DR33)*Analysis!$C$28)-CS33*Analysis!$C$28</f>
        <v>-6924.2964649509258</v>
      </c>
      <c r="DT33" s="1">
        <f>-Analysis!$C$116*DD33/12</f>
        <v>-4477.7825689700821</v>
      </c>
      <c r="DU33" s="53"/>
      <c r="DV33" s="1">
        <f t="shared" si="30"/>
        <v>-174355.15009384661</v>
      </c>
      <c r="DW33" s="64">
        <f>IF(OR($B33&lt;Analysis!$C$100, $B33&gt;=Analysis!$C$101),0,IF($B33=Analysis!$C$100,Analysis!$C$31,DW32))</f>
        <v>0.1275</v>
      </c>
      <c r="DX33" s="1">
        <f>IF(OR($B33&lt;Analysis!$C$100, $B33&gt;=Analysis!$C$101),0,CK33+DV33)</f>
        <v>1193136.223191225</v>
      </c>
      <c r="DY33" s="1">
        <f>IF(OR($B33&lt;Analysis!$C$100, $B33&gt;=Analysis!$C$101),0,IF($B33-Analysis!$C$100&gt;3,0,IF(CK33&gt;LOOKUP(Analysis!$C$100,$B:$B, CK:CK),$V33*(LOOKUP(Analysis!$C$100,$B:$B, CK:CK)-CK33),0)))</f>
        <v>0</v>
      </c>
      <c r="DZ33" s="1">
        <f t="shared" si="49"/>
        <v>1193136.223191225</v>
      </c>
      <c r="EA33" s="53"/>
      <c r="EB33" s="1">
        <f t="shared" si="31"/>
        <v>2273660.3555824091</v>
      </c>
      <c r="EC33" s="64">
        <f t="shared" si="50"/>
        <v>3.9215686274509887E-2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-137301.3905868248</v>
      </c>
      <c r="FM33" s="1">
        <f>$M33+$R33+DD33+IF(AND($B33&lt;&gt;Analysis!$C$130,$B33=Analysis!$C$101),DZ32+CQ32+CT32+CZ32,0)</f>
        <v>185201.31406886686</v>
      </c>
      <c r="FN33" s="1">
        <f t="shared" si="34"/>
        <v>47899.923482042068</v>
      </c>
      <c r="FO33" s="1">
        <f>IF(FN33 &lt; 0,
    IF(FO32 + FN33 &gt; 0,
        FO32 + FN33, IF(FT32-ABS(FO32 + FN33)*(1+$V33) &gt;= FO32 + FN33,
        0, FO32 + FN33)),
    MIN(FO32 + FN33, Analysis!$C$7))+IF(FO32&lt;0, FO32*Analysis!$C$9,0)</f>
        <v>24000</v>
      </c>
      <c r="FP33" s="53"/>
      <c r="FQ33" s="1">
        <f t="shared" si="51"/>
        <v>26386.231101229267</v>
      </c>
      <c r="FR33" s="1">
        <f>IF(OR($B33=Analysis!$C$100, $B33=Analysis!$C$130),0,IF(FN33 &gt;= 0,
    MAX(0, FO32 + FN33 - Analysis!$C$7),
    0))</f>
        <v>47899.923482042068</v>
      </c>
      <c r="FS33" s="1">
        <f>IF(OR($B33=Analysis!$C$100, $B33=Analysis!$C$130),0,MAX(0, FS32 + FR33 - IF(FN33 &lt; 0, MIN(ABS(FN33), FS32 + FR33), 0)))</f>
        <v>668489.40525823797</v>
      </c>
      <c r="FT33" s="1">
        <f>IF(OR($B33=Analysis!$C$100, $B33=Analysis!$C$130),0,IF(FN33 &lt; 0,
    IF(FN33 + FO32 &lt; 0,
        MAX(0, FT32 - (ABS(FN33 + FO32) * (1+$V32))),
        FT32 + FQ33),
    FT32 + FR33 + FQ33))</f>
        <v>1117693.8310496856</v>
      </c>
      <c r="FU33" s="1">
        <f t="shared" si="57"/>
        <v>999216.16374719131</v>
      </c>
      <c r="FV33" s="36"/>
      <c r="FW33" s="1">
        <f t="shared" si="52"/>
        <v>1367491.3732850715</v>
      </c>
      <c r="FX33" s="64">
        <f t="shared" si="53"/>
        <v>3.9215686274509887E-2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45670.916707785771</v>
      </c>
      <c r="GO33" s="64">
        <f>IF($B33&lt;Analysis!$C$159,0,((1+Analysis!$D$174)/(1+$S33))-1)</f>
        <v>3.9215686274509887E-2</v>
      </c>
      <c r="GP33" s="1">
        <f t="shared" si="7"/>
        <v>53733.390827640986</v>
      </c>
      <c r="GQ33" s="1">
        <f t="shared" si="36"/>
        <v>-4102.4741198552147</v>
      </c>
      <c r="GR33" s="64">
        <f>IF($B33&lt;Analysis!$C$159,0,Analysis!$C$178)</f>
        <v>3.0000000000000001E-3</v>
      </c>
      <c r="GS33" s="1">
        <f t="shared" si="37"/>
        <v>-10256.185299638035</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-3425.3187530839327</v>
      </c>
      <c r="HD33" s="1">
        <f t="shared" si="38"/>
        <v>-30043.978172577179</v>
      </c>
      <c r="HE33" s="1">
        <f>MIN(0,-(GN33+HD33)*Analysis!$C$28)-GE33*Analysis!$C$28</f>
        <v>-6924.2964649509258</v>
      </c>
      <c r="HF33" s="1">
        <f>-Analysis!$C$176*GP33/12</f>
        <v>-4477.7825689700821</v>
      </c>
      <c r="HG33" s="38"/>
      <c r="HH33" s="1">
        <f>IF($B33&lt;Analysis!$C$159,0,-$HI33*$FW33)</f>
        <v>-174355.15009384661</v>
      </c>
      <c r="HI33" s="64">
        <f>IF($B33&lt;Analysis!$C$159,0,IF($B33=Analysis!$C$159,Analysis!$C$31,HI32))</f>
        <v>0.1275</v>
      </c>
      <c r="HJ33" s="1">
        <f>IF($B33&lt;Analysis!$C$159,0,$FW33+HH33)</f>
        <v>1193136.223191225</v>
      </c>
      <c r="HK33" s="1">
        <f>IF($B33-Analysis!$C$159&gt;10,0,IF($FW33&gt;LOOKUP(Analysis!$C$159,$B:$B, FW:FW),$V33*(LOOKUP(Analysis!$C$159,$B:$B, FW:FW)-FW33),0))</f>
        <v>0</v>
      </c>
      <c r="HL33" s="1">
        <f t="shared" si="39"/>
        <v>1193136.223191225</v>
      </c>
      <c r="HM33" s="38"/>
      <c r="HN33" s="1">
        <f t="shared" si="40"/>
        <v>-137301.3905868248</v>
      </c>
      <c r="HO33" s="1">
        <f t="shared" si="8"/>
        <v>185201.31406886686</v>
      </c>
      <c r="HP33" s="1">
        <f t="shared" si="41"/>
        <v>47899.923482042068</v>
      </c>
      <c r="HQ33" s="1">
        <f>IF(HP33 &lt; 0,
    IF(HQ32 + HP33 &gt; 0,
        HQ32 + HP33, IF(HV32-ABS(HQ32 + HP33)*(1+$V33) &gt;= HQ32 + HP33,
        0, HQ32 + HP33)),
    MIN(HQ32 + HP33, Analysis!$C$7))+IF(HQ32&lt;0, HQ32*Analysis!$C$9,0)</f>
        <v>24000</v>
      </c>
      <c r="HR33" s="38"/>
      <c r="HS33" s="1">
        <f t="shared" si="54"/>
        <v>26386.231101229267</v>
      </c>
      <c r="HT33" s="1">
        <f>IF($B33=Analysis!$C$159,0,IF(HP33 &gt;= 0,
    MAX(0, HQ32 + HP33 - Analysis!$C$7),
    0))</f>
        <v>47899.923482042068</v>
      </c>
      <c r="HU33" s="1">
        <f>IF($B33=Analysis!$C$159,0,MAX(0, HU32 + HT33 - IF(HP33 &lt; 0, MIN(ABS(HP33), HU32 + HT33), 0)))</f>
        <v>668489.40525823797</v>
      </c>
      <c r="HV33" s="1">
        <f>IF($B33=Analysis!$C$159,0,IF(HP33 &lt; 0,
    IF(HP33 + HQ32 &lt; 0,
        MAX(0, HV32 - (ABS(HP33 + HQ32) * (1+$V32))),
        HV32 + HS33),
    HV32 + HT33 + HS33))</f>
        <v>1117693.8310496856</v>
      </c>
      <c r="HW33" s="1">
        <f t="shared" si="58"/>
        <v>999216.16374719131</v>
      </c>
      <c r="HX33" s="36"/>
    </row>
    <row r="34" spans="1:232" x14ac:dyDescent="0.35">
      <c r="A34">
        <f t="shared" si="0"/>
        <v>67</v>
      </c>
      <c r="B34">
        <v>2057</v>
      </c>
      <c r="C34" s="1">
        <f>IF($B34&lt;Analysis!C$66,0,$AN34)+$AT34+$AW34+$BC34+$CF34+$CA34</f>
        <v>1866390.2935658365</v>
      </c>
      <c r="D34" s="1">
        <f>IF($B34&lt;Analysis!C$66, 0, BV34)+AT34+AW34+BC34+CG34+CA34</f>
        <v>1565130.2964511672</v>
      </c>
      <c r="E34" s="1">
        <f t="shared" si="1"/>
        <v>1839003.5346109571</v>
      </c>
      <c r="F34" s="1">
        <f t="shared" si="9"/>
        <v>1587250.1857416821</v>
      </c>
      <c r="G34" s="1">
        <f>IF(AND($B34&gt;=Analysis!$C$100, $B34&lt;Analysis!$C$101),$CK34,0)+IF($B34&gt;=Analysis!$C$130,EB34,0)+CQ34+CT34+CZ34+EH34+EK34+EQ34+$FO34+$FT34</f>
        <v>2635621.3878377425</v>
      </c>
      <c r="H34" s="1">
        <f t="shared" si="10"/>
        <v>2329001.625197784</v>
      </c>
      <c r="I34" s="1">
        <f>IF($B34&lt;Analysis!$C$159,0,$FW34)+$GC34+$GF34+$GL34+$HQ34+$HV34</f>
        <v>2635621.3878377425</v>
      </c>
      <c r="J34" s="1">
        <f t="shared" ref="J34:J52" si="59">$HL34+$GC34+$GF34+$GL34+$HQ34+$HW34</f>
        <v>2329001.625197784</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-54242.209199162942</v>
      </c>
      <c r="Y34" s="64">
        <f t="shared" si="15"/>
        <v>3.9215686274509887E-2</v>
      </c>
      <c r="Z34" s="1">
        <f t="shared" si="16"/>
        <v>-3960</v>
      </c>
      <c r="AA34" s="64">
        <f t="shared" si="17"/>
        <v>0</v>
      </c>
      <c r="AB34" s="40"/>
      <c r="AC34" s="1">
        <f t="shared" si="3"/>
        <v>-106202.20919916294</v>
      </c>
      <c r="AD34" s="1">
        <f t="shared" si="4"/>
        <v>131467.92324122589</v>
      </c>
      <c r="AE34" s="1">
        <f t="shared" si="18"/>
        <v>25265.714042062944</v>
      </c>
      <c r="AF34" s="1">
        <f>IF(AE34 &lt; 0,
    IF(AF33 + AE34 &gt; 0,
        AF33 + AE34, IF(AK33-ABS(AF33 + AE34)*(1+$V34) &gt;= AF33 + AE34,
        0, AF33 + AE34)),
    MIN(AF33 + AE34, Analysis!$C$7))+IF(AF33&lt;0, AF33*Analysis!$C$9,0)</f>
        <v>24000</v>
      </c>
      <c r="AG34" s="40"/>
      <c r="AH34" s="1">
        <f t="shared" si="19"/>
        <v>41219.961627044016</v>
      </c>
      <c r="AI34" s="1">
        <f>IF(AE34 &gt;= 0,
    MAX(0, AF33 + AE34 - Analysis!$C$7),
    0)</f>
        <v>25265.714042062944</v>
      </c>
      <c r="AJ34" s="1">
        <f t="shared" si="44"/>
        <v>860488.4678080189</v>
      </c>
      <c r="AK34" s="1">
        <f t="shared" si="20"/>
        <v>1815003.5346109571</v>
      </c>
      <c r="AL34" s="1">
        <f t="shared" si="5"/>
        <v>1563250.1857416821</v>
      </c>
      <c r="AM34" s="36"/>
      <c r="AN34" s="1">
        <f t="shared" si="45"/>
        <v>2362823.5067817196</v>
      </c>
      <c r="AO34" s="64">
        <f t="shared" si="21"/>
        <v>3.9215686274509887E-2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-7088.4705203451595</v>
      </c>
      <c r="BF34" s="64">
        <f>IF($B34&lt;Analysis!$C$66,0,Analysis!$C$78)</f>
        <v>3.0000000000000001E-3</v>
      </c>
      <c r="BG34" s="1">
        <f>IF($B34&lt;Analysis!$C$66,0,-BH34*AN34)</f>
        <v>-17721.176300862895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-301259.99711466924</v>
      </c>
      <c r="BS34" s="64">
        <f>IF($B34&lt;Analysis!C$66,0,Analysis!C$31)</f>
        <v>0.1275</v>
      </c>
      <c r="BT34" s="1">
        <f>IF($B34&lt;Analysis!$C$66,0,AN34+BR34)</f>
        <v>2061563.5096670503</v>
      </c>
      <c r="BU34" s="1">
        <f>IF($B34-Analysis!$C$66&gt;3,0,IF($AN34&gt;LOOKUP(Analysis!$C$66,$B:$B, AN:AN),$V34*(LOOKUP(Analysis!$C$66,$B:$B, AN:AN)-AN34),0))</f>
        <v>0</v>
      </c>
      <c r="BV34" s="1">
        <f t="shared" si="23"/>
        <v>2061563.5096670503</v>
      </c>
      <c r="BW34" s="42"/>
      <c r="BX34" s="1">
        <f>IF($B34&lt;Analysis!$C$66,$P34+$N34+$X34+$Z34,$P34+$N34+AS34+AV34+BB34+BE34+BG34+MAX(BI34,SUM(BJ34:BN34))+BP34)</f>
        <v>-76769.646821208051</v>
      </c>
      <c r="BY34" s="1">
        <f t="shared" si="24"/>
        <v>131467.92324122589</v>
      </c>
      <c r="BZ34" s="1">
        <f t="shared" si="46"/>
        <v>54698.276420017835</v>
      </c>
      <c r="CA34" s="1">
        <f>IF(BZ34 &lt; 0,
    IF(CA33 + BZ34 &gt; 0,
        CA33 + BZ34, IF(CF33-ABS(CA33 + BZ34)*(1+$V34) &gt;= CA33 + BZ34,
        0, CA33 + BZ34)),
    MIN(CA33 + BZ34, Analysis!$C$7))+IF(CA33&lt;0, CA33*Analysis!$C$9,0)</f>
        <v>-496433.21321588318</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-54242.209199162942</v>
      </c>
      <c r="CJ34" s="1">
        <f>IF(OR($B34&lt;Analysis!$C$100, $B34&gt;=Analysis!$C$130),0,Z34)</f>
        <v>-3960</v>
      </c>
      <c r="CK34" s="1">
        <f t="shared" si="26"/>
        <v>1421118.4859629176</v>
      </c>
      <c r="CL34" s="64">
        <f t="shared" si="48"/>
        <v>3.9215686274509887E-2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47461.933049267573</v>
      </c>
      <c r="DC34" s="64">
        <f>IF(OR($B34&lt;Analysis!$C$100, $B34&gt;=Analysis!$C$101),0,((1+Analysis!$D$114)/(1+$S34))-1)</f>
        <v>3.9215686274509887E-2</v>
      </c>
      <c r="DD34" s="1">
        <f t="shared" si="6"/>
        <v>55685.288507156321</v>
      </c>
      <c r="DE34" s="1">
        <f t="shared" si="27"/>
        <v>-4263.3554578887524</v>
      </c>
      <c r="DF34" s="64">
        <f>IF(OR($B34&lt;Analysis!$C$100, $B34&gt;=Analysis!$C$101),0,Analysis!$C$118)</f>
        <v>3.0000000000000001E-3</v>
      </c>
      <c r="DG34" s="1">
        <f t="shared" si="28"/>
        <v>-10658.388644721881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-3559.6449786950679</v>
      </c>
      <c r="DR34" s="1">
        <f t="shared" si="29"/>
        <v>-30741.389081305701</v>
      </c>
      <c r="DS34" s="1">
        <f>MIN(0,-(DB34+DR34)*Analysis!$C$28)-CS34*Analysis!$C$28</f>
        <v>-7408.8730322039046</v>
      </c>
      <c r="DT34" s="1">
        <f>-Analysis!$C$116*DD34/12</f>
        <v>-4640.4407089296938</v>
      </c>
      <c r="DU34" s="53"/>
      <c r="DV34" s="1">
        <f t="shared" si="30"/>
        <v>-181192.60696027198</v>
      </c>
      <c r="DW34" s="64">
        <f>IF(OR($B34&lt;Analysis!$C$100, $B34&gt;=Analysis!$C$101),0,IF($B34=Analysis!$C$100,Analysis!$C$31,DW33))</f>
        <v>0.1275</v>
      </c>
      <c r="DX34" s="1">
        <f>IF(OR($B34&lt;Analysis!$C$100, $B34&gt;=Analysis!$C$101),0,CK34+DV34)</f>
        <v>1239925.8790026456</v>
      </c>
      <c r="DY34" s="1">
        <f>IF(OR($B34&lt;Analysis!$C$100, $B34&gt;=Analysis!$C$101),0,IF($B34-Analysis!$C$100&gt;3,0,IF(CK34&gt;LOOKUP(Analysis!$C$100,$B:$B, CK:CK),$V34*(LOOKUP(Analysis!$C$100,$B:$B, CK:CK)-CK34),0)))</f>
        <v>0</v>
      </c>
      <c r="DZ34" s="1">
        <f t="shared" si="49"/>
        <v>1239925.8790026456</v>
      </c>
      <c r="EA34" s="53"/>
      <c r="EB34" s="1">
        <f t="shared" si="31"/>
        <v>2362823.5067817196</v>
      </c>
      <c r="EC34" s="64">
        <f t="shared" si="50"/>
        <v>3.9215686274509887E-2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-140692.91202160224</v>
      </c>
      <c r="FM34" s="1">
        <f>$M34+$R34+DD34+IF(AND($B34&lt;&gt;Analysis!$C$130,$B34=Analysis!$C$101),DZ33+CQ33+CT33+CZ33,0)</f>
        <v>187153.21174838219</v>
      </c>
      <c r="FN34" s="1">
        <f t="shared" si="34"/>
        <v>46460.299726779951</v>
      </c>
      <c r="FO34" s="1">
        <f>IF(FN34 &lt; 0,
    IF(FO33 + FN34 &gt; 0,
        FO33 + FN34, IF(FT33-ABS(FO33 + FN34)*(1+$V34) &gt;= FO33 + FN34,
        0, FO33 + FN34)),
    MIN(FO33 + FN34, Analysis!$C$7))+IF(FO33&lt;0, FO33*Analysis!$C$9,0)</f>
        <v>24000</v>
      </c>
      <c r="FP34" s="53"/>
      <c r="FQ34" s="1">
        <f t="shared" si="51"/>
        <v>26348.771098359161</v>
      </c>
      <c r="FR34" s="1">
        <f>IF(OR($B34=Analysis!$C$100, $B34=Analysis!$C$130),0,IF(FN34 &gt;= 0,
    MAX(0, FO33 + FN34 - Analysis!$C$7),
    0))</f>
        <v>46460.299726779951</v>
      </c>
      <c r="FS34" s="1">
        <f>IF(OR($B34=Analysis!$C$100, $B34=Analysis!$C$130),0,MAX(0, FS33 + FR34 - IF(FN34 &lt; 0, MIN(ABS(FN34), FS33 + FR34), 0)))</f>
        <v>714949.70498501789</v>
      </c>
      <c r="FT34" s="1">
        <f>IF(OR($B34=Analysis!$C$100, $B34=Analysis!$C$130),0,IF(FN34 &lt; 0,
    IF(FN34 + FO33 &lt; 0,
        MAX(0, FT33 - (ABS(FN34 + FO33) * (1+$V33))),
        FT33 + FQ34),
    FT33 + FR34 + FQ34))</f>
        <v>1190502.9018748249</v>
      </c>
      <c r="FU34" s="1">
        <f t="shared" si="57"/>
        <v>1065075.7461951382</v>
      </c>
      <c r="FV34" s="36"/>
      <c r="FW34" s="1">
        <f t="shared" si="52"/>
        <v>1421118.4859629176</v>
      </c>
      <c r="FX34" s="64">
        <f t="shared" si="53"/>
        <v>3.9215686274509887E-2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47461.933049267573</v>
      </c>
      <c r="GO34" s="64">
        <f>IF($B34&lt;Analysis!$C$159,0,((1+Analysis!$D$174)/(1+$S34))-1)</f>
        <v>3.9215686274509887E-2</v>
      </c>
      <c r="GP34" s="1">
        <f t="shared" si="7"/>
        <v>55685.288507156321</v>
      </c>
      <c r="GQ34" s="1">
        <f t="shared" si="36"/>
        <v>-4263.3554578887524</v>
      </c>
      <c r="GR34" s="64">
        <f>IF($B34&lt;Analysis!$C$159,0,Analysis!$C$178)</f>
        <v>3.0000000000000001E-3</v>
      </c>
      <c r="GS34" s="1">
        <f t="shared" si="37"/>
        <v>-10658.388644721881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-3559.6449786950679</v>
      </c>
      <c r="HD34" s="1">
        <f t="shared" si="38"/>
        <v>-30741.389081305701</v>
      </c>
      <c r="HE34" s="1">
        <f>MIN(0,-(GN34+HD34)*Analysis!$C$28)-GE34*Analysis!$C$28</f>
        <v>-7408.8730322039046</v>
      </c>
      <c r="HF34" s="1">
        <f>-Analysis!$C$176*GP34/12</f>
        <v>-4640.4407089296938</v>
      </c>
      <c r="HG34" s="38"/>
      <c r="HH34" s="1">
        <f>IF($B34&lt;Analysis!$C$159,0,-$HI34*$FW34)</f>
        <v>-181192.60696027198</v>
      </c>
      <c r="HI34" s="64">
        <f>IF($B34&lt;Analysis!$C$159,0,IF($B34=Analysis!$C$159,Analysis!$C$31,HI33))</f>
        <v>0.1275</v>
      </c>
      <c r="HJ34" s="1">
        <f>IF($B34&lt;Analysis!$C$159,0,$FW34+HH34)</f>
        <v>1239925.8790026456</v>
      </c>
      <c r="HK34" s="1">
        <f>IF($B34-Analysis!$C$159&gt;10,0,IF($FW34&gt;LOOKUP(Analysis!$C$159,$B:$B, FW:FW),$V34*(LOOKUP(Analysis!$C$159,$B:$B, FW:FW)-FW34),0))</f>
        <v>0</v>
      </c>
      <c r="HL34" s="1">
        <f t="shared" si="39"/>
        <v>1239925.8790026456</v>
      </c>
      <c r="HM34" s="38"/>
      <c r="HN34" s="1">
        <f t="shared" si="40"/>
        <v>-140692.91202160224</v>
      </c>
      <c r="HO34" s="1">
        <f t="shared" si="8"/>
        <v>187153.21174838219</v>
      </c>
      <c r="HP34" s="1">
        <f t="shared" si="41"/>
        <v>46460.299726779951</v>
      </c>
      <c r="HQ34" s="1">
        <f>IF(HP34 &lt; 0,
    IF(HQ33 + HP34 &gt; 0,
        HQ33 + HP34, IF(HV33-ABS(HQ33 + HP34)*(1+$V34) &gt;= HQ33 + HP34,
        0, HQ33 + HP34)),
    MIN(HQ33 + HP34, Analysis!$C$7))+IF(HQ33&lt;0, HQ33*Analysis!$C$9,0)</f>
        <v>24000</v>
      </c>
      <c r="HR34" s="38"/>
      <c r="HS34" s="1">
        <f t="shared" si="54"/>
        <v>26348.771098359161</v>
      </c>
      <c r="HT34" s="1">
        <f>IF($B34=Analysis!$C$159,0,IF(HP34 &gt;= 0,
    MAX(0, HQ33 + HP34 - Analysis!$C$7),
    0))</f>
        <v>46460.299726779951</v>
      </c>
      <c r="HU34" s="1">
        <f>IF($B34=Analysis!$C$159,0,MAX(0, HU33 + HT34 - IF(HP34 &lt; 0, MIN(ABS(HP34), HU33 + HT34), 0)))</f>
        <v>714949.70498501789</v>
      </c>
      <c r="HV34" s="1">
        <f>IF($B34=Analysis!$C$159,0,IF(HP34 &lt; 0,
    IF(HP34 + HQ33 &lt; 0,
        MAX(0, HV33 - (ABS(HP34 + HQ33) * (1+$V33))),
        HV33 + HS34),
    HV33 + HT34 + HS34))</f>
        <v>1190502.9018748249</v>
      </c>
      <c r="HW34" s="1">
        <f t="shared" si="58"/>
        <v>1065075.7461951382</v>
      </c>
      <c r="HX34" s="36"/>
    </row>
    <row r="35" spans="1:232" x14ac:dyDescent="0.35">
      <c r="A35">
        <f t="shared" si="0"/>
        <v>68</v>
      </c>
      <c r="B35">
        <v>2058</v>
      </c>
      <c r="C35" s="1">
        <f>IF($B35&lt;Analysis!C$66,0,$AN35)+$AT35+$AW35+$BC35+$CF35+$CA35</f>
        <v>1973060.7309662511</v>
      </c>
      <c r="D35" s="1">
        <f>IF($B35&lt;Analysis!C$66, 0, BV35)+AT35+AW35+BC35+CG35+CA35</f>
        <v>1659986.6163176734</v>
      </c>
      <c r="E35" s="1">
        <f t="shared" si="1"/>
        <v>1901817.9787799548</v>
      </c>
      <c r="F35" s="1">
        <f t="shared" si="9"/>
        <v>1639600.1177249448</v>
      </c>
      <c r="G35" s="1">
        <f>IF(AND($B35&gt;=Analysis!$C$100, $B35&lt;Analysis!$C$101),$CK35,0)+IF($B35&gt;=Analysis!$C$130,EB35,0)+CQ35+CT35+CZ35+EH35+EK35+EQ35+$FO35+$FT35</f>
        <v>2762340.0714202924</v>
      </c>
      <c r="H35" s="1">
        <f t="shared" si="10"/>
        <v>2441750.8001728067</v>
      </c>
      <c r="I35" s="1">
        <f>IF($B35&lt;Analysis!$C$159,0,$FW35)+$GC35+$GF35+$GL35+$HQ35+$HV35</f>
        <v>2762340.0714202924</v>
      </c>
      <c r="J35" s="1">
        <f t="shared" si="59"/>
        <v>2441750.8001728067</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-56369.354657953649</v>
      </c>
      <c r="Y35" s="64">
        <f t="shared" si="15"/>
        <v>3.9215686274509887E-2</v>
      </c>
      <c r="Z35" s="1">
        <f t="shared" si="16"/>
        <v>-3960</v>
      </c>
      <c r="AA35" s="64">
        <f t="shared" si="17"/>
        <v>0</v>
      </c>
      <c r="AB35" s="40"/>
      <c r="AC35" s="1">
        <f t="shared" si="3"/>
        <v>-108329.35465795365</v>
      </c>
      <c r="AD35" s="1">
        <f t="shared" si="4"/>
        <v>131467.92324122589</v>
      </c>
      <c r="AE35" s="1">
        <f t="shared" si="18"/>
        <v>23138.568583272237</v>
      </c>
      <c r="AF35" s="1">
        <f>IF(AE35 &lt; 0,
    IF(AF34 + AE35 &gt; 0,
        AF34 + AE35, IF(AK34-ABS(AF34 + AE35)*(1+$V35) &gt;= AF34 + AE35,
        0, AF34 + AE35)),
    MIN(AF34 + AE35, Analysis!$C$7))+IF(AF34&lt;0, AF34*Analysis!$C$9,0)</f>
        <v>24000</v>
      </c>
      <c r="AG35" s="40"/>
      <c r="AH35" s="1">
        <f t="shared" si="19"/>
        <v>39675.875585725538</v>
      </c>
      <c r="AI35" s="1">
        <f>IF(AE35 &gt;= 0,
    MAX(0, AF34 + AE35 - Analysis!$C$7),
    0)</f>
        <v>23138.568583272237</v>
      </c>
      <c r="AJ35" s="1">
        <f t="shared" si="44"/>
        <v>883627.03639129119</v>
      </c>
      <c r="AK35" s="1">
        <f t="shared" si="20"/>
        <v>1877817.9787799548</v>
      </c>
      <c r="AL35" s="1">
        <f t="shared" si="5"/>
        <v>1615600.1177249448</v>
      </c>
      <c r="AM35" s="36"/>
      <c r="AN35" s="1">
        <f t="shared" si="45"/>
        <v>2455483.252145709</v>
      </c>
      <c r="AO35" s="64">
        <f t="shared" si="21"/>
        <v>3.9215686274509887E-2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-7366.4497564371268</v>
      </c>
      <c r="BF35" s="64">
        <f>IF($B35&lt;Analysis!$C$66,0,Analysis!$C$78)</f>
        <v>3.0000000000000001E-3</v>
      </c>
      <c r="BG35" s="1">
        <f>IF($B35&lt;Analysis!$C$66,0,-BH35*AN35)</f>
        <v>-18416.124391092817</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-313074.11464857793</v>
      </c>
      <c r="BS35" s="64">
        <f>IF($B35&lt;Analysis!C$66,0,Analysis!C$31)</f>
        <v>0.1275</v>
      </c>
      <c r="BT35" s="1">
        <f>IF($B35&lt;Analysis!$C$66,0,AN35+BR35)</f>
        <v>2142409.1374971312</v>
      </c>
      <c r="BU35" s="1">
        <f>IF($B35-Analysis!$C$66&gt;3,0,IF($AN35&gt;LOOKUP(Analysis!$C$66,$B:$B, AN:AN),$V35*(LOOKUP(Analysis!$C$66,$B:$B, AN:AN)-AN35),0))</f>
        <v>0</v>
      </c>
      <c r="BV35" s="1">
        <f t="shared" si="23"/>
        <v>2142409.1374971312</v>
      </c>
      <c r="BW35" s="42"/>
      <c r="BX35" s="1">
        <f>IF($B35&lt;Analysis!$C$66,$P35+$N35+$X35+$Z35,$P35+$N35+AS35+AV35+BB35+BE35+BG35+MAX(BI35,SUM(BJ35:BN35))+BP35)</f>
        <v>-77742.574147529944</v>
      </c>
      <c r="BY35" s="1">
        <f t="shared" si="24"/>
        <v>131467.92324122589</v>
      </c>
      <c r="BZ35" s="1">
        <f t="shared" si="46"/>
        <v>53725.349093695942</v>
      </c>
      <c r="CA35" s="1">
        <f>IF(BZ35 &lt; 0,
    IF(CA34 + BZ35 &gt; 0,
        CA34 + BZ35, IF(CF34-ABS(CA34 + BZ35)*(1+$V35) &gt;= CA34 + BZ35,
        0, CA34 + BZ35)),
    MIN(CA34 + BZ35, Analysis!$C$7))+IF(CA34&lt;0, CA34*Analysis!$C$9,0)</f>
        <v>-482422.52117945789</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-56369.354657953649</v>
      </c>
      <c r="CJ35" s="1">
        <f>IF(OR($B35&lt;Analysis!$C$100, $B35&gt;=Analysis!$C$130),0,Z35)</f>
        <v>-3960</v>
      </c>
      <c r="CK35" s="1">
        <f t="shared" ref="CK35:CK52" si="60">CK34*(1+$CL34)</f>
        <v>1476848.6226673459</v>
      </c>
      <c r="CL35" s="64">
        <f t="shared" si="48"/>
        <v>3.9215686274509887E-2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49323.185325709441</v>
      </c>
      <c r="DC35" s="64">
        <f>IF(OR($B35&lt;Analysis!$C$100, $B35&gt;=Analysis!$C$101),0,((1+Analysis!$D$114)/(1+$S35))-1)</f>
        <v>3.9215686274509887E-2</v>
      </c>
      <c r="DD35" s="1">
        <f t="shared" si="6"/>
        <v>57713.731193711479</v>
      </c>
      <c r="DE35" s="1">
        <f t="shared" si="27"/>
        <v>-4430.5458680020374</v>
      </c>
      <c r="DF35" s="64">
        <f>IF(OR($B35&lt;Analysis!$C$100, $B35&gt;=Analysis!$C$101),0,Analysis!$C$118)</f>
        <v>3.0000000000000001E-3</v>
      </c>
      <c r="DG35" s="1">
        <f t="shared" si="28"/>
        <v>-11076.364670005094</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-3699.2388994282078</v>
      </c>
      <c r="DR35" s="1">
        <f t="shared" si="29"/>
        <v>-31466.149437435339</v>
      </c>
      <c r="DS35" s="1">
        <f>MIN(0,-(DB35+DR35)*Analysis!$C$28)-CS35*Analysis!$C$28</f>
        <v>-7912.452602094254</v>
      </c>
      <c r="DT35" s="1">
        <f>-Analysis!$C$116*DD35/12</f>
        <v>-4809.4775994759566</v>
      </c>
      <c r="DU35" s="53"/>
      <c r="DV35" s="1">
        <f t="shared" si="30"/>
        <v>-188298.19939008661</v>
      </c>
      <c r="DW35" s="64">
        <f>IF(OR($B35&lt;Analysis!$C$100, $B35&gt;=Analysis!$C$101),0,IF($B35=Analysis!$C$100,Analysis!$C$31,DW34))</f>
        <v>0.1275</v>
      </c>
      <c r="DX35" s="1">
        <f>IF(OR($B35&lt;Analysis!$C$100, $B35&gt;=Analysis!$C$101),0,CK35+DV35)</f>
        <v>1288550.4232772593</v>
      </c>
      <c r="DY35" s="1">
        <f>IF(OR($B35&lt;Analysis!$C$100, $B35&gt;=Analysis!$C$101),0,IF($B35-Analysis!$C$100&gt;3,0,IF(CK35&gt;LOOKUP(Analysis!$C$100,$B:$B, CK:CK),$V35*(LOOKUP(Analysis!$C$100,$B:$B, CK:CK)-CK35),0)))</f>
        <v>0</v>
      </c>
      <c r="DZ35" s="1">
        <f t="shared" si="49"/>
        <v>1288550.4232772593</v>
      </c>
      <c r="EA35" s="53"/>
      <c r="EB35" s="1">
        <f t="shared" si="31"/>
        <v>2455483.252145709</v>
      </c>
      <c r="EC35" s="64">
        <f t="shared" si="50"/>
        <v>3.9215686274509887E-2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-144217.4342969592</v>
      </c>
      <c r="FM35" s="1">
        <f>$M35+$R35+DD35+IF(AND($B35&lt;&gt;Analysis!$C$130,$B35=Analysis!$C$101),DZ34+CQ34+CT34+CZ34,0)</f>
        <v>189181.65443493737</v>
      </c>
      <c r="FN35" s="1">
        <f t="shared" si="34"/>
        <v>44964.220137978176</v>
      </c>
      <c r="FO35" s="1">
        <f>IF(FN35 &lt; 0,
    IF(FO34 + FN35 &gt; 0,
        FO34 + FN35, IF(FT34-ABS(FO34 + FN35)*(1+$V35) &gt;= FO34 + FN35,
        0, FO34 + FN35)),
    MIN(FO34 + FN35, Analysis!$C$7))+IF(FO34&lt;0, FO34*Analysis!$C$9,0)</f>
        <v>24000</v>
      </c>
      <c r="FP35" s="53"/>
      <c r="FQ35" s="1">
        <f t="shared" si="51"/>
        <v>26024.326740143428</v>
      </c>
      <c r="FR35" s="1">
        <f>IF(OR($B35=Analysis!$C$100, $B35=Analysis!$C$130),0,IF(FN35 &gt;= 0,
    MAX(0, FO34 + FN35 - Analysis!$C$7),
    0))</f>
        <v>44964.220137978176</v>
      </c>
      <c r="FS35" s="1">
        <f>IF(OR($B35=Analysis!$C$100, $B35=Analysis!$C$130),0,MAX(0, FS34 + FR35 - IF(FN35 &lt; 0, MIN(ABS(FN35), FS34 + FR35), 0)))</f>
        <v>759913.92512299609</v>
      </c>
      <c r="FT35" s="1">
        <f>IF(OR($B35=Analysis!$C$100, $B35=Analysis!$C$130),0,IF(FN35 &lt; 0,
    IF(FN35 + FO34 &lt; 0,
        MAX(0, FT34 - (ABS(FN35 + FO34) * (1+$V34))),
        FT34 + FQ35),
    FT34 + FR35 + FQ35))</f>
        <v>1261491.4487529465</v>
      </c>
      <c r="FU35" s="1">
        <f t="shared" si="57"/>
        <v>1129200.3768955471</v>
      </c>
      <c r="FV35" s="36"/>
      <c r="FW35" s="1">
        <f t="shared" si="52"/>
        <v>1476848.6226673459</v>
      </c>
      <c r="FX35" s="64">
        <f t="shared" si="53"/>
        <v>3.9215686274509887E-2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49323.185325709441</v>
      </c>
      <c r="GO35" s="64">
        <f>IF($B35&lt;Analysis!$C$159,0,((1+Analysis!$D$174)/(1+$S35))-1)</f>
        <v>3.9215686274509887E-2</v>
      </c>
      <c r="GP35" s="1">
        <f t="shared" si="7"/>
        <v>57713.731193711479</v>
      </c>
      <c r="GQ35" s="1">
        <f t="shared" si="36"/>
        <v>-4430.5458680020374</v>
      </c>
      <c r="GR35" s="64">
        <f>IF($B35&lt;Analysis!$C$159,0,Analysis!$C$178)</f>
        <v>3.0000000000000001E-3</v>
      </c>
      <c r="GS35" s="1">
        <f t="shared" si="37"/>
        <v>-11076.364670005094</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-3699.2388994282078</v>
      </c>
      <c r="HD35" s="1">
        <f t="shared" si="38"/>
        <v>-31466.149437435339</v>
      </c>
      <c r="HE35" s="1">
        <f>MIN(0,-(GN35+HD35)*Analysis!$C$28)-GE35*Analysis!$C$28</f>
        <v>-7912.452602094254</v>
      </c>
      <c r="HF35" s="1">
        <f>-Analysis!$C$176*GP35/12</f>
        <v>-4809.4775994759566</v>
      </c>
      <c r="HG35" s="38"/>
      <c r="HH35" s="1">
        <f>IF($B35&lt;Analysis!$C$159,0,-$HI35*$FW35)</f>
        <v>-188298.19939008661</v>
      </c>
      <c r="HI35" s="64">
        <f>IF($B35&lt;Analysis!$C$159,0,IF($B35=Analysis!$C$159,Analysis!$C$31,HI34))</f>
        <v>0.1275</v>
      </c>
      <c r="HJ35" s="1">
        <f>IF($B35&lt;Analysis!$C$159,0,$FW35+HH35)</f>
        <v>1288550.4232772593</v>
      </c>
      <c r="HK35" s="1">
        <f>IF($B35-Analysis!$C$159&gt;10,0,IF($FW35&gt;LOOKUP(Analysis!$C$159,$B:$B, FW:FW),$V35*(LOOKUP(Analysis!$C$159,$B:$B, FW:FW)-FW35),0))</f>
        <v>0</v>
      </c>
      <c r="HL35" s="1">
        <f t="shared" si="39"/>
        <v>1288550.4232772593</v>
      </c>
      <c r="HM35" s="38"/>
      <c r="HN35" s="1">
        <f t="shared" si="40"/>
        <v>-144217.4342969592</v>
      </c>
      <c r="HO35" s="1">
        <f t="shared" si="8"/>
        <v>189181.65443493737</v>
      </c>
      <c r="HP35" s="1">
        <f t="shared" si="41"/>
        <v>44964.220137978176</v>
      </c>
      <c r="HQ35" s="1">
        <f>IF(HP35 &lt; 0,
    IF(HQ34 + HP35 &gt; 0,
        HQ34 + HP35, IF(HV34-ABS(HQ34 + HP35)*(1+$V35) &gt;= HQ34 + HP35,
        0, HQ34 + HP35)),
    MIN(HQ34 + HP35, Analysis!$C$7))+IF(HQ34&lt;0, HQ34*Analysis!$C$9,0)</f>
        <v>24000</v>
      </c>
      <c r="HR35" s="38"/>
      <c r="HS35" s="1">
        <f t="shared" si="54"/>
        <v>26024.326740143428</v>
      </c>
      <c r="HT35" s="1">
        <f>IF($B35=Analysis!$C$159,0,IF(HP35 &gt;= 0,
    MAX(0, HQ34 + HP35 - Analysis!$C$7),
    0))</f>
        <v>44964.220137978176</v>
      </c>
      <c r="HU35" s="1">
        <f>IF($B35=Analysis!$C$159,0,MAX(0, HU34 + HT35 - IF(HP35 &lt; 0, MIN(ABS(HP35), HU34 + HT35), 0)))</f>
        <v>759913.92512299609</v>
      </c>
      <c r="HV35" s="1">
        <f>IF($B35=Analysis!$C$159,0,IF(HP35 &lt; 0,
    IF(HP35 + HQ34 &lt; 0,
        MAX(0, HV34 - (ABS(HP35 + HQ34) * (1+$V34))),
        HV34 + HS35),
    HV34 + HT35 + HS35))</f>
        <v>1261491.4487529465</v>
      </c>
      <c r="HW35" s="1">
        <f t="shared" si="58"/>
        <v>1129200.3768955471</v>
      </c>
      <c r="HX35" s="36"/>
    </row>
    <row r="36" spans="1:232" x14ac:dyDescent="0.35">
      <c r="A36">
        <f t="shared" si="0"/>
        <v>69</v>
      </c>
      <c r="B36">
        <v>2059</v>
      </c>
      <c r="C36" s="1">
        <f>IF($B36&lt;Analysis!C$66,0,$AN36)+$AT36+$AW36+$BC36+$CF36+$CA36</f>
        <v>2083474.6578949308</v>
      </c>
      <c r="D36" s="1">
        <f>IF($B36&lt;Analysis!C$66, 0, BV36)+AT36+AW36+BC36+CG36+CA36</f>
        <v>1758123.1269856244</v>
      </c>
      <c r="E36" s="1">
        <f t="shared" si="1"/>
        <v>1960575.8637166563</v>
      </c>
      <c r="F36" s="1">
        <f t="shared" si="9"/>
        <v>1688380.3720012319</v>
      </c>
      <c r="G36" s="1">
        <f>IF(AND($B36&gt;=Analysis!$C$100, $B36&lt;Analysis!$C$101),$CK36,0)+IF($B36&gt;=Analysis!$C$130,EB36,0)+CQ36+CT36+CZ36+EH36+EK36+EQ36+$FO36+$FT36</f>
        <v>2889078.7500717961</v>
      </c>
      <c r="H36" s="1">
        <f t="shared" si="10"/>
        <v>2554402.4051389145</v>
      </c>
      <c r="I36" s="1">
        <f>IF($B36&lt;Analysis!$C$159,0,$FW36)+$GC36+$GF36+$GL36+$HQ36+$HV36</f>
        <v>2889078.7500717961</v>
      </c>
      <c r="J36" s="1">
        <f t="shared" si="59"/>
        <v>2554402.4051389145</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-58579.917585716539</v>
      </c>
      <c r="Y36" s="64">
        <f t="shared" si="15"/>
        <v>3.9215686274509887E-2</v>
      </c>
      <c r="Z36" s="1">
        <f t="shared" si="16"/>
        <v>-3960</v>
      </c>
      <c r="AA36" s="64">
        <f t="shared" si="17"/>
        <v>0</v>
      </c>
      <c r="AB36" s="40"/>
      <c r="AC36" s="1">
        <f t="shared" si="3"/>
        <v>-110539.91758571654</v>
      </c>
      <c r="AD36" s="1">
        <f t="shared" si="4"/>
        <v>131467.92324122589</v>
      </c>
      <c r="AE36" s="1">
        <f t="shared" si="18"/>
        <v>20928.005655509347</v>
      </c>
      <c r="AF36" s="1">
        <f>IF(AE36 &lt; 0,
    IF(AF35 + AE36 &gt; 0,
        AF35 + AE36, IF(AK35-ABS(AF35 + AE36)*(1+$V36) &gt;= AF35 + AE36,
        0, AF35 + AE36)),
    MIN(AF35 + AE36, Analysis!$C$7))+IF(AF35&lt;0, AF35*Analysis!$C$9,0)</f>
        <v>24000</v>
      </c>
      <c r="AG36" s="40"/>
      <c r="AH36" s="1">
        <f t="shared" si="19"/>
        <v>37829.879281192007</v>
      </c>
      <c r="AI36" s="1">
        <f>IF(AE36 &gt;= 0,
    MAX(0, AF35 + AE36 - Analysis!$C$7),
    0)</f>
        <v>20928.005655509347</v>
      </c>
      <c r="AJ36" s="1">
        <f t="shared" si="44"/>
        <v>904555.04204680049</v>
      </c>
      <c r="AK36" s="1">
        <f t="shared" si="20"/>
        <v>1936575.8637166563</v>
      </c>
      <c r="AL36" s="1">
        <f t="shared" si="5"/>
        <v>1664380.3720012319</v>
      </c>
      <c r="AM36" s="36"/>
      <c r="AN36" s="1">
        <f t="shared" si="45"/>
        <v>2551776.7130141682</v>
      </c>
      <c r="AO36" s="64">
        <f t="shared" si="21"/>
        <v>3.9215686274509887E-2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-7655.3301390425049</v>
      </c>
      <c r="BF36" s="64">
        <f>IF($B36&lt;Analysis!$C$66,0,Analysis!$C$78)</f>
        <v>3.0000000000000001E-3</v>
      </c>
      <c r="BG36" s="1">
        <f>IF($B36&lt;Analysis!$C$66,0,-BH36*AN36)</f>
        <v>-19138.32534760626</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-325351.53090930643</v>
      </c>
      <c r="BS36" s="64">
        <f>IF($B36&lt;Analysis!C$66,0,Analysis!C$31)</f>
        <v>0.1275</v>
      </c>
      <c r="BT36" s="1">
        <f>IF($B36&lt;Analysis!$C$66,0,AN36+BR36)</f>
        <v>2226425.1821048618</v>
      </c>
      <c r="BU36" s="1">
        <f>IF($B36-Analysis!$C$66&gt;3,0,IF($AN36&gt;LOOKUP(Analysis!$C$66,$B:$B, AN:AN),$V36*(LOOKUP(Analysis!$C$66,$B:$B, AN:AN)-AN36),0))</f>
        <v>0</v>
      </c>
      <c r="BV36" s="1">
        <f t="shared" si="23"/>
        <v>2226425.1821048618</v>
      </c>
      <c r="BW36" s="42"/>
      <c r="BX36" s="1">
        <f>IF($B36&lt;Analysis!$C$66,$P36+$N36+$X36+$Z36,$P36+$N36+AS36+AV36+BB36+BE36+BG36+MAX(BI36,SUM(BJ36:BN36))+BP36)</f>
        <v>-78753.655486648757</v>
      </c>
      <c r="BY36" s="1">
        <f t="shared" si="24"/>
        <v>131467.92324122589</v>
      </c>
      <c r="BZ36" s="1">
        <f t="shared" si="46"/>
        <v>52714.267754577129</v>
      </c>
      <c r="CA36" s="1">
        <f>IF(BZ36 &lt; 0,
    IF(CA35 + BZ36 &gt; 0,
        CA35 + BZ36, IF(CF35-ABS(CA35 + BZ36)*(1+$V36) &gt;= CA35 + BZ36,
        0, CA35 + BZ36)),
    MIN(CA35 + BZ36, Analysis!$C$7))+IF(CA35&lt;0, CA35*Analysis!$C$9,0)</f>
        <v>-468302.0551192374</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-58579.917585716539</v>
      </c>
      <c r="CJ36" s="1">
        <f>IF(OR($B36&lt;Analysis!$C$100, $B36&gt;=Analysis!$C$130),0,Z36)</f>
        <v>-3960</v>
      </c>
      <c r="CK36" s="1">
        <f t="shared" si="60"/>
        <v>1534764.2549288105</v>
      </c>
      <c r="CL36" s="64">
        <f t="shared" si="48"/>
        <v>3.9215686274509887E-2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51257.427887501974</v>
      </c>
      <c r="DC36" s="64">
        <f>IF(OR($B36&lt;Analysis!$C$100, $B36&gt;=Analysis!$C$101),0,((1+Analysis!$D$114)/(1+$S36))-1)</f>
        <v>3.9215686274509887E-2</v>
      </c>
      <c r="DD36" s="1">
        <f t="shared" si="6"/>
        <v>59821.720652288408</v>
      </c>
      <c r="DE36" s="1">
        <f t="shared" si="27"/>
        <v>-4604.2927647864317</v>
      </c>
      <c r="DF36" s="64">
        <f>IF(OR($B36&lt;Analysis!$C$100, $B36&gt;=Analysis!$C$101),0,Analysis!$C$118)</f>
        <v>3.0000000000000001E-3</v>
      </c>
      <c r="DG36" s="1">
        <f t="shared" si="28"/>
        <v>-11510.731911966079</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-3844.3070915626477</v>
      </c>
      <c r="DR36" s="1">
        <f t="shared" si="29"/>
        <v>-32219.331768315158</v>
      </c>
      <c r="DS36" s="1">
        <f>MIN(0,-(DB36+DR36)*Analysis!$C$28)-CS36*Analysis!$C$28</f>
        <v>-8435.7803904116772</v>
      </c>
      <c r="DT36" s="1">
        <f>-Analysis!$C$116*DD36/12</f>
        <v>-4985.1433876907004</v>
      </c>
      <c r="DU36" s="53"/>
      <c r="DV36" s="1">
        <f t="shared" si="30"/>
        <v>-195682.44250342334</v>
      </c>
      <c r="DW36" s="64">
        <f>IF(OR($B36&lt;Analysis!$C$100, $B36&gt;=Analysis!$C$101),0,IF($B36=Analysis!$C$100,Analysis!$C$31,DW35))</f>
        <v>0.1275</v>
      </c>
      <c r="DX36" s="1">
        <f>IF(OR($B36&lt;Analysis!$C$100, $B36&gt;=Analysis!$C$101),0,CK36+DV36)</f>
        <v>1339081.8124253871</v>
      </c>
      <c r="DY36" s="1">
        <f>IF(OR($B36&lt;Analysis!$C$100, $B36&gt;=Analysis!$C$101),0,IF($B36-Analysis!$C$100&gt;3,0,IF(CK36&gt;LOOKUP(Analysis!$C$100,$B:$B, CK:CK),$V36*(LOOKUP(Analysis!$C$100,$B:$B, CK:CK)-CK36),0)))</f>
        <v>0</v>
      </c>
      <c r="DZ36" s="1">
        <f t="shared" si="49"/>
        <v>1339081.8124253871</v>
      </c>
      <c r="EA36" s="53"/>
      <c r="EB36" s="1">
        <f t="shared" si="31"/>
        <v>2551776.7130141682</v>
      </c>
      <c r="EC36" s="64">
        <f t="shared" si="50"/>
        <v>3.9215686274509887E-2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-147880.17313213408</v>
      </c>
      <c r="FM36" s="1">
        <f>$M36+$R36+DD36+IF(AND($B36&lt;&gt;Analysis!$C$130,$B36=Analysis!$C$101),DZ35+CQ35+CT35+CZ35,0)</f>
        <v>191289.64389351429</v>
      </c>
      <c r="FN36" s="1">
        <f t="shared" si="34"/>
        <v>43409.470761380217</v>
      </c>
      <c r="FO36" s="1">
        <f>IF(FN36 &lt; 0,
    IF(FO35 + FN36 &gt; 0,
        FO35 + FN36, IF(FT35-ABS(FO35 + FN36)*(1+$V36) &gt;= FO35 + FN36,
        0, FO35 + FN36)),
    MIN(FO35 + FN36, Analysis!$C$7))+IF(FO35&lt;0, FO35*Analysis!$C$9,0)</f>
        <v>24000</v>
      </c>
      <c r="FP36" s="53"/>
      <c r="FQ36" s="1">
        <f t="shared" si="51"/>
        <v>25413.575628659008</v>
      </c>
      <c r="FR36" s="1">
        <f>IF(OR($B36=Analysis!$C$100, $B36=Analysis!$C$130),0,IF(FN36 &gt;= 0,
    MAX(0, FO35 + FN36 - Analysis!$C$7),
    0))</f>
        <v>43409.470761380217</v>
      </c>
      <c r="FS36" s="1">
        <f>IF(OR($B36=Analysis!$C$100, $B36=Analysis!$C$130),0,MAX(0, FS35 + FR36 - IF(FN36 &lt; 0, MIN(ABS(FN36), FS35 + FR36), 0)))</f>
        <v>803323.39588437625</v>
      </c>
      <c r="FT36" s="1">
        <f>IF(OR($B36=Analysis!$C$100, $B36=Analysis!$C$130),0,IF(FN36 &lt; 0,
    IF(FN36 + FO35 &lt; 0,
        MAX(0, FT35 - (ABS(FN36 + FO35) * (1+$V35))),
        FT35 + FQ36),
    FT35 + FR36 + FQ36))</f>
        <v>1330314.4951429856</v>
      </c>
      <c r="FU36" s="1">
        <f t="shared" si="57"/>
        <v>1191320.5927135274</v>
      </c>
      <c r="FV36" s="36"/>
      <c r="FW36" s="1">
        <f t="shared" si="52"/>
        <v>1534764.2549288105</v>
      </c>
      <c r="FX36" s="64">
        <f t="shared" si="53"/>
        <v>3.9215686274509887E-2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51257.427887501974</v>
      </c>
      <c r="GO36" s="64">
        <f>IF($B36&lt;Analysis!$C$159,0,((1+Analysis!$D$174)/(1+$S36))-1)</f>
        <v>3.9215686274509887E-2</v>
      </c>
      <c r="GP36" s="1">
        <f t="shared" si="7"/>
        <v>59821.720652288408</v>
      </c>
      <c r="GQ36" s="1">
        <f t="shared" si="36"/>
        <v>-4604.2927647864317</v>
      </c>
      <c r="GR36" s="64">
        <f>IF($B36&lt;Analysis!$C$159,0,Analysis!$C$178)</f>
        <v>3.0000000000000001E-3</v>
      </c>
      <c r="GS36" s="1">
        <f t="shared" si="37"/>
        <v>-11510.731911966079</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-3844.3070915626477</v>
      </c>
      <c r="HD36" s="1">
        <f t="shared" si="38"/>
        <v>-32219.331768315158</v>
      </c>
      <c r="HE36" s="1">
        <f>MIN(0,-(GN36+HD36)*Analysis!$C$28)-GE36*Analysis!$C$28</f>
        <v>-8435.7803904116772</v>
      </c>
      <c r="HF36" s="1">
        <f>-Analysis!$C$176*GP36/12</f>
        <v>-4985.1433876907004</v>
      </c>
      <c r="HG36" s="38"/>
      <c r="HH36" s="1">
        <f>IF($B36&lt;Analysis!$C$159,0,-$HI36*$FW36)</f>
        <v>-195682.44250342334</v>
      </c>
      <c r="HI36" s="64">
        <f>IF($B36&lt;Analysis!$C$159,0,IF($B36=Analysis!$C$159,Analysis!$C$31,HI35))</f>
        <v>0.1275</v>
      </c>
      <c r="HJ36" s="1">
        <f>IF($B36&lt;Analysis!$C$159,0,$FW36+HH36)</f>
        <v>1339081.8124253871</v>
      </c>
      <c r="HK36" s="1">
        <f>IF($B36-Analysis!$C$159&gt;10,0,IF($FW36&gt;LOOKUP(Analysis!$C$159,$B:$B, FW:FW),$V36*(LOOKUP(Analysis!$C$159,$B:$B, FW:FW)-FW36),0))</f>
        <v>0</v>
      </c>
      <c r="HL36" s="1">
        <f t="shared" si="39"/>
        <v>1339081.8124253871</v>
      </c>
      <c r="HM36" s="38"/>
      <c r="HN36" s="1">
        <f t="shared" si="40"/>
        <v>-147880.17313213408</v>
      </c>
      <c r="HO36" s="1">
        <f t="shared" si="8"/>
        <v>191289.64389351429</v>
      </c>
      <c r="HP36" s="1">
        <f t="shared" si="41"/>
        <v>43409.470761380217</v>
      </c>
      <c r="HQ36" s="1">
        <f>IF(HP36 &lt; 0,
    IF(HQ35 + HP36 &gt; 0,
        HQ35 + HP36, IF(HV35-ABS(HQ35 + HP36)*(1+$V36) &gt;= HQ35 + HP36,
        0, HQ35 + HP36)),
    MIN(HQ35 + HP36, Analysis!$C$7))+IF(HQ35&lt;0, HQ35*Analysis!$C$9,0)</f>
        <v>24000</v>
      </c>
      <c r="HR36" s="38"/>
      <c r="HS36" s="1">
        <f t="shared" si="54"/>
        <v>25413.575628659008</v>
      </c>
      <c r="HT36" s="1">
        <f>IF($B36=Analysis!$C$159,0,IF(HP36 &gt;= 0,
    MAX(0, HQ35 + HP36 - Analysis!$C$7),
    0))</f>
        <v>43409.470761380217</v>
      </c>
      <c r="HU36" s="1">
        <f>IF($B36=Analysis!$C$159,0,MAX(0, HU35 + HT36 - IF(HP36 &lt; 0, MIN(ABS(HP36), HU35 + HT36), 0)))</f>
        <v>803323.39588437625</v>
      </c>
      <c r="HV36" s="1">
        <f>IF($B36=Analysis!$C$159,0,IF(HP36 &lt; 0,
    IF(HP36 + HQ35 &lt; 0,
        MAX(0, HV35 - (ABS(HP36 + HQ35) * (1+$V35))),
        HV35 + HS36),
    HV35 + HT36 + HS36))</f>
        <v>1330314.4951429856</v>
      </c>
      <c r="HW36" s="1">
        <f t="shared" si="58"/>
        <v>1191320.5927135274</v>
      </c>
      <c r="HX36" s="36"/>
    </row>
    <row r="37" spans="1:232" x14ac:dyDescent="0.35">
      <c r="A37">
        <f t="shared" si="0"/>
        <v>70</v>
      </c>
      <c r="B37">
        <v>2060</v>
      </c>
      <c r="C37" s="1">
        <f>IF($B37&lt;Analysis!C$66,0,$AN37)+$AT37+$AW37+$BC37+$CF37+$CA37</f>
        <v>2132009.7430518083</v>
      </c>
      <c r="D37" s="1">
        <f>IF($B37&lt;Analysis!C$66, 0, BV37)+AT37+AW37+BC37+CG37+CA37</f>
        <v>1793899.3285774307</v>
      </c>
      <c r="E37" s="1">
        <f t="shared" si="1"/>
        <v>1907379.1850677587</v>
      </c>
      <c r="F37" s="1">
        <f t="shared" si="9"/>
        <v>1630460.846332215</v>
      </c>
      <c r="G37" s="1">
        <f>IF(AND($B37&gt;=Analysis!$C$100, $B37&lt;Analysis!$C$101),$CK37,0)+IF($B37&gt;=Analysis!$C$130,EB37,0)+CQ37+CT37+CZ37+EH37+EK37+EQ37+$FO37+$FT37</f>
        <v>1959160.1026787683</v>
      </c>
      <c r="H37" s="1">
        <f t="shared" si="10"/>
        <v>1621049.6882043909</v>
      </c>
      <c r="I37" s="1">
        <f>IF($B37&lt;Analysis!$C$159,0,$FW37)+$GC37+$GF37+$GL37+$HQ37+$HV37</f>
        <v>2951409.9707427775</v>
      </c>
      <c r="J37" s="1">
        <f t="shared" si="59"/>
        <v>2595865.7612291276</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-60877.169255744644</v>
      </c>
      <c r="Y37" s="64">
        <f t="shared" si="15"/>
        <v>3.9215686274509887E-2</v>
      </c>
      <c r="Z37" s="1">
        <f t="shared" si="16"/>
        <v>-3960</v>
      </c>
      <c r="AA37" s="64">
        <f t="shared" si="17"/>
        <v>0</v>
      </c>
      <c r="AB37" s="40"/>
      <c r="AC37" s="1">
        <f t="shared" si="3"/>
        <v>-112837.16925574464</v>
      </c>
      <c r="AD37" s="1">
        <f t="shared" si="4"/>
        <v>65733.961620612943</v>
      </c>
      <c r="AE37" s="1">
        <f t="shared" si="18"/>
        <v>-47103.207635131694</v>
      </c>
      <c r="AF37" s="1">
        <f>IF(AE37 &lt; 0,
    IF(AF36 + AE37 &gt; 0,
        AF36 + AE37, IF(AK36-ABS(AF36 + AE37)*(1+$V37) &gt;= AF36 + AE37,
        0, AF36 + AE37)),
    MIN(AF36 + AE37, Analysis!$C$7))+IF(AF36&lt;0, AF36*Analysis!$C$9,0)</f>
        <v>0</v>
      </c>
      <c r="AG37" s="40"/>
      <c r="AH37" s="1">
        <f t="shared" si="19"/>
        <v>37972.075759149986</v>
      </c>
      <c r="AI37" s="1">
        <f>IF(AE37 &gt;= 0,
    MAX(0, AF36 + AE37 - Analysis!$C$7),
    0)</f>
        <v>0</v>
      </c>
      <c r="AJ37" s="1">
        <f t="shared" si="44"/>
        <v>857451.83441166882</v>
      </c>
      <c r="AK37" s="1">
        <f t="shared" si="20"/>
        <v>1907379.1850677587</v>
      </c>
      <c r="AL37" s="1">
        <f t="shared" si="5"/>
        <v>1630460.846332215</v>
      </c>
      <c r="AM37" s="36"/>
      <c r="AN37" s="1">
        <f t="shared" si="45"/>
        <v>2651846.3880343321</v>
      </c>
      <c r="AO37" s="64">
        <f t="shared" si="21"/>
        <v>3.9215686274509887E-2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-7955.5391641029964</v>
      </c>
      <c r="BF37" s="64">
        <f>IF($B37&lt;Analysis!$C$66,0,Analysis!$C$78)</f>
        <v>3.0000000000000001E-3</v>
      </c>
      <c r="BG37" s="1">
        <f>IF($B37&lt;Analysis!$C$66,0,-BH37*AN37)</f>
        <v>-19888.847910257489</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-338110.41447437735</v>
      </c>
      <c r="BS37" s="64">
        <f>IF($B37&lt;Analysis!C$66,0,Analysis!C$31)</f>
        <v>0.1275</v>
      </c>
      <c r="BT37" s="1">
        <f>IF($B37&lt;Analysis!$C$66,0,AN37+BR37)</f>
        <v>2313735.9735599547</v>
      </c>
      <c r="BU37" s="1">
        <f>IF($B37-Analysis!$C$66&gt;3,0,IF($AN37&gt;LOOKUP(Analysis!$C$66,$B:$B, AN:AN),$V37*(LOOKUP(Analysis!$C$66,$B:$B, AN:AN)-AN37),0))</f>
        <v>0</v>
      </c>
      <c r="BV37" s="1">
        <f t="shared" si="23"/>
        <v>2313735.9735599547</v>
      </c>
      <c r="BW37" s="42"/>
      <c r="BX37" s="1">
        <f>IF($B37&lt;Analysis!$C$66,$P37+$N37+$X37+$Z37,$P37+$N37+AS37+AV37+BB37+BE37+BG37+MAX(BI37,SUM(BJ37:BN37))+BP37)</f>
        <v>-79804.387074360493</v>
      </c>
      <c r="BY37" s="1">
        <f t="shared" si="24"/>
        <v>65733.961620612943</v>
      </c>
      <c r="BZ37" s="1">
        <f t="shared" si="46"/>
        <v>-14070.42545374755</v>
      </c>
      <c r="CA37" s="1">
        <f>IF(BZ37 &lt; 0,
    IF(CA36 + BZ37 &gt; 0,
        CA36 + BZ37, IF(CF36-ABS(CA36 + BZ37)*(1+$V37) &gt;= CA36 + BZ37,
        0, CA36 + BZ37)),
    MIN(CA36 + BZ37, Analysis!$C$7))+IF(CA36&lt;0, CA36*Analysis!$C$9,0)</f>
        <v>-519836.64498252398</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1594951.0884554307</v>
      </c>
      <c r="CL37" s="64">
        <f t="shared" si="48"/>
        <v>3.9215686274509887E-2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$B37&gt;=Analysis!$C$101),0,((1+Analysis!$D$114)/(1+$S37))-1)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2651846.3880343321</v>
      </c>
      <c r="EC37" s="64">
        <f t="shared" si="50"/>
        <v>3.9215686274509887E-2</v>
      </c>
      <c r="ED37" s="1">
        <f>MAX(0,IF($B37=Analysis!$C$130,(EB37*(1+Analysis!$C$23+Analysis!$C$24+Analysis!$C$25))-(IF($B37=$B$2,(Analysis!$C$6-Analysis!$C$7+Analysis!$C$132), (FU36-Analysis!$C$7+EM37)) + IF($B37=Analysis!$C$101,DZ36+CQ36+CT36+CZ36,0)),0))</f>
        <v>402262.60999099026</v>
      </c>
      <c r="EE37" s="65">
        <f>IF($B37=Analysis!$C$130,IF(ED37&gt;0,NPER(EI37,-EL37,-ED37),0),0)</f>
        <v>28.826407404605138</v>
      </c>
      <c r="EF37" s="64">
        <f>IF($B37=Analysis!$C$130,Analysis!$C$137,0)</f>
        <v>0.02</v>
      </c>
      <c r="EG37" s="1">
        <f>IF($B37&lt;Analysis!$C$130,0,IF($B37=Analysis!$C$130,-ED37*EF37,IF(EL37&gt;=0,0,EL37-EJ37)))</f>
        <v>-8045.2521998198054</v>
      </c>
      <c r="EH37" s="1">
        <f>IF($B37&lt;Analysis!$C$130,0,IF($B37=Analysis!$C$130,-ED37-EG37,MIN(0,EH36-EG37)))</f>
        <v>-394217.35779117048</v>
      </c>
      <c r="EI37" s="64">
        <f>IF($B37&lt;Analysis!$C$130,0,IF($B37=Analysis!$C$130,Analysis!$C$136,IF(($B37-Analysis!$C$130)&lt;LOOKUP(Analysis!$C$130,$B:$B,EE:EE),EI36,0)))</f>
        <v>3.6999999999999998E-2</v>
      </c>
      <c r="EJ37" s="1">
        <f>IF($B37&lt;Analysis!$C$130,0,IF($B37=Analysis!$C$130,-EI37*ED37,EI36*EH36))</f>
        <v>-14883.716569666638</v>
      </c>
      <c r="EK37" s="1">
        <f>IF(OR($B37&lt;Analysis!$C$130, ED37=0),0,IF($B37=Analysis!$C$130,PMT(EI37,EE37,ED37)*EE37-EL37-EH37,IF(($B37-Analysis!$C$130+1)&lt;LOOKUP(Analysis!$C$130,$B:$B,EE:EE),IF(EK36-EJ37&lt;0, EK36-EJ37,0),0)))</f>
        <v>-243813.46855602646</v>
      </c>
      <c r="EL37" s="1">
        <f>IF($B37&lt;Analysis!$C$130,0,IF($B37=Analysis!$C$130,EG37+EJ37,IF(EH36&lt;0,IF(EH36&gt;LOOKUP(Analysis!$C$130,$B:$B,EL:EL), EH36*(1+EI36),EL36),0)))</f>
        <v>-22928.968769486444</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-7955.5391641029964</v>
      </c>
      <c r="ET37" s="64">
        <f>IF($B37&lt;Analysis!$C$130,0,Analysis!$C$142)</f>
        <v>3.0000000000000001E-3</v>
      </c>
      <c r="EU37" s="1">
        <f>IF($B37&lt;Analysis!$C$130,0,-EV37*EB37)</f>
        <v>-26518.463880343323</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-338110.41447437735</v>
      </c>
      <c r="FG37" s="64">
        <f>IF($B37&lt;Analysis!$C$130,0,Analysis!$C$31)</f>
        <v>0.1275</v>
      </c>
      <c r="FH37" s="1">
        <f>IF($B37&lt;Analysis!$C$130,0,EB37+FF37)</f>
        <v>2313735.9735599547</v>
      </c>
      <c r="FI37" s="1">
        <f>IF($B37-Analysis!$C$130&gt;3,0,IF(EB37&gt;LOOKUP(Analysis!$C$130,$B:$B, EB:EB),$V37*(LOOKUP(Analysis!$C$130,$B:$B, EB:EB)-EB37),0))</f>
        <v>0</v>
      </c>
      <c r="FJ37" s="1">
        <f t="shared" si="33"/>
        <v>2313735.9735599547</v>
      </c>
      <c r="FK37" s="53"/>
      <c r="FL37" s="1">
        <f>$P37+$N37+IF($B37&lt;Analysis!$C$130,$X37+$Z37,0)+CP37+CS37+CY37+DE37+DG37+MIN(DI37,SUM(DJ37:DN37))+DQ37+DS37+DT37+EG37+EJ37+EP37+ES37+EU37+MIN(EW37,SUM(EX37:FB37))+FD37</f>
        <v>-115435.80059264018</v>
      </c>
      <c r="FM37" s="1">
        <f>$M37+$R37+DD37+IF(AND($B37&lt;&gt;Analysis!$C$130,$B37=Analysis!$C$101),DZ36+CQ36+CT36+CZ36,0)</f>
        <v>65733.961620612943</v>
      </c>
      <c r="FN37" s="1">
        <f t="shared" si="34"/>
        <v>-49701.838972027239</v>
      </c>
      <c r="FO37" s="1">
        <f>IF(FN37 &lt; 0,
    IF(FO36 + FN37 &gt; 0,
        FO36 + FN37, IF(FT36-ABS(FO36 + FN37)*(1+$V37) &gt;= FO36 + FN37,
        0, FO36 + FN37)),
    MIN(FO36 + FN37, Analysis!$C$7))+IF(FO36&lt;0, FO36*Analysis!$C$9,0)</f>
        <v>0</v>
      </c>
      <c r="FP37" s="53"/>
      <c r="FQ37" s="1">
        <f t="shared" si="51"/>
        <v>26084.597943980018</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1594951.0884554307</v>
      </c>
      <c r="FX37" s="64">
        <f t="shared" si="53"/>
        <v>3.9215686274509887E-2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53267.523098776568</v>
      </c>
      <c r="GO37" s="64">
        <f>IF($B37&lt;Analysis!$C$159,0,((1+Analysis!$D$174)/(1+$S37))-1)</f>
        <v>3.9215686274509887E-2</v>
      </c>
      <c r="GP37" s="1">
        <f t="shared" si="7"/>
        <v>62012.37636414286</v>
      </c>
      <c r="GQ37" s="1">
        <f t="shared" si="36"/>
        <v>-4784.8532653662924</v>
      </c>
      <c r="GR37" s="64">
        <f>IF($B37&lt;Analysis!$C$159,0,Analysis!$C$178)</f>
        <v>3.0000000000000001E-3</v>
      </c>
      <c r="GS37" s="1">
        <f t="shared" si="37"/>
        <v>-11962.13316341573</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-3995.0642324082423</v>
      </c>
      <c r="HD37" s="1">
        <f t="shared" si="38"/>
        <v>-33002.050661190267</v>
      </c>
      <c r="HE37" s="1">
        <f>MIN(0,-(GN37+HD37)*Analysis!$C$28)-GE37*Analysis!$C$28</f>
        <v>-8979.630837094488</v>
      </c>
      <c r="HF37" s="1">
        <f>-Analysis!$C$176*GP37/12</f>
        <v>-5167.6980303452383</v>
      </c>
      <c r="HG37" s="38"/>
      <c r="HH37" s="1">
        <f>IF($B37&lt;Analysis!$C$159,0,-$HI37*$FW37)</f>
        <v>-203356.26377806743</v>
      </c>
      <c r="HI37" s="64">
        <f>IF($B37&lt;Analysis!$C$159,0,IF($B37=Analysis!$C$159,Analysis!$C$31,HI36))</f>
        <v>0.1275</v>
      </c>
      <c r="HJ37" s="1">
        <f>IF($B37&lt;Analysis!$C$159,0,$FW37+HH37)</f>
        <v>1391594.8246773633</v>
      </c>
      <c r="HK37" s="1">
        <f>IF($B37-Analysis!$C$159&gt;10,0,IF($FW37&gt;LOOKUP(Analysis!$C$159,$B:$B, FW:FW),$V37*(LOOKUP(Analysis!$C$159,$B:$B, FW:FW)-FW37),0))</f>
        <v>0</v>
      </c>
      <c r="HL37" s="1">
        <f t="shared" si="39"/>
        <v>1391594.8246773633</v>
      </c>
      <c r="HM37" s="38"/>
      <c r="HN37" s="1">
        <f t="shared" si="40"/>
        <v>-151686.54878437461</v>
      </c>
      <c r="HO37" s="1">
        <f t="shared" si="8"/>
        <v>127746.33798475581</v>
      </c>
      <c r="HP37" s="1">
        <f t="shared" si="41"/>
        <v>-23940.210799618799</v>
      </c>
      <c r="HQ37" s="1">
        <f>IF(HP37 &lt; 0,
    IF(HQ36 + HP37 &gt; 0,
        HQ36 + HP37, IF(HV36-ABS(HQ36 + HP37)*(1+$V37) &gt;= HQ36 + HP37,
        0, HQ36 + HP37)),
    MIN(HQ36 + HP37, Analysis!$C$7))+IF(HQ36&lt;0, HQ36*Analysis!$C$9,0)</f>
        <v>59.789200381201226</v>
      </c>
      <c r="HR37" s="38"/>
      <c r="HS37" s="1">
        <f t="shared" si="54"/>
        <v>26084.597943980018</v>
      </c>
      <c r="HT37" s="1">
        <f>IF($B37=Analysis!$C$159,0,IF(HP37 &gt;= 0,
    MAX(0, HQ36 + HP37 - Analysis!$C$7),
    0))</f>
        <v>0</v>
      </c>
      <c r="HU37" s="1">
        <f>IF($B37=Analysis!$C$159,0,MAX(0, HU36 + HT37 - IF(HP37 &lt; 0, MIN(ABS(HP37), HU36 + HT37), 0)))</f>
        <v>779383.1850847574</v>
      </c>
      <c r="HV37" s="1">
        <f>IF($B37=Analysis!$C$159,0,IF(HP37 &lt; 0,
    IF(HP37 + HQ36 &lt; 0,
        MAX(0, HV36 - (ABS(HP37 + HQ36) * (1+$V36))),
        HV36 + HS37),
    HV36 + HT37 + HS37))</f>
        <v>1356399.0930869656</v>
      </c>
      <c r="HW37" s="1">
        <f t="shared" si="58"/>
        <v>1204211.1473513832</v>
      </c>
      <c r="HX37" s="36"/>
    </row>
    <row r="38" spans="1:232" x14ac:dyDescent="0.35">
      <c r="A38">
        <f t="shared" si="0"/>
        <v>71</v>
      </c>
      <c r="B38">
        <v>2061</v>
      </c>
      <c r="C38" s="1">
        <f>IF($B38&lt;Analysis!C$66,0,$AN38)+$AT38+$AW38+$BC38+$CF38+$CA38</f>
        <v>2177939.7460203785</v>
      </c>
      <c r="D38" s="1">
        <f>IF($B38&lt;Analysis!C$66, 0, BV38)+AT38+AW38+BC38+CG38+CA38</f>
        <v>1826570.0996058297</v>
      </c>
      <c r="E38" s="1">
        <f t="shared" si="1"/>
        <v>1843174.0796507844</v>
      </c>
      <c r="F38" s="1">
        <f t="shared" si="9"/>
        <v>1569789.958890351</v>
      </c>
      <c r="G38" s="1">
        <f>IF(AND($B38&gt;=Analysis!$C$100, $B38&lt;Analysis!$C$101),$CK38,0)+IF($B38&gt;=Analysis!$C$130,EB38,0)+CQ38+CT38+CZ38+EH38+EK38+EQ38+$FO38+$FT38</f>
        <v>2269014.8626536052</v>
      </c>
      <c r="H38" s="1">
        <f t="shared" si="10"/>
        <v>1890216.8050687006</v>
      </c>
      <c r="I38" s="1">
        <f>IF($B38&lt;Analysis!$C$159,0,$FW38)+$GC38+$GF38+$GL38+$HQ38+$HV38</f>
        <v>2979935.0351203936</v>
      </c>
      <c r="J38" s="1">
        <f t="shared" si="59"/>
        <v>2618269.7780626854</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-63264.509226558162</v>
      </c>
      <c r="Y38" s="64">
        <f t="shared" si="15"/>
        <v>3.9215686274509887E-2</v>
      </c>
      <c r="Z38" s="1">
        <f t="shared" si="16"/>
        <v>-3960</v>
      </c>
      <c r="AA38" s="64">
        <f t="shared" si="17"/>
        <v>0</v>
      </c>
      <c r="AB38" s="40"/>
      <c r="AC38" s="1">
        <f t="shared" si="3"/>
        <v>-115224.50922655816</v>
      </c>
      <c r="AD38" s="1">
        <f t="shared" si="4"/>
        <v>64419.282388200685</v>
      </c>
      <c r="AE38" s="1">
        <f t="shared" si="18"/>
        <v>-50805.226838357477</v>
      </c>
      <c r="AF38" s="1">
        <f>IF(AE38 &lt; 0,
    IF(AF37 + AE38 &gt; 0,
        AF37 + AE38, IF(AK37-ABS(AF37 + AE38)*(1+$V38) &gt;= AF37 + AE38,
        0, AF37 + AE38)),
    MIN(AF37 + AE38, Analysis!$C$7))+IF(AF37&lt;0, AF37*Analysis!$C$9,0)</f>
        <v>0</v>
      </c>
      <c r="AG38" s="40"/>
      <c r="AH38" s="1">
        <f t="shared" si="19"/>
        <v>37399.591864073569</v>
      </c>
      <c r="AI38" s="1">
        <f>IF(AE38 &gt;= 0,
    MAX(0, AF37 + AE38 - Analysis!$C$7),
    0)</f>
        <v>0</v>
      </c>
      <c r="AJ38" s="1">
        <f t="shared" si="44"/>
        <v>806646.60757331131</v>
      </c>
      <c r="AK38" s="1">
        <f t="shared" si="20"/>
        <v>1843174.0796507844</v>
      </c>
      <c r="AL38" s="1">
        <f t="shared" si="5"/>
        <v>1569789.958890351</v>
      </c>
      <c r="AM38" s="36"/>
      <c r="AN38" s="1">
        <f t="shared" si="45"/>
        <v>2755840.3640356786</v>
      </c>
      <c r="AO38" s="64">
        <f t="shared" si="21"/>
        <v>3.9215686274509887E-2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-8267.5210921070357</v>
      </c>
      <c r="BF38" s="64">
        <f>IF($B38&lt;Analysis!$C$66,0,Analysis!$C$78)</f>
        <v>3.0000000000000001E-3</v>
      </c>
      <c r="BG38" s="1">
        <f>IF($B38&lt;Analysis!$C$66,0,-BH38*AN38)</f>
        <v>-20668.802730267587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-351369.64641454903</v>
      </c>
      <c r="BS38" s="64">
        <f>IF($B38&lt;Analysis!C$66,0,Analysis!C$31)</f>
        <v>0.1275</v>
      </c>
      <c r="BT38" s="1">
        <f>IF($B38&lt;Analysis!$C$66,0,AN38+BR38)</f>
        <v>2404470.7176211295</v>
      </c>
      <c r="BU38" s="1">
        <f>IF($B38-Analysis!$C$66&gt;3,0,IF($AN38&gt;LOOKUP(Analysis!$C$66,$B:$B, AN:AN),$V38*(LOOKUP(Analysis!$C$66,$B:$B, AN:AN)-AN38),0))</f>
        <v>0</v>
      </c>
      <c r="BV38" s="1">
        <f t="shared" si="23"/>
        <v>2404470.7176211295</v>
      </c>
      <c r="BW38" s="42"/>
      <c r="BX38" s="1">
        <f>IF($B38&lt;Analysis!$C$66,$P38+$N38+$X38+$Z38,$P38+$N38+AS38+AV38+BB38+BE38+BG38+MAX(BI38,SUM(BJ38:BN38))+BP38)</f>
        <v>-80896.32382237463</v>
      </c>
      <c r="BY38" s="1">
        <f t="shared" si="24"/>
        <v>64419.282388200685</v>
      </c>
      <c r="BZ38" s="1">
        <f t="shared" si="46"/>
        <v>-16477.041434173945</v>
      </c>
      <c r="CA38" s="1">
        <f>IF(BZ38 &lt; 0,
    IF(CA37 + BZ38 &gt; 0,
        CA37 + BZ38, IF(CF37-ABS(CA37 + BZ38)*(1+$V38) &gt;= CA37 + BZ38,
        0, CA37 + BZ38)),
    MIN(CA37 + BZ38, Analysis!$C$7))+IF(CA37&lt;0, CA37*Analysis!$C$9,0)</f>
        <v>-577900.61801529978</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1657498.189963487</v>
      </c>
      <c r="CL38" s="64">
        <f t="shared" si="48"/>
        <v>3.9215686274509887E-2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$B38&gt;=Analysis!$C$101),0,((1+Analysis!$D$114)/(1+$S38))-1)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2755840.3640356786</v>
      </c>
      <c r="EC38" s="64">
        <f t="shared" si="50"/>
        <v>3.9215686274509887E-2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-8342.9265312131374</v>
      </c>
      <c r="EH38" s="1">
        <f>IF($B38&lt;Analysis!$C$130,0,IF($B38=Analysis!$C$130,-ED38-EG38,MIN(0,EH37-EG38)))</f>
        <v>-385874.43125995732</v>
      </c>
      <c r="EI38" s="64">
        <f>IF($B38&lt;Analysis!$C$130,0,IF($B38=Analysis!$C$130,Analysis!$C$136,IF(($B38-Analysis!$C$130)&lt;LOOKUP(Analysis!$C$130,$B:$B,EE:EE),EI37,0)))</f>
        <v>3.6999999999999998E-2</v>
      </c>
      <c r="EJ38" s="1">
        <f>IF($B38&lt;Analysis!$C$130,0,IF($B38=Analysis!$C$130,-EI38*ED38,EI37*EH37))</f>
        <v>-14586.042238273307</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-22928.968769486444</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-8267.5210921070357</v>
      </c>
      <c r="ET38" s="64">
        <f>IF($B38&lt;Analysis!$C$130,0,Analysis!$C$142)</f>
        <v>3.0000000000000001E-3</v>
      </c>
      <c r="EU38" s="1">
        <f>IF($B38&lt;Analysis!$C$130,0,-EV38*EB38)</f>
        <v>-27558.403640356788</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-351369.64641454903</v>
      </c>
      <c r="FG38" s="64">
        <f>IF($B38&lt;Analysis!$C$130,0,Analysis!$C$31)</f>
        <v>0.1275</v>
      </c>
      <c r="FH38" s="1">
        <f>IF($B38&lt;Analysis!$C$130,0,EB38+FF38)</f>
        <v>2404470.7176211295</v>
      </c>
      <c r="FI38" s="1">
        <f>IF($B38-Analysis!$C$130&gt;3,0,IF(EB38&gt;LOOKUP(Analysis!$C$130,$B:$B, EB:EB),$V38*(LOOKUP(Analysis!$C$130,$B:$B, EB:EB)-EB38),0))</f>
        <v>-27428.411170355135</v>
      </c>
      <c r="FJ38" s="1">
        <f t="shared" si="33"/>
        <v>2377042.3064507744</v>
      </c>
      <c r="FK38" s="53"/>
      <c r="FL38" s="1">
        <f>$P38+$N38+IF($B38&lt;Analysis!$C$130,$X38+$Z38,0)+CP38+CS38+CY38+DE38+DG38+MIN(DI38,SUM(DJ38:DN38))+DQ38+DS38+DT38+EG38+EJ38+EP38+ES38+EU38+MIN(EW38,SUM(EX38:FB38))+FD38</f>
        <v>-116787.72228065769</v>
      </c>
      <c r="FM38" s="1">
        <f>$M38+$R38+DD38+IF(AND($B38&lt;&gt;Analysis!$C$130,$B38=Analysis!$C$101),DZ37+CQ37+CT37+CZ37,0)</f>
        <v>64419.282388200685</v>
      </c>
      <c r="FN38" s="1">
        <f t="shared" si="34"/>
        <v>-52368.439892457005</v>
      </c>
      <c r="FO38" s="1">
        <f>IF(FN38 &lt; 0,
    IF(FO37 + FN38 &gt; 0,
        FO37 + FN38, IF(FT37-ABS(FO37 + FN38)*(1+$V38) &gt;= FO37 + FN38,
        0, FO37 + FN38)),
    MIN(FO37 + FN38, Analysis!$C$7))+IF(FO37&lt;0, FO37*Analysis!$C$9,0)</f>
        <v>-52368.439892457005</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1657498.189963487</v>
      </c>
      <c r="FX38" s="64">
        <f t="shared" si="53"/>
        <v>3.9215686274509887E-2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55356.445573238401</v>
      </c>
      <c r="GO38" s="64">
        <f>IF($B38&lt;Analysis!$C$159,0,((1+Analysis!$D$174)/(1+$S38))-1)</f>
        <v>3.9215686274509887E-2</v>
      </c>
      <c r="GP38" s="1">
        <f t="shared" si="7"/>
        <v>64288.940143128864</v>
      </c>
      <c r="GQ38" s="1">
        <f t="shared" si="36"/>
        <v>-4972.4945698904612</v>
      </c>
      <c r="GR38" s="64">
        <f>IF($B38&lt;Analysis!$C$159,0,Analysis!$C$178)</f>
        <v>3.0000000000000001E-3</v>
      </c>
      <c r="GS38" s="1">
        <f t="shared" si="37"/>
        <v>-12431.236424726152</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-4151.7334179928803</v>
      </c>
      <c r="HD38" s="1">
        <f t="shared" si="38"/>
        <v>-33815.464412609494</v>
      </c>
      <c r="HE38" s="1">
        <f>MIN(0,-(GN38+HD38)*Analysis!$C$28)-GE38*Analysis!$C$28</f>
        <v>-9544.8087522746682</v>
      </c>
      <c r="HF38" s="1">
        <f>-Analysis!$C$176*GP38/12</f>
        <v>-5357.4116785940723</v>
      </c>
      <c r="HG38" s="38"/>
      <c r="HH38" s="1">
        <f>IF($B38&lt;Analysis!$C$159,0,-$HI38*$FW38)</f>
        <v>-211331.01922034461</v>
      </c>
      <c r="HI38" s="64">
        <f>IF($B38&lt;Analysis!$C$159,0,IF($B38=Analysis!$C$159,Analysis!$C$31,HI37))</f>
        <v>0.1275</v>
      </c>
      <c r="HJ38" s="1">
        <f>IF($B38&lt;Analysis!$C$159,0,$FW38+HH38)</f>
        <v>1446167.1707431423</v>
      </c>
      <c r="HK38" s="1">
        <f>IF($B38-Analysis!$C$159&gt;10,0,IF($FW38&gt;LOOKUP(Analysis!$C$159,$B:$B, FW:FW),$V38*(LOOKUP(Analysis!$C$159,$B:$B, FW:FW)-FW38),0))</f>
        <v>0</v>
      </c>
      <c r="HL38" s="1">
        <f t="shared" si="39"/>
        <v>1446167.1707431423</v>
      </c>
      <c r="HM38" s="38"/>
      <c r="HN38" s="1">
        <f t="shared" si="40"/>
        <v>-155642.19407003641</v>
      </c>
      <c r="HO38" s="1">
        <f t="shared" si="8"/>
        <v>128708.22253132955</v>
      </c>
      <c r="HP38" s="1">
        <f t="shared" si="41"/>
        <v>-26933.971538706857</v>
      </c>
      <c r="HQ38" s="1">
        <f>IF(HP38 &lt; 0,
    IF(HQ37 + HP38 &gt; 0,
        HQ37 + HP38, IF(HV37-ABS(HQ37 + HP38)*(1+$V38) &gt;= HQ37 + HP38,
        0, HQ37 + HP38)),
    MIN(HQ37 + HP38, Analysis!$C$7))+IF(HQ37&lt;0, HQ37*Analysis!$C$9,0)</f>
        <v>0</v>
      </c>
      <c r="HR38" s="38"/>
      <c r="HS38" s="1">
        <f t="shared" si="54"/>
        <v>26596.060648763938</v>
      </c>
      <c r="HT38" s="1">
        <f>IF($B38=Analysis!$C$159,0,IF(HP38 &gt;= 0,
    MAX(0, HQ37 + HP38 - Analysis!$C$7),
    0))</f>
        <v>0</v>
      </c>
      <c r="HU38" s="1">
        <f>IF($B38=Analysis!$C$159,0,MAX(0, HU37 + HT38 - IF(HP38 &lt; 0, MIN(ABS(HP38), HU37 + HT38), 0)))</f>
        <v>752449.21354605048</v>
      </c>
      <c r="HV38" s="1">
        <f>IF($B38=Analysis!$C$159,0,IF(HP38 &lt; 0,
    IF(HP38 + HQ37 &lt; 0,
        MAX(0, HV37 - (ABS(HP38 + HQ37) * (1+$V37))),
        HV37 + HS38),
    HV37 + HT38 + HS38))</f>
        <v>1322436.8451569066</v>
      </c>
      <c r="HW38" s="1">
        <f t="shared" si="58"/>
        <v>1172102.6073195434</v>
      </c>
      <c r="HX38" s="36"/>
    </row>
    <row r="39" spans="1:232" x14ac:dyDescent="0.35">
      <c r="A39">
        <f t="shared" si="0"/>
        <v>72</v>
      </c>
      <c r="B39">
        <v>2062</v>
      </c>
      <c r="C39" s="1">
        <f>IF($B39&lt;Analysis!C$66,0,$AN39)+$AT39+$AW39+$BC39+$CF39+$CA39</f>
        <v>2220879.6828389154</v>
      </c>
      <c r="D39" s="1">
        <f>IF($B39&lt;Analysis!C$66, 0, BV39)+AT39+AW39+BC39+CG39+CA39</f>
        <v>1855730.8346041879</v>
      </c>
      <c r="E39" s="1">
        <f t="shared" si="1"/>
        <v>1774205.4622230146</v>
      </c>
      <c r="F39" s="1">
        <f t="shared" si="9"/>
        <v>1504617.7705136465</v>
      </c>
      <c r="G39" s="1">
        <f>IF(AND($B39&gt;=Analysis!$C$100, $B39&lt;Analysis!$C$101),$CK39,0)+IF($B39&gt;=Analysis!$C$130,EB39,0)+CQ39+CT39+CZ39+EH39+EK39+EQ39+$FO39+$FT39</f>
        <v>2332560.2384274146</v>
      </c>
      <c r="H39" s="1">
        <f t="shared" si="10"/>
        <v>1911478.9438845119</v>
      </c>
      <c r="I39" s="1">
        <f>IF($B39&lt;Analysis!$C$159,0,$FW39)+$GC39+$GF39+$GL39+$HQ39+$HV39</f>
        <v>3007063.8076860248</v>
      </c>
      <c r="J39" s="1">
        <f t="shared" si="59"/>
        <v>2639195.705767055</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-65745.470372697702</v>
      </c>
      <c r="Y39" s="64">
        <f t="shared" si="15"/>
        <v>3.9215686274509887E-2</v>
      </c>
      <c r="Z39" s="1">
        <f t="shared" si="16"/>
        <v>-3960</v>
      </c>
      <c r="AA39" s="64">
        <f t="shared" si="17"/>
        <v>0</v>
      </c>
      <c r="AB39" s="40"/>
      <c r="AC39" s="1">
        <f t="shared" si="3"/>
        <v>-117705.4703726977</v>
      </c>
      <c r="AD39" s="1">
        <f t="shared" si="4"/>
        <v>63130.89674043667</v>
      </c>
      <c r="AE39" s="1">
        <f t="shared" si="18"/>
        <v>-54574.573632261032</v>
      </c>
      <c r="AF39" s="1">
        <f>IF(AE39 &lt; 0,
    IF(AF38 + AE39 &gt; 0,
        AF38 + AE39, IF(AK38-ABS(AF38 + AE39)*(1+$V39) &gt;= AF38 + AE39,
        0, AF38 + AE39)),
    MIN(AF38 + AE39, Analysis!$C$7))+IF(AF38&lt;0, AF38*Analysis!$C$9,0)</f>
        <v>0</v>
      </c>
      <c r="AG39" s="40"/>
      <c r="AH39" s="1">
        <f t="shared" si="19"/>
        <v>36140.668228446622</v>
      </c>
      <c r="AI39" s="1">
        <f>IF(AE39 &gt;= 0,
    MAX(0, AF38 + AE39 - Analysis!$C$7),
    0)</f>
        <v>0</v>
      </c>
      <c r="AJ39" s="1">
        <f t="shared" si="44"/>
        <v>752072.03394105029</v>
      </c>
      <c r="AK39" s="1">
        <f t="shared" si="20"/>
        <v>1774205.4622230146</v>
      </c>
      <c r="AL39" s="1">
        <f t="shared" si="5"/>
        <v>1504617.7705136465</v>
      </c>
      <c r="AM39" s="36"/>
      <c r="AN39" s="1">
        <f t="shared" si="45"/>
        <v>2863912.535174333</v>
      </c>
      <c r="AO39" s="64">
        <f t="shared" si="21"/>
        <v>3.9215686274509887E-2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-8591.7376055229997</v>
      </c>
      <c r="BF39" s="64">
        <f>IF($B39&lt;Analysis!$C$66,0,Analysis!$C$78)</f>
        <v>3.0000000000000001E-3</v>
      </c>
      <c r="BG39" s="1">
        <f>IF($B39&lt;Analysis!$C$66,0,-BH39*AN39)</f>
        <v>-21479.344013807498</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-365148.84823472745</v>
      </c>
      <c r="BS39" s="64">
        <f>IF($B39&lt;Analysis!C$66,0,Analysis!C$31)</f>
        <v>0.1275</v>
      </c>
      <c r="BT39" s="1">
        <f>IF($B39&lt;Analysis!$C$66,0,AN39+BR39)</f>
        <v>2498763.6869396055</v>
      </c>
      <c r="BU39" s="1">
        <f>IF($B39-Analysis!$C$66&gt;3,0,IF($AN39&gt;LOOKUP(Analysis!$C$66,$B:$B, AN:AN),$V39*(LOOKUP(Analysis!$C$66,$B:$B, AN:AN)-AN39),0))</f>
        <v>0</v>
      </c>
      <c r="BV39" s="1">
        <f t="shared" si="23"/>
        <v>2498763.6869396055</v>
      </c>
      <c r="BW39" s="42"/>
      <c r="BX39" s="1">
        <f>IF($B39&lt;Analysis!$C$66,$P39+$N39+$X39+$Z39,$P39+$N39+AS39+AV39+BB39+BE39+BG39+MAX(BI39,SUM(BJ39:BN39))+BP39)</f>
        <v>-82031.081619330493</v>
      </c>
      <c r="BY39" s="1">
        <f t="shared" si="24"/>
        <v>63130.89674043667</v>
      </c>
      <c r="BZ39" s="1">
        <f t="shared" si="46"/>
        <v>-18900.184878893822</v>
      </c>
      <c r="CA39" s="1">
        <f>IF(BZ39 &lt; 0,
    IF(CA38 + BZ39 &gt; 0,
        CA38 + BZ39, IF(CF38-ABS(CA38 + BZ39)*(1+$V39) &gt;= CA38 + BZ39,
        0, CA38 + BZ39)),
    MIN(CA38 + BZ39, Analysis!$C$7))+IF(CA38&lt;0, CA38*Analysis!$C$9,0)</f>
        <v>-643032.85233541753</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1722498.1189816631</v>
      </c>
      <c r="CL39" s="64">
        <f t="shared" si="48"/>
        <v>3.9215686274509887E-2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$B39&gt;=Analysis!$C$101),0,((1+Analysis!$D$114)/(1+$S39))-1)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2863912.535174333</v>
      </c>
      <c r="EC39" s="64">
        <f t="shared" si="50"/>
        <v>3.9215686274509887E-2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-8651.6148128680234</v>
      </c>
      <c r="EH39" s="1">
        <f>IF($B39&lt;Analysis!$C$130,0,IF($B39=Analysis!$C$130,-ED39-EG39,MIN(0,EH38-EG39)))</f>
        <v>-377222.81644708931</v>
      </c>
      <c r="EI39" s="64">
        <f>IF($B39&lt;Analysis!$C$130,0,IF($B39=Analysis!$C$130,Analysis!$C$136,IF(($B39-Analysis!$C$130)&lt;LOOKUP(Analysis!$C$130,$B:$B,EE:EE),EI38,0)))</f>
        <v>3.6999999999999998E-2</v>
      </c>
      <c r="EJ39" s="1">
        <f>IF($B39&lt;Analysis!$C$130,0,IF($B39=Analysis!$C$130,-EI39*ED39,EI38*EH38))</f>
        <v>-14277.353956618421</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-22928.968769486444</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-8591.7376055229997</v>
      </c>
      <c r="ET39" s="64">
        <f>IF($B39&lt;Analysis!$C$130,0,Analysis!$C$142)</f>
        <v>3.0000000000000001E-3</v>
      </c>
      <c r="EU39" s="1">
        <f>IF($B39&lt;Analysis!$C$130,0,-EV39*EB39)</f>
        <v>-28639.125351743332</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-365148.84823472745</v>
      </c>
      <c r="FG39" s="64">
        <f>IF($B39&lt;Analysis!$C$130,0,Analysis!$C$31)</f>
        <v>0.1275</v>
      </c>
      <c r="FH39" s="1">
        <f>IF($B39&lt;Analysis!$C$130,0,EB39+FF39)</f>
        <v>2498763.6869396055</v>
      </c>
      <c r="FI39" s="1">
        <f>IF($B39-Analysis!$C$130&gt;3,0,IF(EB39&gt;LOOKUP(Analysis!$C$130,$B:$B, EB:EB),$V39*(LOOKUP(Analysis!$C$130,$B:$B, EB:EB)-EB39),0))</f>
        <v>-55932.446308175247</v>
      </c>
      <c r="FJ39" s="1">
        <f t="shared" si="33"/>
        <v>2442831.2406314304</v>
      </c>
      <c r="FK39" s="53"/>
      <c r="FL39" s="1">
        <f>$P39+$N39+IF($B39&lt;Analysis!$C$130,$X39+$Z39,0)+CP39+CS39+CY39+DE39+DG39+MIN(DI39,SUM(DJ39:DN39))+DQ39+DS39+DT39+EG39+EJ39+EP39+ES39+EU39+MIN(EW39,SUM(EX39:FB39))+FD39</f>
        <v>-118192.6605054602</v>
      </c>
      <c r="FM39" s="1">
        <f>$M39+$R39+DD39+IF(AND($B39&lt;&gt;Analysis!$C$130,$B39=Analysis!$C$101),DZ38+CQ38+CT38+CZ38,0)</f>
        <v>63130.89674043667</v>
      </c>
      <c r="FN39" s="1">
        <f t="shared" si="34"/>
        <v>-55061.763765023527</v>
      </c>
      <c r="FO39" s="1">
        <f>IF(FN39 &lt; 0,
    IF(FO38 + FN39 &gt; 0,
        FO38 + FN39, IF(FT38-ABS(FO38 + FN39)*(1+$V39) &gt;= FO38 + FN39,
        0, FO38 + FN39)),
    MIN(FO38 + FN39, Analysis!$C$7))+IF(FO38&lt;0, FO38*Analysis!$C$9,0)</f>
        <v>-111619.6788488771</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1722498.1189816631</v>
      </c>
      <c r="FX39" s="64">
        <f t="shared" si="53"/>
        <v>3.9215686274509887E-2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57527.286576110499</v>
      </c>
      <c r="GO39" s="64">
        <f>IF($B39&lt;Analysis!$C$159,0,((1+Analysis!$D$174)/(1+$S39))-1)</f>
        <v>3.9215686274509887E-2</v>
      </c>
      <c r="GP39" s="1">
        <f t="shared" si="7"/>
        <v>66654.780933055488</v>
      </c>
      <c r="GQ39" s="1">
        <f t="shared" si="36"/>
        <v>-5167.4943569449897</v>
      </c>
      <c r="GR39" s="64">
        <f>IF($B39&lt;Analysis!$C$159,0,Analysis!$C$178)</f>
        <v>3.0000000000000001E-3</v>
      </c>
      <c r="GS39" s="1">
        <f t="shared" si="37"/>
        <v>-12918.735892362472</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-4314.5464932082868</v>
      </c>
      <c r="HD39" s="1">
        <f t="shared" si="38"/>
        <v>-34660.776742515751</v>
      </c>
      <c r="HE39" s="1">
        <f>MIN(0,-(GN39+HD39)*Analysis!$C$28)-GE39*Analysis!$C$28</f>
        <v>-10132.150507265831</v>
      </c>
      <c r="HF39" s="1">
        <f>-Analysis!$C$176*GP39/12</f>
        <v>-5554.5650777546243</v>
      </c>
      <c r="HG39" s="38"/>
      <c r="HH39" s="1">
        <f>IF($B39&lt;Analysis!$C$159,0,-$HI39*$FW39)</f>
        <v>-219618.51017016204</v>
      </c>
      <c r="HI39" s="64">
        <f>IF($B39&lt;Analysis!$C$159,0,IF($B39=Analysis!$C$159,Analysis!$C$31,HI38))</f>
        <v>0.1275</v>
      </c>
      <c r="HJ39" s="1">
        <f>IF($B39&lt;Analysis!$C$159,0,$FW39+HH39)</f>
        <v>1502879.6088115012</v>
      </c>
      <c r="HK39" s="1">
        <f>IF($B39-Analysis!$C$159&gt;10,0,IF($FW39&gt;LOOKUP(Analysis!$C$159,$B:$B, FW:FW),$V39*(LOOKUP(Analysis!$C$159,$B:$B, FW:FW)-FW39),0))</f>
        <v>0</v>
      </c>
      <c r="HL39" s="1">
        <f t="shared" si="39"/>
        <v>1502879.6088115012</v>
      </c>
      <c r="HM39" s="38"/>
      <c r="HN39" s="1">
        <f t="shared" si="40"/>
        <v>-159752.96270023391</v>
      </c>
      <c r="HO39" s="1">
        <f t="shared" si="8"/>
        <v>129785.67767349216</v>
      </c>
      <c r="HP39" s="1">
        <f t="shared" si="41"/>
        <v>-29967.285026741753</v>
      </c>
      <c r="HQ39" s="1">
        <f>IF(HP39 &lt; 0,
    IF(HQ38 + HP39 &gt; 0,
        HQ38 + HP39, IF(HV38-ABS(HQ38 + HP39)*(1+$V39) &gt;= HQ38 + HP39,
        0, HQ38 + HP39)),
    MIN(HQ38 + HP39, Analysis!$C$7))+IF(HQ38&lt;0, HQ38*Analysis!$C$9,0)</f>
        <v>0</v>
      </c>
      <c r="HR39" s="38"/>
      <c r="HS39" s="1">
        <f t="shared" si="54"/>
        <v>25930.134218762782</v>
      </c>
      <c r="HT39" s="1">
        <f>IF($B39=Analysis!$C$159,0,IF(HP39 &gt;= 0,
    MAX(0, HQ38 + HP39 - Analysis!$C$7),
    0))</f>
        <v>0</v>
      </c>
      <c r="HU39" s="1">
        <f>IF($B39=Analysis!$C$159,0,MAX(0, HU38 + HT39 - IF(HP39 &lt; 0, MIN(ABS(HP39), HU38 + HT39), 0)))</f>
        <v>722481.92851930868</v>
      </c>
      <c r="HV39" s="1">
        <f>IF($B39=Analysis!$C$159,0,IF(HP39 &lt; 0,
    IF(HP39 + HQ38 &lt; 0,
        MAX(0, HV38 - (ABS(HP39 + HQ38) * (1+$V38))),
        HV38 + HS39),
    HV38 + HT39 + HS39))</f>
        <v>1284565.6887043617</v>
      </c>
      <c r="HW39" s="1">
        <f t="shared" si="58"/>
        <v>1136316.0969555539</v>
      </c>
      <c r="HX39" s="36"/>
    </row>
    <row r="40" spans="1:232" x14ac:dyDescent="0.35">
      <c r="A40">
        <f t="shared" si="0"/>
        <v>73</v>
      </c>
      <c r="B40">
        <v>2063</v>
      </c>
      <c r="C40" s="1">
        <f>IF($B40&lt;Analysis!C$66,0,$AN40)+$AT40+$AW40+$BC40+$CF40+$CA40</f>
        <v>2260405.2892326936</v>
      </c>
      <c r="D40" s="1">
        <f>IF($B40&lt;Analysis!C$66, 0, BV40)+AT40+AW40+BC40+CG40+CA40</f>
        <v>1880936.8783220942</v>
      </c>
      <c r="E40" s="1">
        <f t="shared" si="1"/>
        <v>1700382.9432160715</v>
      </c>
      <c r="F40" s="1">
        <f t="shared" si="9"/>
        <v>1434858.8671950172</v>
      </c>
      <c r="G40" s="1">
        <f>IF(AND($B40&gt;=Analysis!$C$100, $B40&lt;Analysis!$C$101),$CK40,0)+IF($B40&gt;=Analysis!$C$130,EB40,0)+CQ40+CT40+CZ40+EH40+EK40+EQ40+$FO40+$FT40</f>
        <v>2393201.0974148954</v>
      </c>
      <c r="H40" s="1">
        <f t="shared" si="10"/>
        <v>1928178.3997587785</v>
      </c>
      <c r="I40" s="1">
        <f>IF($B40&lt;Analysis!$C$159,0,$FW40)+$GC40+$GF40+$GL40+$HQ40+$HV40</f>
        <v>3032854.3345317338</v>
      </c>
      <c r="J40" s="1">
        <f t="shared" si="59"/>
        <v>2658672.3653761055</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-68323.724112803495</v>
      </c>
      <c r="Y40" s="64">
        <f t="shared" si="15"/>
        <v>3.9215686274509887E-2</v>
      </c>
      <c r="Z40" s="1">
        <f t="shared" si="16"/>
        <v>-3960</v>
      </c>
      <c r="AA40" s="64">
        <f t="shared" si="17"/>
        <v>0</v>
      </c>
      <c r="AB40" s="40"/>
      <c r="AC40" s="1">
        <f t="shared" si="3"/>
        <v>-120283.72411280349</v>
      </c>
      <c r="AD40" s="1">
        <f t="shared" si="4"/>
        <v>61868.278805627939</v>
      </c>
      <c r="AE40" s="1">
        <f t="shared" si="18"/>
        <v>-58415.445307175556</v>
      </c>
      <c r="AF40" s="1">
        <f>IF(AE40 &lt; 0,
    IF(AF39 + AE40 &gt; 0,
        AF39 + AE40, IF(AK39-ABS(AF39 + AE40)*(1+$V40) &gt;= AF39 + AE40,
        0, AF39 + AE40)),
    MIN(AF39 + AE40, Analysis!$C$7))+IF(AF39&lt;0, AF39*Analysis!$C$9,0)</f>
        <v>0</v>
      </c>
      <c r="AG40" s="40"/>
      <c r="AH40" s="1">
        <f t="shared" si="19"/>
        <v>34788.342396529573</v>
      </c>
      <c r="AI40" s="1">
        <f>IF(AE40 &gt;= 0,
    MAX(0, AF39 + AE40 - Analysis!$C$7),
    0)</f>
        <v>0</v>
      </c>
      <c r="AJ40" s="1">
        <f t="shared" si="44"/>
        <v>693656.58863387478</v>
      </c>
      <c r="AK40" s="1">
        <f t="shared" si="20"/>
        <v>1700382.9432160715</v>
      </c>
      <c r="AL40" s="1">
        <f t="shared" si="5"/>
        <v>1434858.8671950172</v>
      </c>
      <c r="AM40" s="36"/>
      <c r="AN40" s="1">
        <f t="shared" si="45"/>
        <v>2976222.8306713658</v>
      </c>
      <c r="AO40" s="64">
        <f t="shared" si="21"/>
        <v>3.9215686274509887E-2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-8928.6684920140979</v>
      </c>
      <c r="BF40" s="64">
        <f>IF($B40&lt;Analysis!$C$66,0,Analysis!$C$78)</f>
        <v>3.0000000000000001E-3</v>
      </c>
      <c r="BG40" s="1">
        <f>IF($B40&lt;Analysis!$C$66,0,-BH40*AN40)</f>
        <v>-22321.671230035245</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-379468.41091059917</v>
      </c>
      <c r="BS40" s="64">
        <f>IF($B40&lt;Analysis!C$66,0,Analysis!C$31)</f>
        <v>0.1275</v>
      </c>
      <c r="BT40" s="1">
        <f>IF($B40&lt;Analysis!$C$66,0,AN40+BR40)</f>
        <v>2596754.4197607664</v>
      </c>
      <c r="BU40" s="1">
        <f>IF($B40-Analysis!$C$66&gt;3,0,IF($AN40&gt;LOOKUP(Analysis!$C$66,$B:$B, AN:AN),$V40*(LOOKUP(Analysis!$C$66,$B:$B, AN:AN)-AN40),0))</f>
        <v>0</v>
      </c>
      <c r="BV40" s="1">
        <f t="shared" si="23"/>
        <v>2596754.4197607664</v>
      </c>
      <c r="BW40" s="42"/>
      <c r="BX40" s="1">
        <f>IF($B40&lt;Analysis!$C$66,$P40+$N40+$X40+$Z40,$P40+$N40+AS40+AV40+BB40+BE40+BG40+MAX(BI40,SUM(BJ40:BN40))+BP40)</f>
        <v>-83210.339722049335</v>
      </c>
      <c r="BY40" s="1">
        <f t="shared" si="24"/>
        <v>61868.278805627939</v>
      </c>
      <c r="BZ40" s="1">
        <f t="shared" si="46"/>
        <v>-21342.060916421397</v>
      </c>
      <c r="CA40" s="1">
        <f>IF(BZ40 &lt; 0,
    IF(CA39 + BZ40 &gt; 0,
        CA39 + BZ40, IF(CF39-ABS(CA39 + BZ40)*(1+$V40) &gt;= CA39 + BZ40,
        0, CA39 + BZ40)),
    MIN(CA39 + BZ40, Analysis!$C$7))+IF(CA39&lt;0, CA39*Analysis!$C$9,0)</f>
        <v>-715817.54143867223</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1790047.0648240815</v>
      </c>
      <c r="CL40" s="64">
        <f t="shared" si="48"/>
        <v>3.9215686274509887E-2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$B40&gt;=Analysis!$C$101),0,((1+Analysis!$D$114)/(1+$S40))-1)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2976222.8306713658</v>
      </c>
      <c r="EC40" s="64">
        <f t="shared" si="50"/>
        <v>3.9215686274509887E-2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-8971.7245609441397</v>
      </c>
      <c r="EH40" s="1">
        <f>IF($B40&lt;Analysis!$C$130,0,IF($B40=Analysis!$C$130,-ED40-EG40,MIN(0,EH39-EG40)))</f>
        <v>-368251.09188614518</v>
      </c>
      <c r="EI40" s="64">
        <f>IF($B40&lt;Analysis!$C$130,0,IF($B40=Analysis!$C$130,Analysis!$C$136,IF(($B40-Analysis!$C$130)&lt;LOOKUP(Analysis!$C$130,$B:$B,EE:EE),EI39,0)))</f>
        <v>3.6999999999999998E-2</v>
      </c>
      <c r="EJ40" s="1">
        <f>IF($B40&lt;Analysis!$C$130,0,IF($B40=Analysis!$C$130,-EI40*ED40,EI39*EH39))</f>
        <v>-13957.244208542304</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-22928.968769486444</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-8928.6684920140979</v>
      </c>
      <c r="ET40" s="64">
        <f>IF($B40&lt;Analysis!$C$130,0,Analysis!$C$142)</f>
        <v>3.0000000000000001E-3</v>
      </c>
      <c r="EU40" s="1">
        <f>IF($B40&lt;Analysis!$C$130,0,-EV40*EB40)</f>
        <v>-29762.22830671366</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-379468.41091059917</v>
      </c>
      <c r="FG40" s="64">
        <f>IF($B40&lt;Analysis!$C$130,0,Analysis!$C$31)</f>
        <v>0.1275</v>
      </c>
      <c r="FH40" s="1">
        <f>IF($B40&lt;Analysis!$C$130,0,EB40+FF40)</f>
        <v>2596754.4197607664</v>
      </c>
      <c r="FI40" s="1">
        <f>IF($B40-Analysis!$C$130&gt;3,0,IF(EB40&gt;LOOKUP(Analysis!$C$130,$B:$B, EB:EB),$V40*(LOOKUP(Analysis!$C$130,$B:$B, EB:EB)-EB40),0))</f>
        <v>-85554.286745517646</v>
      </c>
      <c r="FJ40" s="1">
        <f t="shared" si="33"/>
        <v>2511200.1330152489</v>
      </c>
      <c r="FK40" s="53"/>
      <c r="FL40" s="1">
        <f>$P40+$N40+IF($B40&lt;Analysis!$C$130,$X40+$Z40,0)+CP40+CS40+CY40+DE40+DG40+MIN(DI40,SUM(DJ40:DN40))+DQ40+DS40+DT40+EG40+EJ40+EP40+ES40+EU40+MIN(EW40,SUM(EX40:FB40))+FD40</f>
        <v>-119652.69434692162</v>
      </c>
      <c r="FM40" s="1">
        <f>$M40+$R40+DD40+IF(AND($B40&lt;&gt;Analysis!$C$130,$B40=Analysis!$C$101),DZ39+CQ39+CT39+CZ39,0)</f>
        <v>61868.278805627939</v>
      </c>
      <c r="FN40" s="1">
        <f t="shared" si="34"/>
        <v>-57784.415541293682</v>
      </c>
      <c r="FO40" s="1">
        <f>IF(FN40 &lt; 0,
    IF(FO39 + FN40 &gt; 0,
        FO39 + FN40, IF(FT39-ABS(FO39 + FN40)*(1+$V40) &gt;= FO39 + FN40,
        0, FO39 + FN40)),
    MIN(FO39 + FN40, Analysis!$C$7))+IF(FO39&lt;0, FO39*Analysis!$C$9,0)</f>
        <v>-178333.66869808093</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1790047.0648240815</v>
      </c>
      <c r="FX40" s="64">
        <f t="shared" si="53"/>
        <v>3.9215686274509887E-2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59783.258598703069</v>
      </c>
      <c r="GO40" s="64">
        <f>IF($B40&lt;Analysis!$C$159,0,((1+Analysis!$D$174)/(1+$S40))-1)</f>
        <v>3.9215686274509887E-2</v>
      </c>
      <c r="GP40" s="1">
        <f t="shared" si="7"/>
        <v>69113.399793175311</v>
      </c>
      <c r="GQ40" s="1">
        <f t="shared" si="36"/>
        <v>-5370.1411944722449</v>
      </c>
      <c r="GR40" s="64">
        <f>IF($B40&lt;Analysis!$C$159,0,Analysis!$C$178)</f>
        <v>3.0000000000000001E-3</v>
      </c>
      <c r="GS40" s="1">
        <f t="shared" si="37"/>
        <v>-13425.352986180611</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-4483.7443949027302</v>
      </c>
      <c r="HD40" s="1">
        <f t="shared" si="38"/>
        <v>-35539.238575555588</v>
      </c>
      <c r="HE40" s="1">
        <f>MIN(0,-(GN40+HD40)*Analysis!$C$28)-GE40*Analysis!$C$28</f>
        <v>-10742.525272256647</v>
      </c>
      <c r="HF40" s="1">
        <f>-Analysis!$C$176*GP40/12</f>
        <v>-5759.4499827646096</v>
      </c>
      <c r="HG40" s="38"/>
      <c r="HH40" s="1">
        <f>IF($B40&lt;Analysis!$C$159,0,-$HI40*$FW40)</f>
        <v>-228231.00076507041</v>
      </c>
      <c r="HI40" s="64">
        <f>IF($B40&lt;Analysis!$C$159,0,IF($B40=Analysis!$C$159,Analysis!$C$31,HI39))</f>
        <v>0.1275</v>
      </c>
      <c r="HJ40" s="1">
        <f>IF($B40&lt;Analysis!$C$159,0,$FW40+HH40)</f>
        <v>1561816.0640590112</v>
      </c>
      <c r="HK40" s="1">
        <f>IF($B40-Analysis!$C$159&gt;10,0,IF($FW40&gt;LOOKUP(Analysis!$C$159,$B:$B, FW:FW),$V40*(LOOKUP(Analysis!$C$159,$B:$B, FW:FW)-FW40),0))</f>
        <v>0</v>
      </c>
      <c r="HL40" s="1">
        <f t="shared" si="39"/>
        <v>1561816.0640590112</v>
      </c>
      <c r="HM40" s="38"/>
      <c r="HN40" s="1">
        <f t="shared" si="40"/>
        <v>-164024.93794338033</v>
      </c>
      <c r="HO40" s="1">
        <f t="shared" si="8"/>
        <v>130981.67859880325</v>
      </c>
      <c r="HP40" s="1">
        <f t="shared" si="41"/>
        <v>-33043.259344577076</v>
      </c>
      <c r="HQ40" s="1">
        <f>IF(HP40 &lt; 0,
    IF(HQ39 + HP40 &gt; 0,
        HQ39 + HP40, IF(HV39-ABS(HQ39 + HP40)*(1+$V40) &gt;= HQ39 + HP40,
        0, HQ39 + HP40)),
    MIN(HQ39 + HP40, Analysis!$C$7))+IF(HQ39&lt;0, HQ39*Analysis!$C$9,0)</f>
        <v>0</v>
      </c>
      <c r="HR40" s="38"/>
      <c r="HS40" s="1">
        <f t="shared" si="54"/>
        <v>25187.562523614844</v>
      </c>
      <c r="HT40" s="1">
        <f>IF($B40=Analysis!$C$159,0,IF(HP40 &gt;= 0,
    MAX(0, HQ39 + HP40 - Analysis!$C$7),
    0))</f>
        <v>0</v>
      </c>
      <c r="HU40" s="1">
        <f>IF($B40=Analysis!$C$159,0,MAX(0, HU39 + HT40 - IF(HP40 &lt; 0, MIN(ABS(HP40), HU39 + HT40), 0)))</f>
        <v>689438.66917473159</v>
      </c>
      <c r="HV40" s="1">
        <f>IF($B40=Analysis!$C$159,0,IF(HP40 &lt; 0,
    IF(HP40 + HQ39 &lt; 0,
        MAX(0, HV39 - (ABS(HP40 + HQ39) * (1+$V39))),
        HV39 + HS40),
    HV39 + HT40 + HS40))</f>
        <v>1242807.2697076525</v>
      </c>
      <c r="HW40" s="1">
        <f t="shared" si="58"/>
        <v>1096856.3013170946</v>
      </c>
      <c r="HX40" s="36"/>
    </row>
    <row r="41" spans="1:232" x14ac:dyDescent="0.35">
      <c r="A41">
        <f t="shared" si="0"/>
        <v>74</v>
      </c>
      <c r="B41">
        <v>2064</v>
      </c>
      <c r="C41" s="1">
        <f>IF($B41&lt;Analysis!C$66,0,$AN41)+$AT41+$AW41+$BC41+$CF41+$CA41</f>
        <v>2296049.576717196</v>
      </c>
      <c r="D41" s="1">
        <f>IF($B41&lt;Analysis!C$66, 0, BV41)+AT41+AW41+BC41+CG41+CA41</f>
        <v>1901700.0516532399</v>
      </c>
      <c r="E41" s="1">
        <f t="shared" si="1"/>
        <v>1621610.6600761374</v>
      </c>
      <c r="F41" s="1">
        <f t="shared" si="9"/>
        <v>1360422.6632065086</v>
      </c>
      <c r="G41" s="1">
        <f>IF(AND($B41&gt;=Analysis!$C$100, $B41&lt;Analysis!$C$101),$CK41,0)+IF($B41&gt;=Analysis!$C$130,EB41,0)+CQ41+CT41+CZ41+EH41+EK41+EQ41+$FO41+$FT41</f>
        <v>2450486.4606901528</v>
      </c>
      <c r="H41" s="1">
        <f t="shared" si="10"/>
        <v>2056136.9356261964</v>
      </c>
      <c r="I41" s="1">
        <f>IF($B41&lt;Analysis!$C$159,0,$FW41)+$GC41+$GF41+$GL41+$HQ41+$HV41</f>
        <v>3057348.6219609287</v>
      </c>
      <c r="J41" s="1">
        <f t="shared" si="59"/>
        <v>2676732.2082931227</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-71003.085842717366</v>
      </c>
      <c r="Y41" s="64">
        <f t="shared" si="15"/>
        <v>3.9215686274509887E-2</v>
      </c>
      <c r="Z41" s="1">
        <f t="shared" si="16"/>
        <v>-3960</v>
      </c>
      <c r="AA41" s="64">
        <f t="shared" si="17"/>
        <v>0</v>
      </c>
      <c r="AB41" s="40"/>
      <c r="AC41" s="1">
        <f t="shared" si="3"/>
        <v>-122963.08584271737</v>
      </c>
      <c r="AD41" s="1">
        <f t="shared" si="4"/>
        <v>60630.913229515376</v>
      </c>
      <c r="AE41" s="1">
        <f t="shared" si="18"/>
        <v>-62332.17261320199</v>
      </c>
      <c r="AF41" s="1">
        <f>IF(AE41 &lt; 0,
    IF(AF40 + AE41 &gt; 0,
        AF40 + AE41, IF(AK40-ABS(AF40 + AE41)*(1+$V41) &gt;= AF40 + AE41,
        0, AF40 + AE41)),
    MIN(AF40 + AE41, Analysis!$C$7))+IF(AF40&lt;0, AF40*Analysis!$C$9,0)</f>
        <v>0</v>
      </c>
      <c r="AG41" s="40"/>
      <c r="AH41" s="1">
        <f t="shared" si="19"/>
        <v>33340.842023844423</v>
      </c>
      <c r="AI41" s="1">
        <f>IF(AE41 &gt;= 0,
    MAX(0, AF40 + AE41 - Analysis!$C$7),
    0)</f>
        <v>0</v>
      </c>
      <c r="AJ41" s="1">
        <f t="shared" si="44"/>
        <v>631324.41602067277</v>
      </c>
      <c r="AK41" s="1">
        <f t="shared" si="20"/>
        <v>1621610.6600761374</v>
      </c>
      <c r="AL41" s="1">
        <f t="shared" si="5"/>
        <v>1360422.6632065086</v>
      </c>
      <c r="AM41" s="36"/>
      <c r="AN41" s="1">
        <f t="shared" si="45"/>
        <v>3092937.4514820077</v>
      </c>
      <c r="AO41" s="64">
        <f t="shared" si="21"/>
        <v>3.9215686274509887E-2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-9278.8123544460232</v>
      </c>
      <c r="BF41" s="64">
        <f>IF($B41&lt;Analysis!$C$66,0,Analysis!$C$78)</f>
        <v>3.0000000000000001E-3</v>
      </c>
      <c r="BG41" s="1">
        <f>IF($B41&lt;Analysis!$C$66,0,-BH41*AN41)</f>
        <v>-23197.030886115059</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-394349.52506395598</v>
      </c>
      <c r="BS41" s="64">
        <f>IF($B41&lt;Analysis!C$66,0,Analysis!C$31)</f>
        <v>0.1275</v>
      </c>
      <c r="BT41" s="1">
        <f>IF($B41&lt;Analysis!$C$66,0,AN41+BR41)</f>
        <v>2698587.9264180516</v>
      </c>
      <c r="BU41" s="1">
        <f>IF($B41-Analysis!$C$66&gt;3,0,IF($AN41&gt;LOOKUP(Analysis!$C$66,$B:$B, AN:AN),$V41*(LOOKUP(Analysis!$C$66,$B:$B, AN:AN)-AN41),0))</f>
        <v>0</v>
      </c>
      <c r="BV41" s="1">
        <f t="shared" si="23"/>
        <v>2698587.9264180516</v>
      </c>
      <c r="BW41" s="42"/>
      <c r="BX41" s="1">
        <f>IF($B41&lt;Analysis!$C$66,$P41+$N41+$X41+$Z41,$P41+$N41+AS41+AV41+BB41+BE41+BG41+MAX(BI41,SUM(BJ41:BN41))+BP41)</f>
        <v>-84435.84324056108</v>
      </c>
      <c r="BY41" s="1">
        <f t="shared" si="24"/>
        <v>60630.913229515376</v>
      </c>
      <c r="BZ41" s="1">
        <f t="shared" si="46"/>
        <v>-23804.930011045704</v>
      </c>
      <c r="CA41" s="1">
        <f>IF(BZ41 &lt; 0,
    IF(CA40 + BZ41 &gt; 0,
        CA40 + BZ41, IF(CF40-ABS(CA40 + BZ41)*(1+$V41) &gt;= CA40 + BZ41,
        0, CA40 + BZ41)),
    MIN(CA40 + BZ41, Analysis!$C$7))+IF(CA40&lt;0, CA40*Analysis!$C$9,0)</f>
        <v>-796887.87476481171</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1860244.9889348298</v>
      </c>
      <c r="CL41" s="64">
        <f t="shared" si="48"/>
        <v>3.9215686274509887E-2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$B41&gt;=Analysis!$C$101),0,((1+Analysis!$D$114)/(1+$S41))-1)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3092937.4514820077</v>
      </c>
      <c r="EC41" s="64">
        <f t="shared" si="50"/>
        <v>3.9215686274509887E-2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-9303.6783696990733</v>
      </c>
      <c r="EH41" s="1">
        <f>IF($B41&lt;Analysis!$C$130,0,IF($B41=Analysis!$C$130,-ED41-EG41,MIN(0,EH40-EG41)))</f>
        <v>-358947.41351644613</v>
      </c>
      <c r="EI41" s="64">
        <f>IF($B41&lt;Analysis!$C$130,0,IF($B41=Analysis!$C$130,Analysis!$C$136,IF(($B41-Analysis!$C$130)&lt;LOOKUP(Analysis!$C$130,$B:$B,EE:EE),EI40,0)))</f>
        <v>3.6999999999999998E-2</v>
      </c>
      <c r="EJ41" s="1">
        <f>IF($B41&lt;Analysis!$C$130,0,IF($B41=Analysis!$C$130,-EI41*ED41,EI40*EH40))</f>
        <v>-13625.290399787371</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-22928.968769486444</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-9278.8123544460232</v>
      </c>
      <c r="ET41" s="64">
        <f>IF($B41&lt;Analysis!$C$130,0,Analysis!$C$142)</f>
        <v>3.0000000000000001E-3</v>
      </c>
      <c r="EU41" s="1">
        <f>IF($B41&lt;Analysis!$C$130,0,-EV41*EB41)</f>
        <v>-30929.37451482008</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-394349.52506395598</v>
      </c>
      <c r="FG41" s="64">
        <f>IF($B41&lt;Analysis!$C$130,0,Analysis!$C$31)</f>
        <v>0.1275</v>
      </c>
      <c r="FH41" s="1">
        <f>IF($B41&lt;Analysis!$C$130,0,EB41+FF41)</f>
        <v>2698587.9264180516</v>
      </c>
      <c r="FI41" s="1">
        <f>IF($B41-Analysis!$C$130&gt;3,0,IF(EB41&gt;LOOKUP(Analysis!$C$130,$B:$B, EB:EB),$V41*(LOOKUP(Analysis!$C$130,$B:$B, EB:EB)-EB41),0))</f>
        <v>0</v>
      </c>
      <c r="FJ41" s="1">
        <f t="shared" si="33"/>
        <v>2698587.9264180516</v>
      </c>
      <c r="FK41" s="53"/>
      <c r="FL41" s="1">
        <f>$P41+$N41+IF($B41&lt;Analysis!$C$130,$X41+$Z41,0)+CP41+CS41+CY41+DE41+DG41+MIN(DI41,SUM(DJ41:DN41))+DQ41+DS41+DT41+EG41+EJ41+EP41+ES41+EU41+MIN(EW41,SUM(EX41:FB41))+FD41</f>
        <v>-121169.98441745997</v>
      </c>
      <c r="FM41" s="1">
        <f>$M41+$R41+DD41+IF(AND($B41&lt;&gt;Analysis!$C$130,$B41=Analysis!$C$101),DZ40+CQ40+CT40+CZ40,0)</f>
        <v>60630.913229515376</v>
      </c>
      <c r="FN41" s="1">
        <f t="shared" si="34"/>
        <v>-60539.071187944595</v>
      </c>
      <c r="FO41" s="1">
        <f>IF(FN41 &lt; 0,
    IF(FO40 + FN41 &gt; 0,
        FO40 + FN41, IF(FT40-ABS(FO40 + FN41)*(1+$V41) &gt;= FO40 + FN41,
        0, FO40 + FN41)),
    MIN(FO40 + FN41, Analysis!$C$7))+IF(FO40&lt;0, FO40*Analysis!$C$9,0)</f>
        <v>-253139.43338187199</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1860244.9889348298</v>
      </c>
      <c r="FX41" s="64">
        <f t="shared" si="53"/>
        <v>3.9215686274509887E-2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62127.700112377701</v>
      </c>
      <c r="GO41" s="64">
        <f>IF($B41&lt;Analysis!$C$159,0,((1+Analysis!$D$174)/(1+$S41))-1)</f>
        <v>3.9215686274509887E-2</v>
      </c>
      <c r="GP41" s="1">
        <f t="shared" si="7"/>
        <v>71668.435079182193</v>
      </c>
      <c r="GQ41" s="1">
        <f t="shared" si="36"/>
        <v>-5580.7349668044899</v>
      </c>
      <c r="GR41" s="64">
        <f>IF($B41&lt;Analysis!$C$159,0,Analysis!$C$178)</f>
        <v>3.0000000000000001E-3</v>
      </c>
      <c r="GS41" s="1">
        <f t="shared" si="37"/>
        <v>-13951.837417011224</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-4659.5775084283277</v>
      </c>
      <c r="HD41" s="1">
        <f t="shared" si="38"/>
        <v>-36452.149892244044</v>
      </c>
      <c r="HE41" s="1">
        <f>MIN(0,-(GN41+HD41)*Analysis!$C$28)-GE41*Analysis!$C$28</f>
        <v>-11376.836302541222</v>
      </c>
      <c r="HF41" s="1">
        <f>-Analysis!$C$176*GP41/12</f>
        <v>-5972.3695899318491</v>
      </c>
      <c r="HG41" s="38"/>
      <c r="HH41" s="1">
        <f>IF($B41&lt;Analysis!$C$159,0,-$HI41*$FW41)</f>
        <v>-237181.23608919082</v>
      </c>
      <c r="HI41" s="64">
        <f>IF($B41&lt;Analysis!$C$159,0,IF($B41=Analysis!$C$159,Analysis!$C$31,HI40))</f>
        <v>0.1275</v>
      </c>
      <c r="HJ41" s="1">
        <f>IF($B41&lt;Analysis!$C$159,0,$FW41+HH41)</f>
        <v>1623063.7528456389</v>
      </c>
      <c r="HK41" s="1">
        <f>IF($B41-Analysis!$C$159&gt;10,0,IF($FW41&gt;LOOKUP(Analysis!$C$159,$B:$B, FW:FW),$V41*(LOOKUP(Analysis!$C$159,$B:$B, FW:FW)-FW41),0))</f>
        <v>0</v>
      </c>
      <c r="HL41" s="1">
        <f t="shared" si="39"/>
        <v>1623063.7528456389</v>
      </c>
      <c r="HM41" s="38"/>
      <c r="HN41" s="1">
        <f t="shared" si="40"/>
        <v>-168464.44162743451</v>
      </c>
      <c r="HO41" s="1">
        <f t="shared" si="8"/>
        <v>132299.34830869758</v>
      </c>
      <c r="HP41" s="1">
        <f t="shared" si="41"/>
        <v>-36165.093318736937</v>
      </c>
      <c r="HQ41" s="1">
        <f>IF(HP41 &lt; 0,
    IF(HQ40 + HP41 &gt; 0,
        HQ40 + HP41, IF(HV40-ABS(HQ40 + HP41)*(1+$V41) &gt;= HQ40 + HP41,
        0, HQ40 + HP41)),
    MIN(HQ40 + HP41, Analysis!$C$7))+IF(HQ40&lt;0, HQ40*Analysis!$C$9,0)</f>
        <v>0</v>
      </c>
      <c r="HR41" s="38"/>
      <c r="HS41" s="1">
        <f t="shared" si="54"/>
        <v>24368.769994267608</v>
      </c>
      <c r="HT41" s="1">
        <f>IF($B41=Analysis!$C$159,0,IF(HP41 &gt;= 0,
    MAX(0, HQ40 + HP41 - Analysis!$C$7),
    0))</f>
        <v>0</v>
      </c>
      <c r="HU41" s="1">
        <f>IF($B41=Analysis!$C$159,0,MAX(0, HU40 + HT41 - IF(HP41 &lt; 0, MIN(ABS(HP41), HU40 + HT41), 0)))</f>
        <v>653273.5758559946</v>
      </c>
      <c r="HV41" s="1">
        <f>IF($B41=Analysis!$C$159,0,IF(HP41 &lt; 0,
    IF(HP41 + HQ40 &lt; 0,
        MAX(0, HV40 - (ABS(HP41 + HQ40) * (1+$V40))),
        HV40 + HS41),
    HV40 + HT41 + HS41))</f>
        <v>1197103.6330260986</v>
      </c>
      <c r="HW41" s="1">
        <f t="shared" si="58"/>
        <v>1053668.4554474838</v>
      </c>
      <c r="HX41" s="36"/>
    </row>
    <row r="42" spans="1:232" x14ac:dyDescent="0.35">
      <c r="A42">
        <f t="shared" si="0"/>
        <v>75</v>
      </c>
      <c r="B42">
        <v>2065</v>
      </c>
      <c r="C42" s="1">
        <f>IF($B42&lt;Analysis!C$66,0,$AN42)+$AT42+$AW42+$BC42+$CF42+$CA42</f>
        <v>2327299.1007443536</v>
      </c>
      <c r="D42" s="1">
        <f>IF($B42&lt;Analysis!C$66, 0, BV42)+AT42+AW42+BC42+CG42+CA42</f>
        <v>1917484.8884229874</v>
      </c>
      <c r="E42" s="1">
        <f t="shared" si="1"/>
        <v>1537787.1012030044</v>
      </c>
      <c r="F42" s="1">
        <f t="shared" si="9"/>
        <v>1281213.2347297538</v>
      </c>
      <c r="G42" s="1">
        <f>IF(AND($B42&gt;=Analysis!$C$100, $B42&lt;Analysis!$C$101),$CK42,0)+IF($B42&gt;=Analysis!$C$130,EB42,0)+CQ42+CT42+CZ42+EH42+EK42+EQ42+$FO42+$FT42</f>
        <v>2503919.2329372219</v>
      </c>
      <c r="H42" s="1">
        <f t="shared" si="10"/>
        <v>2094105.0206158557</v>
      </c>
      <c r="I42" s="1">
        <f>IF($B42&lt;Analysis!$C$159,0,$FW42)+$GC42+$GF42+$GL42+$HQ42+$HV42</f>
        <v>3080588.4338524784</v>
      </c>
      <c r="J42" s="1">
        <f t="shared" si="59"/>
        <v>2693407.1728165178</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-73787.520581647463</v>
      </c>
      <c r="Y42" s="64">
        <f t="shared" si="15"/>
        <v>3.9215686274509887E-2</v>
      </c>
      <c r="Z42" s="1">
        <f t="shared" si="16"/>
        <v>-3960</v>
      </c>
      <c r="AA42" s="64">
        <f t="shared" si="17"/>
        <v>0</v>
      </c>
      <c r="AB42" s="40"/>
      <c r="AC42" s="1">
        <f t="shared" si="3"/>
        <v>-125747.52058164746</v>
      </c>
      <c r="AD42" s="1">
        <f t="shared" si="4"/>
        <v>59418.294964925066</v>
      </c>
      <c r="AE42" s="1">
        <f t="shared" si="18"/>
        <v>-66329.225616722397</v>
      </c>
      <c r="AF42" s="1">
        <f>IF(AE42 &lt; 0,
    IF(AF41 + AE42 &gt; 0,
        AF41 + AE42, IF(AK41-ABS(AF41 + AE42)*(1+$V42) &gt;= AF41 + AE42,
        0, AF41 + AE42)),
    MIN(AF41 + AE42, Analysis!$C$7))+IF(AF41&lt;0, AF41*Analysis!$C$9,0)</f>
        <v>0</v>
      </c>
      <c r="AG42" s="40"/>
      <c r="AH42" s="1">
        <f t="shared" si="19"/>
        <v>31796.287452473171</v>
      </c>
      <c r="AI42" s="1">
        <f>IF(AE42 &gt;= 0,
    MAX(0, AF41 + AE42 - Analysis!$C$7),
    0)</f>
        <v>0</v>
      </c>
      <c r="AJ42" s="1">
        <f t="shared" si="44"/>
        <v>564995.1904039504</v>
      </c>
      <c r="AK42" s="1">
        <f t="shared" si="20"/>
        <v>1537787.1012030044</v>
      </c>
      <c r="AL42" s="1">
        <f t="shared" si="5"/>
        <v>1281213.2347297538</v>
      </c>
      <c r="AM42" s="36"/>
      <c r="AN42" s="1">
        <f t="shared" si="45"/>
        <v>3214229.1162460083</v>
      </c>
      <c r="AO42" s="64">
        <f t="shared" si="21"/>
        <v>3.9215686274509887E-2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-9642.6873487380253</v>
      </c>
      <c r="BF42" s="64">
        <f>IF($B42&lt;Analysis!$C$66,0,Analysis!$C$78)</f>
        <v>3.0000000000000001E-3</v>
      </c>
      <c r="BG42" s="1">
        <f>IF($B42&lt;Analysis!$C$66,0,-BH42*AN42)</f>
        <v>-24106.718371845061</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-409814.21232136607</v>
      </c>
      <c r="BS42" s="64">
        <f>IF($B42&lt;Analysis!C$66,0,Analysis!C$31)</f>
        <v>0.1275</v>
      </c>
      <c r="BT42" s="1">
        <f>IF($B42&lt;Analysis!$C$66,0,AN42+BR42)</f>
        <v>2804414.9039246421</v>
      </c>
      <c r="BU42" s="1">
        <f>IF($B42-Analysis!$C$66&gt;3,0,IF($AN42&gt;LOOKUP(Analysis!$C$66,$B:$B, AN:AN),$V42*(LOOKUP(Analysis!$C$66,$B:$B, AN:AN)-AN42),0))</f>
        <v>0</v>
      </c>
      <c r="BV42" s="1">
        <f t="shared" si="23"/>
        <v>2804414.9039246421</v>
      </c>
      <c r="BW42" s="42"/>
      <c r="BX42" s="1">
        <f>IF($B42&lt;Analysis!$C$66,$P42+$N42+$X42+$Z42,$P42+$N42+AS42+AV42+BB42+BE42+BG42+MAX(BI42,SUM(BJ42:BN42))+BP42)</f>
        <v>-85709.405720583076</v>
      </c>
      <c r="BY42" s="1">
        <f t="shared" si="24"/>
        <v>59418.294964925066</v>
      </c>
      <c r="BZ42" s="1">
        <f t="shared" si="46"/>
        <v>-26291.11075565801</v>
      </c>
      <c r="CA42" s="1">
        <f>IF(BZ42 &lt; 0,
    IF(CA41 + BZ42 &gt; 0,
        CA41 + BZ42, IF(CF41-ABS(CA41 + BZ42)*(1+$V42) &gt;= CA41 + BZ42,
        0, CA41 + BZ42)),
    MIN(CA41 + BZ42, Analysis!$C$7))+IF(CA41&lt;0, CA41*Analysis!$C$9,0)</f>
        <v>-886930.01550165471</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1933195.7728146273</v>
      </c>
      <c r="CL42" s="64">
        <f t="shared" si="48"/>
        <v>3.9215686274509887E-2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$B42&gt;=Analysis!$C$101),0,((1+Analysis!$D$114)/(1+$S42))-1)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3214229.1162460083</v>
      </c>
      <c r="EC42" s="64">
        <f t="shared" si="50"/>
        <v>3.9215686274509887E-2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-9647.9144693779381</v>
      </c>
      <c r="EH42" s="1">
        <f>IF($B42&lt;Analysis!$C$130,0,IF($B42=Analysis!$C$130,-ED42-EG42,MIN(0,EH41-EG42)))</f>
        <v>-349299.49904706818</v>
      </c>
      <c r="EI42" s="64">
        <f>IF($B42&lt;Analysis!$C$130,0,IF($B42=Analysis!$C$130,Analysis!$C$136,IF(($B42-Analysis!$C$130)&lt;LOOKUP(Analysis!$C$130,$B:$B,EE:EE),EI41,0)))</f>
        <v>3.6999999999999998E-2</v>
      </c>
      <c r="EJ42" s="1">
        <f>IF($B42&lt;Analysis!$C$130,0,IF($B42=Analysis!$C$130,-EI42*ED42,EI41*EH41))</f>
        <v>-13281.054300108506</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-22928.968769486444</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-9642.6873487380253</v>
      </c>
      <c r="ET42" s="64">
        <f>IF($B42&lt;Analysis!$C$130,0,Analysis!$C$142)</f>
        <v>3.0000000000000001E-3</v>
      </c>
      <c r="EU42" s="1">
        <f>IF($B42&lt;Analysis!$C$130,0,-EV42*EB42)</f>
        <v>-32142.291162460086</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-409814.21232136607</v>
      </c>
      <c r="FG42" s="64">
        <f>IF($B42&lt;Analysis!$C$130,0,Analysis!$C$31)</f>
        <v>0.1275</v>
      </c>
      <c r="FH42" s="1">
        <f>IF($B42&lt;Analysis!$C$130,0,EB42+FF42)</f>
        <v>2804414.9039246421</v>
      </c>
      <c r="FI42" s="1">
        <f>IF($B42-Analysis!$C$130&gt;3,0,IF(EB42&gt;LOOKUP(Analysis!$C$130,$B:$B, EB:EB),$V42*(LOOKUP(Analysis!$C$130,$B:$B, EB:EB)-EB42),0))</f>
        <v>0</v>
      </c>
      <c r="FJ42" s="1">
        <f t="shared" si="33"/>
        <v>2804414.9039246421</v>
      </c>
      <c r="FK42" s="53"/>
      <c r="FL42" s="1">
        <f>$P42+$N42+IF($B42&lt;Analysis!$C$130,$X42+$Z42,0)+CP42+CS42+CY42+DE42+DG42+MIN(DI42,SUM(DJ42:DN42))+DQ42+DS42+DT42+EG42+EJ42+EP42+ES42+EU42+MIN(EW42,SUM(EX42:FB42))+FD42</f>
        <v>-122746.77605939197</v>
      </c>
      <c r="FM42" s="1">
        <f>$M42+$R42+DD42+IF(AND($B42&lt;&gt;Analysis!$C$130,$B42=Analysis!$C$101),DZ41+CQ41+CT41+CZ41,0)</f>
        <v>59418.294964925066</v>
      </c>
      <c r="FN42" s="1">
        <f t="shared" si="34"/>
        <v>-63328.481094466901</v>
      </c>
      <c r="FO42" s="1">
        <f>IF(FN42 &lt; 0,
    IF(FO41 + FN42 &gt; 0,
        FO41 + FN42, IF(FT41-ABS(FO41 + FN42)*(1+$V42) &gt;= FO41 + FN42,
        0, FO41 + FN42)),
    MIN(FO41 + FN42, Analysis!$C$7))+IF(FO41&lt;0, FO41*Analysis!$C$9,0)</f>
        <v>-336719.06914688868</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1933195.7728146273</v>
      </c>
      <c r="FX42" s="64">
        <f t="shared" si="53"/>
        <v>3.9215686274509887E-2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64564.080508941537</v>
      </c>
      <c r="GO42" s="64">
        <f>IF($B42&lt;Analysis!$C$159,0,((1+Analysis!$D$174)/(1+$S42))-1)</f>
        <v>3.9215686274509887E-2</v>
      </c>
      <c r="GP42" s="1">
        <f t="shared" si="7"/>
        <v>74323.66782738542</v>
      </c>
      <c r="GQ42" s="1">
        <f t="shared" si="36"/>
        <v>-5799.5873184438815</v>
      </c>
      <c r="GR42" s="64">
        <f>IF($B42&lt;Analysis!$C$159,0,Analysis!$C$178)</f>
        <v>3.0000000000000001E-3</v>
      </c>
      <c r="GS42" s="1">
        <f t="shared" si="37"/>
        <v>-14498.968296109704</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-4842.3060381706155</v>
      </c>
      <c r="HD42" s="1">
        <f t="shared" si="38"/>
        <v>-37400.861652724197</v>
      </c>
      <c r="HE42" s="1">
        <f>MIN(0,-(GN42+HD42)*Analysis!$C$28)-GE42*Analysis!$C$28</f>
        <v>-12036.022275189902</v>
      </c>
      <c r="HF42" s="1">
        <f>-Analysis!$C$176*GP42/12</f>
        <v>-6193.6389856154519</v>
      </c>
      <c r="HG42" s="38"/>
      <c r="HH42" s="1">
        <f>IF($B42&lt;Analysis!$C$159,0,-$HI42*$FW42)</f>
        <v>-246482.46103386499</v>
      </c>
      <c r="HI42" s="64">
        <f>IF($B42&lt;Analysis!$C$159,0,IF($B42=Analysis!$C$159,Analysis!$C$31,HI41))</f>
        <v>0.1275</v>
      </c>
      <c r="HJ42" s="1">
        <f>IF($B42&lt;Analysis!$C$159,0,$FW42+HH42)</f>
        <v>1686713.3117807624</v>
      </c>
      <c r="HK42" s="1">
        <f>IF($B42-Analysis!$C$159&gt;10,0,IF($FW42&gt;LOOKUP(Analysis!$C$159,$B:$B, FW:FW),$V42*(LOOKUP(Analysis!$C$159,$B:$B, FW:FW)-FW42),0))</f>
        <v>0</v>
      </c>
      <c r="HL42" s="1">
        <f t="shared" si="39"/>
        <v>1686713.3117807624</v>
      </c>
      <c r="HM42" s="38"/>
      <c r="HN42" s="1">
        <f t="shared" si="40"/>
        <v>-173078.043495177</v>
      </c>
      <c r="HO42" s="1">
        <f t="shared" si="8"/>
        <v>133741.96279231049</v>
      </c>
      <c r="HP42" s="1">
        <f t="shared" si="41"/>
        <v>-39336.080702866515</v>
      </c>
      <c r="HQ42" s="1">
        <f>IF(HP42 &lt; 0,
    IF(HQ41 + HP42 &gt; 0,
        HQ41 + HP42, IF(HV41-ABS(HQ41 + HP42)*(1+$V42) &gt;= HQ41 + HP42,
        0, HQ41 + HP42)),
    MIN(HQ41 + HP42, Analysis!$C$7))+IF(HQ41&lt;0, HQ41*Analysis!$C$9,0)</f>
        <v>0</v>
      </c>
      <c r="HR42" s="38"/>
      <c r="HS42" s="1">
        <f t="shared" si="54"/>
        <v>23472.620255413614</v>
      </c>
      <c r="HT42" s="1">
        <f>IF($B42=Analysis!$C$159,0,IF(HP42 &gt;= 0,
    MAX(0, HQ41 + HP42 - Analysis!$C$7),
    0))</f>
        <v>0</v>
      </c>
      <c r="HU42" s="1">
        <f>IF($B42=Analysis!$C$159,0,MAX(0, HU41 + HT42 - IF(HP42 &lt; 0, MIN(ABS(HP42), HU41 + HT42), 0)))</f>
        <v>613937.49515312805</v>
      </c>
      <c r="HV42" s="1">
        <f>IF($B42=Analysis!$C$159,0,IF(HP42 &lt; 0,
    IF(HP42 + HQ41 &lt; 0,
        MAX(0, HV41 - (ABS(HP42 + HQ41) * (1+$V41))),
        HV41 + HS42),
    HV41 + HT42 + HS42))</f>
        <v>1147392.6610378511</v>
      </c>
      <c r="HW42" s="1">
        <f t="shared" si="58"/>
        <v>1006693.8610357554</v>
      </c>
      <c r="HX42" s="36"/>
    </row>
    <row r="43" spans="1:232" x14ac:dyDescent="0.35">
      <c r="A43">
        <f t="shared" si="0"/>
        <v>76</v>
      </c>
      <c r="B43">
        <v>2066</v>
      </c>
      <c r="C43" s="1">
        <f>IF($B43&lt;Analysis!C$66,0,$AN43)+$AT43+$AW43+$BC43+$CF43+$CA43</f>
        <v>2353589.9173796736</v>
      </c>
      <c r="D43" s="1">
        <f>IF($B43&lt;Analysis!C$66, 0, BV43)+AT43+AW43+BC43+CG43+CA43</f>
        <v>1927704.5594770773</v>
      </c>
      <c r="E43" s="1">
        <f t="shared" si="1"/>
        <v>1448804.9222134543</v>
      </c>
      <c r="F43" s="1">
        <f t="shared" si="9"/>
        <v>1197129.1462332723</v>
      </c>
      <c r="G43" s="1">
        <f>IF(AND($B43&gt;=Analysis!$C$100, $B43&lt;Analysis!$C$101),$CK43,0)+IF($B43&gt;=Analysis!$C$130,EB43,0)+CQ43+CT43+CZ43+EH43+EK43+EQ43+$FO43+$FT43</f>
        <v>2552952.1505239736</v>
      </c>
      <c r="H43" s="1">
        <f t="shared" si="10"/>
        <v>2127066.7926213774</v>
      </c>
      <c r="I43" s="1">
        <f>IF($B43&lt;Analysis!$C$159,0,$FW43)+$GC43+$GF43+$GL43+$HQ43+$HV43</f>
        <v>3102615.3199484814</v>
      </c>
      <c r="J43" s="1">
        <f t="shared" si="59"/>
        <v>2708728.6997322459</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-76681.148839751288</v>
      </c>
      <c r="Y43" s="64">
        <f t="shared" si="15"/>
        <v>3.9215686274509887E-2</v>
      </c>
      <c r="Z43" s="1">
        <f t="shared" si="16"/>
        <v>-3960</v>
      </c>
      <c r="AA43" s="64">
        <f t="shared" si="17"/>
        <v>0</v>
      </c>
      <c r="AB43" s="40"/>
      <c r="AC43" s="1">
        <f t="shared" si="3"/>
        <v>-128641.14883975129</v>
      </c>
      <c r="AD43" s="1">
        <f t="shared" si="4"/>
        <v>58229.929065626566</v>
      </c>
      <c r="AE43" s="1">
        <f t="shared" si="18"/>
        <v>-70411.219774124722</v>
      </c>
      <c r="AF43" s="1">
        <f>IF(AE43 &lt; 0,
    IF(AF42 + AE43 &gt; 0,
        AF42 + AE43, IF(AK42-ABS(AF42 + AE43)*(1+$V43) &gt;= AF42 + AE43,
        0, AF42 + AE43)),
    MIN(AF42 + AE43, Analysis!$C$7))+IF(AF42&lt;0, AF42*Analysis!$C$9,0)</f>
        <v>0</v>
      </c>
      <c r="AG43" s="40"/>
      <c r="AH43" s="1">
        <f t="shared" si="19"/>
        <v>30152.688258882332</v>
      </c>
      <c r="AI43" s="1">
        <f>IF(AE43 &gt;= 0,
    MAX(0, AF42 + AE43 - Analysis!$C$7),
    0)</f>
        <v>0</v>
      </c>
      <c r="AJ43" s="1">
        <f t="shared" si="44"/>
        <v>494583.97062982566</v>
      </c>
      <c r="AK43" s="1">
        <f t="shared" si="20"/>
        <v>1448804.9222134543</v>
      </c>
      <c r="AL43" s="1">
        <f t="shared" si="5"/>
        <v>1197129.1462332723</v>
      </c>
      <c r="AM43" s="36"/>
      <c r="AN43" s="1">
        <f t="shared" si="45"/>
        <v>3340277.3168831067</v>
      </c>
      <c r="AO43" s="64">
        <f t="shared" si="21"/>
        <v>3.9215686274509887E-2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-10020.831950649321</v>
      </c>
      <c r="BF43" s="64">
        <f>IF($B43&lt;Analysis!$C$66,0,Analysis!$C$78)</f>
        <v>3.0000000000000001E-3</v>
      </c>
      <c r="BG43" s="1">
        <f>IF($B43&lt;Analysis!$C$66,0,-BH43*AN43)</f>
        <v>-25052.079876623298</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-425885.35790259612</v>
      </c>
      <c r="BS43" s="64">
        <f>IF($B43&lt;Analysis!C$66,0,Analysis!C$31)</f>
        <v>0.1275</v>
      </c>
      <c r="BT43" s="1">
        <f>IF($B43&lt;Analysis!$C$66,0,AN43+BR43)</f>
        <v>2914391.9589805105</v>
      </c>
      <c r="BU43" s="1">
        <f>IF($B43-Analysis!$C$66&gt;3,0,IF($AN43&gt;LOOKUP(Analysis!$C$66,$B:$B, AN:AN),$V43*(LOOKUP(Analysis!$C$66,$B:$B, AN:AN)-AN43),0))</f>
        <v>0</v>
      </c>
      <c r="BV43" s="1">
        <f t="shared" si="23"/>
        <v>2914391.9589805105</v>
      </c>
      <c r="BW43" s="42"/>
      <c r="BX43" s="1">
        <f>IF($B43&lt;Analysis!$C$66,$P43+$N43+$X43+$Z43,$P43+$N43+AS43+AV43+BB43+BE43+BG43+MAX(BI43,SUM(BJ43:BN43))+BP43)</f>
        <v>-87032.911827272619</v>
      </c>
      <c r="BY43" s="1">
        <f t="shared" si="24"/>
        <v>58229.929065626566</v>
      </c>
      <c r="BZ43" s="1">
        <f t="shared" si="46"/>
        <v>-28802.982761646053</v>
      </c>
      <c r="CA43" s="1">
        <f>IF(BZ43 &lt; 0,
    IF(CA42 + BZ43 &gt; 0,
        CA42 + BZ43, IF(CF42-ABS(CA42 + BZ43)*(1+$V43) &gt;= CA42 + BZ43,
        0, CA42 + BZ43)),
    MIN(CA42 + BZ43, Analysis!$C$7))+IF(CA42&lt;0, CA42*Analysis!$C$9,0)</f>
        <v>-986687.39950343315</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2009007.3717485345</v>
      </c>
      <c r="CL43" s="64">
        <f t="shared" si="48"/>
        <v>3.9215686274509887E-2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$B43&gt;=Analysis!$C$101),0,((1+Analysis!$D$114)/(1+$S43))-1)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3340277.3168831067</v>
      </c>
      <c r="EC43" s="64">
        <f t="shared" si="50"/>
        <v>3.9215686274509887E-2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-10004.887304744921</v>
      </c>
      <c r="EH43" s="1">
        <f>IF($B43&lt;Analysis!$C$130,0,IF($B43=Analysis!$C$130,-ED43-EG43,MIN(0,EH42-EG43)))</f>
        <v>-339294.61174232326</v>
      </c>
      <c r="EI43" s="64">
        <f>IF($B43&lt;Analysis!$C$130,0,IF($B43=Analysis!$C$130,Analysis!$C$136,IF(($B43-Analysis!$C$130)&lt;LOOKUP(Analysis!$C$130,$B:$B,EE:EE),EI42,0)))</f>
        <v>3.6999999999999998E-2</v>
      </c>
      <c r="EJ43" s="1">
        <f>IF($B43&lt;Analysis!$C$130,0,IF($B43=Analysis!$C$130,-EI43*ED43,EI42*EH42))</f>
        <v>-12924.081464741523</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-22928.968769486444</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-10020.831950649321</v>
      </c>
      <c r="ET43" s="64">
        <f>IF($B43&lt;Analysis!$C$130,0,Analysis!$C$142)</f>
        <v>3.0000000000000001E-3</v>
      </c>
      <c r="EU43" s="1">
        <f>IF($B43&lt;Analysis!$C$130,0,-EV43*EB43)</f>
        <v>-33402.773168831067</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-425885.35790259612</v>
      </c>
      <c r="FG43" s="64">
        <f>IF($B43&lt;Analysis!$C$130,0,Analysis!$C$31)</f>
        <v>0.1275</v>
      </c>
      <c r="FH43" s="1">
        <f>IF($B43&lt;Analysis!$C$130,0,EB43+FF43)</f>
        <v>2914391.9589805105</v>
      </c>
      <c r="FI43" s="1">
        <f>IF($B43-Analysis!$C$130&gt;3,0,IF(EB43&gt;LOOKUP(Analysis!$C$130,$B:$B, EB:EB),$V43*(LOOKUP(Analysis!$C$130,$B:$B, EB:EB)-EB43),0))</f>
        <v>0</v>
      </c>
      <c r="FJ43" s="1">
        <f t="shared" si="33"/>
        <v>2914391.9589805105</v>
      </c>
      <c r="FK43" s="53"/>
      <c r="FL43" s="1">
        <f>$P43+$N43+IF($B43&lt;Analysis!$C$130,$X43+$Z43,0)+CP43+CS43+CY43+DE43+DG43+MIN(DI43,SUM(DJ43:DN43))+DQ43+DS43+DT43+EG43+EJ43+EP43+ES43+EU43+MIN(EW43,SUM(EX43:FB43))+FD43</f>
        <v>-124385.40266767427</v>
      </c>
      <c r="FM43" s="1">
        <f>$M43+$R43+DD43+IF(AND($B43&lt;&gt;Analysis!$C$130,$B43=Analysis!$C$101),DZ42+CQ42+CT42+CZ42,0)</f>
        <v>58229.929065626566</v>
      </c>
      <c r="FN43" s="1">
        <f t="shared" si="34"/>
        <v>-66155.473602047699</v>
      </c>
      <c r="FO43" s="1">
        <f>IF(FN43 &lt; 0,
    IF(FO42 + FN43 &gt; 0,
        FO42 + FN43, IF(FT42-ABS(FO42 + FN43)*(1+$V43) &gt;= FO42 + FN43,
        0, FO42 + FN43)),
    MIN(FO42 + FN43, Analysis!$C$7))+IF(FO42&lt;0, FO42*Analysis!$C$9,0)</f>
        <v>-429812.0682806875</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2009007.3717485345</v>
      </c>
      <c r="FX43" s="64">
        <f t="shared" si="53"/>
        <v>3.9215686274509887E-2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67096.00523478238</v>
      </c>
      <c r="GO43" s="64">
        <f>IF($B43&lt;Analysis!$C$159,0,((1+Analysis!$D$174)/(1+$S43))-1)</f>
        <v>3.9215686274509887E-2</v>
      </c>
      <c r="GP43" s="1">
        <f t="shared" si="7"/>
        <v>77083.027350027987</v>
      </c>
      <c r="GQ43" s="1">
        <f t="shared" si="36"/>
        <v>-6027.0221152456033</v>
      </c>
      <c r="GR43" s="64">
        <f>IF($B43&lt;Analysis!$C$159,0,Analysis!$C$178)</f>
        <v>3.0000000000000001E-3</v>
      </c>
      <c r="GS43" s="1">
        <f t="shared" si="37"/>
        <v>-15067.555288114008</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-5032.2003926086782</v>
      </c>
      <c r="HD43" s="1">
        <f t="shared" si="38"/>
        <v>-38386.777795968286</v>
      </c>
      <c r="HE43" s="1">
        <f>MIN(0,-(GN43+HD43)*Analysis!$C$28)-GE43*Analysis!$C$28</f>
        <v>-12721.058678138523</v>
      </c>
      <c r="HF43" s="1">
        <f>-Analysis!$C$176*GP43/12</f>
        <v>-6423.585612502332</v>
      </c>
      <c r="HG43" s="38"/>
      <c r="HH43" s="1">
        <f>IF($B43&lt;Analysis!$C$159,0,-$HI43*$FW43)</f>
        <v>-256148.43989793817</v>
      </c>
      <c r="HI43" s="64">
        <f>IF($B43&lt;Analysis!$C$159,0,IF($B43=Analysis!$C$159,Analysis!$C$31,HI42))</f>
        <v>0.1275</v>
      </c>
      <c r="HJ43" s="1">
        <f>IF($B43&lt;Analysis!$C$159,0,$FW43+HH43)</f>
        <v>1752858.9318505963</v>
      </c>
      <c r="HK43" s="1">
        <f>IF($B43-Analysis!$C$159&gt;10,0,IF($FW43&gt;LOOKUP(Analysis!$C$159,$B:$B, FW:FW),$V43*(LOOKUP(Analysis!$C$159,$B:$B, FW:FW)-FW43),0))</f>
        <v>0</v>
      </c>
      <c r="HL43" s="1">
        <f t="shared" si="39"/>
        <v>1752858.9318505963</v>
      </c>
      <c r="HM43" s="38"/>
      <c r="HN43" s="1">
        <f t="shared" si="40"/>
        <v>-177872.57092636044</v>
      </c>
      <c r="HO43" s="1">
        <f t="shared" si="8"/>
        <v>135312.95641565457</v>
      </c>
      <c r="HP43" s="1">
        <f t="shared" si="41"/>
        <v>-42559.614510705869</v>
      </c>
      <c r="HQ43" s="1">
        <f>IF(HP43 &lt; 0,
    IF(HQ42 + HP43 &gt; 0,
        HQ42 + HP43, IF(HV42-ABS(HQ42 + HP43)*(1+$V43) &gt;= HQ42 + HP43,
        0, HQ42 + HP43)),
    MIN(HQ42 + HP43, Analysis!$C$7))+IF(HQ42&lt;0, HQ42*Analysis!$C$9,0)</f>
        <v>0</v>
      </c>
      <c r="HR43" s="38"/>
      <c r="HS43" s="1">
        <f t="shared" si="54"/>
        <v>22497.895314467591</v>
      </c>
      <c r="HT43" s="1">
        <f>IF($B43=Analysis!$C$159,0,IF(HP43 &gt;= 0,
    MAX(0, HQ42 + HP43 - Analysis!$C$7),
    0))</f>
        <v>0</v>
      </c>
      <c r="HU43" s="1">
        <f>IF($B43=Analysis!$C$159,0,MAX(0, HU42 + HT43 - IF(HP43 &lt; 0, MIN(ABS(HP43), HU42 + HT43), 0)))</f>
        <v>571377.88064242224</v>
      </c>
      <c r="HV43" s="1">
        <f>IF($B43=Analysis!$C$159,0,IF(HP43 &lt; 0,
    IF(HP43 + HQ42 &lt; 0,
        MAX(0, HV42 - (ABS(HP43 + HQ42) * (1+$V42))),
        HV42 + HS43),
    HV42 + HT43 + HS43))</f>
        <v>1093607.9481999467</v>
      </c>
      <c r="HW43" s="1">
        <f t="shared" si="58"/>
        <v>955869.76788164955</v>
      </c>
      <c r="HX43" s="36"/>
    </row>
    <row r="44" spans="1:232" x14ac:dyDescent="0.35">
      <c r="A44">
        <f t="shared" si="0"/>
        <v>77</v>
      </c>
      <c r="B44">
        <v>2067</v>
      </c>
      <c r="C44" s="1">
        <f>IF($B44&lt;Analysis!C$66,0,$AN44)+$AT44+$AW44+$BC44+$CF44+$CA44</f>
        <v>2374303.2030982375</v>
      </c>
      <c r="D44" s="1">
        <f>IF($B44&lt;Analysis!C$66, 0, BV44)+AT44+AW44+BC44+CG44+CA44</f>
        <v>1931716.4586112259</v>
      </c>
      <c r="E44" s="1">
        <f t="shared" si="1"/>
        <v>1354550.7542433885</v>
      </c>
      <c r="F44" s="1">
        <f t="shared" si="9"/>
        <v>1108063.2693267516</v>
      </c>
      <c r="G44" s="1">
        <f>IF(AND($B44&gt;=Analysis!$C$100, $B44&lt;Analysis!$C$101),$CK44,0)+IF($B44&gt;=Analysis!$C$130,EB44,0)+CQ44+CT44+CZ44+EH44+EK44+EQ44+$FO44+$FT44</f>
        <v>2596983.390645362</v>
      </c>
      <c r="H44" s="1">
        <f t="shared" si="10"/>
        <v>2154396.6461583502</v>
      </c>
      <c r="I44" s="1">
        <f>IF($B44&lt;Analysis!$C$159,0,$FW44)+$GC44+$GF44+$GL44+$HQ44+$HV44</f>
        <v>3123470.6444954602</v>
      </c>
      <c r="J44" s="1">
        <f t="shared" si="59"/>
        <v>2722727.7478034096</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-79688.252715819966</v>
      </c>
      <c r="Y44" s="64">
        <f t="shared" si="15"/>
        <v>3.9215686274509887E-2</v>
      </c>
      <c r="Z44" s="1">
        <f t="shared" si="16"/>
        <v>-3960</v>
      </c>
      <c r="AA44" s="64">
        <f t="shared" si="17"/>
        <v>0</v>
      </c>
      <c r="AB44" s="40"/>
      <c r="AC44" s="1">
        <f t="shared" si="3"/>
        <v>-131648.25271581998</v>
      </c>
      <c r="AD44" s="1">
        <f t="shared" si="4"/>
        <v>57065.330484314036</v>
      </c>
      <c r="AE44" s="1">
        <f t="shared" si="18"/>
        <v>-74582.922231505945</v>
      </c>
      <c r="AF44" s="1">
        <f>IF(AE44 &lt; 0,
    IF(AF43 + AE44 &gt; 0,
        AF43 + AE44, IF(AK43-ABS(AF43 + AE44)*(1+$V44) &gt;= AF43 + AE44,
        0, AF43 + AE44)),
    MIN(AF43 + AE44, Analysis!$C$7))+IF(AF43&lt;0, AF43*Analysis!$C$9,0)</f>
        <v>0</v>
      </c>
      <c r="AG44" s="40"/>
      <c r="AH44" s="1">
        <f t="shared" si="19"/>
        <v>28407.939651244102</v>
      </c>
      <c r="AI44" s="1">
        <f>IF(AE44 &gt;= 0,
    MAX(0, AF43 + AE44 - Analysis!$C$7),
    0)</f>
        <v>0</v>
      </c>
      <c r="AJ44" s="1">
        <f t="shared" si="44"/>
        <v>420001.04839831975</v>
      </c>
      <c r="AK44" s="1">
        <f t="shared" si="20"/>
        <v>1354550.7542433885</v>
      </c>
      <c r="AL44" s="1">
        <f t="shared" si="5"/>
        <v>1108063.2693267516</v>
      </c>
      <c r="AM44" s="36"/>
      <c r="AN44" s="1">
        <f t="shared" si="45"/>
        <v>3471268.5842118561</v>
      </c>
      <c r="AO44" s="64">
        <f t="shared" si="21"/>
        <v>3.9215686274509887E-2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-10413.805752635568</v>
      </c>
      <c r="BF44" s="64">
        <f>IF($B44&lt;Analysis!$C$66,0,Analysis!$C$78)</f>
        <v>3.0000000000000001E-3</v>
      </c>
      <c r="BG44" s="1">
        <f>IF($B44&lt;Analysis!$C$66,0,-BH44*AN44)</f>
        <v>-26034.514381588921</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-442586.74448701169</v>
      </c>
      <c r="BS44" s="64">
        <f>IF($B44&lt;Analysis!C$66,0,Analysis!C$31)</f>
        <v>0.1275</v>
      </c>
      <c r="BT44" s="1">
        <f>IF($B44&lt;Analysis!$C$66,0,AN44+BR44)</f>
        <v>3028681.8397248443</v>
      </c>
      <c r="BU44" s="1">
        <f>IF($B44-Analysis!$C$66&gt;3,0,IF($AN44&gt;LOOKUP(Analysis!$C$66,$B:$B, AN:AN),$V44*(LOOKUP(Analysis!$C$66,$B:$B, AN:AN)-AN44),0))</f>
        <v>0</v>
      </c>
      <c r="BV44" s="1">
        <f t="shared" si="23"/>
        <v>3028681.8397248443</v>
      </c>
      <c r="BW44" s="42"/>
      <c r="BX44" s="1">
        <f>IF($B44&lt;Analysis!$C$66,$P44+$N44+$X44+$Z44,$P44+$N44+AS44+AV44+BB44+BE44+BG44+MAX(BI44,SUM(BJ44:BN44))+BP44)</f>
        <v>-88408.320134224487</v>
      </c>
      <c r="BY44" s="1">
        <f t="shared" si="24"/>
        <v>57065.330484314036</v>
      </c>
      <c r="BZ44" s="1">
        <f t="shared" si="46"/>
        <v>-31342.989649910451</v>
      </c>
      <c r="CA44" s="1">
        <f>IF(BZ44 &lt; 0,
    IF(CA43 + BZ44 &gt; 0,
        CA43 + BZ44, IF(CF43-ABS(CA43 + BZ44)*(1+$V44) &gt;= CA43 + BZ44,
        0, CA43 + BZ44)),
    MIN(CA43 + BZ44, Analysis!$C$7))+IF(CA43&lt;0, CA43*Analysis!$C$9,0)</f>
        <v>-1096965.3811136184</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2087791.9745622026</v>
      </c>
      <c r="CL44" s="64">
        <f t="shared" si="48"/>
        <v>3.9215686274509887E-2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$B44&gt;=Analysis!$C$101),0,((1+Analysis!$D$114)/(1+$S44))-1)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3471268.5842118561</v>
      </c>
      <c r="EC44" s="64">
        <f t="shared" si="50"/>
        <v>3.9215686274509887E-2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-10375.068135020483</v>
      </c>
      <c r="EH44" s="1">
        <f>IF($B44&lt;Analysis!$C$130,0,IF($B44=Analysis!$C$130,-ED44-EG44,MIN(0,EH43-EG44)))</f>
        <v>-328919.54360730277</v>
      </c>
      <c r="EI44" s="64">
        <f>IF($B44&lt;Analysis!$C$130,0,IF($B44=Analysis!$C$130,Analysis!$C$136,IF(($B44-Analysis!$C$130)&lt;LOOKUP(Analysis!$C$130,$B:$B,EE:EE),EI43,0)))</f>
        <v>3.6999999999999998E-2</v>
      </c>
      <c r="EJ44" s="1">
        <f>IF($B44&lt;Analysis!$C$130,0,IF($B44=Analysis!$C$130,-EI44*ED44,EI43*EH43))</f>
        <v>-12553.900634465961</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-22928.968769486444</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-10413.805752635568</v>
      </c>
      <c r="ET44" s="64">
        <f>IF($B44&lt;Analysis!$C$130,0,Analysis!$C$142)</f>
        <v>3.0000000000000001E-3</v>
      </c>
      <c r="EU44" s="1">
        <f>IF($B44&lt;Analysis!$C$130,0,-EV44*EB44)</f>
        <v>-34712.685842118561</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-442586.74448701169</v>
      </c>
      <c r="FG44" s="64">
        <f>IF($B44&lt;Analysis!$C$130,0,Analysis!$C$31)</f>
        <v>0.1275</v>
      </c>
      <c r="FH44" s="1">
        <f>IF($B44&lt;Analysis!$C$130,0,EB44+FF44)</f>
        <v>3028681.8397248443</v>
      </c>
      <c r="FI44" s="1">
        <f>IF($B44-Analysis!$C$130&gt;3,0,IF(EB44&gt;LOOKUP(Analysis!$C$130,$B:$B, EB:EB),$V44*(LOOKUP(Analysis!$C$130,$B:$B, EB:EB)-EB44),0))</f>
        <v>0</v>
      </c>
      <c r="FJ44" s="1">
        <f t="shared" si="33"/>
        <v>3028681.8397248443</v>
      </c>
      <c r="FK44" s="53"/>
      <c r="FL44" s="1">
        <f>$P44+$N44+IF($B44&lt;Analysis!$C$130,$X44+$Z44,0)+CP44+CS44+CY44+DE44+DG44+MIN(DI44,SUM(DJ44:DN44))+DQ44+DS44+DT44+EG44+EJ44+EP44+ES44+EU44+MIN(EW44,SUM(EX44:FB44))+FD44</f>
        <v>-126088.28914294799</v>
      </c>
      <c r="FM44" s="1">
        <f>$M44+$R44+DD44+IF(AND($B44&lt;&gt;Analysis!$C$130,$B44=Analysis!$C$101),DZ43+CQ43+CT43+CZ43,0)</f>
        <v>57065.330484314036</v>
      </c>
      <c r="FN44" s="1">
        <f t="shared" si="34"/>
        <v>-69022.958658633957</v>
      </c>
      <c r="FO44" s="1">
        <f>IF(FN44 &lt; 0,
    IF(FO43 + FN44 &gt; 0,
        FO43 + FN44, IF(FT43-ABS(FO43 + FN44)*(1+$V44) &gt;= FO43 + FN44,
        0, FO43 + FN44)),
    MIN(FO43 + FN44, Analysis!$C$7))+IF(FO43&lt;0, FO43*Analysis!$C$9,0)</f>
        <v>-533219.99240177637</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2087791.9745622026</v>
      </c>
      <c r="FX44" s="64">
        <f t="shared" si="53"/>
        <v>3.9215686274509887E-2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69727.221126342483</v>
      </c>
      <c r="GO44" s="64">
        <f>IF($B44&lt;Analysis!$C$159,0,((1+Analysis!$D$174)/(1+$S44))-1)</f>
        <v>3.9215686274509887E-2</v>
      </c>
      <c r="GP44" s="1">
        <f t="shared" si="7"/>
        <v>79950.597050029086</v>
      </c>
      <c r="GQ44" s="1">
        <f t="shared" si="36"/>
        <v>-6263.3759236866081</v>
      </c>
      <c r="GR44" s="64">
        <f>IF($B44&lt;Analysis!$C$159,0,Analysis!$C$178)</f>
        <v>3.0000000000000001E-3</v>
      </c>
      <c r="GS44" s="1">
        <f t="shared" si="37"/>
        <v>-15658.439809216519</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-5229.5415844756862</v>
      </c>
      <c r="HD44" s="1">
        <f t="shared" si="38"/>
        <v>-39411.35731737881</v>
      </c>
      <c r="HE44" s="1">
        <f>MIN(0,-(GN44+HD44)*Analysis!$C$28)-GE44*Analysis!$C$28</f>
        <v>-13432.959253751802</v>
      </c>
      <c r="HF44" s="1">
        <f>-Analysis!$C$176*GP44/12</f>
        <v>-6662.5497541690902</v>
      </c>
      <c r="HG44" s="38"/>
      <c r="HH44" s="1">
        <f>IF($B44&lt;Analysis!$C$159,0,-$HI44*$FW44)</f>
        <v>-266193.47675668082</v>
      </c>
      <c r="HI44" s="64">
        <f>IF($B44&lt;Analysis!$C$159,0,IF($B44=Analysis!$C$159,Analysis!$C$31,HI43))</f>
        <v>0.1275</v>
      </c>
      <c r="HJ44" s="1">
        <f>IF($B44&lt;Analysis!$C$159,0,$FW44+HH44)</f>
        <v>1821598.4978055218</v>
      </c>
      <c r="HK44" s="1">
        <f>IF($B44-Analysis!$C$159&gt;10,0,IF($FW44&gt;LOOKUP(Analysis!$C$159,$B:$B, FW:FW),$V44*(LOOKUP(Analysis!$C$159,$B:$B, FW:FW)-FW44),0))</f>
        <v>0</v>
      </c>
      <c r="HL44" s="1">
        <f t="shared" si="39"/>
        <v>1821598.4978055218</v>
      </c>
      <c r="HM44" s="38"/>
      <c r="HN44" s="1">
        <f t="shared" si="40"/>
        <v>-182855.11904111967</v>
      </c>
      <c r="HO44" s="1">
        <f t="shared" si="8"/>
        <v>137015.92753434312</v>
      </c>
      <c r="HP44" s="1">
        <f t="shared" si="41"/>
        <v>-45839.191506776551</v>
      </c>
      <c r="HQ44" s="1">
        <f>IF(HP44 &lt; 0,
    IF(HQ43 + HP44 &gt; 0,
        HQ43 + HP44, IF(HV43-ABS(HQ43 + HP44)*(1+$V44) &gt;= HQ43 + HP44,
        0, HQ43 + HP44)),
    MIN(HQ43 + HP44, Analysis!$C$7))+IF(HQ43&lt;0, HQ43*Analysis!$C$9,0)</f>
        <v>0</v>
      </c>
      <c r="HR44" s="38"/>
      <c r="HS44" s="1">
        <f t="shared" si="54"/>
        <v>21443.293101959662</v>
      </c>
      <c r="HT44" s="1">
        <f>IF($B44=Analysis!$C$159,0,IF(HP44 &gt;= 0,
    MAX(0, HQ43 + HP44 - Analysis!$C$7),
    0))</f>
        <v>0</v>
      </c>
      <c r="HU44" s="1">
        <f>IF($B44=Analysis!$C$159,0,MAX(0, HU43 + HT44 - IF(HP44 &lt; 0, MIN(ABS(HP44), HU43 + HT44), 0)))</f>
        <v>525538.68913564575</v>
      </c>
      <c r="HV44" s="1">
        <f>IF($B44=Analysis!$C$159,0,IF(HP44 &lt; 0,
    IF(HP44 + HQ43 &lt; 0,
        MAX(0, HV43 - (ABS(HP44 + HQ43) * (1+$V43))),
        HV43 + HS44),
    HV43 + HT44 + HS44))</f>
        <v>1035678.6699332579</v>
      </c>
      <c r="HW44" s="1">
        <f t="shared" si="58"/>
        <v>901129.24999788764</v>
      </c>
      <c r="HX44" s="36"/>
    </row>
    <row r="45" spans="1:232" x14ac:dyDescent="0.35">
      <c r="A45">
        <f t="shared" si="0"/>
        <v>78</v>
      </c>
      <c r="B45">
        <v>2068</v>
      </c>
      <c r="C45" s="1">
        <f>IF($B45&lt;Analysis!C$66,0,$AN45)+$AT45+$AW45+$BC45+$CF45+$CA45</f>
        <v>2388760.5102349492</v>
      </c>
      <c r="D45" s="1">
        <f>IF($B45&lt;Analysis!C$66, 0, BV45)+AT45+AW45+BC45+CG45+CA45</f>
        <v>1928817.422826878</v>
      </c>
      <c r="E45" s="1">
        <f t="shared" si="1"/>
        <v>1254905.0039916213</v>
      </c>
      <c r="F45" s="1">
        <f t="shared" si="9"/>
        <v>1013902.5938115806</v>
      </c>
      <c r="G45" s="1">
        <f>IF(AND($B45&gt;=Analysis!$C$100, $B45&lt;Analysis!$C$101),$CK45,0)+IF($B45&gt;=Analysis!$C$130,EB45,0)+CQ45+CT45+CZ45+EH45+EK45+EQ45+$FO45+$FT45</f>
        <v>2635351.8138555884</v>
      </c>
      <c r="H45" s="1">
        <f t="shared" si="10"/>
        <v>2175408.7264475175</v>
      </c>
      <c r="I45" s="1">
        <f>IF($B45&lt;Analysis!$C$159,0,$FW45)+$GC45+$GF45+$GL45+$HQ45+$HV45</f>
        <v>3143195.6152679753</v>
      </c>
      <c r="J45" s="1">
        <f t="shared" si="59"/>
        <v>2735434.8091672976</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-82813.282234087426</v>
      </c>
      <c r="Y45" s="64">
        <f t="shared" si="15"/>
        <v>3.9215686274509887E-2</v>
      </c>
      <c r="Z45" s="1">
        <f t="shared" si="16"/>
        <v>-3960</v>
      </c>
      <c r="AA45" s="64">
        <f t="shared" si="17"/>
        <v>0</v>
      </c>
      <c r="AB45" s="40"/>
      <c r="AC45" s="1">
        <f t="shared" si="3"/>
        <v>-134773.28223408741</v>
      </c>
      <c r="AD45" s="1">
        <f t="shared" si="4"/>
        <v>55924.023874627754</v>
      </c>
      <c r="AE45" s="1">
        <f t="shared" si="18"/>
        <v>-78849.258359459665</v>
      </c>
      <c r="AF45" s="1">
        <f>IF(AE45 &lt; 0,
    IF(AF44 + AE45 &gt; 0,
        AF44 + AE45, IF(AK44-ABS(AF44 + AE45)*(1+$V45) &gt;= AF44 + AE45,
        0, AF44 + AE45)),
    MIN(AF44 + AE45, Analysis!$C$7))+IF(AF44&lt;0, AF44*Analysis!$C$9,0)</f>
        <v>0</v>
      </c>
      <c r="AG45" s="40"/>
      <c r="AH45" s="1">
        <f t="shared" si="19"/>
        <v>26559.818710654581</v>
      </c>
      <c r="AI45" s="1">
        <f>IF(AE45 &gt;= 0,
    MAX(0, AF44 + AE45 - Analysis!$C$7),
    0)</f>
        <v>0</v>
      </c>
      <c r="AJ45" s="1">
        <f t="shared" si="44"/>
        <v>341151.79003886005</v>
      </c>
      <c r="AK45" s="1">
        <f t="shared" si="20"/>
        <v>1254905.0039916213</v>
      </c>
      <c r="AL45" s="1">
        <f t="shared" si="5"/>
        <v>1013902.5938115806</v>
      </c>
      <c r="AM45" s="36"/>
      <c r="AN45" s="1">
        <f t="shared" si="45"/>
        <v>3607396.7639848702</v>
      </c>
      <c r="AO45" s="64">
        <f t="shared" si="21"/>
        <v>3.9215686274509887E-2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-10822.19029195461</v>
      </c>
      <c r="BF45" s="64">
        <f>IF($B45&lt;Analysis!$C$66,0,Analysis!$C$78)</f>
        <v>3.0000000000000001E-3</v>
      </c>
      <c r="BG45" s="1">
        <f>IF($B45&lt;Analysis!$C$66,0,-BH45*AN45)</f>
        <v>-27055.475729886526</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-459943.08740807098</v>
      </c>
      <c r="BS45" s="64">
        <f>IF($B45&lt;Analysis!C$66,0,Analysis!C$31)</f>
        <v>0.1275</v>
      </c>
      <c r="BT45" s="1">
        <f>IF($B45&lt;Analysis!$C$66,0,AN45+BR45)</f>
        <v>3147453.6765767992</v>
      </c>
      <c r="BU45" s="1">
        <f>IF($B45-Analysis!$C$66&gt;3,0,IF($AN45&gt;LOOKUP(Analysis!$C$66,$B:$B, AN:AN),$V45*(LOOKUP(Analysis!$C$66,$B:$B, AN:AN)-AN45),0))</f>
        <v>0</v>
      </c>
      <c r="BV45" s="1">
        <f t="shared" si="23"/>
        <v>3147453.6765767992</v>
      </c>
      <c r="BW45" s="42"/>
      <c r="BX45" s="1">
        <f>IF($B45&lt;Analysis!$C$66,$P45+$N45+$X45+$Z45,$P45+$N45+AS45+AV45+BB45+BE45+BG45+MAX(BI45,SUM(BJ45:BN45))+BP45)</f>
        <v>-89837.666021841142</v>
      </c>
      <c r="BY45" s="1">
        <f t="shared" si="24"/>
        <v>55924.023874627754</v>
      </c>
      <c r="BZ45" s="1">
        <f t="shared" si="46"/>
        <v>-33913.642147213388</v>
      </c>
      <c r="CA45" s="1">
        <f>IF(BZ45 &lt; 0,
    IF(CA44 + BZ45 &gt; 0,
        CA44 + BZ45, IF(CF44-ABS(CA44 + BZ45)*(1+$V45) &gt;= CA44 + BZ45,
        0, CA44 + BZ45)),
    MIN(CA44 + BZ45, Analysis!$C$7))+IF(CA44&lt;0, CA44*Analysis!$C$9,0)</f>
        <v>-1218636.2537499212</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2169666.1696430733</v>
      </c>
      <c r="CL45" s="64">
        <f t="shared" si="48"/>
        <v>3.9215686274509887E-2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$B45&gt;=Analysis!$C$101),0,((1+Analysis!$D$114)/(1+$S45))-1)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3607396.7639848702</v>
      </c>
      <c r="EC45" s="64">
        <f t="shared" si="50"/>
        <v>3.9215686274509887E-2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-10758.945656016242</v>
      </c>
      <c r="EH45" s="1">
        <f>IF($B45&lt;Analysis!$C$130,0,IF($B45=Analysis!$C$130,-ED45-EG45,MIN(0,EH44-EG45)))</f>
        <v>-318160.59795128653</v>
      </c>
      <c r="EI45" s="64">
        <f>IF($B45&lt;Analysis!$C$130,0,IF($B45=Analysis!$C$130,Analysis!$C$136,IF(($B45-Analysis!$C$130)&lt;LOOKUP(Analysis!$C$130,$B:$B,EE:EE),EI44,0)))</f>
        <v>3.6999999999999998E-2</v>
      </c>
      <c r="EJ45" s="1">
        <f>IF($B45&lt;Analysis!$C$130,0,IF($B45=Analysis!$C$130,-EI45*ED45,EI44*EH44))</f>
        <v>-12170.023113470203</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-22928.968769486444</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-10822.19029195461</v>
      </c>
      <c r="ET45" s="64">
        <f>IF($B45&lt;Analysis!$C$130,0,Analysis!$C$142)</f>
        <v>3.0000000000000001E-3</v>
      </c>
      <c r="EU45" s="1">
        <f>IF($B45&lt;Analysis!$C$130,0,-EV45*EB45)</f>
        <v>-36073.967639848699</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-459943.08740807098</v>
      </c>
      <c r="FG45" s="64">
        <f>IF($B45&lt;Analysis!$C$130,0,Analysis!$C$31)</f>
        <v>0.1275</v>
      </c>
      <c r="FH45" s="1">
        <f>IF($B45&lt;Analysis!$C$130,0,EB45+FF45)</f>
        <v>3147453.6765767992</v>
      </c>
      <c r="FI45" s="1">
        <f>IF($B45-Analysis!$C$130&gt;3,0,IF(EB45&gt;LOOKUP(Analysis!$C$130,$B:$B, EB:EB),$V45*(LOOKUP(Analysis!$C$130,$B:$B, EB:EB)-EB45),0))</f>
        <v>0</v>
      </c>
      <c r="FJ45" s="1">
        <f t="shared" si="33"/>
        <v>3147453.6765767992</v>
      </c>
      <c r="FK45" s="53"/>
      <c r="FL45" s="1">
        <f>$P45+$N45+IF($B45&lt;Analysis!$C$130,$X45+$Z45,0)+CP45+CS45+CY45+DE45+DG45+MIN(DI45,SUM(DJ45:DN45))+DQ45+DS45+DT45+EG45+EJ45+EP45+ES45+EU45+MIN(EW45,SUM(EX45:FB45))+FD45</f>
        <v>-127857.95547999718</v>
      </c>
      <c r="FM45" s="1">
        <f>$M45+$R45+DD45+IF(AND($B45&lt;&gt;Analysis!$C$130,$B45=Analysis!$C$101),DZ44+CQ44+CT44+CZ44,0)</f>
        <v>55924.023874627754</v>
      </c>
      <c r="FN45" s="1">
        <f t="shared" si="34"/>
        <v>-71933.931605369435</v>
      </c>
      <c r="FO45" s="1">
        <f>IF(FN45 &lt; 0,
    IF(FO44 + FN45 &gt; 0,
        FO44 + FN45, IF(FT44-ABS(FO44 + FN45)*(1+$V45) &gt;= FO44 + FN45,
        0, FO44 + FN45)),
    MIN(FO44 + FN45, Analysis!$C$7))+IF(FO44&lt;0, FO44*Analysis!$C$9,0)</f>
        <v>-647811.52339928795</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2169666.1696430733</v>
      </c>
      <c r="FX45" s="64">
        <f t="shared" si="53"/>
        <v>3.9215686274509887E-2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72461.621954826507</v>
      </c>
      <c r="GO45" s="64">
        <f>IF($B45&lt;Analysis!$C$159,0,((1+Analysis!$D$174)/(1+$S45))-1)</f>
        <v>3.9215686274509887E-2</v>
      </c>
      <c r="GP45" s="1">
        <f t="shared" si="7"/>
        <v>82930.620463755724</v>
      </c>
      <c r="GQ45" s="1">
        <f t="shared" si="36"/>
        <v>-6508.9985089292204</v>
      </c>
      <c r="GR45" s="64">
        <f>IF($B45&lt;Analysis!$C$159,0,Analysis!$C$178)</f>
        <v>3.0000000000000001E-3</v>
      </c>
      <c r="GS45" s="1">
        <f t="shared" si="37"/>
        <v>-16272.496272323049</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-5434.6216466119877</v>
      </c>
      <c r="HD45" s="1">
        <f t="shared" si="38"/>
        <v>-40476.116427864261</v>
      </c>
      <c r="HE45" s="1">
        <f>MIN(0,-(GN45+HD45)*Analysis!$C$28)-GE45*Analysis!$C$28</f>
        <v>-14172.777498996969</v>
      </c>
      <c r="HF45" s="1">
        <f>-Analysis!$C$176*GP45/12</f>
        <v>-6910.88503864631</v>
      </c>
      <c r="HG45" s="38"/>
      <c r="HH45" s="1">
        <f>IF($B45&lt;Analysis!$C$159,0,-$HI45*$FW45)</f>
        <v>-276632.43662949186</v>
      </c>
      <c r="HI45" s="64">
        <f>IF($B45&lt;Analysis!$C$159,0,IF($B45=Analysis!$C$159,Analysis!$C$31,HI44))</f>
        <v>0.1275</v>
      </c>
      <c r="HJ45" s="1">
        <f>IF($B45&lt;Analysis!$C$159,0,$FW45+HH45)</f>
        <v>1893033.7330135815</v>
      </c>
      <c r="HK45" s="1">
        <f>IF($B45-Analysis!$C$159&gt;10,0,IF($FW45&gt;LOOKUP(Analysis!$C$159,$B:$B, FW:FW),$V45*(LOOKUP(Analysis!$C$159,$B:$B, FW:FW)-FW45),0))</f>
        <v>0</v>
      </c>
      <c r="HL45" s="1">
        <f t="shared" si="39"/>
        <v>1893033.7330135815</v>
      </c>
      <c r="HM45" s="38"/>
      <c r="HN45" s="1">
        <f t="shared" si="40"/>
        <v>-188033.06119959493</v>
      </c>
      <c r="HO45" s="1">
        <f t="shared" si="8"/>
        <v>138854.64433838348</v>
      </c>
      <c r="HP45" s="1">
        <f t="shared" si="41"/>
        <v>-49178.416861211444</v>
      </c>
      <c r="HQ45" s="1">
        <f>IF(HP45 &lt; 0,
    IF(HQ44 + HP45 &gt; 0,
        HQ44 + HP45, IF(HV44-ABS(HQ44 + HP45)*(1+$V45) &gt;= HQ44 + HP45,
        0, HQ44 + HP45)),
    MIN(HQ44 + HP45, Analysis!$C$7))+IF(HQ44&lt;0, HQ44*Analysis!$C$9,0)</f>
        <v>0</v>
      </c>
      <c r="HR45" s="38"/>
      <c r="HS45" s="1">
        <f t="shared" si="54"/>
        <v>20307.424900652044</v>
      </c>
      <c r="HT45" s="1">
        <f>IF($B45=Analysis!$C$159,0,IF(HP45 &gt;= 0,
    MAX(0, HQ44 + HP45 - Analysis!$C$7),
    0))</f>
        <v>0</v>
      </c>
      <c r="HU45" s="1">
        <f>IF($B45=Analysis!$C$159,0,MAX(0, HU44 + HT45 - IF(HP45 &lt; 0, MIN(ABS(HP45), HU44 + HT45), 0)))</f>
        <v>476360.27227443433</v>
      </c>
      <c r="HV45" s="1">
        <f>IF($B45=Analysis!$C$159,0,IF(HP45 &lt; 0,
    IF(HP45 + HQ44 &lt; 0,
        MAX(0, HV44 - (ABS(HP45 + HQ44) * (1+$V44))),
        HV44 + HS45),
    HV44 + HT45 + HS45))</f>
        <v>973529.44562490191</v>
      </c>
      <c r="HW45" s="1">
        <f t="shared" si="58"/>
        <v>842401.07615371607</v>
      </c>
      <c r="HX45" s="36"/>
    </row>
    <row r="46" spans="1:232" x14ac:dyDescent="0.35">
      <c r="A46">
        <f t="shared" si="0"/>
        <v>79</v>
      </c>
      <c r="B46">
        <v>2069</v>
      </c>
      <c r="C46" s="1">
        <f>IF($B46&lt;Analysis!C$66,0,$AN46)+$AT46+$AW46+$BC46+$CF46+$CA46</f>
        <v>2396218.628406839</v>
      </c>
      <c r="D46" s="1">
        <f>IF($B46&lt;Analysis!C$66, 0, BV46)+AT46+AW46+BC46+CG46+CA46</f>
        <v>1918238.5571788438</v>
      </c>
      <c r="E46" s="1">
        <f t="shared" si="1"/>
        <v>1149741.6451962923</v>
      </c>
      <c r="F46" s="1">
        <f t="shared" si="9"/>
        <v>914528.0306355973</v>
      </c>
      <c r="G46" s="1">
        <f>IF(AND($B46&gt;=Analysis!$C$100, $B46&lt;Analysis!$C$101),$CK46,0)+IF($B46&gt;=Analysis!$C$130,EB46,0)+CQ46+CT46+CZ46+EH46+EK46+EQ46+$FO46+$FT46</f>
        <v>2667331.8100719587</v>
      </c>
      <c r="H46" s="1">
        <f t="shared" si="10"/>
        <v>2189351.7388439635</v>
      </c>
      <c r="I46" s="1">
        <f>IF($B46&lt;Analysis!$C$159,0,$FW46)+$GC46+$GF46+$GL46+$HQ46+$HV46</f>
        <v>3161831.313004449</v>
      </c>
      <c r="J46" s="1">
        <f t="shared" si="59"/>
        <v>2746879.9246502342</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-86060.861929541847</v>
      </c>
      <c r="Y46" s="64">
        <f t="shared" si="15"/>
        <v>3.9215686274509887E-2</v>
      </c>
      <c r="Z46" s="1">
        <f t="shared" si="16"/>
        <v>-3960</v>
      </c>
      <c r="AA46" s="64">
        <f t="shared" si="17"/>
        <v>0</v>
      </c>
      <c r="AB46" s="40"/>
      <c r="AC46" s="1">
        <f t="shared" si="3"/>
        <v>-138020.86192954186</v>
      </c>
      <c r="AD46" s="1">
        <f t="shared" si="4"/>
        <v>54805.543397135196</v>
      </c>
      <c r="AE46" s="1">
        <f t="shared" si="18"/>
        <v>-83215.318532406673</v>
      </c>
      <c r="AF46" s="1">
        <f>IF(AE46 &lt; 0,
    IF(AF45 + AE46 &gt; 0,
        AF45 + AE46, IF(AK45-ABS(AF45 + AE46)*(1+$V46) &gt;= AF45 + AE46,
        0, AF45 + AE46)),
    MIN(AF45 + AE46, Analysis!$C$7))+IF(AF45&lt;0, AF45*Analysis!$C$9,0)</f>
        <v>0</v>
      </c>
      <c r="AG46" s="40"/>
      <c r="AH46" s="1">
        <f t="shared" si="19"/>
        <v>24605.98047042386</v>
      </c>
      <c r="AI46" s="1">
        <f>IF(AE46 &gt;= 0,
    MAX(0, AF45 + AE46 - Analysis!$C$7),
    0)</f>
        <v>0</v>
      </c>
      <c r="AJ46" s="1">
        <f t="shared" si="44"/>
        <v>257936.47150645338</v>
      </c>
      <c r="AK46" s="1">
        <f t="shared" si="20"/>
        <v>1149741.6451962923</v>
      </c>
      <c r="AL46" s="1">
        <f t="shared" si="5"/>
        <v>914528.0306355973</v>
      </c>
      <c r="AM46" s="36"/>
      <c r="AN46" s="1">
        <f t="shared" si="45"/>
        <v>3748863.303748983</v>
      </c>
      <c r="AO46" s="64">
        <f t="shared" si="21"/>
        <v>3.9215686274509887E-2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-11246.589911246949</v>
      </c>
      <c r="BF46" s="64">
        <f>IF($B46&lt;Analysis!$C$66,0,Analysis!$C$78)</f>
        <v>3.0000000000000001E-3</v>
      </c>
      <c r="BG46" s="1">
        <f>IF($B46&lt;Analysis!$C$66,0,-BH46*AN46)</f>
        <v>-28116.474778117372</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-477980.07122799533</v>
      </c>
      <c r="BS46" s="64">
        <f>IF($B46&lt;Analysis!C$66,0,Analysis!C$31)</f>
        <v>0.1275</v>
      </c>
      <c r="BT46" s="1">
        <f>IF($B46&lt;Analysis!$C$66,0,AN46+BR46)</f>
        <v>3270883.2325209877</v>
      </c>
      <c r="BU46" s="1">
        <f>IF($B46-Analysis!$C$66&gt;3,0,IF($AN46&gt;LOOKUP(Analysis!$C$66,$B:$B, AN:AN),$V46*(LOOKUP(Analysis!$C$66,$B:$B, AN:AN)-AN46),0))</f>
        <v>0</v>
      </c>
      <c r="BV46" s="1">
        <f t="shared" si="23"/>
        <v>3270883.2325209877</v>
      </c>
      <c r="BW46" s="42"/>
      <c r="BX46" s="1">
        <f>IF($B46&lt;Analysis!$C$66,$P46+$N46+$X46+$Z46,$P46+$N46+AS46+AV46+BB46+BE46+BG46+MAX(BI46,SUM(BJ46:BN46))+BP46)</f>
        <v>-91323.064689364313</v>
      </c>
      <c r="BY46" s="1">
        <f t="shared" si="24"/>
        <v>54805.543397135196</v>
      </c>
      <c r="BZ46" s="1">
        <f t="shared" si="46"/>
        <v>-36517.521292229118</v>
      </c>
      <c r="CA46" s="1">
        <f>IF(BZ46 &lt; 0,
    IF(CA45 + BZ46 &gt; 0,
        CA45 + BZ46, IF(CF45-ABS(CA45 + BZ46)*(1+$V46) &gt;= CA45 + BZ46,
        0, CA45 + BZ46)),
    MIN(CA45 + BZ46, Analysis!$C$7))+IF(CA45&lt;0, CA45*Analysis!$C$9,0)</f>
        <v>-1352644.675342144</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2254751.1174722137</v>
      </c>
      <c r="CL46" s="64">
        <f t="shared" si="48"/>
        <v>3.9215686274509887E-2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$B46&gt;=Analysis!$C$101),0,((1+Analysis!$D$114)/(1+$S46))-1)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3748863.303748983</v>
      </c>
      <c r="EC46" s="64">
        <f t="shared" si="50"/>
        <v>3.9215686274509887E-2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-11157.026645288843</v>
      </c>
      <c r="EH46" s="1">
        <f>IF($B46&lt;Analysis!$C$130,0,IF($B46=Analysis!$C$130,-ED46-EG46,MIN(0,EH45-EG46)))</f>
        <v>-307003.57130599767</v>
      </c>
      <c r="EI46" s="64">
        <f>IF($B46&lt;Analysis!$C$130,0,IF($B46=Analysis!$C$130,Analysis!$C$136,IF(($B46-Analysis!$C$130)&lt;LOOKUP(Analysis!$C$130,$B:$B,EE:EE),EI45,0)))</f>
        <v>3.6999999999999998E-2</v>
      </c>
      <c r="EJ46" s="1">
        <f>IF($B46&lt;Analysis!$C$130,0,IF($B46=Analysis!$C$130,-EI46*ED46,EI45*EH45))</f>
        <v>-11771.942124197602</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-22928.968769486444</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-11246.589911246949</v>
      </c>
      <c r="ET46" s="64">
        <f>IF($B46&lt;Analysis!$C$130,0,Analysis!$C$142)</f>
        <v>3.0000000000000001E-3</v>
      </c>
      <c r="EU46" s="1">
        <f>IF($B46&lt;Analysis!$C$130,0,-EV46*EB46)</f>
        <v>-37488.633037489832</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-477980.07122799533</v>
      </c>
      <c r="FG46" s="64">
        <f>IF($B46&lt;Analysis!$C$130,0,Analysis!$C$31)</f>
        <v>0.1275</v>
      </c>
      <c r="FH46" s="1">
        <f>IF($B46&lt;Analysis!$C$130,0,EB46+FF46)</f>
        <v>3270883.2325209877</v>
      </c>
      <c r="FI46" s="1">
        <f>IF($B46-Analysis!$C$130&gt;3,0,IF(EB46&gt;LOOKUP(Analysis!$C$130,$B:$B, EB:EB),$V46*(LOOKUP(Analysis!$C$130,$B:$B, EB:EB)-EB46),0))</f>
        <v>0</v>
      </c>
      <c r="FJ46" s="1">
        <f t="shared" si="33"/>
        <v>3270883.2325209877</v>
      </c>
      <c r="FK46" s="53"/>
      <c r="FL46" s="1">
        <f>$P46+$N46+IF($B46&lt;Analysis!$C$130,$X46+$Z46,0)+CP46+CS46+CY46+DE46+DG46+MIN(DI46,SUM(DJ46:DN46))+DQ46+DS46+DT46+EG46+EJ46+EP46+ES46+EU46+MIN(EW46,SUM(EX46:FB46))+FD46</f>
        <v>-129697.02049693064</v>
      </c>
      <c r="FM46" s="1">
        <f>$M46+$R46+DD46+IF(AND($B46&lt;&gt;Analysis!$C$130,$B46=Analysis!$C$101),DZ45+CQ45+CT45+CZ45,0)</f>
        <v>54805.543397135196</v>
      </c>
      <c r="FN46" s="1">
        <f t="shared" si="34"/>
        <v>-74891.477099795447</v>
      </c>
      <c r="FO46" s="1">
        <f>IF(FN46 &lt; 0,
    IF(FO45 + FN46 &gt; 0,
        FO45 + FN46, IF(FT45-ABS(FO45 + FN46)*(1+$V46) &gt;= FO45 + FN46,
        0, FO45 + FN46)),
    MIN(FO45 + FN46, Analysis!$C$7))+IF(FO45&lt;0, FO45*Analysis!$C$9,0)</f>
        <v>-774527.92237102648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2254751.1174722137</v>
      </c>
      <c r="FX46" s="64">
        <f t="shared" si="53"/>
        <v>3.9215686274509887E-2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75303.254188349121</v>
      </c>
      <c r="GO46" s="64">
        <f>IF($B46&lt;Analysis!$C$159,0,((1+Analysis!$D$174)/(1+$S46))-1)</f>
        <v>3.9215686274509887E-2</v>
      </c>
      <c r="GP46" s="1">
        <f t="shared" si="7"/>
        <v>86027.507540765757</v>
      </c>
      <c r="GQ46" s="1">
        <f t="shared" si="36"/>
        <v>-6764.2533524166411</v>
      </c>
      <c r="GR46" s="64">
        <f>IF($B46&lt;Analysis!$C$159,0,Analysis!$C$178)</f>
        <v>3.0000000000000001E-3</v>
      </c>
      <c r="GS46" s="1">
        <f t="shared" si="37"/>
        <v>-16910.633381041604</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-5647.7440641261837</v>
      </c>
      <c r="HD46" s="1">
        <f t="shared" si="38"/>
        <v>-41582.630797584432</v>
      </c>
      <c r="HE46" s="1">
        <f>MIN(0,-(GN46+HD46)*Analysis!$C$28)-GE46*Analysis!$C$28</f>
        <v>-14941.608224447831</v>
      </c>
      <c r="HF46" s="1">
        <f>-Analysis!$C$176*GP46/12</f>
        <v>-7168.95896173048</v>
      </c>
      <c r="HG46" s="38"/>
      <c r="HH46" s="1">
        <f>IF($B46&lt;Analysis!$C$159,0,-$HI46*$FW46)</f>
        <v>-287480.76747770724</v>
      </c>
      <c r="HI46" s="64">
        <f>IF($B46&lt;Analysis!$C$159,0,IF($B46=Analysis!$C$159,Analysis!$C$31,HI45))</f>
        <v>0.1275</v>
      </c>
      <c r="HJ46" s="1">
        <f>IF($B46&lt;Analysis!$C$159,0,$FW46+HH46)</f>
        <v>1967270.3499945065</v>
      </c>
      <c r="HK46" s="1">
        <f>IF($B46-Analysis!$C$159&gt;10,0,IF($FW46&gt;LOOKUP(Analysis!$C$159,$B:$B, FW:FW),$V46*(LOOKUP(Analysis!$C$159,$B:$B, FW:FW)-FW46),0))</f>
        <v>0</v>
      </c>
      <c r="HL46" s="1">
        <f t="shared" si="39"/>
        <v>1967270.3499945065</v>
      </c>
      <c r="HM46" s="38"/>
      <c r="HN46" s="1">
        <f t="shared" si="40"/>
        <v>-193414.05991330463</v>
      </c>
      <c r="HO46" s="1">
        <f t="shared" si="8"/>
        <v>140833.05093790096</v>
      </c>
      <c r="HP46" s="1">
        <f t="shared" si="41"/>
        <v>-52581.008975403674</v>
      </c>
      <c r="HQ46" s="1">
        <f>IF(HP46 &lt; 0,
    IF(HQ45 + HP46 &gt; 0,
        HQ45 + HP46, IF(HV45-ABS(HQ45 + HP46)*(1+$V46) &gt;= HQ45 + HP46,
        0, HQ45 + HP46)),
    MIN(HQ45 + HP46, Analysis!$C$7))+IF(HQ45&lt;0, HQ45*Analysis!$C$9,0)</f>
        <v>0</v>
      </c>
      <c r="HR46" s="38"/>
      <c r="HS46" s="1">
        <f t="shared" si="54"/>
        <v>19088.812659311734</v>
      </c>
      <c r="HT46" s="1">
        <f>IF($B46=Analysis!$C$159,0,IF(HP46 &gt;= 0,
    MAX(0, HQ45 + HP46 - Analysis!$C$7),
    0))</f>
        <v>0</v>
      </c>
      <c r="HU46" s="1">
        <f>IF($B46=Analysis!$C$159,0,MAX(0, HU45 + HT46 - IF(HP46 &lt; 0, MIN(ABS(HP46), HU45 + HT46), 0)))</f>
        <v>423779.26329903066</v>
      </c>
      <c r="HV46" s="1">
        <f>IF($B46=Analysis!$C$159,0,IF(HP46 &lt; 0,
    IF(HP46 + HQ45 &lt; 0,
        MAX(0, HV45 - (ABS(HP46 + HQ45) * (1+$V45))),
        HV45 + HS46),
    HV45 + HT46 + HS46))</f>
        <v>907080.19553223555</v>
      </c>
      <c r="HW46" s="1">
        <f t="shared" si="58"/>
        <v>779609.57465572772</v>
      </c>
      <c r="HX46" s="36"/>
    </row>
    <row r="47" spans="1:232" x14ac:dyDescent="0.35">
      <c r="A47">
        <f t="shared" si="0"/>
        <v>80</v>
      </c>
      <c r="B47">
        <v>2070</v>
      </c>
      <c r="C47" s="1">
        <f>IF($B47&lt;Analysis!C$66,0,$AN47)+$AT47+$AW47+$BC47+$CF47+$CA47</f>
        <v>2395864.0198294772</v>
      </c>
      <c r="D47" s="1">
        <f>IF($B47&lt;Analysis!C$66, 0, BV47)+AT47+AW47+BC47+CG47+CA47</f>
        <v>1899139.6320827368</v>
      </c>
      <c r="E47" s="1">
        <f t="shared" si="1"/>
        <v>1038928.0012224456</v>
      </c>
      <c r="F47" s="1">
        <f t="shared" si="9"/>
        <v>809814.20644829818</v>
      </c>
      <c r="G47" s="1">
        <f>IF(AND($B47&gt;=Analysis!$C$100, $B47&lt;Analysis!$C$101),$CK47,0)+IF($B47&gt;=Analysis!$C$130,EB47,0)+CQ47+CT47+CZ47+EH47+EK47+EQ47+$FO47+$FT47</f>
        <v>2692127.7157165771</v>
      </c>
      <c r="H47" s="1">
        <f t="shared" si="10"/>
        <v>2195403.327969837</v>
      </c>
      <c r="I47" s="1">
        <f>IF($B47&lt;Analysis!$C$159,0,$FW47)+$GC47+$GF47+$GL47+$HQ47+$HV47</f>
        <v>3179418.7212859076</v>
      </c>
      <c r="J47" s="1">
        <f t="shared" si="59"/>
        <v>2757092.6990107293</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-89435.797691484666</v>
      </c>
      <c r="Y47" s="64">
        <f t="shared" si="15"/>
        <v>3.9215686274509887E-2</v>
      </c>
      <c r="Z47" s="1">
        <f t="shared" si="16"/>
        <v>-3960</v>
      </c>
      <c r="AA47" s="64">
        <f t="shared" si="17"/>
        <v>0</v>
      </c>
      <c r="AB47" s="40"/>
      <c r="AC47" s="1">
        <f t="shared" si="3"/>
        <v>-141395.79769148468</v>
      </c>
      <c r="AD47" s="1">
        <f t="shared" si="4"/>
        <v>53709.432529192491</v>
      </c>
      <c r="AE47" s="1">
        <f t="shared" si="18"/>
        <v>-87686.36516229219</v>
      </c>
      <c r="AF47" s="1">
        <f>IF(AE47 &lt; 0,
    IF(AF46 + AE47 &gt; 0,
        AF46 + AE47, IF(AK46-ABS(AF46 + AE47)*(1+$V47) &gt;= AF46 + AE47,
        0, AF46 + AE47)),
    MIN(AF46 + AE47, Analysis!$C$7))+IF(AF46&lt;0, AF46*Analysis!$C$9,0)</f>
        <v>0</v>
      </c>
      <c r="AG47" s="40"/>
      <c r="AH47" s="1">
        <f t="shared" si="19"/>
        <v>22543.953827378202</v>
      </c>
      <c r="AI47" s="1">
        <f>IF(AE47 &gt;= 0,
    MAX(0, AF46 + AE47 - Analysis!$C$7),
    0)</f>
        <v>0</v>
      </c>
      <c r="AJ47" s="1">
        <f t="shared" si="44"/>
        <v>170250.10634416121</v>
      </c>
      <c r="AK47" s="1">
        <f t="shared" si="20"/>
        <v>1038928.0012224456</v>
      </c>
      <c r="AL47" s="1">
        <f t="shared" si="5"/>
        <v>809814.20644829818</v>
      </c>
      <c r="AM47" s="36"/>
      <c r="AN47" s="1">
        <f t="shared" si="45"/>
        <v>3895877.5509548257</v>
      </c>
      <c r="AO47" s="64">
        <f t="shared" si="21"/>
        <v>3.9215686274509887E-2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-11687.632652864477</v>
      </c>
      <c r="BF47" s="64">
        <f>IF($B47&lt;Analysis!$C$66,0,Analysis!$C$78)</f>
        <v>3.0000000000000001E-3</v>
      </c>
      <c r="BG47" s="1">
        <f>IF($B47&lt;Analysis!$C$66,0,-BH47*AN47)</f>
        <v>-29219.081632161193</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-496724.38774674031</v>
      </c>
      <c r="BS47" s="64">
        <f>IF($B47&lt;Analysis!C$66,0,Analysis!C$31)</f>
        <v>0.1275</v>
      </c>
      <c r="BT47" s="1">
        <f>IF($B47&lt;Analysis!$C$66,0,AN47+BR47)</f>
        <v>3399153.1632080856</v>
      </c>
      <c r="BU47" s="1">
        <f>IF($B47-Analysis!$C$66&gt;3,0,IF($AN47&gt;LOOKUP(Analysis!$C$66,$B:$B, AN:AN),$V47*(LOOKUP(Analysis!$C$66,$B:$B, AN:AN)-AN47),0))</f>
        <v>0</v>
      </c>
      <c r="BV47" s="1">
        <f t="shared" si="23"/>
        <v>3399153.1632080856</v>
      </c>
      <c r="BW47" s="42"/>
      <c r="BX47" s="1">
        <f>IF($B47&lt;Analysis!$C$66,$P47+$N47+$X47+$Z47,$P47+$N47+AS47+AV47+BB47+BE47+BG47+MAX(BI47,SUM(BJ47:BN47))+BP47)</f>
        <v>-92866.714285025664</v>
      </c>
      <c r="BY47" s="1">
        <f t="shared" si="24"/>
        <v>53709.432529192491</v>
      </c>
      <c r="BZ47" s="1">
        <f t="shared" si="46"/>
        <v>-39157.281755833174</v>
      </c>
      <c r="CA47" s="1">
        <f>IF(BZ47 &lt; 0,
    IF(CA46 + BZ47 &gt; 0,
        CA46 + BZ47, IF(CF46-ABS(CA46 + BZ47)*(1+$V47) &gt;= CA46 + BZ47,
        0, CA46 + BZ47)),
    MIN(CA46 + BZ47, Analysis!$C$7))+IF(CA46&lt;0, CA46*Analysis!$C$9,0)</f>
        <v>-1500013.5311253488</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2343172.7299221046</v>
      </c>
      <c r="CL47" s="64">
        <f t="shared" si="48"/>
        <v>3.9215686274509887E-2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$B47&gt;=Analysis!$C$101),0,((1+Analysis!$D$114)/(1+$S47))-1)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3895877.5509548257</v>
      </c>
      <c r="EC47" s="64">
        <f t="shared" si="50"/>
        <v>3.9215686274509887E-2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-11569.836631164531</v>
      </c>
      <c r="EH47" s="1">
        <f>IF($B47&lt;Analysis!$C$130,0,IF($B47=Analysis!$C$130,-ED47-EG47,MIN(0,EH46-EG47)))</f>
        <v>-295433.73467483313</v>
      </c>
      <c r="EI47" s="64">
        <f>IF($B47&lt;Analysis!$C$130,0,IF($B47=Analysis!$C$130,Analysis!$C$136,IF(($B47-Analysis!$C$130)&lt;LOOKUP(Analysis!$C$130,$B:$B,EE:EE),EI46,0)))</f>
        <v>3.6999999999999998E-2</v>
      </c>
      <c r="EJ47" s="1">
        <f>IF($B47&lt;Analysis!$C$130,0,IF($B47=Analysis!$C$130,-EI47*ED47,EI46*EH46))</f>
        <v>-11359.132138321913</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-22928.968769486444</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-11687.632652864477</v>
      </c>
      <c r="ET47" s="64">
        <f>IF($B47&lt;Analysis!$C$130,0,Analysis!$C$142)</f>
        <v>3.0000000000000001E-3</v>
      </c>
      <c r="EU47" s="1">
        <f>IF($B47&lt;Analysis!$C$130,0,-EV47*EB47)</f>
        <v>-38958.775509548257</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-496724.38774674031</v>
      </c>
      <c r="FG47" s="64">
        <f>IF($B47&lt;Analysis!$C$130,0,Analysis!$C$31)</f>
        <v>0.1275</v>
      </c>
      <c r="FH47" s="1">
        <f>IF($B47&lt;Analysis!$C$130,0,EB47+FF47)</f>
        <v>3399153.1632080856</v>
      </c>
      <c r="FI47" s="1">
        <f>IF($B47-Analysis!$C$130&gt;3,0,IF(EB47&gt;LOOKUP(Analysis!$C$130,$B:$B, EB:EB),$V47*(LOOKUP(Analysis!$C$130,$B:$B, EB:EB)-EB47),0))</f>
        <v>0</v>
      </c>
      <c r="FJ47" s="1">
        <f t="shared" si="33"/>
        <v>3399153.1632080856</v>
      </c>
      <c r="FK47" s="53"/>
      <c r="FL47" s="1">
        <f>$P47+$N47+IF($B47&lt;Analysis!$C$130,$X47+$Z47,0)+CP47+CS47+CY47+DE47+DG47+MIN(DI47,SUM(DJ47:DN47))+DQ47+DS47+DT47+EG47+EJ47+EP47+ES47+EU47+MIN(EW47,SUM(EX47:FB47))+FD47</f>
        <v>-125535.37693189917</v>
      </c>
      <c r="FM47" s="1">
        <f>$M47+$R47+DD47+IF(AND($B47&lt;&gt;Analysis!$C$130,$B47=Analysis!$C$101),DZ46+CQ46+CT46+CZ46,0)</f>
        <v>53709.432529192491</v>
      </c>
      <c r="FN47" s="1">
        <f t="shared" si="34"/>
        <v>-71825.944402706678</v>
      </c>
      <c r="FO47" s="1">
        <f>IF(FN47 &lt; 0,
    IF(FO46 + FN47 &gt; 0,
        FO46 + FN47, IF(FT46-ABS(FO46 + FN47)*(1+$V47) &gt;= FO46 + FN47,
        0, FO46 + FN47)),
    MIN(FO46 + FN47, Analysis!$C$7))+IF(FO46&lt;0, FO46*Analysis!$C$9,0)</f>
        <v>-908316.10056341533</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2343172.7299221046</v>
      </c>
      <c r="FX47" s="64">
        <f t="shared" si="53"/>
        <v>3.9215686274509887E-2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78256.322980049095</v>
      </c>
      <c r="GO47" s="64">
        <f>IF($B47&lt;Analysis!$C$159,0,((1+Analysis!$D$174)/(1+$S47))-1)</f>
        <v>3.9215686274509887E-2</v>
      </c>
      <c r="GP47" s="1">
        <f t="shared" si="7"/>
        <v>89245.841169815409</v>
      </c>
      <c r="GQ47" s="1">
        <f t="shared" si="36"/>
        <v>-7029.5181897663142</v>
      </c>
      <c r="GR47" s="64">
        <f>IF($B47&lt;Analysis!$C$159,0,Analysis!$C$178)</f>
        <v>3.0000000000000001E-3</v>
      </c>
      <c r="GS47" s="1">
        <f t="shared" si="37"/>
        <v>-17573.795474415783</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-5869.224223503682</v>
      </c>
      <c r="HD47" s="1">
        <f t="shared" si="38"/>
        <v>-42732.537887685779</v>
      </c>
      <c r="HE47" s="1">
        <f>MIN(0,-(GN47+HD47)*Analysis!$C$28)-GE47*Analysis!$C$28</f>
        <v>-15740.589174426183</v>
      </c>
      <c r="HF47" s="1">
        <f>-Analysis!$C$176*GP47/12</f>
        <v>-7437.1534308179507</v>
      </c>
      <c r="HG47" s="38"/>
      <c r="HH47" s="1">
        <f>IF($B47&lt;Analysis!$C$159,0,-$HI47*$FW47)</f>
        <v>-298754.52306506835</v>
      </c>
      <c r="HI47" s="64">
        <f>IF($B47&lt;Analysis!$C$159,0,IF($B47=Analysis!$C$159,Analysis!$C$31,HI46))</f>
        <v>0.1275</v>
      </c>
      <c r="HJ47" s="1">
        <f>IF($B47&lt;Analysis!$C$159,0,$FW47+HH47)</f>
        <v>2044418.2068570363</v>
      </c>
      <c r="HK47" s="1">
        <f>IF($B47-Analysis!$C$159&gt;10,0,IF($FW47&gt;LOOKUP(Analysis!$C$159,$B:$B, FW:FW),$V47*(LOOKUP(Analysis!$C$159,$B:$B, FW:FW)-FW47),0))</f>
        <v>0</v>
      </c>
      <c r="HL47" s="1">
        <f t="shared" si="39"/>
        <v>2044418.2068570363</v>
      </c>
      <c r="HM47" s="38"/>
      <c r="HN47" s="1">
        <f t="shared" si="40"/>
        <v>-199006.0781844146</v>
      </c>
      <c r="HO47" s="1">
        <f t="shared" si="8"/>
        <v>142955.2736990079</v>
      </c>
      <c r="HP47" s="1">
        <f t="shared" si="41"/>
        <v>-56050.804485406697</v>
      </c>
      <c r="HQ47" s="1">
        <f>IF(HP47 &lt; 0,
    IF(HQ46 + HP47 &gt; 0,
        HQ46 + HP47, IF(HV46-ABS(HQ46 + HP47)*(1+$V47) &gt;= HQ46 + HP47,
        0, HQ46 + HP47)),
    MIN(HQ46 + HP47, Analysis!$C$7))+IF(HQ46&lt;0, HQ46*Analysis!$C$9,0)</f>
        <v>0</v>
      </c>
      <c r="HR47" s="38"/>
      <c r="HS47" s="1">
        <f t="shared" si="54"/>
        <v>17785.886186906515</v>
      </c>
      <c r="HT47" s="1">
        <f>IF($B47=Analysis!$C$159,0,IF(HP47 &gt;= 0,
    MAX(0, HQ46 + HP47 - Analysis!$C$7),
    0))</f>
        <v>0</v>
      </c>
      <c r="HU47" s="1">
        <f>IF($B47=Analysis!$C$159,0,MAX(0, HU46 + HT47 - IF(HP47 &lt; 0, MIN(ABS(HP47), HU46 + HT47), 0)))</f>
        <v>367728.45881362399</v>
      </c>
      <c r="HV47" s="1">
        <f>IF($B47=Analysis!$C$159,0,IF(HP47 &lt; 0,
    IF(HP47 + HQ46 &lt; 0,
        MAX(0, HV46 - (ABS(HP47 + HQ46) * (1+$V46))),
        HV46 + HS47),
    HV46 + HT47 + HS47))</f>
        <v>836245.99136380281</v>
      </c>
      <c r="HW47" s="1">
        <f t="shared" si="58"/>
        <v>712674.49215369311</v>
      </c>
      <c r="HX47" s="36"/>
    </row>
    <row r="48" spans="1:232" x14ac:dyDescent="0.35">
      <c r="A48">
        <f t="shared" si="0"/>
        <v>81</v>
      </c>
      <c r="B48">
        <v>2071</v>
      </c>
      <c r="C48" s="1">
        <f>IF($B48&lt;Analysis!C$66,0,$AN48)+$AT48+$AW48+$BC48+$CF48+$CA48</f>
        <v>2386806.7938612597</v>
      </c>
      <c r="D48" s="1">
        <f>IF($B48&lt;Analysis!C$66, 0, BV48)+AT48+AW48+BC48+CG48+CA48</f>
        <v>1870603.0183597456</v>
      </c>
      <c r="E48" s="1">
        <f t="shared" si="1"/>
        <v>922324.51842641912</v>
      </c>
      <c r="F48" s="1">
        <f t="shared" si="9"/>
        <v>699629.2494405529</v>
      </c>
      <c r="G48" s="1">
        <f>IF(AND($B48&gt;=Analysis!$C$100, $B48&lt;Analysis!$C$101),$CK48,0)+IF($B48&gt;=Analysis!$C$130,EB48,0)+CQ48+CT48+CZ48+EH48+EK48+EQ48+$FO48+$FT48</f>
        <v>2709353.5933534531</v>
      </c>
      <c r="H48" s="1">
        <f t="shared" si="10"/>
        <v>2193149.8178519392</v>
      </c>
      <c r="I48" s="1">
        <f>IF($B48&lt;Analysis!$C$159,0,$FW48)+$GC48+$GF48+$GL48+$HQ48+$HV48</f>
        <v>3195998.7568892175</v>
      </c>
      <c r="J48" s="1">
        <f t="shared" si="59"/>
        <v>2766102.3161215703</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-92943.083875464465</v>
      </c>
      <c r="Y48" s="64">
        <f t="shared" si="15"/>
        <v>3.9215686274509887E-2</v>
      </c>
      <c r="Z48" s="1">
        <f t="shared" si="16"/>
        <v>-3960</v>
      </c>
      <c r="AA48" s="64">
        <f t="shared" si="17"/>
        <v>0</v>
      </c>
      <c r="AB48" s="40"/>
      <c r="AC48" s="1">
        <f t="shared" si="3"/>
        <v>-144903.08387546445</v>
      </c>
      <c r="AD48" s="1">
        <f t="shared" si="4"/>
        <v>52635.243878608642</v>
      </c>
      <c r="AE48" s="1">
        <f t="shared" si="18"/>
        <v>-92267.839996855808</v>
      </c>
      <c r="AF48" s="1">
        <f>IF(AE48 &lt; 0,
    IF(AF47 + AE48 &gt; 0,
        AF47 + AE48, IF(AK47-ABS(AF47 + AE48)*(1+$V48) &gt;= AF47 + AE48,
        0, AF47 + AE48)),
    MIN(AF47 + AE48, Analysis!$C$7))+IF(AF47&lt;0, AF47*Analysis!$C$9,0)</f>
        <v>0</v>
      </c>
      <c r="AG48" s="40"/>
      <c r="AH48" s="1">
        <f t="shared" si="19"/>
        <v>20371.137278871411</v>
      </c>
      <c r="AI48" s="1">
        <f>IF(AE48 &gt;= 0,
    MAX(0, AF47 + AE48 - Analysis!$C$7),
    0)</f>
        <v>0</v>
      </c>
      <c r="AJ48" s="1">
        <f t="shared" si="44"/>
        <v>77982.266347305398</v>
      </c>
      <c r="AK48" s="1">
        <f t="shared" si="20"/>
        <v>922324.51842641912</v>
      </c>
      <c r="AL48" s="1">
        <f t="shared" si="5"/>
        <v>699629.2494405529</v>
      </c>
      <c r="AM48" s="36"/>
      <c r="AN48" s="1">
        <f t="shared" si="45"/>
        <v>4048657.0627569761</v>
      </c>
      <c r="AO48" s="64">
        <f t="shared" si="21"/>
        <v>3.9215686274509887E-2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-12145.971188270929</v>
      </c>
      <c r="BF48" s="64">
        <f>IF($B48&lt;Analysis!$C$66,0,Analysis!$C$78)</f>
        <v>3.0000000000000001E-3</v>
      </c>
      <c r="BG48" s="1">
        <f>IF($B48&lt;Analysis!$C$66,0,-BH48*AN48)</f>
        <v>-30364.92797067732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-516203.77550151444</v>
      </c>
      <c r="BS48" s="64">
        <f>IF($B48&lt;Analysis!C$66,0,Analysis!C$31)</f>
        <v>0.1275</v>
      </c>
      <c r="BT48" s="1">
        <f>IF($B48&lt;Analysis!$C$66,0,AN48+BR48)</f>
        <v>3532453.2872554618</v>
      </c>
      <c r="BU48" s="1">
        <f>IF($B48-Analysis!$C$66&gt;3,0,IF($AN48&gt;LOOKUP(Analysis!$C$66,$B:$B, AN:AN),$V48*(LOOKUP(Analysis!$C$66,$B:$B, AN:AN)-AN48),0))</f>
        <v>0</v>
      </c>
      <c r="BV48" s="1">
        <f t="shared" si="23"/>
        <v>3532453.2872554618</v>
      </c>
      <c r="BW48" s="42"/>
      <c r="BX48" s="1">
        <f>IF($B48&lt;Analysis!$C$66,$P48+$N48+$X48+$Z48,$P48+$N48+AS48+AV48+BB48+BE48+BG48+MAX(BI48,SUM(BJ48:BN48))+BP48)</f>
        <v>-94470.899158948247</v>
      </c>
      <c r="BY48" s="1">
        <f t="shared" si="24"/>
        <v>52635.243878608642</v>
      </c>
      <c r="BZ48" s="1">
        <f t="shared" si="46"/>
        <v>-41835.655280339604</v>
      </c>
      <c r="CA48" s="1">
        <f>IF(BZ48 &lt; 0,
    IF(CA47 + BZ48 &gt; 0,
        CA47 + BZ48, IF(CF47-ABS(CA47 + BZ48)*(1+$V48) &gt;= CA47 + BZ48,
        0, CA47 + BZ48)),
    MIN(CA47 + BZ48, Analysis!$C$7))+IF(CA47&lt;0, CA47*Analysis!$C$9,0)</f>
        <v>-1661850.2688957162</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2435061.8565857168</v>
      </c>
      <c r="CL48" s="64">
        <f t="shared" si="48"/>
        <v>3.9215686274509887E-2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$B48&gt;=Analysis!$C$101),0,((1+Analysis!$D$114)/(1+$S48))-1)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4048657.0627569761</v>
      </c>
      <c r="EC48" s="64">
        <f t="shared" si="50"/>
        <v>3.9215686274509887E-2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-11997.920586517619</v>
      </c>
      <c r="EH48" s="1">
        <f>IF($B48&lt;Analysis!$C$130,0,IF($B48=Analysis!$C$130,-ED48-EG48,MIN(0,EH47-EG48)))</f>
        <v>-283435.81408831553</v>
      </c>
      <c r="EI48" s="64">
        <f>IF($B48&lt;Analysis!$C$130,0,IF($B48=Analysis!$C$130,Analysis!$C$136,IF(($B48-Analysis!$C$130)&lt;LOOKUP(Analysis!$C$130,$B:$B,EE:EE),EI47,0)))</f>
        <v>3.6999999999999998E-2</v>
      </c>
      <c r="EJ48" s="1">
        <f>IF($B48&lt;Analysis!$C$130,0,IF($B48=Analysis!$C$130,-EI48*ED48,EI47*EH47))</f>
        <v>-10931.048182968825</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-22928.968769486444</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-12145.971188270929</v>
      </c>
      <c r="ET48" s="64">
        <f>IF($B48&lt;Analysis!$C$130,0,Analysis!$C$142)</f>
        <v>3.0000000000000001E-3</v>
      </c>
      <c r="EU48" s="1">
        <f>IF($B48&lt;Analysis!$C$130,0,-EV48*EB48)</f>
        <v>-40486.570627569759</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-516203.77550151444</v>
      </c>
      <c r="FG48" s="64">
        <f>IF($B48&lt;Analysis!$C$130,0,Analysis!$C$31)</f>
        <v>0.1275</v>
      </c>
      <c r="FH48" s="1">
        <f>IF($B48&lt;Analysis!$C$130,0,EB48+FF48)</f>
        <v>3532453.2872554618</v>
      </c>
      <c r="FI48" s="1">
        <f>IF($B48-Analysis!$C$130&gt;3,0,IF(EB48&gt;LOOKUP(Analysis!$C$130,$B:$B, EB:EB),$V48*(LOOKUP(Analysis!$C$130,$B:$B, EB:EB)-EB48),0))</f>
        <v>0</v>
      </c>
      <c r="FJ48" s="1">
        <f t="shared" si="33"/>
        <v>3532453.2872554618</v>
      </c>
      <c r="FK48" s="53"/>
      <c r="FL48" s="1">
        <f>$P48+$N48+IF($B48&lt;Analysis!$C$130,$X48+$Z48,0)+CP48+CS48+CY48+DE48+DG48+MIN(DI48,SUM(DJ48:DN48))+DQ48+DS48+DT48+EG48+EJ48+EP48+ES48+EU48+MIN(EW48,SUM(EX48:FB48))+FD48</f>
        <v>-127521.51058532712</v>
      </c>
      <c r="FM48" s="1">
        <f>$M48+$R48+DD48+IF(AND($B48&lt;&gt;Analysis!$C$130,$B48=Analysis!$C$101),DZ47+CQ47+CT47+CZ47,0)</f>
        <v>52635.243878608642</v>
      </c>
      <c r="FN48" s="1">
        <f t="shared" si="34"/>
        <v>-74886.266706718481</v>
      </c>
      <c r="FO48" s="1">
        <f>IF(FN48 &lt; 0,
    IF(FO47 + FN48 &gt; 0,
        FO47 + FN48, IF(FT47-ABS(FO47 + FN48)*(1+$V48) &gt;= FO47 + FN48,
        0, FO47 + FN48)),
    MIN(FO47 + FN48, Analysis!$C$7))+IF(FO47&lt;0, FO47*Analysis!$C$9,0)</f>
        <v>-1055867.6553152071</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2435061.8565857168</v>
      </c>
      <c r="FX48" s="64">
        <f t="shared" si="53"/>
        <v>3.9215686274509887E-2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81325.198391031416</v>
      </c>
      <c r="GO48" s="64">
        <f>IF($B48&lt;Analysis!$C$159,0,((1+Analysis!$D$174)/(1+$S48))-1)</f>
        <v>3.9215686274509887E-2</v>
      </c>
      <c r="GP48" s="1">
        <f t="shared" si="7"/>
        <v>92590.38396078856</v>
      </c>
      <c r="GQ48" s="1">
        <f t="shared" si="36"/>
        <v>-7305.1855697571509</v>
      </c>
      <c r="GR48" s="64">
        <f>IF($B48&lt;Analysis!$C$159,0,Analysis!$C$178)</f>
        <v>3.0000000000000001E-3</v>
      </c>
      <c r="GS48" s="1">
        <f t="shared" si="37"/>
        <v>-18262.963924392876</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-6099.3898793273556</v>
      </c>
      <c r="HD48" s="1">
        <f t="shared" si="38"/>
        <v>-43927.539373477382</v>
      </c>
      <c r="HE48" s="1">
        <f>MIN(0,-(GN48+HD48)*Analysis!$C$28)-GE48*Analysis!$C$28</f>
        <v>-16570.90271067819</v>
      </c>
      <c r="HF48" s="1">
        <f>-Analysis!$C$176*GP48/12</f>
        <v>-7715.8653300657134</v>
      </c>
      <c r="HG48" s="38"/>
      <c r="HH48" s="1">
        <f>IF($B48&lt;Analysis!$C$159,0,-$HI48*$FW48)</f>
        <v>-310470.3867146789</v>
      </c>
      <c r="HI48" s="64">
        <f>IF($B48&lt;Analysis!$C$159,0,IF($B48=Analysis!$C$159,Analysis!$C$31,HI47))</f>
        <v>0.1275</v>
      </c>
      <c r="HJ48" s="1">
        <f>IF($B48&lt;Analysis!$C$159,0,$FW48+HH48)</f>
        <v>2124591.4698710381</v>
      </c>
      <c r="HK48" s="1">
        <f>IF($B48-Analysis!$C$159&gt;10,0,IF($FW48&gt;LOOKUP(Analysis!$C$159,$B:$B, FW:FW),$V48*(LOOKUP(Analysis!$C$159,$B:$B, FW:FW)-FW48),0))</f>
        <v>0</v>
      </c>
      <c r="HL48" s="1">
        <f t="shared" si="39"/>
        <v>2124591.4698710381</v>
      </c>
      <c r="HM48" s="38"/>
      <c r="HN48" s="1">
        <f t="shared" si="40"/>
        <v>-204817.39128968577</v>
      </c>
      <c r="HO48" s="1">
        <f t="shared" si="8"/>
        <v>145225.6278393972</v>
      </c>
      <c r="HP48" s="1">
        <f t="shared" si="41"/>
        <v>-59591.763450288563</v>
      </c>
      <c r="HQ48" s="1">
        <f>IF(HP48 &lt; 0,
    IF(HQ47 + HP48 &gt; 0,
        HQ47 + HP48, IF(HV47-ABS(HQ47 + HP48)*(1+$V48) &gt;= HQ47 + HP48,
        0, HQ47 + HP48)),
    MIN(HQ47 + HP48, Analysis!$C$7))+IF(HQ47&lt;0, HQ47*Analysis!$C$9,0)</f>
        <v>0</v>
      </c>
      <c r="HR48" s="38"/>
      <c r="HS48" s="1">
        <f t="shared" si="54"/>
        <v>16396.980222819606</v>
      </c>
      <c r="HT48" s="1">
        <f>IF($B48=Analysis!$C$159,0,IF(HP48 &gt;= 0,
    MAX(0, HQ47 + HP48 - Analysis!$C$7),
    0))</f>
        <v>0</v>
      </c>
      <c r="HU48" s="1">
        <f>IF($B48=Analysis!$C$159,0,MAX(0, HU47 + HT48 - IF(HP48 &lt; 0, MIN(ABS(HP48), HU47 + HT48), 0)))</f>
        <v>308136.69536333543</v>
      </c>
      <c r="HV48" s="1">
        <f>IF($B48=Analysis!$C$159,0,IF(HP48 &lt; 0,
    IF(HP48 + HQ47 &lt; 0,
        MAX(0, HV47 - (ABS(HP48 + HQ47) * (1+$V47))),
        HV47 + HS48),
    HV47 + HT48 + HS48))</f>
        <v>760936.9003035007</v>
      </c>
      <c r="HW48" s="1">
        <f t="shared" si="58"/>
        <v>641510.84625053208</v>
      </c>
      <c r="HX48" s="36"/>
    </row>
    <row r="49" spans="1:232" x14ac:dyDescent="0.35">
      <c r="A49">
        <f t="shared" si="0"/>
        <v>82</v>
      </c>
      <c r="B49">
        <v>2072</v>
      </c>
      <c r="C49" s="1">
        <f>IF($B49&lt;Analysis!C$66,0,$AN49)+$AT49+$AW49+$BC49+$CF49+$CA49</f>
        <v>2368074.1833131821</v>
      </c>
      <c r="D49" s="1">
        <f>IF($B49&lt;Analysis!C$66, 0, BV49)+AT49+AW49+BC49+CG49+CA49</f>
        <v>1831627.1224978827</v>
      </c>
      <c r="E49" s="1">
        <f t="shared" si="1"/>
        <v>799784.5299492972</v>
      </c>
      <c r="F49" s="1">
        <f t="shared" si="9"/>
        <v>588841.36017517</v>
      </c>
      <c r="G49" s="1">
        <f>IF(AND($B49&gt;=Analysis!$C$100, $B49&lt;Analysis!$C$101),$CK49,0)+IF($B49&gt;=Analysis!$C$130,EB49,0)+CQ49+CT49+CZ49+EH49+EK49+EQ49+$FO49+$FT49</f>
        <v>2718093.8969506407</v>
      </c>
      <c r="H49" s="1">
        <f t="shared" si="10"/>
        <v>2181646.8361353418</v>
      </c>
      <c r="I49" s="1">
        <f>IF($B49&lt;Analysis!$C$159,0,$FW49)+$GC49+$GF49+$GL49+$HQ49+$HV49</f>
        <v>3211612.3006473863</v>
      </c>
      <c r="J49" s="1">
        <f t="shared" si="59"/>
        <v>2773937.5541016292</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-96587.910694110135</v>
      </c>
      <c r="Y49" s="64">
        <f t="shared" si="15"/>
        <v>3.9215686274509887E-2</v>
      </c>
      <c r="Z49" s="1">
        <f t="shared" si="16"/>
        <v>-3960</v>
      </c>
      <c r="AA49" s="64">
        <f t="shared" si="17"/>
        <v>0</v>
      </c>
      <c r="AB49" s="40"/>
      <c r="AC49" s="1">
        <f t="shared" si="3"/>
        <v>-148547.91069411015</v>
      </c>
      <c r="AD49" s="1">
        <f t="shared" si="4"/>
        <v>51582.539001036472</v>
      </c>
      <c r="AE49" s="1">
        <f t="shared" si="18"/>
        <v>-96965.371693073685</v>
      </c>
      <c r="AF49" s="1">
        <f>IF(AE49 &lt; 0,
    IF(AF48 + AE49 &gt; 0,
        AF48 + AE49, IF(AK48-ABS(AF48 + AE49)*(1+$V49) &gt;= AF48 + AE49,
        0, AF48 + AE49)),
    MIN(AF48 + AE49, Analysis!$C$7))+IF(AF48&lt;0, AF48*Analysis!$C$9,0)</f>
        <v>0</v>
      </c>
      <c r="AG49" s="40"/>
      <c r="AH49" s="1">
        <f t="shared" si="19"/>
        <v>18084.79447894933</v>
      </c>
      <c r="AI49" s="1">
        <f>IF(AE49 &gt;= 0,
    MAX(0, AF48 + AE49 - Analysis!$C$7),
    0)</f>
        <v>0</v>
      </c>
      <c r="AJ49" s="1">
        <f t="shared" si="44"/>
        <v>0</v>
      </c>
      <c r="AK49" s="1">
        <f t="shared" si="20"/>
        <v>799784.5299492972</v>
      </c>
      <c r="AL49" s="1">
        <f t="shared" si="5"/>
        <v>588841.36017517</v>
      </c>
      <c r="AM49" s="36"/>
      <c r="AN49" s="1">
        <f t="shared" si="45"/>
        <v>4207427.927963132</v>
      </c>
      <c r="AO49" s="64">
        <f t="shared" si="21"/>
        <v>3.9215686274509887E-2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-12622.283783889396</v>
      </c>
      <c r="BF49" s="64">
        <f>IF($B49&lt;Analysis!$C$66,0,Analysis!$C$78)</f>
        <v>3.0000000000000001E-3</v>
      </c>
      <c r="BG49" s="1">
        <f>IF($B49&lt;Analysis!$C$66,0,-BH49*AN49)</f>
        <v>-31555.70945972349</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-536447.0608152994</v>
      </c>
      <c r="BS49" s="64">
        <f>IF($B49&lt;Analysis!C$66,0,Analysis!C$31)</f>
        <v>0.1275</v>
      </c>
      <c r="BT49" s="1">
        <f>IF($B49&lt;Analysis!$C$66,0,AN49+BR49)</f>
        <v>3670980.8671478326</v>
      </c>
      <c r="BU49" s="1">
        <f>IF($B49-Analysis!$C$66&gt;3,0,IF($AN49&gt;LOOKUP(Analysis!$C$66,$B:$B, AN:AN),$V49*(LOOKUP(Analysis!$C$66,$B:$B, AN:AN)-AN49),0))</f>
        <v>0</v>
      </c>
      <c r="BV49" s="1">
        <f t="shared" si="23"/>
        <v>3670980.8671478326</v>
      </c>
      <c r="BW49" s="42"/>
      <c r="BX49" s="1">
        <f>IF($B49&lt;Analysis!$C$66,$P49+$N49+$X49+$Z49,$P49+$N49+AS49+AV49+BB49+BE49+BG49+MAX(BI49,SUM(BJ49:BN49))+BP49)</f>
        <v>-96137.993243612887</v>
      </c>
      <c r="BY49" s="1">
        <f t="shared" si="24"/>
        <v>51582.539001036472</v>
      </c>
      <c r="BZ49" s="1">
        <f t="shared" si="46"/>
        <v>-44555.454242576416</v>
      </c>
      <c r="CA49" s="1">
        <f>IF(BZ49 &lt; 0,
    IF(CA48 + BZ49 &gt; 0,
        CA48 + BZ49, IF(CF48-ABS(CA48 + BZ49)*(1+$V49) &gt;= CA48 + BZ49,
        0, CA48 + BZ49)),
    MIN(CA48 + BZ49, Analysis!$C$7))+IF(CA48&lt;0, CA48*Analysis!$C$9,0)</f>
        <v>-1839353.7446499499</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2530554.4784126077</v>
      </c>
      <c r="CL49" s="64">
        <f t="shared" si="48"/>
        <v>3.9215686274509887E-2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$B49&gt;=Analysis!$C$101),0,((1+Analysis!$D$114)/(1+$S49))-1)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4207427.927963132</v>
      </c>
      <c r="EC49" s="64">
        <f t="shared" si="50"/>
        <v>3.9215686274509887E-2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-12441.84364821877</v>
      </c>
      <c r="EH49" s="1">
        <f>IF($B49&lt;Analysis!$C$130,0,IF($B49=Analysis!$C$130,-ED49-EG49,MIN(0,EH48-EG49)))</f>
        <v>-270993.97044009675</v>
      </c>
      <c r="EI49" s="64">
        <f>IF($B49&lt;Analysis!$C$130,0,IF($B49=Analysis!$C$130,Analysis!$C$136,IF(($B49-Analysis!$C$130)&lt;LOOKUP(Analysis!$C$130,$B:$B,EE:EE),EI48,0)))</f>
        <v>3.6999999999999998E-2</v>
      </c>
      <c r="EJ49" s="1">
        <f>IF($B49&lt;Analysis!$C$130,0,IF($B49=Analysis!$C$130,-EI49*ED49,EI48*EH48))</f>
        <v>-10487.125121267674</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-22928.968769486444</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-12622.283783889396</v>
      </c>
      <c r="ET49" s="64">
        <f>IF($B49&lt;Analysis!$C$130,0,Analysis!$C$142)</f>
        <v>3.0000000000000001E-3</v>
      </c>
      <c r="EU49" s="1">
        <f>IF($B49&lt;Analysis!$C$130,0,-EV49*EB49)</f>
        <v>-42074.279279631322</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-536447.0608152994</v>
      </c>
      <c r="FG49" s="64">
        <f>IF($B49&lt;Analysis!$C$130,0,Analysis!$C$31)</f>
        <v>0.1275</v>
      </c>
      <c r="FH49" s="1">
        <f>IF($B49&lt;Analysis!$C$130,0,EB49+FF49)</f>
        <v>3670980.8671478326</v>
      </c>
      <c r="FI49" s="1">
        <f>IF($B49-Analysis!$C$130&gt;3,0,IF(EB49&gt;LOOKUP(Analysis!$C$130,$B:$B, EB:EB),$V49*(LOOKUP(Analysis!$C$130,$B:$B, EB:EB)-EB49),0))</f>
        <v>0</v>
      </c>
      <c r="FJ49" s="1">
        <f t="shared" si="33"/>
        <v>3670980.8671478326</v>
      </c>
      <c r="FK49" s="53"/>
      <c r="FL49" s="1">
        <f>$P49+$N49+IF($B49&lt;Analysis!$C$130,$X49+$Z49,0)+CP49+CS49+CY49+DE49+DG49+MIN(DI49,SUM(DJ49:DN49))+DQ49+DS49+DT49+EG49+EJ49+EP49+ES49+EU49+MIN(EW49,SUM(EX49:FB49))+FD49</f>
        <v>-129585.53183300715</v>
      </c>
      <c r="FM49" s="1">
        <f>$M49+$R49+DD49+IF(AND($B49&lt;&gt;Analysis!$C$130,$B49=Analysis!$C$101),DZ48+CQ48+CT48+CZ48,0)</f>
        <v>51582.539001036472</v>
      </c>
      <c r="FN49" s="1">
        <f t="shared" si="34"/>
        <v>-78002.992831970681</v>
      </c>
      <c r="FO49" s="1">
        <f>IF(FN49 &lt; 0,
    IF(FO48 + FN49 &gt; 0,
        FO48 + FN49, IF(FT48-ABS(FO48 + FN49)*(1+$V49) &gt;= FO48 + FN49,
        0, FO48 + FN49)),
    MIN(FO48 + FN49, Analysis!$C$7))+IF(FO48&lt;0, FO48*Analysis!$C$9,0)</f>
        <v>-1218340.0605723944</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2530554.4784126077</v>
      </c>
      <c r="FX49" s="64">
        <f t="shared" si="53"/>
        <v>3.9215686274509887E-2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84514.421857346373</v>
      </c>
      <c r="GO49" s="64">
        <f>IF($B49&lt;Analysis!$C$159,0,((1+Analysis!$D$174)/(1+$S49))-1)</f>
        <v>3.9215686274509887E-2</v>
      </c>
      <c r="GP49" s="1">
        <f t="shared" si="7"/>
        <v>96066.08529258419</v>
      </c>
      <c r="GQ49" s="1">
        <f t="shared" si="36"/>
        <v>-7591.6634352378233</v>
      </c>
      <c r="GR49" s="64">
        <f>IF($B49&lt;Analysis!$C$159,0,Analysis!$C$178)</f>
        <v>3.0000000000000001E-3</v>
      </c>
      <c r="GS49" s="1">
        <f t="shared" si="37"/>
        <v>-18979.158588094557</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-6338.5816393009782</v>
      </c>
      <c r="HD49" s="1">
        <f t="shared" si="38"/>
        <v>-45169.403662633362</v>
      </c>
      <c r="HE49" s="1">
        <f>MIN(0,-(GN49+HD49)*Analysis!$C$28)-GE49*Analysis!$C$28</f>
        <v>-17433.777562077332</v>
      </c>
      <c r="HF49" s="1">
        <f>-Analysis!$C$176*GP49/12</f>
        <v>-8005.5071077153489</v>
      </c>
      <c r="HG49" s="38"/>
      <c r="HH49" s="1">
        <f>IF($B49&lt;Analysis!$C$159,0,-$HI49*$FW49)</f>
        <v>-322645.69599760749</v>
      </c>
      <c r="HI49" s="64">
        <f>IF($B49&lt;Analysis!$C$159,0,IF($B49=Analysis!$C$159,Analysis!$C$31,HI48))</f>
        <v>0.1275</v>
      </c>
      <c r="HJ49" s="1">
        <f>IF($B49&lt;Analysis!$C$159,0,$FW49+HH49)</f>
        <v>2207908.7824150003</v>
      </c>
      <c r="HK49" s="1">
        <f>IF($B49-Analysis!$C$159&gt;10,0,IF($FW49&gt;LOOKUP(Analysis!$C$159,$B:$B, FW:FW),$V49*(LOOKUP(Analysis!$C$159,$B:$B, FW:FW)-FW49),0))</f>
        <v>0</v>
      </c>
      <c r="HL49" s="1">
        <f t="shared" si="39"/>
        <v>2207908.7824150003</v>
      </c>
      <c r="HM49" s="38"/>
      <c r="HN49" s="1">
        <f t="shared" si="40"/>
        <v>-210856.59902653619</v>
      </c>
      <c r="HO49" s="1">
        <f t="shared" si="8"/>
        <v>147648.62429362067</v>
      </c>
      <c r="HP49" s="1">
        <f t="shared" si="41"/>
        <v>-63207.974732915522</v>
      </c>
      <c r="HQ49" s="1">
        <f>IF(HP49 &lt; 0,
    IF(HQ48 + HP49 &gt; 0,
        HQ48 + HP49, IF(HV48-ABS(HQ48 + HP49)*(1+$V49) &gt;= HQ48 + HP49,
        0, HQ48 + HP49)),
    MIN(HQ48 + HP49, Analysis!$C$7))+IF(HQ48&lt;0, HQ48*Analysis!$C$9,0)</f>
        <v>0</v>
      </c>
      <c r="HR49" s="38"/>
      <c r="HS49" s="1">
        <f t="shared" si="54"/>
        <v>14920.331378499961</v>
      </c>
      <c r="HT49" s="1">
        <f>IF($B49=Analysis!$C$159,0,IF(HP49 &gt;= 0,
    MAX(0, HQ48 + HP49 - Analysis!$C$7),
    0))</f>
        <v>0</v>
      </c>
      <c r="HU49" s="1">
        <f>IF($B49=Analysis!$C$159,0,MAX(0, HU48 + HT49 - IF(HP49 &lt; 0, MIN(ABS(HP49), HU48 + HT49), 0)))</f>
        <v>244928.72063041991</v>
      </c>
      <c r="HV49" s="1">
        <f>IF($B49=Analysis!$C$159,0,IF(HP49 &lt; 0,
    IF(HP49 + HQ48 &lt; 0,
        MAX(0, HV48 - (ABS(HP49 + HQ48) * (1+$V48))),
        HV48 + HS49),
    HV48 + HT49 + HS49))</f>
        <v>681057.82223477867</v>
      </c>
      <c r="HW49" s="1">
        <f t="shared" si="58"/>
        <v>566028.77168662904</v>
      </c>
      <c r="HX49" s="36"/>
    </row>
    <row r="50" spans="1:232" x14ac:dyDescent="0.35">
      <c r="A50">
        <f t="shared" si="0"/>
        <v>83</v>
      </c>
      <c r="B50">
        <v>2073</v>
      </c>
      <c r="C50" s="1">
        <f>IF($B50&lt;Analysis!C$66,0,$AN50)+$AT50+$AW50+$BC50+$CF50+$CA50</f>
        <v>2338603.4820409236</v>
      </c>
      <c r="D50" s="1">
        <f>IF($B50&lt;Analysis!C$66, 0, BV50)+AT50+AW50+BC50+CG50+CA50</f>
        <v>1781119.2815858084</v>
      </c>
      <c r="E50" s="1">
        <f t="shared" si="1"/>
        <v>671154.00957776012</v>
      </c>
      <c r="F50" s="1">
        <f t="shared" si="9"/>
        <v>494137.13955162594</v>
      </c>
      <c r="G50" s="1">
        <f>IF(AND($B50&gt;=Analysis!$C$100, $B50&lt;Analysis!$C$101),$CK50,0)+IF($B50&gt;=Analysis!$C$130,EB50,0)+CQ50+CT50+CZ50+EH50+EK50+EQ50+$FO50+$FT50</f>
        <v>2717346.4507442815</v>
      </c>
      <c r="H50" s="1">
        <f t="shared" si="10"/>
        <v>2159862.2502891663</v>
      </c>
      <c r="I50" s="1">
        <f>IF($B50&lt;Analysis!$C$159,0,$FW50)+$GC50+$GF50+$GL50+$HQ50+$HV50</f>
        <v>3226300.2288504653</v>
      </c>
      <c r="J50" s="1">
        <f t="shared" si="59"/>
        <v>2780626.8004083401</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-100375.67189780074</v>
      </c>
      <c r="Y50" s="64">
        <f t="shared" si="15"/>
        <v>3.9215686274509887E-2</v>
      </c>
      <c r="Z50" s="1">
        <f t="shared" si="16"/>
        <v>-3960</v>
      </c>
      <c r="AA50" s="64">
        <f t="shared" si="17"/>
        <v>0</v>
      </c>
      <c r="AB50" s="40"/>
      <c r="AC50" s="1">
        <f t="shared" si="3"/>
        <v>-152335.67189780076</v>
      </c>
      <c r="AD50" s="1">
        <f t="shared" si="4"/>
        <v>50550.888221015739</v>
      </c>
      <c r="AE50" s="1">
        <f t="shared" si="18"/>
        <v>-101784.78367678501</v>
      </c>
      <c r="AF50" s="1">
        <f>IF(AE50 &lt; 0,
    IF(AF49 + AE50 &gt; 0,
        AF49 + AE50, IF(AK49-ABS(AF49 + AE50)*(1+$V50) &gt;= AF49 + AE50,
        0, AF49 + AE50)),
    MIN(AF49 + AE50, Analysis!$C$7))+IF(AF49&lt;0, AF49*Analysis!$C$9,0)</f>
        <v>0</v>
      </c>
      <c r="AG50" s="40"/>
      <c r="AH50" s="1">
        <f t="shared" si="19"/>
        <v>15682.049606848908</v>
      </c>
      <c r="AI50" s="1">
        <f>IF(AE50 &gt;= 0,
    MAX(0, AF49 + AE50 - Analysis!$C$7),
    0)</f>
        <v>0</v>
      </c>
      <c r="AJ50" s="1">
        <f t="shared" si="44"/>
        <v>0</v>
      </c>
      <c r="AK50" s="1">
        <f t="shared" si="20"/>
        <v>671154.00957776012</v>
      </c>
      <c r="AL50" s="1">
        <f t="shared" si="5"/>
        <v>494137.13955162594</v>
      </c>
      <c r="AM50" s="36"/>
      <c r="AN50" s="1">
        <f t="shared" si="45"/>
        <v>4372425.1016087458</v>
      </c>
      <c r="AO50" s="64">
        <f t="shared" si="21"/>
        <v>3.9215686274509887E-2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-13117.275304826238</v>
      </c>
      <c r="BF50" s="64">
        <f>IF($B50&lt;Analysis!$C$66,0,Analysis!$C$78)</f>
        <v>3.0000000000000001E-3</v>
      </c>
      <c r="BG50" s="1">
        <f>IF($B50&lt;Analysis!$C$66,0,-BH50*AN50)</f>
        <v>-32793.188262065589</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-557484.20045511506</v>
      </c>
      <c r="BS50" s="64">
        <f>IF($B50&lt;Analysis!C$66,0,Analysis!C$31)</f>
        <v>0.1275</v>
      </c>
      <c r="BT50" s="1">
        <f>IF($B50&lt;Analysis!$C$66,0,AN50+BR50)</f>
        <v>3814940.9011536306</v>
      </c>
      <c r="BU50" s="1">
        <f>IF($B50-Analysis!$C$66&gt;3,0,IF($AN50&gt;LOOKUP(Analysis!$C$66,$B:$B, AN:AN),$V50*(LOOKUP(Analysis!$C$66,$B:$B, AN:AN)-AN50),0))</f>
        <v>0</v>
      </c>
      <c r="BV50" s="1">
        <f t="shared" si="23"/>
        <v>3814940.9011536306</v>
      </c>
      <c r="BW50" s="42"/>
      <c r="BX50" s="1">
        <f>IF($B50&lt;Analysis!$C$66,$P50+$N50+$X50+$Z50,$P50+$N50+AS50+AV50+BB50+BE50+BG50+MAX(BI50,SUM(BJ50:BN50))+BP50)</f>
        <v>-97870.46356689182</v>
      </c>
      <c r="BY50" s="1">
        <f t="shared" si="24"/>
        <v>50550.888221015739</v>
      </c>
      <c r="BZ50" s="1">
        <f t="shared" si="46"/>
        <v>-47319.575345876081</v>
      </c>
      <c r="CA50" s="1">
        <f>IF(BZ50 &lt; 0,
    IF(CA49 + BZ50 &gt; 0,
        CA49 + BZ50, IF(CF49-ABS(CA49 + BZ50)*(1+$V50) &gt;= CA49 + BZ50,
        0, CA49 + BZ50)),
    MIN(CA49 + BZ50, Analysis!$C$7))+IF(CA49&lt;0, CA49*Analysis!$C$9,0)</f>
        <v>-2033821.6195678222</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2629791.9089385923</v>
      </c>
      <c r="CL50" s="64">
        <f t="shared" si="48"/>
        <v>3.9215686274509887E-2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$B50&gt;=Analysis!$C$101),0,((1+Analysis!$D$114)/(1+$S50))-1)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4372425.1016087458</v>
      </c>
      <c r="EC50" s="64">
        <f t="shared" si="50"/>
        <v>3.9215686274509887E-2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-12902.191863202865</v>
      </c>
      <c r="EH50" s="1">
        <f>IF($B50&lt;Analysis!$C$130,0,IF($B50=Analysis!$C$130,-ED50-EG50,MIN(0,EH49-EG50)))</f>
        <v>-258091.77857689388</v>
      </c>
      <c r="EI50" s="64">
        <f>IF($B50&lt;Analysis!$C$130,0,IF($B50=Analysis!$C$130,Analysis!$C$136,IF(($B50-Analysis!$C$130)&lt;LOOKUP(Analysis!$C$130,$B:$B,EE:EE),EI49,0)))</f>
        <v>3.6999999999999998E-2</v>
      </c>
      <c r="EJ50" s="1">
        <f>IF($B50&lt;Analysis!$C$130,0,IF($B50=Analysis!$C$130,-EI50*ED50,EI49*EH49))</f>
        <v>-10026.77690628358</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-22928.968769486444</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-13117.275304826238</v>
      </c>
      <c r="ET50" s="64">
        <f>IF($B50&lt;Analysis!$C$130,0,Analysis!$C$142)</f>
        <v>3.0000000000000001E-3</v>
      </c>
      <c r="EU50" s="1">
        <f>IF($B50&lt;Analysis!$C$130,0,-EV50*EB50)</f>
        <v>-43724.251016087459</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-557484.20045511506</v>
      </c>
      <c r="FG50" s="64">
        <f>IF($B50&lt;Analysis!$C$130,0,Analysis!$C$31)</f>
        <v>0.1275</v>
      </c>
      <c r="FH50" s="1">
        <f>IF($B50&lt;Analysis!$C$130,0,EB50+FF50)</f>
        <v>3814940.9011536306</v>
      </c>
      <c r="FI50" s="1">
        <f>IF($B50-Analysis!$C$130&gt;3,0,IF(EB50&gt;LOOKUP(Analysis!$C$130,$B:$B, EB:EB),$V50*(LOOKUP(Analysis!$C$130,$B:$B, EB:EB)-EB50),0))</f>
        <v>0</v>
      </c>
      <c r="FJ50" s="1">
        <f t="shared" si="33"/>
        <v>3814940.9011536306</v>
      </c>
      <c r="FK50" s="53"/>
      <c r="FL50" s="1">
        <f>$P50+$N50+IF($B50&lt;Analysis!$C$130,$X50+$Z50,0)+CP50+CS50+CY50+DE50+DG50+MIN(DI50,SUM(DJ50:DN50))+DQ50+DS50+DT50+EG50+EJ50+EP50+ES50+EU50+MIN(EW50,SUM(EX50:FB50))+FD50</f>
        <v>-131730.49509040013</v>
      </c>
      <c r="FM50" s="1">
        <f>$M50+$R50+DD50+IF(AND($B50&lt;&gt;Analysis!$C$130,$B50=Analysis!$C$101),DZ49+CQ49+CT49+CZ49,0)</f>
        <v>50550.888221015739</v>
      </c>
      <c r="FN50" s="1">
        <f t="shared" si="34"/>
        <v>-81179.606869384384</v>
      </c>
      <c r="FO50" s="1">
        <f>IF(FN50 &lt; 0,
    IF(FO49 + FN50 &gt; 0,
        FO49 + FN50, IF(FT49-ABS(FO49 + FN50)*(1+$V50) &gt;= FO49 + FN50,
        0, FO49 + FN50)),
    MIN(FO49 + FN50, Analysis!$C$7))+IF(FO49&lt;0, FO49*Analysis!$C$9,0)</f>
        <v>-1396986.8722875703</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2629791.9089385923</v>
      </c>
      <c r="FX50" s="64">
        <f t="shared" si="53"/>
        <v>3.9215686274509887E-2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87828.712910575647</v>
      </c>
      <c r="GO50" s="64">
        <f>IF($B50&lt;Analysis!$C$159,0,((1+Analysis!$D$174)/(1+$S50))-1)</f>
        <v>3.9215686274509887E-2</v>
      </c>
      <c r="GP50" s="1">
        <f t="shared" si="7"/>
        <v>99678.088637391425</v>
      </c>
      <c r="GQ50" s="1">
        <f t="shared" si="36"/>
        <v>-7889.3757268157769</v>
      </c>
      <c r="GR50" s="64">
        <f>IF($B50&lt;Analysis!$C$159,0,Analysis!$C$178)</f>
        <v>3.0000000000000001E-3</v>
      </c>
      <c r="GS50" s="1">
        <f t="shared" si="37"/>
        <v>-19723.439317039443</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-6587.1534682931733</v>
      </c>
      <c r="HD50" s="1">
        <f t="shared" si="38"/>
        <v>-46459.968512148393</v>
      </c>
      <c r="HE50" s="1">
        <f>MIN(0,-(GN50+HD50)*Analysis!$C$28)-GE50*Analysis!$C$28</f>
        <v>-18330.490642943114</v>
      </c>
      <c r="HF50" s="1">
        <f>-Analysis!$C$176*GP50/12</f>
        <v>-8306.5073864492861</v>
      </c>
      <c r="HG50" s="38"/>
      <c r="HH50" s="1">
        <f>IF($B50&lt;Analysis!$C$159,0,-$HI50*$FW50)</f>
        <v>-335298.46838967054</v>
      </c>
      <c r="HI50" s="64">
        <f>IF($B50&lt;Analysis!$C$159,0,IF($B50=Analysis!$C$159,Analysis!$C$31,HI49))</f>
        <v>0.1275</v>
      </c>
      <c r="HJ50" s="1">
        <f>IF($B50&lt;Analysis!$C$159,0,$FW50+HH50)</f>
        <v>2294493.4405489219</v>
      </c>
      <c r="HK50" s="1">
        <f>IF($B50-Analysis!$C$159&gt;10,0,IF($FW50&gt;LOOKUP(Analysis!$C$159,$B:$B, FW:FW),$V50*(LOOKUP(Analysis!$C$159,$B:$B, FW:FW)-FW50),0))</f>
        <v>0</v>
      </c>
      <c r="HL50" s="1">
        <f t="shared" si="39"/>
        <v>2294493.4405489219</v>
      </c>
      <c r="HM50" s="38"/>
      <c r="HN50" s="1">
        <f t="shared" si="40"/>
        <v>-217132.63843934154</v>
      </c>
      <c r="HO50" s="1">
        <f t="shared" si="8"/>
        <v>150228.97685840717</v>
      </c>
      <c r="HP50" s="1">
        <f t="shared" si="41"/>
        <v>-66903.661580934364</v>
      </c>
      <c r="HQ50" s="1">
        <f>IF(HP50 &lt; 0,
    IF(HQ49 + HP50 &gt; 0,
        HQ49 + HP50, IF(HV49-ABS(HQ49 + HP50)*(1+$V50) &gt;= HQ49 + HP50,
        0, HQ49 + HP50)),
    MIN(HQ49 + HP50, Analysis!$C$7))+IF(HQ49&lt;0, HQ49*Analysis!$C$9,0)</f>
        <v>0</v>
      </c>
      <c r="HR50" s="38"/>
      <c r="HS50" s="1">
        <f t="shared" si="54"/>
        <v>13354.074945779927</v>
      </c>
      <c r="HT50" s="1">
        <f>IF($B50=Analysis!$C$159,0,IF(HP50 &gt;= 0,
    MAX(0, HQ49 + HP50 - Analysis!$C$7),
    0))</f>
        <v>0</v>
      </c>
      <c r="HU50" s="1">
        <f>IF($B50=Analysis!$C$159,0,MAX(0, HU49 + HT50 - IF(HP50 &lt; 0, MIN(ABS(HP50), HU49 + HT50), 0)))</f>
        <v>178025.05904948554</v>
      </c>
      <c r="HV50" s="1">
        <f>IF($B50=Analysis!$C$159,0,IF(HP50 &lt; 0,
    IF(HP50 + HQ49 &lt; 0,
        MAX(0, HV49 - (ABS(HP50 + HQ49) * (1+$V49))),
        HV49 + HS50),
    HV49 + HT50 + HS50))</f>
        <v>596508.31991187285</v>
      </c>
      <c r="HW50" s="1">
        <f t="shared" si="58"/>
        <v>486133.35985941824</v>
      </c>
      <c r="HX50" s="36"/>
    </row>
    <row r="51" spans="1:232" x14ac:dyDescent="0.35">
      <c r="A51">
        <f t="shared" si="0"/>
        <v>84</v>
      </c>
      <c r="B51">
        <v>2074</v>
      </c>
      <c r="C51" s="1">
        <f>IF($B51&lt;Analysis!C$66,0,$AN51)+$AT51+$AW51+$BC51+$CF51+$CA51</f>
        <v>2297234.400072725</v>
      </c>
      <c r="D51" s="1">
        <f>IF($B51&lt;Analysis!C$66, 0, BV51)+AT51+AW51+BC51+CG51+CA51</f>
        <v>1717888.0741095659</v>
      </c>
      <c r="E51" s="1">
        <f t="shared" si="1"/>
        <v>536271.31529620767</v>
      </c>
      <c r="F51" s="1">
        <f t="shared" si="9"/>
        <v>394829.75588683289</v>
      </c>
      <c r="G51" s="1">
        <f>IF(AND($B51&gt;=Analysis!$C$100, $B51&lt;Analysis!$C$101),$CK51,0)+IF($B51&gt;=Analysis!$C$130,EB51,0)+CQ51+CT51+CZ51+EH51+EK51+EQ51+$FO51+$FT51</f>
        <v>2706015.0208695279</v>
      </c>
      <c r="H51" s="1">
        <f t="shared" si="10"/>
        <v>2126668.6949063689</v>
      </c>
      <c r="I51" s="1">
        <f>IF($B51&lt;Analysis!$C$159,0,$FW51)+$GC51+$GF51+$GL51+$HQ51+$HV51</f>
        <v>3240103.4452216509</v>
      </c>
      <c r="J51" s="1">
        <f t="shared" si="59"/>
        <v>2786198.0669019399</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-104311.97275653803</v>
      </c>
      <c r="Y51" s="64">
        <f t="shared" si="15"/>
        <v>3.9215686274509887E-2</v>
      </c>
      <c r="Z51" s="1">
        <f t="shared" si="16"/>
        <v>-3960</v>
      </c>
      <c r="AA51" s="64">
        <f t="shared" si="17"/>
        <v>0</v>
      </c>
      <c r="AB51" s="40"/>
      <c r="AC51" s="1">
        <f t="shared" si="3"/>
        <v>-156271.97275653802</v>
      </c>
      <c r="AD51" s="1">
        <f t="shared" si="4"/>
        <v>49539.870456595425</v>
      </c>
      <c r="AE51" s="1">
        <f t="shared" si="18"/>
        <v>-106732.10229994259</v>
      </c>
      <c r="AF51" s="1">
        <f>IF(AE51 &lt; 0,
    IF(AF50 + AE51 &gt; 0,
        AF50 + AE51, IF(AK50-ABS(AF50 + AE51)*(1+$V51) &gt;= AF50 + AE51,
        0, AF50 + AE51)),
    MIN(AF50 + AE51, Analysis!$C$7))+IF(AF50&lt;0, AF50*Analysis!$C$9,0)</f>
        <v>0</v>
      </c>
      <c r="AG51" s="40"/>
      <c r="AH51" s="1">
        <f t="shared" si="19"/>
        <v>13159.882540740347</v>
      </c>
      <c r="AI51" s="1">
        <f>IF(AE51 &gt;= 0,
    MAX(0, AF50 + AE51 - Analysis!$C$7),
    0)</f>
        <v>0</v>
      </c>
      <c r="AJ51" s="1">
        <f t="shared" si="44"/>
        <v>0</v>
      </c>
      <c r="AK51" s="1">
        <f t="shared" si="20"/>
        <v>536271.31529620767</v>
      </c>
      <c r="AL51" s="1">
        <f t="shared" si="5"/>
        <v>394829.75588683289</v>
      </c>
      <c r="AM51" s="36"/>
      <c r="AN51" s="1">
        <f t="shared" si="45"/>
        <v>4543892.752652226</v>
      </c>
      <c r="AO51" s="64">
        <f t="shared" si="21"/>
        <v>3.9215686274509887E-2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-13631.678257956679</v>
      </c>
      <c r="BF51" s="64">
        <f>IF($B51&lt;Analysis!$C$66,0,Analysis!$C$78)</f>
        <v>3.0000000000000001E-3</v>
      </c>
      <c r="BG51" s="1">
        <f>IF($B51&lt;Analysis!$C$66,0,-BH51*AN51)</f>
        <v>-34079.195644891697</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-579346.32596315886</v>
      </c>
      <c r="BS51" s="64">
        <f>IF($B51&lt;Analysis!C$66,0,Analysis!C$31)</f>
        <v>0.1275</v>
      </c>
      <c r="BT51" s="1">
        <f>IF($B51&lt;Analysis!$C$66,0,AN51+BR51)</f>
        <v>3964546.4266890669</v>
      </c>
      <c r="BU51" s="1">
        <f>IF($B51-Analysis!$C$66&gt;3,0,IF($AN51&gt;LOOKUP(Analysis!$C$66,$B:$B, AN:AN),$V51*(LOOKUP(Analysis!$C$66,$B:$B, AN:AN)-AN51),0))</f>
        <v>0</v>
      </c>
      <c r="BV51" s="1">
        <f t="shared" si="23"/>
        <v>3964546.4266890669</v>
      </c>
      <c r="BW51" s="42"/>
      <c r="BX51" s="1">
        <f>IF($B51&lt;Analysis!$C$66,$P51+$N51+$X51+$Z51,$P51+$N51+AS51+AV51+BB51+BE51+BG51+MAX(BI51,SUM(BJ51:BN51))+BP51)</f>
        <v>-99670.873902848369</v>
      </c>
      <c r="BY51" s="1">
        <f t="shared" si="24"/>
        <v>49539.870456595425</v>
      </c>
      <c r="BZ51" s="1">
        <f t="shared" si="46"/>
        <v>-50131.003446252944</v>
      </c>
      <c r="CA51" s="1">
        <f>IF(BZ51 &lt; 0,
    IF(CA50 + BZ51 &gt; 0,
        CA50 + BZ51, IF(CF50-ABS(CA50 + BZ51)*(1+$V51) &gt;= CA50 + BZ51,
        0, CA50 + BZ51)),
    MIN(CA50 + BZ51, Analysis!$C$7))+IF(CA50&lt;0, CA50*Analysis!$C$9,0)</f>
        <v>-2246658.352579501</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2732921.0034067724</v>
      </c>
      <c r="CL51" s="64">
        <f t="shared" si="48"/>
        <v>3.9215686274509887E-2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$B51&gt;=Analysis!$C$101),0,((1+Analysis!$D$114)/(1+$S51))-1)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4543892.752652226</v>
      </c>
      <c r="EC51" s="64">
        <f t="shared" si="50"/>
        <v>3.9215686274509887E-2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-13379.572962141372</v>
      </c>
      <c r="EH51" s="1">
        <f>IF($B51&lt;Analysis!$C$130,0,IF($B51=Analysis!$C$130,-ED51-EG51,MIN(0,EH50-EG51)))</f>
        <v>-244712.20561475251</v>
      </c>
      <c r="EI51" s="64">
        <f>IF($B51&lt;Analysis!$C$130,0,IF($B51=Analysis!$C$130,Analysis!$C$136,IF(($B51-Analysis!$C$130)&lt;LOOKUP(Analysis!$C$130,$B:$B,EE:EE),EI50,0)))</f>
        <v>3.6999999999999998E-2</v>
      </c>
      <c r="EJ51" s="1">
        <f>IF($B51&lt;Analysis!$C$130,0,IF($B51=Analysis!$C$130,-EI51*ED51,EI50*EH50))</f>
        <v>-9549.3958073450722</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-22928.968769486444</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-13631.678257956679</v>
      </c>
      <c r="ET51" s="64">
        <f>IF($B51&lt;Analysis!$C$130,0,Analysis!$C$142)</f>
        <v>3.0000000000000001E-3</v>
      </c>
      <c r="EU51" s="1">
        <f>IF($B51&lt;Analysis!$C$130,0,-EV51*EB51)</f>
        <v>-45438.92752652226</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-579346.32596315886</v>
      </c>
      <c r="FG51" s="64">
        <f>IF($B51&lt;Analysis!$C$130,0,Analysis!$C$31)</f>
        <v>0.1275</v>
      </c>
      <c r="FH51" s="1">
        <f>IF($B51&lt;Analysis!$C$130,0,EB51+FF51)</f>
        <v>3964546.4266890669</v>
      </c>
      <c r="FI51" s="1">
        <f>IF($B51-Analysis!$C$130&gt;3,0,IF(EB51&gt;LOOKUP(Analysis!$C$130,$B:$B, EB:EB),$V51*(LOOKUP(Analysis!$C$130,$B:$B, EB:EB)-EB51),0))</f>
        <v>0</v>
      </c>
      <c r="FJ51" s="1">
        <f t="shared" si="33"/>
        <v>3964546.4266890669</v>
      </c>
      <c r="FK51" s="53"/>
      <c r="FL51" s="1">
        <f>$P51+$N51+IF($B51&lt;Analysis!$C$130,$X51+$Z51,0)+CP51+CS51+CY51+DE51+DG51+MIN(DI51,SUM(DJ51:DN51))+DQ51+DS51+DT51+EG51+EJ51+EP51+ES51+EU51+MIN(EW51,SUM(EX51:FB51))+FD51</f>
        <v>-133959.57455396539</v>
      </c>
      <c r="FM51" s="1">
        <f>$M51+$R51+DD51+IF(AND($B51&lt;&gt;Analysis!$C$130,$B51=Analysis!$C$101),DZ50+CQ50+CT50+CZ50,0)</f>
        <v>49539.870456595425</v>
      </c>
      <c r="FN51" s="1">
        <f t="shared" si="34"/>
        <v>-84419.704097369962</v>
      </c>
      <c r="FO51" s="1">
        <f>IF(FN51 &lt; 0,
    IF(FO50 + FN51 &gt; 0,
        FO50 + FN51, IF(FT50-ABS(FO50 + FN51)*(1+$V51) &gt;= FO50 + FN51,
        0, FO50 + FN51)),
    MIN(FO50 + FN51, Analysis!$C$7))+IF(FO50&lt;0, FO50*Analysis!$C$9,0)</f>
        <v>-1593165.5261679457</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2732921.0034067724</v>
      </c>
      <c r="FX51" s="64">
        <f t="shared" si="53"/>
        <v>3.9215686274509887E-2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91272.976161970771</v>
      </c>
      <c r="GO51" s="64">
        <f>IF($B51&lt;Analysis!$C$159,0,((1+Analysis!$D$174)/(1+$S51))-1)</f>
        <v>3.9215686274509887E-2</v>
      </c>
      <c r="GP51" s="1">
        <f t="shared" si="7"/>
        <v>103431.73917219108</v>
      </c>
      <c r="GQ51" s="1">
        <f t="shared" si="36"/>
        <v>-8198.7630102203166</v>
      </c>
      <c r="GR51" s="64">
        <f>IF($B51&lt;Analysis!$C$159,0,Analysis!$C$178)</f>
        <v>3.0000000000000001E-3</v>
      </c>
      <c r="GS51" s="1">
        <f t="shared" si="37"/>
        <v>-20496.907525550792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-6845.4732121478073</v>
      </c>
      <c r="HD51" s="1">
        <f t="shared" si="38"/>
        <v>-47801.143747918919</v>
      </c>
      <c r="HE51" s="1">
        <f>MIN(0,-(GN51+HD51)*Analysis!$C$28)-GE51*Analysis!$C$28</f>
        <v>-19262.368942666373</v>
      </c>
      <c r="HF51" s="1">
        <f>-Analysis!$C$176*GP51/12</f>
        <v>-8619.3115976825902</v>
      </c>
      <c r="HG51" s="38"/>
      <c r="HH51" s="1">
        <f>IF($B51&lt;Analysis!$C$159,0,-$HI51*$FW51)</f>
        <v>-348447.42793436348</v>
      </c>
      <c r="HI51" s="64">
        <f>IF($B51&lt;Analysis!$C$159,0,IF($B51=Analysis!$C$159,Analysis!$C$31,HI50))</f>
        <v>0.1275</v>
      </c>
      <c r="HJ51" s="1">
        <f>IF($B51&lt;Analysis!$C$159,0,$FW51+HH51)</f>
        <v>2384473.5754724089</v>
      </c>
      <c r="HK51" s="1">
        <f>IF($B51-Analysis!$C$159&gt;10,0,IF($FW51&gt;LOOKUP(Analysis!$C$159,$B:$B, FW:FW),$V51*(LOOKUP(Analysis!$C$159,$B:$B, FW:FW)-FW51),0))</f>
        <v>0</v>
      </c>
      <c r="HL51" s="1">
        <f t="shared" si="39"/>
        <v>2384473.5754724089</v>
      </c>
      <c r="HM51" s="38"/>
      <c r="HN51" s="1">
        <f t="shared" si="40"/>
        <v>-223654.79704480589</v>
      </c>
      <c r="HO51" s="1">
        <f t="shared" si="8"/>
        <v>152971.60962878651</v>
      </c>
      <c r="HP51" s="1">
        <f t="shared" si="41"/>
        <v>-70683.187416019384</v>
      </c>
      <c r="HQ51" s="1">
        <f>IF(HP51 &lt; 0,
    IF(HQ50 + HP51 &gt; 0,
        HQ50 + HP51, IF(HV50-ABS(HQ50 + HP51)*(1+$V51) &gt;= HQ50 + HP51,
        0, HQ50 + HP51)),
    MIN(HQ50 + HP51, Analysis!$C$7))+IF(HQ50&lt;0, HQ50*Analysis!$C$9,0)</f>
        <v>0</v>
      </c>
      <c r="HR51" s="38"/>
      <c r="HS51" s="1">
        <f t="shared" si="54"/>
        <v>11696.241566899425</v>
      </c>
      <c r="HT51" s="1">
        <f>IF($B51=Analysis!$C$159,0,IF(HP51 &gt;= 0,
    MAX(0, HQ50 + HP51 - Analysis!$C$7),
    0))</f>
        <v>0</v>
      </c>
      <c r="HU51" s="1">
        <f>IF($B51=Analysis!$C$159,0,MAX(0, HU50 + HT51 - IF(HP51 &lt; 0, MIN(ABS(HP51), HU50 + HT51), 0)))</f>
        <v>107341.87163346616</v>
      </c>
      <c r="HV51" s="1">
        <f>IF($B51=Analysis!$C$159,0,IF(HP51 &lt; 0,
    IF(HP51 + HQ50 &lt; 0,
        MAX(0, HV50 - (ABS(HP51 + HQ50) * (1+$V50))),
        HV50 + HS51),
    HV50 + HT51 + HS51))</f>
        <v>507182.44181487837</v>
      </c>
      <c r="HW51" s="1">
        <f t="shared" si="58"/>
        <v>401724.4914295309</v>
      </c>
      <c r="HX51" s="36"/>
    </row>
    <row r="52" spans="1:232" x14ac:dyDescent="0.35">
      <c r="A52">
        <f t="shared" si="0"/>
        <v>85</v>
      </c>
      <c r="B52">
        <v>2075</v>
      </c>
      <c r="C52" s="1">
        <f>IF($B52&lt;Analysis!C$66,0,$AN52)+$AT52+$AW52+$BC52+$CF52+$CA52</f>
        <v>2242700.7890011519</v>
      </c>
      <c r="D52" s="1">
        <f>IF($B52&lt;Analysis!C$66, 0, BV52)+AT52+AW52+BC52+CG52+CA52</f>
        <v>1640634.9992747316</v>
      </c>
      <c r="E52" s="1">
        <f t="shared" si="1"/>
        <v>394966.92213901866</v>
      </c>
      <c r="F52" s="1">
        <f t="shared" si="9"/>
        <v>290794.39642485249</v>
      </c>
      <c r="G52" s="1">
        <f>IF(AND($B52&gt;=Analysis!$C$100, $B52&lt;Analysis!$C$101),$CK52,0)+IF($B52&gt;=Analysis!$C$130,EB52,0)+CQ52+CT52+CZ52+EH52+EK52+EQ52+$FO52+$FT52</f>
        <v>2682901.2727398705</v>
      </c>
      <c r="H52" s="1">
        <f t="shared" si="10"/>
        <v>2080835.4830134499</v>
      </c>
      <c r="I52" s="1">
        <f>IF($B52&lt;Analysis!$C$159,0,$FW52)+$GC52+$GF52+$GL52+$HQ52+$HV52</f>
        <v>3253062.9135042685</v>
      </c>
      <c r="J52" s="1">
        <f t="shared" si="59"/>
        <v>2790679.004892786</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-108402.63835483365</v>
      </c>
      <c r="Y52" s="64">
        <f t="shared" si="15"/>
        <v>3.9215686274509887E-2</v>
      </c>
      <c r="Z52" s="1">
        <f t="shared" si="16"/>
        <v>-3960</v>
      </c>
      <c r="AA52" s="64">
        <f t="shared" si="17"/>
        <v>0</v>
      </c>
      <c r="AB52" s="40"/>
      <c r="AC52" s="1">
        <f t="shared" si="3"/>
        <v>-160362.63835483365</v>
      </c>
      <c r="AD52" s="1">
        <f t="shared" si="4"/>
        <v>48549.073047463513</v>
      </c>
      <c r="AE52" s="1">
        <f t="shared" si="18"/>
        <v>-111813.56530737013</v>
      </c>
      <c r="AF52" s="1">
        <f>IF(AE52 &lt; 0,
    IF(AF51 + AE52 &gt; 0,
        AF51 + AE52, IF(AK51-ABS(AF51 + AE52)*(1+$V52) &gt;= AF51 + AE52,
        0, AF51 + AE52)),
    MIN(AF51 + AE52, Analysis!$C$7))+IF(AF51&lt;0, AF51*Analysis!$C$9,0)</f>
        <v>0</v>
      </c>
      <c r="AG52" s="40"/>
      <c r="AH52" s="1">
        <f t="shared" si="19"/>
        <v>10515.123829337368</v>
      </c>
      <c r="AI52" s="1">
        <f>IF(AE52 &gt;= 0,
    MAX(0, AF51 + AE52 - Analysis!$C$7),
    0)</f>
        <v>0</v>
      </c>
      <c r="AJ52" s="1">
        <f t="shared" si="44"/>
        <v>0</v>
      </c>
      <c r="AK52" s="1">
        <f t="shared" si="20"/>
        <v>394966.92213901866</v>
      </c>
      <c r="AL52" s="1">
        <f t="shared" si="5"/>
        <v>290794.39642485249</v>
      </c>
      <c r="AM52" s="36"/>
      <c r="AN52" s="1">
        <f t="shared" si="45"/>
        <v>4722084.6253052549</v>
      </c>
      <c r="AO52" s="64">
        <f t="shared" si="21"/>
        <v>3.9215686274509887E-2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-14166.253875915765</v>
      </c>
      <c r="BF52" s="64">
        <f>IF($B52&lt;Analysis!$C$66,0,Analysis!$C$78)</f>
        <v>3.0000000000000001E-3</v>
      </c>
      <c r="BG52" s="1">
        <f>IF($B52&lt;Analysis!$C$66,0,-BH52*AN52)</f>
        <v>-35415.634689789411</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-602065.78972642007</v>
      </c>
      <c r="BS52" s="64">
        <f>IF($B52&lt;Analysis!C$66,0,Analysis!C$31)</f>
        <v>0.1275</v>
      </c>
      <c r="BT52" s="1">
        <f>IF($B52&lt;Analysis!$C$66,0,AN52+BR52)</f>
        <v>4120018.8355788346</v>
      </c>
      <c r="BU52" s="1">
        <f>IF($B52-Analysis!$C$66&gt;3,0,IF($AN52&gt;LOOKUP(Analysis!$C$66,$B:$B, AN:AN),$V52*(LOOKUP(Analysis!$C$66,$B:$B, AN:AN)-AN52),0))</f>
        <v>0</v>
      </c>
      <c r="BV52" s="1">
        <f t="shared" si="23"/>
        <v>4120018.8355788346</v>
      </c>
      <c r="BW52" s="42"/>
      <c r="BX52" s="1">
        <f>IF($B52&lt;Analysis!$C$66,$P52+$N52+$X52+$Z52,$P52+$N52+AS52+AV52+BB52+BE52+BG52+MAX(BI52,SUM(BJ52:BN52))+BP52)</f>
        <v>-101541.88856570517</v>
      </c>
      <c r="BY52" s="1">
        <f t="shared" si="24"/>
        <v>48549.073047463513</v>
      </c>
      <c r="BZ52" s="1">
        <f t="shared" si="46"/>
        <v>-52992.815518241659</v>
      </c>
      <c r="CA52" s="1">
        <f>IF(BZ52 &lt; 0,
    IF(CA51 + BZ52 &gt; 0,
        CA51 + BZ52, IF(CF51-ABS(CA51 + BZ52)*(1+$V52) &gt;= CA51 + BZ52,
        0, CA51 + BZ52)),
    MIN(CA51 + BZ52, Analysis!$C$7))+IF(CA51&lt;0, CA51*Analysis!$C$9,0)</f>
        <v>-2479383.836304103</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2840094.3760893913</v>
      </c>
      <c r="CL52" s="64">
        <f t="shared" si="48"/>
        <v>3.9215686274509887E-2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$B52&gt;=Analysis!$C$101),0,((1+Analysis!$D$114)/(1+$S52))-1)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4722084.6253052549</v>
      </c>
      <c r="EC52" s="64">
        <f t="shared" si="50"/>
        <v>3.9215686274509887E-2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-13874.617161740602</v>
      </c>
      <c r="EH52" s="1">
        <f>IF($B52&lt;Analysis!$C$130,0,IF($B52=Analysis!$C$130,-ED52-EG52,MIN(0,EH51-EG52)))</f>
        <v>-230837.58845301191</v>
      </c>
      <c r="EI52" s="64">
        <f>IF($B52&lt;Analysis!$C$130,0,IF($B52=Analysis!$C$130,Analysis!$C$136,IF(($B52-Analysis!$C$130)&lt;LOOKUP(Analysis!$C$130,$B:$B,EE:EE),EI51,0)))</f>
        <v>3.6999999999999998E-2</v>
      </c>
      <c r="EJ52" s="1">
        <f>IF($B52&lt;Analysis!$C$130,0,IF($B52=Analysis!$C$130,-EI52*ED52,EI51*EH51))</f>
        <v>-9054.3516077458426</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-22928.968769486444</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-14166.253875915765</v>
      </c>
      <c r="ET52" s="64">
        <f>IF($B52&lt;Analysis!$C$130,0,Analysis!$C$142)</f>
        <v>3.0000000000000001E-3</v>
      </c>
      <c r="EU52" s="1">
        <f>IF($B52&lt;Analysis!$C$130,0,-EV52*EB52)</f>
        <v>-47220.84625305255</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-602065.78972642007</v>
      </c>
      <c r="FG52" s="64">
        <f>IF($B52&lt;Analysis!$C$130,0,Analysis!$C$31)</f>
        <v>0.1275</v>
      </c>
      <c r="FH52" s="1">
        <f>IF($B52&lt;Analysis!$C$130,0,EB52+FF52)</f>
        <v>4120018.8355788346</v>
      </c>
      <c r="FI52" s="1">
        <f>IF($B52-Analysis!$C$130&gt;3,0,IF(EB52&gt;LOOKUP(Analysis!$C$130,$B:$B, EB:EB),$V52*(LOOKUP(Analysis!$C$130,$B:$B, EB:EB)-EB52),0))</f>
        <v>0</v>
      </c>
      <c r="FJ52" s="1">
        <f t="shared" si="33"/>
        <v>4120018.8355788346</v>
      </c>
      <c r="FK52" s="53"/>
      <c r="FL52" s="1">
        <f>$P52+$N52+IF($B52&lt;Analysis!$C$130,$X52+$Z52,0)+CP52+CS52+CY52+DE52+DG52+MIN(DI52,SUM(DJ52:DN52))+DQ52+DS52+DT52+EG52+EJ52+EP52+ES52+EU52+MIN(EW52,SUM(EX52:FB52))+FD52</f>
        <v>-136276.06889845475</v>
      </c>
      <c r="FM52" s="1">
        <f>$M52+$R52+DD52+IF(AND($B52&lt;&gt;Analysis!$C$130,$B52=Analysis!$C$101),DZ51+CQ51+CT51+CZ51,0)</f>
        <v>48549.073047463513</v>
      </c>
      <c r="FN52" s="1">
        <f t="shared" si="34"/>
        <v>-87726.995850991225</v>
      </c>
      <c r="FO52" s="1">
        <f>IF(FN52 &lt; 0,
    IF(FO51 + FN52 &gt; 0,
        FO51 + FN52, IF(FT51-ABS(FO51 + FN52)*(1+$V52) &gt;= FO51 + FN52,
        0, FO51 + FN52)),
    MIN(FO51 + FN52, Analysis!$C$7))+IF(FO51&lt;0, FO51*Analysis!$C$9,0)</f>
        <v>-1808345.7641123726</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2840094.3760893913</v>
      </c>
      <c r="FX52" s="64">
        <f t="shared" si="53"/>
        <v>3.9215686274509887E-2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94852.308560479432</v>
      </c>
      <c r="GO52" s="64">
        <f>IF($B52&lt;Analysis!$C$159,0,((1+Analysis!$D$174)/(1+$S52))-1)</f>
        <v>3.9215686274509887E-2</v>
      </c>
      <c r="GP52" s="1">
        <f t="shared" si="7"/>
        <v>107332.59168874761</v>
      </c>
      <c r="GQ52" s="1">
        <f t="shared" si="36"/>
        <v>-8520.2831282681746</v>
      </c>
      <c r="GR52" s="64">
        <f>IF($B52&lt;Analysis!$C$159,0,Analysis!$C$178)</f>
        <v>3.0000000000000001E-3</v>
      </c>
      <c r="GS52" s="1">
        <f t="shared" si="37"/>
        <v>-21300.707820670435</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-7113.9231420359574</v>
      </c>
      <c r="HD52" s="1">
        <f t="shared" si="38"/>
        <v>-49194.914090974569</v>
      </c>
      <c r="HE52" s="1">
        <f>MIN(0,-(GN52+HD52)*Analysis!$C$28)-GE52*Analysis!$C$28</f>
        <v>-20230.791489437601</v>
      </c>
      <c r="HF52" s="1">
        <f>-Analysis!$C$176*GP52/12</f>
        <v>-8944.3826407289671</v>
      </c>
      <c r="HG52" s="38"/>
      <c r="HH52" s="1">
        <f>IF($B52&lt;Analysis!$C$159,0,-$HI52*$FW52)</f>
        <v>-362112.03295139741</v>
      </c>
      <c r="HI52" s="64">
        <f>IF($B52&lt;Analysis!$C$159,0,IF($B52=Analysis!$C$159,Analysis!$C$31,HI51))</f>
        <v>0.1275</v>
      </c>
      <c r="HJ52" s="1">
        <f>IF($B52&lt;Analysis!$C$159,0,$FW52+HH52)</f>
        <v>2477982.3431379939</v>
      </c>
      <c r="HK52" s="1">
        <f>IF($B52-Analysis!$C$159&gt;10,0,IF($FW52&gt;LOOKUP(Analysis!$C$159,$B:$B, FW:FW),$V52*(LOOKUP(Analysis!$C$159,$B:$B, FW:FW)-FW52),0))</f>
        <v>0</v>
      </c>
      <c r="HL52" s="1">
        <f t="shared" si="39"/>
        <v>2477982.3431379939</v>
      </c>
      <c r="HM52" s="38"/>
      <c r="HN52" s="1">
        <f t="shared" si="40"/>
        <v>-230432.72657597478</v>
      </c>
      <c r="HO52" s="1">
        <f t="shared" si="8"/>
        <v>155881.66473621113</v>
      </c>
      <c r="HP52" s="1">
        <f t="shared" si="41"/>
        <v>-74551.061839763657</v>
      </c>
      <c r="HQ52" s="1">
        <f>IF(HP52 &lt; 0,
    IF(HQ51 + HP52 &gt; 0,
        HQ51 + HP52, IF(HV51-ABS(HQ51 + HP52)*(1+$V52) &gt;= HQ51 + HP52,
        0, HQ51 + HP52)),
    MIN(HQ51 + HP52, Analysis!$C$7))+IF(HQ51&lt;0, HQ51*Analysis!$C$9,0)</f>
        <v>0</v>
      </c>
      <c r="HR52" s="38"/>
      <c r="HS52" s="1">
        <f t="shared" si="54"/>
        <v>9944.7537610760119</v>
      </c>
      <c r="HT52" s="1">
        <f>IF($B52=Analysis!$C$159,0,IF(HP52 &gt;= 0,
    MAX(0, HQ51 + HP52 - Analysis!$C$7),
    0))</f>
        <v>0</v>
      </c>
      <c r="HU52" s="1">
        <f>IF($B52=Analysis!$C$159,0,MAX(0, HU51 + HT52 - IF(HP52 &lt; 0, MIN(ABS(HP52), HU51 + HT52), 0)))</f>
        <v>32790.809793702501</v>
      </c>
      <c r="HV52" s="1">
        <f>IF($B52=Analysis!$C$159,0,IF(HP52 &lt; 0,
    IF(HP52 + HQ51 &lt; 0,
        MAX(0, HV51 - (ABS(HP52 + HQ51) * (1+$V51))),
        HV51 + HS52),
    HV51 + HT52 + HS52))</f>
        <v>412968.53741487704</v>
      </c>
      <c r="HW52" s="1">
        <f t="shared" si="58"/>
        <v>312696.66175479227</v>
      </c>
      <c r="HX52" s="36"/>
    </row>
  </sheetData>
  <pageMargins left="0.7" right="0.7" top="0.75" bottom="0.75" header="0.3" footer="0.3"/>
  <headerFooter>
    <oddFooter>&amp;R_x000D_&amp;1#&amp;"Calibri"&amp;22&amp;KFF8939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191CC-15CF-41C7-8330-1265F309075D}">
  <dimension ref="A1:HX52"/>
  <sheetViews>
    <sheetView zoomScale="70" zoomScaleNormal="70" workbookViewId="0">
      <pane xSplit="2" ySplit="1" topLeftCell="DX2" activePane="bottomRight" state="frozen"/>
      <selection pane="topRight" activeCell="C1" sqref="C1"/>
      <selection pane="bottomLeft" activeCell="A2" sqref="A2"/>
      <selection pane="bottomRight" activeCell="EI2" sqref="EI2:EI52"/>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-406530.03678821714</v>
      </c>
      <c r="D2" s="1">
        <f>IF($B2&lt;Analysis!C$66, 0, BV2)+AT2+AW2+BC2+CG2+CA2</f>
        <v>-494505.03678821714</v>
      </c>
      <c r="E2" s="1">
        <f t="shared" ref="E2:E52" si="1">AK2+AF2</f>
        <v>52939.215686274518</v>
      </c>
      <c r="F2" s="1">
        <f>AL2+AF2</f>
        <v>52401.372549019608</v>
      </c>
      <c r="G2" s="1">
        <f>IF(AND($B2&gt;=Analysis!$C$100, $B2&lt;Analysis!$C$101),$CK2,0)+IF($B2&gt;=Analysis!$C$130,EB2,0)+CQ2+CT2+CZ2+EH2+EK2+EQ2+$FO2+$FT2</f>
        <v>-203092.47164424756</v>
      </c>
      <c r="H2" s="1">
        <f>$DZ2+FJ2+CQ2+CT2+CZ2+EH2+EK2+EQ2+$FO2+$FU2</f>
        <v>-256004.97164424753</v>
      </c>
      <c r="I2" s="1">
        <f>IF($B2&lt;Analysis!$C$159,0,$FW2)+$GC2+$GF2+$GL2+$HQ2+$HV2</f>
        <v>-203092.47164424756</v>
      </c>
      <c r="J2" s="1">
        <f t="shared" ref="J2:J33" si="2">$HL2+$GC2+$GF2+$GL2+$HQ2+$HW2</f>
        <v>-256004.97164424753</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Analysis!$C65</f>
        <v>690000</v>
      </c>
      <c r="AO2" s="64">
        <f>((1+Analysis!$C$75)/(1+$S2))-1</f>
        <v>2.941176470588247E-2</v>
      </c>
      <c r="AP2" s="1">
        <f>IF($B2=Analysis!$C$66,(AN2*(1+Analysis!$C$23+Analysis!$C$24+Analysis!$C$25))-IF($B2=$B$2,(Analysis!$C$6-Analysis!$C$7+Analysis!$C$68), ($CG1-Analysis!$C$7+AY2)),0)</f>
        <v>693833.00000000012</v>
      </c>
      <c r="AQ2" s="65">
        <f>IF($B2=Analysis!$C$66,NPER(AU2,-AX2,-AP2),0)</f>
        <v>31.136332274445532</v>
      </c>
      <c r="AR2" s="64">
        <f>IF($B2=Analysis!$C$66,Analysis!$C$73,0)</f>
        <v>0.02</v>
      </c>
      <c r="AS2" s="1">
        <f>IF($B2&lt;Analysis!$C$66,0,IF($B2=Analysis!$C$66,-AP2*AR2,IF(AX2&gt;=0,0,AX2-AV2)))</f>
        <v>-13876.660000000003</v>
      </c>
      <c r="AT2" s="1">
        <f>IF($B2&lt;Analysis!$C$66,0,IF($B2=Analysis!$C$66,-AP2-AS2,MIN(0,AT1-AS2)))</f>
        <v>-679956.34000000008</v>
      </c>
      <c r="AU2" s="64">
        <f>IF($B2&lt;Analysis!$C$66,0,IF($B2=Analysis!$C$66,Analysis!$B$72,IF(($B2-Analysis!$C$66)&lt;LOOKUP(Analysis!$C$66,$B:$B,AQ:AQ),AU1,0)))</f>
        <v>2.9600000000000001E-2</v>
      </c>
      <c r="AV2" s="1">
        <f>IF($B2&lt;Analysis!$C$66,0,IF($B2=Analysis!$C$66,-AU2*AP2,AU1*AT1))</f>
        <v>-20537.456800000004</v>
      </c>
      <c r="AW2" s="1">
        <f>IF($B2&lt;Analysis!$C$66,0,IF($B2=Analysis!$C$66,PMT(AU2,AQ2,AP2)*AQ2-AX2-AT2,IF(($B2-Analysis!$C$66+1)&lt;LOOKUP(Analysis!$C$66,$B:$B,AQ:AQ),IF(AW1-AV2&lt;0, AW1-AV2,0),0)))</f>
        <v>-357158.91881637997</v>
      </c>
      <c r="AX2" s="1">
        <f>IF($B2&lt;Analysis!$C$66,0,IF($B2=Analysis!$C$66,AS2+AV2,IF(AT1&lt;0,IF(AT1&gt;LOOKUP(Analysis!$C$66,$B:$B,AX:AX), AT1*(1+AU1),AX1),0)))</f>
        <v>-34414.116800000003</v>
      </c>
      <c r="AY2" s="1">
        <f>IF($B2=Analysis!$C$66,Analysis!$C$68,0)</f>
        <v>50000</v>
      </c>
      <c r="AZ2" s="1">
        <f>IF($B2=Analysis!$C$66,PMT(AU2,BA2,AY2)*BA2,0)</f>
        <v>-58495.661171837091</v>
      </c>
      <c r="BA2" s="7">
        <f>IF($B2=Analysis!$C$66,Analysis!$C$70,0)</f>
        <v>10</v>
      </c>
      <c r="BB2" s="1">
        <f>IF($B2&lt;Analysis!$C$66,0,IF($B2=Analysis!$C$66,AZ2/BA2,IF(($B2-Analysis!$C$66)&lt;LOOKUP(Analysis!$C$66,$B:$B,BA:BA),BB1,0)))</f>
        <v>-5849.5661171837091</v>
      </c>
      <c r="BC2" s="1">
        <f>IF($B2&lt;Analysis!$C$66,0,IF($B2=Analysis!$C$66,BA2*BB2-BB2,IF(($B2-Analysis!$C$66)&lt;Analysis!$C$70,BC1-BB2,0)))</f>
        <v>-52646.095054653386</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-77568.682917183716</v>
      </c>
      <c r="BY2" s="1">
        <f>$M2+$R2</f>
        <v>46800</v>
      </c>
      <c r="BZ2" s="1">
        <f>BY2+BX2</f>
        <v>-30768.682917183716</v>
      </c>
      <c r="CA2" s="1">
        <f>IF(BZ2&lt;0,Analysis!$C$7+BZ2,Analysis!$C$7)</f>
        <v>-6768.6829171837162</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((1+Analysis!$C$112)/(1+$S2))-1</f>
        <v>2.941176470588247E-2</v>
      </c>
      <c r="CM2" s="1">
        <f>IF($B2=Analysis!$C$100,(CK2*(1+Analysis!$C$23+Analysis!$C$24+Analysis!$C$25))-IF($B2=$B$2,(Analysis!$C$6-Analysis!$C$7+Analysis!$C$105), (FU1-Analysis!$C$7+CV2)),0)</f>
        <v>387015.50000000006</v>
      </c>
      <c r="CN2" s="65">
        <f>IF($B2=Analysis!$C$100,NPER(CR2,-CU2,-CM2),0)</f>
        <v>31.136332274445532</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$B2&gt;=Analysis!$C$101),0,IF($B2=Analysis!$C$100,Analysis!$B$102,IF(($B2-Analysis!$C$100)&lt;LOOKUP(Analysis!$C$100,$B:$B,CN:CN),CR1,0)))</f>
        <v>2.9600000000000001E-2</v>
      </c>
      <c r="CS2" s="1">
        <f>IF(OR($B2&lt;Analysis!$C$100, $B2&gt;=Analysis!$C$101),0,IF($B2=Analysis!$C$100,-CR2*CM2,CR1*CQ1))</f>
        <v>-11455.658800000003</v>
      </c>
      <c r="CT2" s="1">
        <f>IF(OR($B2&lt;Analysis!$C$100, $B2&gt;=Analysis!$C$101),0,IF($B2=Analysis!$C$100,PMT(CR2,CN2,CM2)*CN2-CU2-CQ2,IF(($B2-Analysis!$C$100+1)&lt;LOOKUP(Analysis!$C$100,$B:$B,CN:CN),IF(CT1-CS2&lt;0, CT1-CS2,0),0)))</f>
        <v>-199220.9040866904</v>
      </c>
      <c r="CU2" s="1">
        <f>IF(OR($B2&lt;Analysis!$C$100, $B2&gt;=Analysis!$C$101),0,IF($B2=Analysis!$C$100,CP2+CS2,IF(CQ1&lt;0,IF(CQ1&gt;LOOKUP(Analysis!$C$100,$B:$B,CU:CU), CQ1*(1+CR1),CU1),0)))</f>
        <v>-19195.968800000002</v>
      </c>
      <c r="CV2" s="1">
        <f>IF($B2=Analysis!$C$100,Analysis!$C$105,0)</f>
        <v>50000</v>
      </c>
      <c r="CW2" s="1">
        <f>IF($B2=Analysis!$C$100,PMT(CR2,CX2,CV2)*CX2,0)</f>
        <v>-58495.661171837091</v>
      </c>
      <c r="CX2" s="7">
        <f>IF($B2=Analysis!$C$100,Analysis!$C$107,0)</f>
        <v>10</v>
      </c>
      <c r="CY2" s="1">
        <f>IF(OR($B2&lt;Analysis!$C$100, $B2&gt;=Analysis!$C$101),0,IF($B2=Analysis!$C$100,CW2/CX2,IF(($B2-Analysis!$C$100)&lt;LOOKUP(Analysis!$C$100,$B:$B,CX:CX),CY1,0)))</f>
        <v>-5849.5661171837091</v>
      </c>
      <c r="CZ2" s="1">
        <f>IF(OR($B2&lt;Analysis!$C$100, $B2&gt;=Analysis!$C$101),0,IF($B2=Analysis!$C$100,CX2*CY2-CY2,IF(($B2-Analysis!$C$100)&lt;Analysis!$C$107,CZ1-CY2,0)))</f>
        <v>-52646.095054653386</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5076.0024142800003</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IF($B2&lt;Analysis!$C$130,0,IF($B2=Analysis!$C$130,Analysis!$B$136,IF(($B2-Analysis!$C$130)&lt;LOOKUP(Analysis!$C$130,$B:$B,EE:EE),EI1,0)))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-76815.282502903719</v>
      </c>
      <c r="FM2" s="1">
        <f>$M2+$R2+DD2+IF(AND($B2&lt;&gt;Analysis!$C$130,$B2=Analysis!$C$101),DZ1+CQ1+CT1+CZ1,0)</f>
        <v>65865</v>
      </c>
      <c r="FN2" s="1">
        <f>FM2+FL2</f>
        <v>-10950.282502903719</v>
      </c>
      <c r="FO2" s="1">
        <f>IF(FN2&lt;0,Analysis!$C$7+FN2,Analysis!$C$7)</f>
        <v>13049.717497096281</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((1+Analysis!$C$172)/(1+$S2))-1</f>
        <v>2.941176470588247E-2</v>
      </c>
      <c r="FY2" s="1">
        <f>IF($B2=Analysis!$C$159,(FW2*(1+Analysis!$C$23+Analysis!$C$24+Analysis!$C$25))-IF($B2=$B$2,(Analysis!$C$6-Analysis!$C$7+Analysis!$C$165), (HW1-Analysis!$C$7+GH2)),0)</f>
        <v>387015.50000000006</v>
      </c>
      <c r="FZ2" s="65">
        <f>IF($B2=Analysis!$C$159,NPER(GD2,-GG2,-FY2),0)</f>
        <v>31.136332274445532</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IF($B2&lt;Analysis!$C$159,0,IF($B2=Analysis!$C$159,Analysis!$B$160,IF(($B2-Analysis!$C$159)&lt;LOOKUP(Analysis!$C$159,$B:$B,FZ:FZ),GD1,0)))</f>
        <v>2.9600000000000001E-2</v>
      </c>
      <c r="GE2" s="1">
        <f>IF($B2&lt;Analysis!$C$159,0,IF($B2=Analysis!$C$159,-GD2*FY2,GD1*GC1))</f>
        <v>-11455.658800000003</v>
      </c>
      <c r="GF2" s="1">
        <f>IF($B2&lt;Analysis!$C$159,0,IF($B2=Analysis!$C$159,PMT(GD2,FZ2,FY2)*FZ2-GG2-GC2,IF(($B2-Analysis!$C$159+1)&lt;LOOKUP(Analysis!$C$159,$B:$B,FZ:FZ),IF(GF1-GE2&lt;0, GF1-GE2,0),0)))</f>
        <v>-199220.9040866904</v>
      </c>
      <c r="GG2" s="1">
        <f>IF($B2&lt;Analysis!$C$159,0,IF($B2=Analysis!$C$159,GB2+GE2,IF(GC1&lt;0,IF(GC1&gt;LOOKUP(Analysis!$C$159,$B:$B,GG:GG), GC1*(1+GD1),GG1),0)))</f>
        <v>-19195.968800000002</v>
      </c>
      <c r="GH2" s="1">
        <f>IF($B2=Analysis!$C$159,Analysis!$C$165,0)</f>
        <v>50000</v>
      </c>
      <c r="GI2" s="1">
        <f>IF($B2=Analysis!$C$159,PMT(GD2,GJ2,GH2)*GJ2,0)</f>
        <v>-58495.661171837091</v>
      </c>
      <c r="GJ2" s="7">
        <f>IF($B2=Analysis!$C$159,Analysis!$C$167,0)</f>
        <v>10</v>
      </c>
      <c r="GK2" s="1">
        <f>IF($B2&lt;Analysis!$C$159,0,IF($B2=Analysis!$C$159,GI2/GJ2,IF(($B2-Analysis!$C$159)&lt;LOOKUP(Analysis!$C$159,$B:$B,GJ:GJ),GK1,0)))</f>
        <v>-5849.5661171837091</v>
      </c>
      <c r="GL2" s="1">
        <f>IF($B2&lt;Analysis!$C$159,0,IF($B2=Analysis!$C$159,GJ2*GK2-GK2,IF(($B2-Analysis!$C$159)&lt;Analysis!$C$167,GL1-GK2,0)))</f>
        <v>-52646.095054653386</v>
      </c>
      <c r="GM2" s="38"/>
      <c r="GN2" s="1">
        <f>IF($B2&lt;Analysis!$C$159,0,IF($B2=2025,(Analysis!$C$109*12),IF($B2=Analysis!$C$159,(Analysis!$C$109*12)*(1+GO2)^($B2-$B$2),GN1*(1+GO2))))</f>
        <v>13860</v>
      </c>
      <c r="GO2" s="64">
        <f>IF($B2&lt;Analysis!$C$159,0,((1+Analysis!$C$174)/(1+$S2))-1)</f>
        <v>2.941176470588247E-2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5076.0024142800003</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-76815.282502903719</v>
      </c>
      <c r="HO2" s="1">
        <f t="shared" ref="HO2:HO52" si="8">$M2+$R2+$GP2</f>
        <v>65865</v>
      </c>
      <c r="HP2" s="1">
        <f>HO2+HN2</f>
        <v>-10950.282502903719</v>
      </c>
      <c r="HQ2" s="1">
        <f>IF(HP2&lt;0,Analysis!$C$7+HP2,Analysis!$C$7)</f>
        <v>13049.717497096281</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-352401.38436276832</v>
      </c>
      <c r="D3" s="1">
        <f>IF($B3&lt;Analysis!C$66, 0, BV3)+AT3+AW3+BC3+CG3+CA3</f>
        <v>-448316.45789218013</v>
      </c>
      <c r="E3" s="1">
        <f t="shared" si="1"/>
        <v>80687.583303125168</v>
      </c>
      <c r="F3" s="1">
        <f t="shared" ref="F3:F52" si="9">AL3+AF3</f>
        <v>79564.180265749426</v>
      </c>
      <c r="G3" s="1">
        <f>IF(AND($B3&gt;=Analysis!$C$100, $B3&lt;Analysis!$C$101),$CK3,0)+IF($B3&gt;=Analysis!$C$130,EB3,0)+CQ3+CT3+CZ3+EH3+EK3+EQ3+$FO3+$FT3</f>
        <v>-152016.11427825314</v>
      </c>
      <c r="H3" s="1">
        <f t="shared" ref="H3:H52" si="10">$DZ3+FJ3+CQ3+CT3+CZ3+EH3+EK3+EQ3+$FO3+$FU3</f>
        <v>-209704.16574884139</v>
      </c>
      <c r="I3" s="1">
        <f>IF($B3&lt;Analysis!$C$159,0,$FW3)+$GC3+$GF3+$GL3+$HQ3+$HV3</f>
        <v>-152016.11427825314</v>
      </c>
      <c r="J3" s="1">
        <f t="shared" si="2"/>
        <v>-209704.16574884139</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25528.235294117636</v>
      </c>
      <c r="AJ3" s="1">
        <f>MAX(0, AJ2 + AI3 - IF(AE3 &lt; 0, MIN(ABS(AE3), AJ2 + AI3), 0))</f>
        <v>52428.235294117636</v>
      </c>
      <c r="AK3" s="1">
        <f t="shared" ref="AK3:AK52" si="20">IF(AE3 &lt; 0,
    IF(AE3 + AF2 &lt; 0,
        MAX(0, AK2 - (ABS(AE3 + AF2) * (1+$V2))),
        AK2 + AH3),
    AK2 + AI3 + AH3)</f>
        <v>56687.583303125175</v>
      </c>
      <c r="AL3" s="1">
        <f t="shared" si="5"/>
        <v>55564.180265749434</v>
      </c>
      <c r="AM3" s="36"/>
      <c r="AN3" s="1">
        <f>AN2*(1+AO2)</f>
        <v>710294.11764705891</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-14287.409135999998</v>
      </c>
      <c r="AT3" s="1">
        <f>IF($B3&lt;Analysis!$C$66,0,IF($B3=Analysis!$C$66,-AP3-AS3,MIN(0,AT2-AS3)))</f>
        <v>-665668.93086400011</v>
      </c>
      <c r="AU3" s="64">
        <f>IF($B3&lt;Analysis!$C$66,0,IF($B3=Analysis!$C$66,Analysis!$C$72,IF(($B3-Analysis!$C$66)&lt;LOOKUP(Analysis!$C$66,$B:$B,AQ:AQ),AU2,0)))</f>
        <v>2.9600000000000001E-2</v>
      </c>
      <c r="AV3" s="1">
        <f>IF($B3&lt;Analysis!$C$66,0,IF($B3=Analysis!$C$66,-AU3*AP3,AU2*AT2))</f>
        <v>-20126.707664000005</v>
      </c>
      <c r="AW3" s="1">
        <f>IF($B3&lt;Analysis!$C$66,0,IF($B3=Analysis!$C$66,PMT(AU3,AQ3,AP3)*AQ3-AX3-AT3,IF(($B3-Analysis!$C$66+1)&lt;LOOKUP(Analysis!$C$66,$B:$B,AQ:AQ),IF(AW2-AV3&lt;0, AW2-AV3,0),0)))</f>
        <v>-337032.21115237998</v>
      </c>
      <c r="AX3" s="1">
        <f>IF($B3&lt;Analysis!$C$66,0,IF($B3=Analysis!$C$66,AS3+AV3,IF(AT2&lt;0,IF(AT2&gt;LOOKUP(Analysis!$C$66,$B:$B,AX:AX), AT2*(1+AU2),AX2),0)))</f>
        <v>-34414.116800000003</v>
      </c>
      <c r="AY3" s="1">
        <f>IF($B3=Analysis!$C$66,Analysis!$C$68,0)</f>
        <v>0</v>
      </c>
      <c r="AZ3" s="1">
        <f>IF($B3=Analysis!$C$66,PMT(AU3,BA3,AY3)*BA3,0)</f>
        <v>0</v>
      </c>
      <c r="BA3" s="7">
        <f>IF($B3=Analysis!$C$66,Analysis!$C$70,0)</f>
        <v>0</v>
      </c>
      <c r="BB3" s="1">
        <f>IF($B3&lt;Analysis!$C$66,0,IF($B3=Analysis!$C$66,AZ3/BA3,IF(($B3-Analysis!$C$66)&lt;LOOKUP(Analysis!$C$66,$B:$B,BA:BA),BB2,0)))</f>
        <v>-5849.5661171837091</v>
      </c>
      <c r="BC3" s="1">
        <f>IF($B3&lt;Analysis!$C$66,0,IF($B3=Analysis!$C$66,BA3*BB3-BB3,IF(($B3-Analysis!$C$66)&lt;Analysis!$C$70,BC2-BB3,0)))</f>
        <v>-46796.528937469673</v>
      </c>
      <c r="BD3" s="42"/>
      <c r="BE3" s="1">
        <f>IF($B3&lt;Analysis!$C$66,0,-BF3*AN3)</f>
        <v>-2130.8823529411766</v>
      </c>
      <c r="BF3" s="64">
        <f>IF($B3&lt;Analysis!$C$66,0,Analysis!$C$78)</f>
        <v>3.0000000000000001E-3</v>
      </c>
      <c r="BG3" s="1">
        <f>IF($B3&lt;Analysis!$C$66,0,-BH3*AN3)</f>
        <v>-5327.2058823529414</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-90562.500000000015</v>
      </c>
      <c r="BS3" s="64">
        <f>IF($B3&lt;Analysis!C$66,0,Analysis!C$31)</f>
        <v>0.1275</v>
      </c>
      <c r="BT3" s="1">
        <f>IF($B3&lt;Analysis!$C$66,0,AN3+BR3)</f>
        <v>619731.61764705891</v>
      </c>
      <c r="BU3" s="1">
        <f>IF($B3-Analysis!$C$66&gt;3,0,IF($AN3&gt;LOOKUP(Analysis!$C$66,$B:$B, AN:AN),$V3*(LOOKUP(Analysis!$C$66,$B:$B, AN:AN)-AN3),0))</f>
        <v>-5352.5735294117876</v>
      </c>
      <c r="BV3" s="1">
        <f t="shared" ref="BV3:BV52" si="23">BT3+BU3</f>
        <v>614379.04411764711</v>
      </c>
      <c r="BW3" s="42"/>
      <c r="BX3" s="1">
        <f>IF($B3&lt;Analysis!$C$66,$P3+$N3+$X3+$Z3,$P3+$N3+AS3+AV3+BB3+BE3+BG3+MAX(BI3,SUM(BJ3:BN3))+BP3)</f>
        <v>-101781.77115247783</v>
      </c>
      <c r="BY3" s="1">
        <f t="shared" ref="BY3:BY52" si="24">$M3+$R3</f>
        <v>95894.117647058811</v>
      </c>
      <c r="BZ3" s="1">
        <f>BY3+BX3</f>
        <v>-5887.6535054190172</v>
      </c>
      <c r="CA3" s="1">
        <f>IF(BZ3 &lt; 0,
    IF(CA2 + BZ3 &gt; 0,
        CA2 + BZ3, IF(CF2-ABS(CA2 + BZ3)*(1+$V3) &gt;= CA2 + BZ3,
        0, CA2 + BZ3)),
    MIN(CA2 + BZ3, Analysis!$C$7))+IF(CA2&lt;0, CA2*Analysis!$C$9,0)</f>
        <v>-13197.831055977431</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427205.8823529412</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-7969.4231760000002</v>
      </c>
      <c r="CQ3" s="1">
        <f>IF(OR($B3&lt;Analysis!$C$100, $B3&gt;=Analysis!$C$101),0,IF($B3=Analysis!$C$100,-CM3-CP3,MIN(0,CQ2-CP3)))</f>
        <v>-371305.76682400005</v>
      </c>
      <c r="CR3" s="64">
        <f>IF(OR($B3&lt;Analysis!$C$100, $B3&gt;=Analysis!$C$101),0,IF($B3=Analysis!$C$100,Analysis!$C$102,IF(($B3-Analysis!$C$100)&lt;LOOKUP(Analysis!$C$100,$B:$B,CN:CN),CR2,0)))</f>
        <v>2.9600000000000001E-2</v>
      </c>
      <c r="CS3" s="1">
        <f>IF(OR($B3&lt;Analysis!$C$100, $B3&gt;=Analysis!$C$101),0,IF($B3=Analysis!$C$100,-CR3*CM3,CR2*CQ2))</f>
        <v>-11226.545624000002</v>
      </c>
      <c r="CT3" s="1">
        <f>IF(OR($B3&lt;Analysis!$C$100, $B3&gt;=Analysis!$C$101),0,IF($B3=Analysis!$C$100,PMT(CR3,CN3,CM3)*CN3-CU3-CQ3,IF(($B3-Analysis!$C$100+1)&lt;LOOKUP(Analysis!$C$100,$B:$B,CN:CN),IF(CT2-CS3&lt;0, CT2-CS3,0),0)))</f>
        <v>-187994.3584626904</v>
      </c>
      <c r="CU3" s="1">
        <f>IF(OR($B3&lt;Analysis!$C$100, $B3&gt;=Analysis!$C$101),0,IF($B3=Analysis!$C$100,CP3+CS3,IF(CQ2&lt;0,IF(CQ2&gt;LOOKUP(Analysis!$C$100,$B:$B,CU:CU), CQ2*(1+CR2),CU2),0)))</f>
        <v>-19195.968800000002</v>
      </c>
      <c r="CV3" s="1">
        <f>IF($B3=Analysis!$C$100,Analysis!$C$105,0)</f>
        <v>0</v>
      </c>
      <c r="CW3" s="1">
        <f>IF($B3=Analysis!$C$100,PMT(CR3,CX3,CV3)*CX3,0)</f>
        <v>0</v>
      </c>
      <c r="CX3" s="7">
        <f>IF($B3=Analysis!$C$100,Analysis!$C$107,0)</f>
        <v>0</v>
      </c>
      <c r="CY3" s="1">
        <f>IF(OR($B3&lt;Analysis!$C$100, $B3&gt;=Analysis!$C$101),0,IF($B3=Analysis!$C$100,CW3/CX3,IF(($B3-Analysis!$C$100)&lt;LOOKUP(Analysis!$C$100,$B:$B,CX:CX),CY2,0)))</f>
        <v>-5849.5661171837091</v>
      </c>
      <c r="CZ3" s="1">
        <f>IF(OR($B3&lt;Analysis!$C$100, $B3&gt;=Analysis!$C$101),0,IF($B3=Analysis!$C$100,CX3*CY3-CY3,IF(($B3-Analysis!$C$100)&lt;Analysis!$C$107,CZ2-CY3,0)))</f>
        <v>-46796.528937469673</v>
      </c>
      <c r="DA3" s="53"/>
      <c r="DB3" s="1">
        <f>IF(OR($B3&lt;Analysis!$C$100, $B3&gt;=Analysis!$C$101),0,IF($B3=2025,(Analysis!$C$109*12),IF($B3=Analysis!$C$100,(Analysis!$C$109*12)*(1+DC3)^($B3-$B$2),DB2*(1+DC3))))</f>
        <v>14267.647058823532</v>
      </c>
      <c r="DC3" s="64">
        <f>IF(OR($B3&lt;Analysis!$C$100, $B3&gt;=Analysis!$C$101),0,((1+Analysis!$C$114)/(1+$S3))-1)</f>
        <v>2.941176470588247E-2</v>
      </c>
      <c r="DD3" s="1">
        <f t="shared" si="6"/>
        <v>19509.264705882357</v>
      </c>
      <c r="DE3" s="1">
        <f t="shared" ref="DE3:DE52" si="27">-DF3*CK3</f>
        <v>-1281.6176470588236</v>
      </c>
      <c r="DF3" s="64">
        <f>IF(OR($B3&lt;Analysis!$C$100, $B3&gt;=Analysis!$C$101),0,Analysis!$C$118)</f>
        <v>3.0000000000000001E-3</v>
      </c>
      <c r="DG3" s="1">
        <f t="shared" ref="DG3:DG52" si="28">-DH3*CK3</f>
        <v>-3204.044117647059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-1070.0735294117649</v>
      </c>
      <c r="DR3" s="1">
        <f t="shared" ref="DR3:DR52" si="29">DE3+DG3+MIN(DI3,SUM(DJ3:DN3))+DP3+DQ3</f>
        <v>-17815.735294117647</v>
      </c>
      <c r="DS3" s="1">
        <f>MIN(0,-(DB3+DR3)*Analysis!$C$28)-CS3*Analysis!$C$28</f>
        <v>4974.4823659944004</v>
      </c>
      <c r="DT3" s="1">
        <f>-Analysis!$C$116*DD3/12</f>
        <v>-1625.7720588235297</v>
      </c>
      <c r="DU3" s="53"/>
      <c r="DV3" s="1">
        <f t="shared" ref="DV3:DV52" si="30">-DW3*CK3</f>
        <v>-54468.750000000007</v>
      </c>
      <c r="DW3" s="64">
        <f>IF(OR($B3&lt;Analysis!$C$100, $B3&gt;=Analysis!$C$101),0,IF($B3=Analysis!$C$100,Analysis!$C$31,DW2))</f>
        <v>0.1275</v>
      </c>
      <c r="DX3" s="1">
        <f>IF(OR($B3&lt;Analysis!$C$100, $B3&gt;=Analysis!$C$101),0,CK3+DV3)</f>
        <v>372737.1323529412</v>
      </c>
      <c r="DY3" s="1">
        <f>IF(OR($B3&lt;Analysis!$C$100, $B3&gt;=Analysis!$C$101),0,IF($B3-Analysis!$C$100&gt;3,0,IF(CK3&gt;LOOKUP(Analysis!$C$100,$B:$B, CK:CK),$V3*(LOOKUP(Analysis!$C$100,$B:$B, CK:CK)-CK3),0)))</f>
        <v>-3219.3014705882424</v>
      </c>
      <c r="DZ3" s="1">
        <f>DX3+DY3</f>
        <v>369517.83088235295</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IF($B3&lt;Analysis!$C$130,0,IF($B3=Analysis!$C$130,Analysis!$B$136,IF(($B3-Analysis!$C$130)&lt;LOOKUP(Analysis!$C$130,$B:$B,EE:EE),EI2,0)))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-101578.44225707167</v>
      </c>
      <c r="FM3" s="1">
        <f>$M3+$R3+DD3+IF(AND($B3&lt;&gt;Analysis!$C$130,$B3=Analysis!$C$101),DZ2+CQ2+CT2+CZ2,0)</f>
        <v>115403.38235294117</v>
      </c>
      <c r="FN3" s="1">
        <f t="shared" ref="FN3:FN52" si="34">FM3+FL3</f>
        <v>13824.940095869504</v>
      </c>
      <c r="FO3" s="1">
        <f>IF(FN3 &lt; 0,
    IF(FO2 + FN3 &gt; 0,
        FO2 + FN3, IF(FT2-ABS(FO2 + FN3)*(1+$V3) &gt;= FO2 + FN3,
        0, FO2 + FN3)),
    MIN(FO2 + FN3, Analysis!$C$7))+IF(FO2&lt;0, FO2*Analysis!$C$9,0)</f>
        <v>24000</v>
      </c>
      <c r="FP3" s="53"/>
      <c r="FQ3" s="1">
        <f>IF(FT2&gt;0,FT2*$U3,0)</f>
        <v>0</v>
      </c>
      <c r="FR3" s="1">
        <f>IF(OR($B3=Analysis!$C$100, $B3=Analysis!$C$130),0,IF(FN3 &gt;= 0,
    MAX(0, FO2 + FN3 - Analysis!$C$7),
    0))</f>
        <v>2874.6575929657847</v>
      </c>
      <c r="FS3" s="1">
        <f>IF(OR($B3=Analysis!$C$100, $B3=Analysis!$C$130),0,MAX(0, FS2 + FR3 - IF(FN3 &lt; 0, MIN(ABS(FN3), FS2 + FR3), 0)))</f>
        <v>2874.6575929657847</v>
      </c>
      <c r="FT3" s="1">
        <f>IF(OR($B3=Analysis!$C$100, $B3=Analysis!$C$130),0,IF(FN3 &lt; 0,
    IF(FN3 + FO2 &lt; 0,
        MAX(0, FT2 - (ABS(FN3 + FO2) * (1+$V2))),
        FT2 + FQ3),
    FT2 + FR3 + FQ3))</f>
        <v>2874.6575929657847</v>
      </c>
      <c r="FU3" s="1">
        <f t="shared" ref="FU3:FU11" si="35">IF(FT3-FS3&gt;0, FT3-$V3*(FT3-FS3),FT3)</f>
        <v>2874.6575929657847</v>
      </c>
      <c r="FV3" s="36"/>
      <c r="FW3" s="1">
        <f>FW2*(1+$FX2)</f>
        <v>427205.8823529412</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-7969.4231760000002</v>
      </c>
      <c r="GC3" s="1">
        <f>IF($B3&lt;Analysis!$C$159,0,IF($B3=Analysis!$C$159,-FY3-GB3,MIN(0,GC2-GB3)))</f>
        <v>-371305.76682400005</v>
      </c>
      <c r="GD3" s="64">
        <f>IF($B3&lt;Analysis!$C$159,0,IF($B3=Analysis!$C$159,Analysis!$B$160,IF(($B3-Analysis!$C$159)&lt;LOOKUP(Analysis!$C$159,$B:$B,FZ:FZ),GD2,0)))</f>
        <v>2.9600000000000001E-2</v>
      </c>
      <c r="GE3" s="1">
        <f>IF($B3&lt;Analysis!$C$159,0,IF($B3=Analysis!$C$159,-GD3*FY3,GD2*GC2))</f>
        <v>-11226.545624000002</v>
      </c>
      <c r="GF3" s="1">
        <f>IF($B3&lt;Analysis!$C$159,0,IF($B3=Analysis!$C$159,PMT(GD3,FZ3,FY3)*FZ3-GG3-GC3,IF(($B3-Analysis!$C$159+1)&lt;LOOKUP(Analysis!$C$159,$B:$B,FZ:FZ),IF(GF2-GE3&lt;0, GF2-GE3,0),0)))</f>
        <v>-187994.3584626904</v>
      </c>
      <c r="GG3" s="1">
        <f>IF($B3&lt;Analysis!$C$159,0,IF($B3=Analysis!$C$159,GB3+GE3,IF(GC2&lt;0,IF(GC2&gt;LOOKUP(Analysis!$C$159,$B:$B,GG:GG), GC2*(1+GD2),GG2),0)))</f>
        <v>-19195.968800000002</v>
      </c>
      <c r="GH3" s="1">
        <f>IF($B3=Analysis!$C$159,Analysis!$C$165,0)</f>
        <v>0</v>
      </c>
      <c r="GI3" s="1">
        <f>IF($B3=Analysis!$C$159,PMT(GD3,GJ3,GH3)*GJ3,0)</f>
        <v>0</v>
      </c>
      <c r="GJ3" s="7">
        <f>IF($B3=Analysis!$C$159,Analysis!$C$167,0)</f>
        <v>0</v>
      </c>
      <c r="GK3" s="1">
        <f>IF($B3&lt;Analysis!$C$159,0,IF($B3=Analysis!$C$159,GI3/GJ3,IF(($B3-Analysis!$C$159)&lt;LOOKUP(Analysis!$C$159,$B:$B,GJ:GJ),GK2,0)))</f>
        <v>-5849.5661171837091</v>
      </c>
      <c r="GL3" s="1">
        <f>IF($B3&lt;Analysis!$C$159,0,IF($B3=Analysis!$C$159,GJ3*GK3-GK3,IF(($B3-Analysis!$C$159)&lt;Analysis!$C$167,GL2-GK3,0)))</f>
        <v>-46796.528937469673</v>
      </c>
      <c r="GM3" s="38"/>
      <c r="GN3" s="1">
        <f>IF($B3&lt;Analysis!$C$159,0,IF($B3=2025,(Analysis!$C$109*12),IF($B3=Analysis!$C$159,(Analysis!$C$109*12)*(1+GO3)^($B3-$B$2),GN2*(1+GO3))))</f>
        <v>14267.647058823532</v>
      </c>
      <c r="GO3" s="64">
        <f>IF($B3&lt;Analysis!$C$159,0,((1+Analysis!$C$174)/(1+$S3))-1)</f>
        <v>2.941176470588247E-2</v>
      </c>
      <c r="GP3" s="1">
        <f t="shared" si="7"/>
        <v>19509.264705882357</v>
      </c>
      <c r="GQ3" s="1">
        <f t="shared" ref="GQ3:GQ52" si="36">-GR3*FW3</f>
        <v>-1281.6176470588236</v>
      </c>
      <c r="GR3" s="64">
        <f>IF($B3&lt;Analysis!$C$159,0,Analysis!$C$178)</f>
        <v>3.0000000000000001E-3</v>
      </c>
      <c r="GS3" s="1">
        <f t="shared" ref="GS3:GS52" si="37">-GT3*FW3</f>
        <v>-3204.044117647059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-1070.0735294117649</v>
      </c>
      <c r="HD3" s="1">
        <f t="shared" ref="HD3:HD52" si="38">GQ3+GS3+MIN(GU3,SUM(GV3:GZ3))+HB3+HC3</f>
        <v>-17815.735294117647</v>
      </c>
      <c r="HE3" s="1">
        <f>MIN(0,-(GN3+HD3)*Analysis!$C$28)-GE3*Analysis!$C$28</f>
        <v>4974.4823659944004</v>
      </c>
      <c r="HF3" s="1">
        <f>-Analysis!$C$176*GP3/12</f>
        <v>-1625.7720588235297</v>
      </c>
      <c r="HG3" s="38"/>
      <c r="HH3" s="1">
        <f>IF($B3&lt;Analysis!$C$159,0,-$HI3*$FW3)</f>
        <v>-54468.750000000007</v>
      </c>
      <c r="HI3" s="64">
        <f>IF($B3&lt;Analysis!$C$159,0,IF($B3=Analysis!$C$159,Analysis!$C$31,HI2))</f>
        <v>0.1275</v>
      </c>
      <c r="HJ3" s="1">
        <f>IF($B3&lt;Analysis!$C$159,0,$FW3+HH3)</f>
        <v>372737.1323529412</v>
      </c>
      <c r="HK3" s="1">
        <f>IF($B3-Analysis!$C$159&gt;10,0,IF($FW3&gt;LOOKUP(Analysis!$C$159,$B:$B, FW:FW),$V3*(LOOKUP(Analysis!$C$159,$B:$B, FW:FW)-FW3),0))</f>
        <v>-3219.3014705882424</v>
      </c>
      <c r="HL3" s="1">
        <f t="shared" ref="HL3:HL52" si="39">HJ3+HK3</f>
        <v>369517.83088235295</v>
      </c>
      <c r="HM3" s="38"/>
      <c r="HN3" s="1">
        <f t="shared" ref="HN3:HN52" si="40">$P3+$N3+$X3+$Z3+GB3+GE3+GK3+GQ3+GS3+MIN(GU3,SUM(GV3:GZ3))+HC3+HE3+HF3</f>
        <v>-101578.44225707167</v>
      </c>
      <c r="HO3" s="1">
        <f t="shared" si="8"/>
        <v>115403.38235294117</v>
      </c>
      <c r="HP3" s="1">
        <f t="shared" ref="HP3:HP52" si="41">HO3+HN3</f>
        <v>13824.940095869504</v>
      </c>
      <c r="HQ3" s="1">
        <f>IF(HP3 &lt; 0,
    IF(HQ2 + HP3 &gt; 0,
        HQ2 + HP3, IF(HV2-ABS(HQ2 + HP3)*(1+$V3) &gt;= HQ2 + HP3,
        0, HQ2 + HP3)),
    MIN(HQ2 + HP3, Analysis!$C$7))+IF(HQ2&lt;0, HQ2*Analysis!$C$9,0)</f>
        <v>24000</v>
      </c>
      <c r="HR3" s="38"/>
      <c r="HS3" s="1">
        <f>IF(HV2&gt;0,HV2*$U3,0)</f>
        <v>0</v>
      </c>
      <c r="HT3" s="1">
        <f>IF($B3=Analysis!$C$159,0,IF(HP3 &gt;= 0,
    MAX(0, HQ2 + HP3 - Analysis!$C$7),
    0))</f>
        <v>2874.6575929657847</v>
      </c>
      <c r="HU3" s="1">
        <f>IF($B3=Analysis!$C$159,0,MAX(0, HU2 + HT3 - IF(HP3 &lt; 0, MIN(ABS(HP3), HU2 + HT3), 0)))</f>
        <v>2874.6575929657847</v>
      </c>
      <c r="HV3" s="1">
        <f>IF($B3=Analysis!$C$159,0,IF(HP3 &lt; 0,
    IF(HP3 + HQ2 &lt; 0,
        MAX(0, HV2 - (ABS(HP3 + HQ2) * (1+$V2))),
        HV2 + HS3),
    HV2 + HT3 + HS3))</f>
        <v>2874.6575929657847</v>
      </c>
      <c r="HW3" s="1">
        <f t="shared" ref="HW3:HW11" si="42">IF(HV3-HU3&gt;0, HV3-$V3*(HV3-HU3),HV3)</f>
        <v>2874.6575929657847</v>
      </c>
      <c r="HX3" s="36"/>
    </row>
    <row r="4" spans="1:232" x14ac:dyDescent="0.35">
      <c r="A4">
        <f t="shared" si="0"/>
        <v>37</v>
      </c>
      <c r="B4">
        <v>2027</v>
      </c>
      <c r="C4" s="1">
        <f>IF($B4&lt;Analysis!C$66,0,$AN4)+$AT4+$AW4+$BC4+$CF4+$CA4</f>
        <v>-324456.59233513568</v>
      </c>
      <c r="D4" s="1">
        <f>IF($B4&lt;Analysis!C$66, 0, BV4)+AT4+AW4+BC4+CG4+CA4</f>
        <v>-428545.27096835373</v>
      </c>
      <c r="E4" s="1">
        <f t="shared" si="1"/>
        <v>83940.902535110043</v>
      </c>
      <c r="F4" s="1">
        <f t="shared" si="9"/>
        <v>81432.776169675461</v>
      </c>
      <c r="G4" s="1">
        <f>IF(AND($B4&gt;=Analysis!$C$100, $B4&lt;Analysis!$C$101),$CK4,0)+IF($B4&gt;=Analysis!$C$130,EB4,0)+CQ4+CT4+CZ4+EH4+EK4+EQ4+$FO4+$FT4</f>
        <v>-126740.50524832892</v>
      </c>
      <c r="H4" s="1">
        <f t="shared" si="10"/>
        <v>-190159.62297013888</v>
      </c>
      <c r="I4" s="1">
        <f>IF($B4&lt;Analysis!$C$159,0,$FW4)+$GC4+$GF4+$GL4+$HQ4+$HV4</f>
        <v>-126740.50524832892</v>
      </c>
      <c r="J4" s="1">
        <f t="shared" si="2"/>
        <v>-190159.62297013888</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4251.7275364831467</v>
      </c>
      <c r="AI4" s="1">
        <f>IF(AE4 &gt;= 0,
    MAX(0, AF3 + AE4 - Analysis!$C$7),
    0)</f>
        <v>0</v>
      </c>
      <c r="AJ4" s="1">
        <f t="shared" ref="AJ4:AJ52" si="44">MAX(0, AJ3 + AI4 - IF(AE4 &lt; 0, MIN(ABS(AE4), AJ3 + AI4), 0))</f>
        <v>51429.82698961936</v>
      </c>
      <c r="AK4" s="1">
        <f t="shared" si="20"/>
        <v>60939.310839608319</v>
      </c>
      <c r="AL4" s="1">
        <f t="shared" si="5"/>
        <v>58431.18447417373</v>
      </c>
      <c r="AM4" s="36"/>
      <c r="AN4" s="1">
        <f t="shared" ref="AN4:AN52" si="45">AN3*(1+AO3)</f>
        <v>731185.12110726663</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-14710.316446425601</v>
      </c>
      <c r="AT4" s="1">
        <f>IF($B4&lt;Analysis!$C$66,0,IF($B4=Analysis!$C$66,-AP4-AS4,MIN(0,AT3-AS4)))</f>
        <v>-650958.61441757448</v>
      </c>
      <c r="AU4" s="64">
        <f>IF($B4&lt;Analysis!$C$66,0,IF($B4=Analysis!$C$66,Analysis!$C$72,IF(($B4-Analysis!$C$66)&lt;LOOKUP(Analysis!$C$66,$B:$B,AQ:AQ),AU3,0)))</f>
        <v>2.9600000000000001E-2</v>
      </c>
      <c r="AV4" s="1">
        <f>IF($B4&lt;Analysis!$C$66,0,IF($B4=Analysis!$C$66,-AU4*AP4,AU3*AT3))</f>
        <v>-19703.800353574403</v>
      </c>
      <c r="AW4" s="1">
        <f>IF($B4&lt;Analysis!$C$66,0,IF($B4=Analysis!$C$66,PMT(AU4,AQ4,AP4)*AQ4-AX4-AT4,IF(($B4-Analysis!$C$66+1)&lt;LOOKUP(Analysis!$C$66,$B:$B,AQ:AQ),IF(AW3-AV4&lt;0, AW3-AV4,0),0)))</f>
        <v>-317328.41079880559</v>
      </c>
      <c r="AX4" s="1">
        <f>IF($B4&lt;Analysis!$C$66,0,IF($B4=Analysis!$C$66,AS4+AV4,IF(AT3&lt;0,IF(AT3&gt;LOOKUP(Analysis!$C$66,$B:$B,AX:AX), AT3*(1+AU3),AX3),0)))</f>
        <v>-34414.116800000003</v>
      </c>
      <c r="AY4" s="1">
        <f>IF($B4=Analysis!$C$66,Analysis!$C$68,0)</f>
        <v>0</v>
      </c>
      <c r="AZ4" s="1">
        <f>IF($B4=Analysis!$C$66,PMT(AU4,BA4,AY4)*BA4,0)</f>
        <v>0</v>
      </c>
      <c r="BA4" s="7">
        <f>IF($B4=Analysis!$C$66,Analysis!$C$70,0)</f>
        <v>0</v>
      </c>
      <c r="BB4" s="1">
        <f>IF($B4&lt;Analysis!$C$66,0,IF($B4=Analysis!$C$66,AZ4/BA4,IF(($B4-Analysis!$C$66)&lt;LOOKUP(Analysis!$C$66,$B:$B,BA:BA),BB3,0)))</f>
        <v>-5849.5661171837091</v>
      </c>
      <c r="BC4" s="1">
        <f>IF($B4&lt;Analysis!$C$66,0,IF($B4=Analysis!$C$66,BA4*BB4-BB4,IF(($B4-Analysis!$C$66)&lt;Analysis!$C$70,BC3-BB4,0)))</f>
        <v>-40946.96282028596</v>
      </c>
      <c r="BD4" s="42"/>
      <c r="BE4" s="1">
        <f>IF($B4&lt;Analysis!$C$66,0,-BF4*AN4)</f>
        <v>-2193.5553633218001</v>
      </c>
      <c r="BF4" s="64">
        <f>IF($B4&lt;Analysis!$C$66,0,Analysis!$C$78)</f>
        <v>3.0000000000000001E-3</v>
      </c>
      <c r="BG4" s="1">
        <f>IF($B4&lt;Analysis!$C$66,0,-BH4*AN4)</f>
        <v>-5483.8884083044995</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-93226.10294117649</v>
      </c>
      <c r="BS4" s="64">
        <f>IF($B4&lt;Analysis!C$66,0,Analysis!C$31)</f>
        <v>0.1275</v>
      </c>
      <c r="BT4" s="1">
        <f>IF($B4&lt;Analysis!$C$66,0,AN4+BR4)</f>
        <v>637959.01816609013</v>
      </c>
      <c r="BU4" s="1">
        <f>IF($B4-Analysis!$C$66&gt;3,0,IF($AN4&gt;LOOKUP(Analysis!$C$66,$B:$B, AN:AN),$V4*(LOOKUP(Analysis!$C$66,$B:$B, AN:AN)-AN4),0))</f>
        <v>-10862.575692041573</v>
      </c>
      <c r="BV4" s="1">
        <f>BT4+BU4</f>
        <v>627096.44247404858</v>
      </c>
      <c r="BW4" s="42"/>
      <c r="BX4" s="1">
        <f>IF($B4&lt;Analysis!$C$66,$P4+$N4+$X4+$Z4,$P4+$N4+AS4+AV4+BB4+BE4+BG4+MAX(BI4,SUM(BJ4:BN4))+BP4)</f>
        <v>-80101.126688810007</v>
      </c>
      <c r="BY4" s="1">
        <f t="shared" si="24"/>
        <v>47947.058823529405</v>
      </c>
      <c r="BZ4" s="1">
        <f t="shared" ref="BZ4:BZ52" si="46">BY4+BX4</f>
        <v>-32154.067865280602</v>
      </c>
      <c r="CA4" s="1">
        <f>IF(BZ4 &lt; 0,
    IF(CA3 + BZ4 &gt; 0,
        CA3 + BZ4, IF(CF3-ABS(CA3 + BZ4)*(1+$V4) &gt;= CA3 + BZ4,
        0, CA3 + BZ4)),
    MIN(CA3 + BZ4, Analysis!$C$7))+IF(CA3&lt;0, CA3*Analysis!$C$9,0)</f>
        <v>-46407.72540573623</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439770.7612456748</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-8205.3181020095999</v>
      </c>
      <c r="CQ4" s="1">
        <f>IF(OR($B4&lt;Analysis!$C$100, $B4&gt;=Analysis!$C$101),0,IF($B4=Analysis!$C$100,-CM4-CP4,MIN(0,CQ3-CP4)))</f>
        <v>-363100.44872199045</v>
      </c>
      <c r="CR4" s="64">
        <f>IF(OR($B4&lt;Analysis!$C$100, $B4&gt;=Analysis!$C$101),0,IF($B4=Analysis!$C$100,Analysis!$C$102,IF(($B4-Analysis!$C$100)&lt;LOOKUP(Analysis!$C$100,$B:$B,CN:CN),CR3,0)))</f>
        <v>2.9600000000000001E-2</v>
      </c>
      <c r="CS4" s="1">
        <f>IF(OR($B4&lt;Analysis!$C$100, $B4&gt;=Analysis!$C$101),0,IF($B4=Analysis!$C$100,-CR4*CM4,CR3*CQ3))</f>
        <v>-10990.650697990402</v>
      </c>
      <c r="CT4" s="1">
        <f>IF(OR($B4&lt;Analysis!$C$100, $B4&gt;=Analysis!$C$101),0,IF($B4=Analysis!$C$100,PMT(CR4,CN4,CM4)*CN4-CU4-CQ4,IF(($B4-Analysis!$C$100+1)&lt;LOOKUP(Analysis!$C$100,$B:$B,CN:CN),IF(CT3-CS4&lt;0, CT3-CS4,0),0)))</f>
        <v>-177003.7077647</v>
      </c>
      <c r="CU4" s="1">
        <f>IF(OR($B4&lt;Analysis!$C$100, $B4&gt;=Analysis!$C$101),0,IF($B4=Analysis!$C$100,CP4+CS4,IF(CQ3&lt;0,IF(CQ3&gt;LOOKUP(Analysis!$C$100,$B:$B,CU:CU), CQ3*(1+CR3),CU3),0)))</f>
        <v>-19195.968800000002</v>
      </c>
      <c r="CV4" s="1">
        <f>IF($B4=Analysis!$C$100,Analysis!$C$105,0)</f>
        <v>0</v>
      </c>
      <c r="CW4" s="1">
        <f>IF($B4=Analysis!$C$100,PMT(CR4,CX4,CV4)*CX4,0)</f>
        <v>0</v>
      </c>
      <c r="CX4" s="7">
        <f>IF($B4=Analysis!$C$100,Analysis!$C$107,0)</f>
        <v>0</v>
      </c>
      <c r="CY4" s="1">
        <f>IF(OR($B4&lt;Analysis!$C$100, $B4&gt;=Analysis!$C$101),0,IF($B4=Analysis!$C$100,CW4/CX4,IF(($B4-Analysis!$C$100)&lt;LOOKUP(Analysis!$C$100,$B:$B,CX:CX),CY3,0)))</f>
        <v>-5849.5661171837091</v>
      </c>
      <c r="CZ4" s="1">
        <f>IF(OR($B4&lt;Analysis!$C$100, $B4&gt;=Analysis!$C$101),0,IF($B4=Analysis!$C$100,CX4*CY4-CY4,IF(($B4-Analysis!$C$100)&lt;Analysis!$C$107,CZ3-CY4,0)))</f>
        <v>-40946.96282028596</v>
      </c>
      <c r="DA4" s="53"/>
      <c r="DB4" s="1">
        <f>IF(OR($B4&lt;Analysis!$C$100, $B4&gt;=Analysis!$C$101),0,IF($B4=2025,(Analysis!$C$109*12),IF($B4=Analysis!$C$100,(Analysis!$C$109*12)*(1+DC4)^($B4-$B$2),DB3*(1+DC4))))</f>
        <v>14687.283737024225</v>
      </c>
      <c r="DC4" s="64">
        <f>IF(OR($B4&lt;Analysis!$C$100, $B4&gt;=Analysis!$C$101),0,((1+Analysis!$C$114)/(1+$S4))-1)</f>
        <v>2.941176470588247E-2</v>
      </c>
      <c r="DD4" s="1">
        <f t="shared" si="6"/>
        <v>19966.596020761252</v>
      </c>
      <c r="DE4" s="1">
        <f t="shared" si="27"/>
        <v>-1319.3122837370245</v>
      </c>
      <c r="DF4" s="64">
        <f>IF(OR($B4&lt;Analysis!$C$100, $B4&gt;=Analysis!$C$101),0,Analysis!$C$118)</f>
        <v>3.0000000000000001E-3</v>
      </c>
      <c r="DG4" s="1">
        <f t="shared" si="28"/>
        <v>-3298.2807093425608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-1101.5462802768168</v>
      </c>
      <c r="DR4" s="1">
        <f t="shared" si="29"/>
        <v>-17979.139273356403</v>
      </c>
      <c r="DS4" s="1">
        <f>MIN(0,-(DB4+DR4)*Analysis!$C$28)-CS4*Analysis!$C$28</f>
        <v>4869.9573242795468</v>
      </c>
      <c r="DT4" s="1">
        <f>-Analysis!$C$116*DD4/12</f>
        <v>-1663.8830017301043</v>
      </c>
      <c r="DU4" s="53"/>
      <c r="DV4" s="1">
        <f t="shared" si="30"/>
        <v>-56070.772058823539</v>
      </c>
      <c r="DW4" s="64">
        <f>IF(OR($B4&lt;Analysis!$C$100, $B4&gt;=Analysis!$C$101),0,IF($B4=Analysis!$C$100,Analysis!$C$31,DW3))</f>
        <v>0.1275</v>
      </c>
      <c r="DX4" s="1">
        <f>IF(OR($B4&lt;Analysis!$C$100, $B4&gt;=Analysis!$C$101),0,CK4+DV4)</f>
        <v>383699.98918685125</v>
      </c>
      <c r="DY4" s="1">
        <f>IF(OR($B4&lt;Analysis!$C$100, $B4&gt;=Analysis!$C$101),0,IF($B4-Analysis!$C$100&gt;3,0,IF(CK4&gt;LOOKUP(Analysis!$C$100,$B:$B, CK:CK),$V4*(LOOKUP(Analysis!$C$100,$B:$B, CK:CK)-CK4),0)))</f>
        <v>-6533.2882785467291</v>
      </c>
      <c r="DZ4" s="1">
        <f t="shared" ref="DZ4:DZ52" si="49">DX4+DY4</f>
        <v>377166.70090830454</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IF($B4&lt;Analysis!$C$130,0,IF($B4=Analysis!$C$130,Analysis!$B$136,IF(($B4-Analysis!$C$130)&lt;LOOKUP(Analysis!$C$130,$B:$B,EE:EE),EI3,0)))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-80464.066996018359</v>
      </c>
      <c r="FM4" s="1">
        <f>$M4+$R4+DD4+IF(AND($B4&lt;&gt;Analysis!$C$130,$B4=Analysis!$C$101),DZ3+CQ3+CT3+CZ3,0)</f>
        <v>67913.654844290664</v>
      </c>
      <c r="FN4" s="1">
        <f t="shared" si="34"/>
        <v>-12550.412151727694</v>
      </c>
      <c r="FO4" s="1">
        <f>IF(FN4 &lt; 0,
    IF(FO3 + FN4 &gt; 0,
        FO3 + FN4, IF(FT3-ABS(FO3 + FN4)*(1+$V4) &gt;= FO3 + FN4,
        0, FO3 + FN4)),
    MIN(FO3 + FN4, Analysis!$C$7))+IF(FO3&lt;0, FO3*Analysis!$C$9,0)</f>
        <v>11449.587848272306</v>
      </c>
      <c r="FP4" s="53"/>
      <c r="FQ4" s="1">
        <f t="shared" ref="FQ4:FQ52" si="51">IF(FT3&gt;0,FT3*$U4,0)</f>
        <v>215.60737173459952</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3090.2649647003841</v>
      </c>
      <c r="FU4" s="1">
        <f t="shared" si="35"/>
        <v>2275.2075802606578</v>
      </c>
      <c r="FV4" s="36"/>
      <c r="FW4" s="1">
        <f t="shared" ref="FW4:FW52" si="52">FW3*(1+$FX3)</f>
        <v>439770.7612456748</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-8205.3181020095999</v>
      </c>
      <c r="GC4" s="1">
        <f>IF($B4&lt;Analysis!$C$159,0,IF($B4=Analysis!$C$159,-FY4-GB4,MIN(0,GC3-GB4)))</f>
        <v>-363100.44872199045</v>
      </c>
      <c r="GD4" s="64">
        <f>IF($B4&lt;Analysis!$C$159,0,IF($B4=Analysis!$C$159,Analysis!$B$160,IF(($B4-Analysis!$C$159)&lt;LOOKUP(Analysis!$C$159,$B:$B,FZ:FZ),GD3,0)))</f>
        <v>2.9600000000000001E-2</v>
      </c>
      <c r="GE4" s="1">
        <f>IF($B4&lt;Analysis!$C$159,0,IF($B4=Analysis!$C$159,-GD4*FY4,GD3*GC3))</f>
        <v>-10990.650697990402</v>
      </c>
      <c r="GF4" s="1">
        <f>IF($B4&lt;Analysis!$C$159,0,IF($B4=Analysis!$C$159,PMT(GD4,FZ4,FY4)*FZ4-GG4-GC4,IF(($B4-Analysis!$C$159+1)&lt;LOOKUP(Analysis!$C$159,$B:$B,FZ:FZ),IF(GF3-GE4&lt;0, GF3-GE4,0),0)))</f>
        <v>-177003.7077647</v>
      </c>
      <c r="GG4" s="1">
        <f>IF($B4&lt;Analysis!$C$159,0,IF($B4=Analysis!$C$159,GB4+GE4,IF(GC3&lt;0,IF(GC3&gt;LOOKUP(Analysis!$C$159,$B:$B,GG:GG), GC3*(1+GD3),GG3),0)))</f>
        <v>-19195.968800000002</v>
      </c>
      <c r="GH4" s="1">
        <f>IF($B4=Analysis!$C$159,Analysis!$C$165,0)</f>
        <v>0</v>
      </c>
      <c r="GI4" s="1">
        <f>IF($B4=Analysis!$C$159,PMT(GD4,GJ4,GH4)*GJ4,0)</f>
        <v>0</v>
      </c>
      <c r="GJ4" s="7">
        <f>IF($B4=Analysis!$C$159,Analysis!$C$167,0)</f>
        <v>0</v>
      </c>
      <c r="GK4" s="1">
        <f>IF($B4&lt;Analysis!$C$159,0,IF($B4=Analysis!$C$159,GI4/GJ4,IF(($B4-Analysis!$C$159)&lt;LOOKUP(Analysis!$C$159,$B:$B,GJ:GJ),GK3,0)))</f>
        <v>-5849.5661171837091</v>
      </c>
      <c r="GL4" s="1">
        <f>IF($B4&lt;Analysis!$C$159,0,IF($B4=Analysis!$C$159,GJ4*GK4-GK4,IF(($B4-Analysis!$C$159)&lt;Analysis!$C$167,GL3-GK4,0)))</f>
        <v>-40946.96282028596</v>
      </c>
      <c r="GM4" s="38"/>
      <c r="GN4" s="1">
        <f>IF($B4&lt;Analysis!$C$159,0,IF($B4=2025,(Analysis!$C$109*12),IF($B4=Analysis!$C$159,(Analysis!$C$109*12)*(1+GO4)^($B4-$B$2),GN3*(1+GO4))))</f>
        <v>14687.283737024225</v>
      </c>
      <c r="GO4" s="64">
        <f>IF($B4&lt;Analysis!$C$159,0,((1+Analysis!$C$174)/(1+$S4))-1)</f>
        <v>2.941176470588247E-2</v>
      </c>
      <c r="GP4" s="1">
        <f t="shared" si="7"/>
        <v>19966.596020761252</v>
      </c>
      <c r="GQ4" s="1">
        <f t="shared" si="36"/>
        <v>-1319.3122837370245</v>
      </c>
      <c r="GR4" s="64">
        <f>IF($B4&lt;Analysis!$C$159,0,Analysis!$C$178)</f>
        <v>3.0000000000000001E-3</v>
      </c>
      <c r="GS4" s="1">
        <f t="shared" si="37"/>
        <v>-3298.2807093425608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-1101.5462802768168</v>
      </c>
      <c r="HD4" s="1">
        <f t="shared" si="38"/>
        <v>-17979.139273356403</v>
      </c>
      <c r="HE4" s="1">
        <f>MIN(0,-(GN4+HD4)*Analysis!$C$28)-GE4*Analysis!$C$28</f>
        <v>4869.9573242795468</v>
      </c>
      <c r="HF4" s="1">
        <f>-Analysis!$C$176*GP4/12</f>
        <v>-1663.8830017301043</v>
      </c>
      <c r="HG4" s="38"/>
      <c r="HH4" s="1">
        <f>IF($B4&lt;Analysis!$C$159,0,-$HI4*$FW4)</f>
        <v>-56070.772058823539</v>
      </c>
      <c r="HI4" s="64">
        <f>IF($B4&lt;Analysis!$C$159,0,IF($B4=Analysis!$C$159,Analysis!$C$31,HI3))</f>
        <v>0.1275</v>
      </c>
      <c r="HJ4" s="1">
        <f>IF($B4&lt;Analysis!$C$159,0,$FW4+HH4)</f>
        <v>383699.98918685125</v>
      </c>
      <c r="HK4" s="1">
        <f>IF($B4-Analysis!$C$159&gt;10,0,IF($FW4&gt;LOOKUP(Analysis!$C$159,$B:$B, FW:FW),$V4*(LOOKUP(Analysis!$C$159,$B:$B, FW:FW)-FW4),0))</f>
        <v>-6533.2882785467291</v>
      </c>
      <c r="HL4" s="1">
        <f t="shared" si="39"/>
        <v>377166.70090830454</v>
      </c>
      <c r="HM4" s="38"/>
      <c r="HN4" s="1">
        <f t="shared" si="40"/>
        <v>-80464.066996018359</v>
      </c>
      <c r="HO4" s="1">
        <f t="shared" si="8"/>
        <v>67913.654844290664</v>
      </c>
      <c r="HP4" s="1">
        <f t="shared" si="41"/>
        <v>-12550.412151727694</v>
      </c>
      <c r="HQ4" s="1">
        <f>IF(HP4 &lt; 0,
    IF(HQ3 + HP4 &gt; 0,
        HQ3 + HP4, IF(HV3-ABS(HQ3 + HP4)*(1+$V4) &gt;= HQ3 + HP4,
        0, HQ3 + HP4)),
    MIN(HQ3 + HP4, Analysis!$C$7))+IF(HQ3&lt;0, HQ3*Analysis!$C$9,0)</f>
        <v>11449.587848272306</v>
      </c>
      <c r="HR4" s="38"/>
      <c r="HS4" s="1">
        <f t="shared" ref="HS4:HS52" si="54">IF(HV3&gt;0,HV3*$U4,0)</f>
        <v>215.60737173459952</v>
      </c>
      <c r="HT4" s="1">
        <f>IF($B4=Analysis!$C$159,0,IF(HP4 &gt;= 0,
    MAX(0, HQ3 + HP4 - Analysis!$C$7),
    0))</f>
        <v>0</v>
      </c>
      <c r="HU4" s="1">
        <f>IF($B4=Analysis!$C$159,0,MAX(0, HU3 + HT4 - IF(HP4 &lt; 0, MIN(ABS(HP4), HU3 + HT4), 0)))</f>
        <v>0</v>
      </c>
      <c r="HV4" s="1">
        <f>IF($B4=Analysis!$C$159,0,IF(HP4 &lt; 0,
    IF(HP4 + HQ3 &lt; 0,
        MAX(0, HV3 - (ABS(HP4 + HQ3) * (1+$V3))),
        HV3 + HS4),
    HV3 + HT4 + HS4))</f>
        <v>3090.2649647003841</v>
      </c>
      <c r="HW4" s="1">
        <f t="shared" si="42"/>
        <v>2275.2075802606578</v>
      </c>
      <c r="HX4" s="36"/>
    </row>
    <row r="5" spans="1:232" x14ac:dyDescent="0.35">
      <c r="A5">
        <f t="shared" si="0"/>
        <v>38</v>
      </c>
      <c r="B5">
        <v>2028</v>
      </c>
      <c r="C5" s="1">
        <f>IF($B5&lt;Analysis!C$66,0,$AN5)+$AT5+$AW5+$BC5+$CF5+$CA5</f>
        <v>-270074.60036182753</v>
      </c>
      <c r="D5" s="1">
        <f>IF($B5&lt;Analysis!C$66, 0, BV5)+AT5+AW5+BC5+CG5+CA5</f>
        <v>-382577.28424896381</v>
      </c>
      <c r="E5" s="1">
        <f t="shared" si="1"/>
        <v>115620.31302744204</v>
      </c>
      <c r="F5" s="1">
        <f t="shared" si="9"/>
        <v>111934.23917188705</v>
      </c>
      <c r="G5" s="1">
        <f>IF(AND($B5&gt;=Analysis!$C$100, $B5&lt;Analysis!$C$101),$CK5,0)+IF($B5&gt;=Analysis!$C$130,EB5,0)+CQ5+CT5+CZ5+EH5+EK5+EQ5+$FO5+$FT5</f>
        <v>-72717.078800258125</v>
      </c>
      <c r="H5" s="1">
        <f t="shared" si="10"/>
        <v>-141256.52823060841</v>
      </c>
      <c r="I5" s="1">
        <f>IF($B5&lt;Analysis!$C$159,0,$FW5)+$GC5+$GF5+$GL5+$HQ5+$HV5</f>
        <v>-72717.078800258125</v>
      </c>
      <c r="J5" s="1">
        <f t="shared" si="2"/>
        <v>-141256.52823060841</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4466.1516213095683</v>
      </c>
      <c r="AI5" s="1">
        <f>IF(AE5 &gt;= 0,
    MAX(0, AF4 + AE5 - Analysis!$C$7),
    0)</f>
        <v>26214.850566524146</v>
      </c>
      <c r="AJ5" s="1">
        <f t="shared" si="44"/>
        <v>77644.677556143506</v>
      </c>
      <c r="AK5" s="1">
        <f t="shared" si="20"/>
        <v>91620.31302744204</v>
      </c>
      <c r="AL5" s="1">
        <f t="shared" si="5"/>
        <v>87934.239171887049</v>
      </c>
      <c r="AM5" s="36"/>
      <c r="AN5" s="1">
        <f t="shared" si="45"/>
        <v>752690.5658457157</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-15145.741813239798</v>
      </c>
      <c r="AT5" s="1">
        <f>IF($B5&lt;Analysis!$C$66,0,IF($B5=Analysis!$C$66,-AP5-AS5,MIN(0,AT4-AS5)))</f>
        <v>-635812.87260433473</v>
      </c>
      <c r="AU5" s="64">
        <f>IF($B5&lt;Analysis!$C$66,0,IF($B5=Analysis!$C$66,Analysis!$C$72,IF(($B5-Analysis!$C$66)&lt;LOOKUP(Analysis!$C$66,$B:$B,AQ:AQ),AU4,0)))</f>
        <v>2.9600000000000001E-2</v>
      </c>
      <c r="AV5" s="1">
        <f>IF($B5&lt;Analysis!$C$66,0,IF($B5=Analysis!$C$66,-AU5*AP5,AU4*AT4))</f>
        <v>-19268.374986760206</v>
      </c>
      <c r="AW5" s="1">
        <f>IF($B5&lt;Analysis!$C$66,0,IF($B5=Analysis!$C$66,PMT(AU5,AQ5,AP5)*AQ5-AX5-AT5,IF(($B5-Analysis!$C$66+1)&lt;LOOKUP(Analysis!$C$66,$B:$B,AQ:AQ),IF(AW4-AV5&lt;0, AW4-AV5,0),0)))</f>
        <v>-298060.03581204539</v>
      </c>
      <c r="AX5" s="1">
        <f>IF($B5&lt;Analysis!$C$66,0,IF($B5=Analysis!$C$66,AS5+AV5,IF(AT4&lt;0,IF(AT4&gt;LOOKUP(Analysis!$C$66,$B:$B,AX:AX), AT4*(1+AU4),AX4),0)))</f>
        <v>-34414.116800000003</v>
      </c>
      <c r="AY5" s="1">
        <f>IF($B5=Analysis!$C$66,Analysis!$C$68,0)</f>
        <v>0</v>
      </c>
      <c r="AZ5" s="1">
        <f>IF($B5=Analysis!$C$66,PMT(AU5,BA5,AY5)*BA5,0)</f>
        <v>0</v>
      </c>
      <c r="BA5" s="7">
        <f>IF($B5=Analysis!$C$66,Analysis!$C$70,0)</f>
        <v>0</v>
      </c>
      <c r="BB5" s="1">
        <f>IF($B5&lt;Analysis!$C$66,0,IF($B5=Analysis!$C$66,AZ5/BA5,IF(($B5-Analysis!$C$66)&lt;LOOKUP(Analysis!$C$66,$B:$B,BA:BA),BB4,0)))</f>
        <v>-5849.5661171837091</v>
      </c>
      <c r="BC5" s="1">
        <f>IF($B5&lt;Analysis!$C$66,0,IF($B5=Analysis!$C$66,BA5*BB5-BB5,IF(($B5-Analysis!$C$66)&lt;Analysis!$C$70,BC4-BB5,0)))</f>
        <v>-35097.396703102248</v>
      </c>
      <c r="BD5" s="42"/>
      <c r="BE5" s="1">
        <f>IF($B5&lt;Analysis!$C$66,0,-BF5*AN5)</f>
        <v>-2258.071697537147</v>
      </c>
      <c r="BF5" s="64">
        <f>IF($B5&lt;Analysis!$C$66,0,Analysis!$C$78)</f>
        <v>3.0000000000000001E-3</v>
      </c>
      <c r="BG5" s="1">
        <f>IF($B5&lt;Analysis!$C$66,0,-BH5*AN5)</f>
        <v>-5645.1792438428674</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-95968.047145328746</v>
      </c>
      <c r="BS5" s="64">
        <f>IF($B5&lt;Analysis!C$66,0,Analysis!C$31)</f>
        <v>0.1275</v>
      </c>
      <c r="BT5" s="1">
        <f>IF($B5&lt;Analysis!$C$66,0,AN5+BR5)</f>
        <v>656722.51870038698</v>
      </c>
      <c r="BU5" s="1">
        <f>IF($B5-Analysis!$C$66&gt;3,0,IF($AN5&gt;LOOKUP(Analysis!$C$66,$B:$B, AN:AN),$V5*(LOOKUP(Analysis!$C$66,$B:$B, AN:AN)-AN5),0))</f>
        <v>-16534.636741807513</v>
      </c>
      <c r="BV5" s="1">
        <f t="shared" si="23"/>
        <v>640187.88195857941</v>
      </c>
      <c r="BW5" s="42"/>
      <c r="BX5" s="1">
        <f>IF($B5&lt;Analysis!$C$66,$P5+$N5+$X5+$Z5,$P5+$N5+AS5+AV5+BB5+BE5+BG5+MAX(BI5,SUM(BJ5:BN5))+BP5)</f>
        <v>-104326.93385856373</v>
      </c>
      <c r="BY5" s="1">
        <f t="shared" si="24"/>
        <v>100652.41620869798</v>
      </c>
      <c r="BZ5" s="1">
        <f t="shared" si="46"/>
        <v>-3674.5176498657529</v>
      </c>
      <c r="CA5" s="1">
        <f>IF(BZ5 &lt; 0,
    IF(CA4 + BZ5 &gt; 0,
        CA4 + BZ5, IF(CF4-ABS(CA4 + BZ5)*(1+$V5) &gt;= CA4 + BZ5,
        0, CA4 + BZ5)),
    MIN(CA4 + BZ5, Analysis!$C$7))+IF(CA4&lt;0, CA4*Analysis!$C$9,0)</f>
        <v>-53794.861088060883</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452705.1953999594</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-8448.1955178290846</v>
      </c>
      <c r="CQ5" s="1">
        <f>IF(OR($B5&lt;Analysis!$C$100, $B5&gt;=Analysis!$C$101),0,IF($B5=Analysis!$C$100,-CM5-CP5,MIN(0,CQ4-CP5)))</f>
        <v>-354652.25320416136</v>
      </c>
      <c r="CR5" s="64">
        <f>IF(OR($B5&lt;Analysis!$C$100, $B5&gt;=Analysis!$C$101),0,IF($B5=Analysis!$C$100,Analysis!$C$102,IF(($B5-Analysis!$C$100)&lt;LOOKUP(Analysis!$C$100,$B:$B,CN:CN),CR4,0)))</f>
        <v>2.9600000000000001E-2</v>
      </c>
      <c r="CS5" s="1">
        <f>IF(OR($B5&lt;Analysis!$C$100, $B5&gt;=Analysis!$C$101),0,IF($B5=Analysis!$C$100,-CR5*CM5,CR4*CQ4))</f>
        <v>-10747.773282170918</v>
      </c>
      <c r="CT5" s="1">
        <f>IF(OR($B5&lt;Analysis!$C$100, $B5&gt;=Analysis!$C$101),0,IF($B5=Analysis!$C$100,PMT(CR5,CN5,CM5)*CN5-CU5-CQ5,IF(($B5-Analysis!$C$100+1)&lt;LOOKUP(Analysis!$C$100,$B:$B,CN:CN),IF(CT4-CS5&lt;0, CT4-CS5,0),0)))</f>
        <v>-166255.93448252909</v>
      </c>
      <c r="CU5" s="1">
        <f>IF(OR($B5&lt;Analysis!$C$100, $B5&gt;=Analysis!$C$101),0,IF($B5=Analysis!$C$100,CP5+CS5,IF(CQ4&lt;0,IF(CQ4&gt;LOOKUP(Analysis!$C$100,$B:$B,CU:CU), CQ4*(1+CR4),CU4),0)))</f>
        <v>-19195.968800000002</v>
      </c>
      <c r="CV5" s="1">
        <f>IF($B5=Analysis!$C$100,Analysis!$C$105,0)</f>
        <v>0</v>
      </c>
      <c r="CW5" s="1">
        <f>IF($B5=Analysis!$C$100,PMT(CR5,CX5,CV5)*CX5,0)</f>
        <v>0</v>
      </c>
      <c r="CX5" s="7">
        <f>IF($B5=Analysis!$C$100,Analysis!$C$107,0)</f>
        <v>0</v>
      </c>
      <c r="CY5" s="1">
        <f>IF(OR($B5&lt;Analysis!$C$100, $B5&gt;=Analysis!$C$101),0,IF($B5=Analysis!$C$100,CW5/CX5,IF(($B5-Analysis!$C$100)&lt;LOOKUP(Analysis!$C$100,$B:$B,CX:CX),CY4,0)))</f>
        <v>-5849.5661171837091</v>
      </c>
      <c r="CZ5" s="1">
        <f>IF(OR($B5&lt;Analysis!$C$100, $B5&gt;=Analysis!$C$101),0,IF($B5=Analysis!$C$100,CX5*CY5-CY5,IF(($B5-Analysis!$C$100)&lt;Analysis!$C$107,CZ4-CY5,0)))</f>
        <v>-35097.396703102248</v>
      </c>
      <c r="DA5" s="53"/>
      <c r="DB5" s="1">
        <f>IF(OR($B5&lt;Analysis!$C$100, $B5&gt;=Analysis!$C$101),0,IF($B5=2025,(Analysis!$C$109*12),IF($B5=Analysis!$C$100,(Analysis!$C$109*12)*(1+DC5)^($B5-$B$2),DB4*(1+DC5))))</f>
        <v>15119.262670466116</v>
      </c>
      <c r="DC5" s="64">
        <f>IF(OR($B5&lt;Analysis!$C$100, $B5&gt;=Analysis!$C$101),0,((1+Analysis!$C$114)/(1+$S5))-1)</f>
        <v>2.941176470588247E-2</v>
      </c>
      <c r="DD5" s="1">
        <f t="shared" si="6"/>
        <v>20437.378256665994</v>
      </c>
      <c r="DE5" s="1">
        <f t="shared" si="27"/>
        <v>-1358.1155861998782</v>
      </c>
      <c r="DF5" s="64">
        <f>IF(OR($B5&lt;Analysis!$C$100, $B5&gt;=Analysis!$C$101),0,Analysis!$C$118)</f>
        <v>3.0000000000000001E-3</v>
      </c>
      <c r="DG5" s="1">
        <f t="shared" si="28"/>
        <v>-3395.2889654996952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-1133.9447002849586</v>
      </c>
      <c r="DR5" s="1">
        <f t="shared" si="29"/>
        <v>-18147.349251984535</v>
      </c>
      <c r="DS5" s="1">
        <f>MIN(0,-(DB5+DR5)*Analysis!$C$28)-CS5*Analysis!$C$28</f>
        <v>4762.3383413299334</v>
      </c>
      <c r="DT5" s="1">
        <f>-Analysis!$C$116*DD5/12</f>
        <v>-1703.1148547221662</v>
      </c>
      <c r="DU5" s="53"/>
      <c r="DV5" s="1">
        <f t="shared" si="30"/>
        <v>-57719.912413494822</v>
      </c>
      <c r="DW5" s="64">
        <f>IF(OR($B5&lt;Analysis!$C$100, $B5&gt;=Analysis!$C$101),0,IF($B5=Analysis!$C$100,Analysis!$C$31,DW4))</f>
        <v>0.1275</v>
      </c>
      <c r="DX5" s="1">
        <f>IF(OR($B5&lt;Analysis!$C$100, $B5&gt;=Analysis!$C$101),0,CK5+DV5)</f>
        <v>394985.28298646456</v>
      </c>
      <c r="DY5" s="1">
        <f>IF(OR($B5&lt;Analysis!$C$100, $B5&gt;=Analysis!$C$101),0,IF($B5-Analysis!$C$100&gt;3,0,IF(CK5&gt;LOOKUP(Analysis!$C$100,$B:$B, CK:CK),$V5*(LOOKUP(Analysis!$C$100,$B:$B, CK:CK)-CK5),0)))</f>
        <v>-9944.7452867392913</v>
      </c>
      <c r="DZ5" s="1">
        <f t="shared" si="49"/>
        <v>385040.53769972525</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IF($B5&lt;Analysis!$C$130,0,IF($B5=Analysis!$C$130,Analysis!$B$136,IF(($B5-Analysis!$C$130)&lt;LOOKUP(Analysis!$C$130,$B:$B,EE:EE),EI4,0)))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-105272.81802023605</v>
      </c>
      <c r="FM5" s="1">
        <f>$M5+$R5+DD5+IF(AND($B5&lt;&gt;Analysis!$C$130,$B5=Analysis!$C$101),DZ4+CQ4+CT4+CZ4,0)</f>
        <v>121089.79446536397</v>
      </c>
      <c r="FN5" s="1">
        <f t="shared" si="34"/>
        <v>15816.976445127919</v>
      </c>
      <c r="FO5" s="1">
        <f>IF(FN5 &lt; 0,
    IF(FO4 + FN5 &gt; 0,
        FO4 + FN5, IF(FT4-ABS(FO4 + FN5)*(1+$V5) &gt;= FO4 + FN5,
        0, FO4 + FN5)),
    MIN(FO4 + FN5, Analysis!$C$7))+IF(FO4&lt;0, FO4*Analysis!$C$9,0)</f>
        <v>24000</v>
      </c>
      <c r="FP5" s="53"/>
      <c r="FQ5" s="1">
        <f t="shared" si="51"/>
        <v>226.48093147456876</v>
      </c>
      <c r="FR5" s="1">
        <f>IF(OR($B5=Analysis!$C$100, $B5=Analysis!$C$130),0,IF(FN5 &gt;= 0,
    MAX(0, FO4 + FN5 - Analysis!$C$7),
    0))</f>
        <v>3266.5642934002244</v>
      </c>
      <c r="FS5" s="1">
        <f>IF(OR($B5=Analysis!$C$100, $B5=Analysis!$C$130),0,MAX(0, FS4 + FR5 - IF(FN5 &lt; 0, MIN(ABS(FN5), FS4 + FR5), 0)))</f>
        <v>3266.5642934002244</v>
      </c>
      <c r="FT5" s="1">
        <f>IF(OR($B5=Analysis!$C$100, $B5=Analysis!$C$130),0,IF(FN5 &lt; 0,
    IF(FN5 + FO4 &lt; 0,
        MAX(0, FT4 - (ABS(FN5 + FO4) * (1+$V4))),
        FT4 + FQ5),
    FT4 + FR5 + FQ5))</f>
        <v>6583.310189575177</v>
      </c>
      <c r="FU5" s="1">
        <f t="shared" si="35"/>
        <v>5708.5184594590337</v>
      </c>
      <c r="FV5" s="36"/>
      <c r="FW5" s="1">
        <f t="shared" si="52"/>
        <v>452705.1953999594</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-8448.1955178290846</v>
      </c>
      <c r="GC5" s="1">
        <f>IF($B5&lt;Analysis!$C$159,0,IF($B5=Analysis!$C$159,-FY5-GB5,MIN(0,GC4-GB5)))</f>
        <v>-354652.25320416136</v>
      </c>
      <c r="GD5" s="64">
        <f>IF($B5&lt;Analysis!$C$159,0,IF($B5=Analysis!$C$159,Analysis!$B$160,IF(($B5-Analysis!$C$159)&lt;LOOKUP(Analysis!$C$159,$B:$B,FZ:FZ),GD4,0)))</f>
        <v>2.9600000000000001E-2</v>
      </c>
      <c r="GE5" s="1">
        <f>IF($B5&lt;Analysis!$C$159,0,IF($B5=Analysis!$C$159,-GD5*FY5,GD4*GC4))</f>
        <v>-10747.773282170918</v>
      </c>
      <c r="GF5" s="1">
        <f>IF($B5&lt;Analysis!$C$159,0,IF($B5=Analysis!$C$159,PMT(GD5,FZ5,FY5)*FZ5-GG5-GC5,IF(($B5-Analysis!$C$159+1)&lt;LOOKUP(Analysis!$C$159,$B:$B,FZ:FZ),IF(GF4-GE5&lt;0, GF4-GE5,0),0)))</f>
        <v>-166255.93448252909</v>
      </c>
      <c r="GG5" s="1">
        <f>IF($B5&lt;Analysis!$C$159,0,IF($B5=Analysis!$C$159,GB5+GE5,IF(GC4&lt;0,IF(GC4&gt;LOOKUP(Analysis!$C$159,$B:$B,GG:GG), GC4*(1+GD4),GG4),0)))</f>
        <v>-19195.968800000002</v>
      </c>
      <c r="GH5" s="1">
        <f>IF($B5=Analysis!$C$159,Analysis!$C$165,0)</f>
        <v>0</v>
      </c>
      <c r="GI5" s="1">
        <f>IF($B5=Analysis!$C$159,PMT(GD5,GJ5,GH5)*GJ5,0)</f>
        <v>0</v>
      </c>
      <c r="GJ5" s="7">
        <f>IF($B5=Analysis!$C$159,Analysis!$C$167,0)</f>
        <v>0</v>
      </c>
      <c r="GK5" s="1">
        <f>IF($B5&lt;Analysis!$C$159,0,IF($B5=Analysis!$C$159,GI5/GJ5,IF(($B5-Analysis!$C$159)&lt;LOOKUP(Analysis!$C$159,$B:$B,GJ:GJ),GK4,0)))</f>
        <v>-5849.5661171837091</v>
      </c>
      <c r="GL5" s="1">
        <f>IF($B5&lt;Analysis!$C$159,0,IF($B5=Analysis!$C$159,GJ5*GK5-GK5,IF(($B5-Analysis!$C$159)&lt;Analysis!$C$167,GL4-GK5,0)))</f>
        <v>-35097.396703102248</v>
      </c>
      <c r="GM5" s="38"/>
      <c r="GN5" s="1">
        <f>IF($B5&lt;Analysis!$C$159,0,IF($B5=2025,(Analysis!$C$109*12),IF($B5=Analysis!$C$159,(Analysis!$C$109*12)*(1+GO5)^($B5-$B$2),GN4*(1+GO5))))</f>
        <v>15119.262670466116</v>
      </c>
      <c r="GO5" s="64">
        <f>IF($B5&lt;Analysis!$C$159,0,((1+Analysis!$C$174)/(1+$S5))-1)</f>
        <v>2.941176470588247E-2</v>
      </c>
      <c r="GP5" s="1">
        <f t="shared" si="7"/>
        <v>20437.378256665994</v>
      </c>
      <c r="GQ5" s="1">
        <f t="shared" si="36"/>
        <v>-1358.1155861998782</v>
      </c>
      <c r="GR5" s="64">
        <f>IF($B5&lt;Analysis!$C$159,0,Analysis!$C$178)</f>
        <v>3.0000000000000001E-3</v>
      </c>
      <c r="GS5" s="1">
        <f t="shared" si="37"/>
        <v>-3395.2889654996952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-1133.9447002849586</v>
      </c>
      <c r="HD5" s="1">
        <f t="shared" si="38"/>
        <v>-18147.349251984535</v>
      </c>
      <c r="HE5" s="1">
        <f>MIN(0,-(GN5+HD5)*Analysis!$C$28)-GE5*Analysis!$C$28</f>
        <v>4762.3383413299334</v>
      </c>
      <c r="HF5" s="1">
        <f>-Analysis!$C$176*GP5/12</f>
        <v>-1703.1148547221662</v>
      </c>
      <c r="HG5" s="38"/>
      <c r="HH5" s="1">
        <f>IF($B5&lt;Analysis!$C$159,0,-$HI5*$FW5)</f>
        <v>-57719.912413494822</v>
      </c>
      <c r="HI5" s="64">
        <f>IF($B5&lt;Analysis!$C$159,0,IF($B5=Analysis!$C$159,Analysis!$C$31,HI4))</f>
        <v>0.1275</v>
      </c>
      <c r="HJ5" s="1">
        <f>IF($B5&lt;Analysis!$C$159,0,$FW5+HH5)</f>
        <v>394985.28298646456</v>
      </c>
      <c r="HK5" s="1">
        <f>IF($B5-Analysis!$C$159&gt;10,0,IF($FW5&gt;LOOKUP(Analysis!$C$159,$B:$B, FW:FW),$V5*(LOOKUP(Analysis!$C$159,$B:$B, FW:FW)-FW5),0))</f>
        <v>-9944.7452867392913</v>
      </c>
      <c r="HL5" s="1">
        <f t="shared" si="39"/>
        <v>385040.53769972525</v>
      </c>
      <c r="HM5" s="38"/>
      <c r="HN5" s="1">
        <f t="shared" si="40"/>
        <v>-105272.81802023605</v>
      </c>
      <c r="HO5" s="1">
        <f t="shared" si="8"/>
        <v>121089.79446536397</v>
      </c>
      <c r="HP5" s="1">
        <f t="shared" si="41"/>
        <v>15816.976445127919</v>
      </c>
      <c r="HQ5" s="1">
        <f>IF(HP5 &lt; 0,
    IF(HQ4 + HP5 &gt; 0,
        HQ4 + HP5, IF(HV4-ABS(HQ4 + HP5)*(1+$V5) &gt;= HQ4 + HP5,
        0, HQ4 + HP5)),
    MIN(HQ4 + HP5, Analysis!$C$7))+IF(HQ4&lt;0, HQ4*Analysis!$C$9,0)</f>
        <v>24000</v>
      </c>
      <c r="HR5" s="38"/>
      <c r="HS5" s="1">
        <f t="shared" si="54"/>
        <v>226.48093147456876</v>
      </c>
      <c r="HT5" s="1">
        <f>IF($B5=Analysis!$C$159,0,IF(HP5 &gt;= 0,
    MAX(0, HQ4 + HP5 - Analysis!$C$7),
    0))</f>
        <v>3266.5642934002244</v>
      </c>
      <c r="HU5" s="1">
        <f>IF($B5=Analysis!$C$159,0,MAX(0, HU4 + HT5 - IF(HP5 &lt; 0, MIN(ABS(HP5), HU4 + HT5), 0)))</f>
        <v>3266.5642934002244</v>
      </c>
      <c r="HV5" s="1">
        <f>IF($B5=Analysis!$C$159,0,IF(HP5 &lt; 0,
    IF(HP5 + HQ4 &lt; 0,
        MAX(0, HV4 - (ABS(HP5 + HQ4) * (1+$V4))),
        HV4 + HS5),
    HV4 + HT5 + HS5))</f>
        <v>6583.310189575177</v>
      </c>
      <c r="HW5" s="1">
        <f t="shared" si="42"/>
        <v>5708.5184594590337</v>
      </c>
      <c r="HX5" s="36"/>
    </row>
    <row r="6" spans="1:232" x14ac:dyDescent="0.35">
      <c r="A6">
        <f t="shared" si="0"/>
        <v>39</v>
      </c>
      <c r="B6">
        <v>2029</v>
      </c>
      <c r="C6" s="1">
        <f>IF($B6&lt;Analysis!C$66,0,$AN6)+$AT6+$AW6+$BC6+$CF6+$CA6</f>
        <v>-216516.54373415475</v>
      </c>
      <c r="D6" s="1">
        <f>IF($B6&lt;Analysis!C$66, 0, BV6)+AT6+AW6+BC6+CG6+CA6</f>
        <v>-315307.18050140492</v>
      </c>
      <c r="E6" s="1">
        <f t="shared" si="1"/>
        <v>148249.98570310793</v>
      </c>
      <c r="F6" s="1">
        <f t="shared" si="9"/>
        <v>142834.33078201133</v>
      </c>
      <c r="G6" s="1">
        <f>IF(AND($B6&gt;=Analysis!$C$100, $B6&lt;Analysis!$C$101),$CK6,0)+IF($B6&gt;=Analysis!$C$130,EB6,0)+CQ6+CT6+CZ6+EH6+EK6+EQ6+$FO6+$FT6</f>
        <v>-19049.471713047064</v>
      </c>
      <c r="H6" s="1">
        <f t="shared" si="10"/>
        <v>-79466.098114458364</v>
      </c>
      <c r="I6" s="1">
        <f>IF($B6&lt;Analysis!$C$159,0,$FW6)+$GC6+$GF6+$GL6+$HQ6+$HV6</f>
        <v>-19049.471713047064</v>
      </c>
      <c r="J6" s="1">
        <f t="shared" si="2"/>
        <v>-92922.637380219399</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6557.6533290678008</v>
      </c>
      <c r="AI6" s="1">
        <f>IF(AE6 &gt;= 0,
    MAX(0, AF5 + AE6 - Analysis!$C$7),
    0)</f>
        <v>26072.019346598085</v>
      </c>
      <c r="AJ6" s="1">
        <f t="shared" si="44"/>
        <v>103716.69690274159</v>
      </c>
      <c r="AK6" s="1">
        <f t="shared" si="20"/>
        <v>124249.98570310793</v>
      </c>
      <c r="AL6" s="1">
        <f t="shared" si="5"/>
        <v>118834.33078201131</v>
      </c>
      <c r="AM6" s="36"/>
      <c r="AN6" s="1">
        <f t="shared" si="45"/>
        <v>774828.52366470743</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-15594.055770911695</v>
      </c>
      <c r="AT6" s="1">
        <f>IF($B6&lt;Analysis!$C$66,0,IF($B6=Analysis!$C$66,-AP6-AS6,MIN(0,AT5-AS6)))</f>
        <v>-620218.81683342298</v>
      </c>
      <c r="AU6" s="64">
        <f>IF($B6&lt;Analysis!$C$66,0,IF($B6=Analysis!$C$66,Analysis!$C$72,IF(($B6-Analysis!$C$66)&lt;LOOKUP(Analysis!$C$66,$B:$B,AQ:AQ),AU5,0)))</f>
        <v>2.9600000000000001E-2</v>
      </c>
      <c r="AV6" s="1">
        <f>IF($B6&lt;Analysis!$C$66,0,IF($B6=Analysis!$C$66,-AU6*AP6,AU5*AT5))</f>
        <v>-18820.061029088309</v>
      </c>
      <c r="AW6" s="1">
        <f>IF($B6&lt;Analysis!$C$66,0,IF($B6=Analysis!$C$66,PMT(AU6,AQ6,AP6)*AQ6-AX6-AT6,IF(($B6-Analysis!$C$66+1)&lt;LOOKUP(Analysis!$C$66,$B:$B,AQ:AQ),IF(AW5-AV6&lt;0, AW5-AV6,0),0)))</f>
        <v>-279239.97478295706</v>
      </c>
      <c r="AX6" s="1">
        <f>IF($B6&lt;Analysis!$C$66,0,IF($B6=Analysis!$C$66,AS6+AV6,IF(AT5&lt;0,IF(AT5&gt;LOOKUP(Analysis!$C$66,$B:$B,AX:AX), AT5*(1+AU5),AX5),0)))</f>
        <v>-34414.116800000003</v>
      </c>
      <c r="AY6" s="1">
        <f>IF($B6=Analysis!$C$66,Analysis!$C$68,0)</f>
        <v>0</v>
      </c>
      <c r="AZ6" s="1">
        <f>IF($B6=Analysis!$C$66,PMT(AU6,BA6,AY6)*BA6,0)</f>
        <v>0</v>
      </c>
      <c r="BA6" s="7">
        <f>IF($B6=Analysis!$C$66,Analysis!$C$70,0)</f>
        <v>0</v>
      </c>
      <c r="BB6" s="1">
        <f>IF($B6&lt;Analysis!$C$66,0,IF($B6=Analysis!$C$66,AZ6/BA6,IF(($B6-Analysis!$C$66)&lt;LOOKUP(Analysis!$C$66,$B:$B,BA:BA),BB5,0)))</f>
        <v>-5849.5661171837091</v>
      </c>
      <c r="BC6" s="1">
        <f>IF($B6&lt;Analysis!$C$66,0,IF($B6=Analysis!$C$66,BA6*BB6-BB6,IF(($B6-Analysis!$C$66)&lt;Analysis!$C$70,BC5-BB6,0)))</f>
        <v>-29247.830585918538</v>
      </c>
      <c r="BD6" s="42"/>
      <c r="BE6" s="1">
        <f>IF($B6&lt;Analysis!$C$66,0,-BF6*AN6)</f>
        <v>-2324.4855709941226</v>
      </c>
      <c r="BF6" s="64">
        <f>IF($B6&lt;Analysis!$C$66,0,Analysis!$C$78)</f>
        <v>3.0000000000000001E-3</v>
      </c>
      <c r="BG6" s="1">
        <f>IF($B6&lt;Analysis!$C$66,0,-BH6*AN6)</f>
        <v>-5811.2139274853052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-98790.636767250195</v>
      </c>
      <c r="BS6" s="64">
        <f>IF($B6&lt;Analysis!C$66,0,Analysis!C$31)</f>
        <v>0.1275</v>
      </c>
      <c r="BT6" s="1">
        <f>IF($B6&lt;Analysis!$C$66,0,AN6+BR6)</f>
        <v>676037.8868974573</v>
      </c>
      <c r="BU6" s="1">
        <f>IF($B6-Analysis!$C$66&gt;3,0,IF($AN6&gt;LOOKUP(Analysis!$C$66,$B:$B, AN:AN),$V6*(LOOKUP(Analysis!$C$66,$B:$B, AN:AN)-AN6),0))</f>
        <v>0</v>
      </c>
      <c r="BV6" s="1">
        <f t="shared" si="23"/>
        <v>676037.8868974573</v>
      </c>
      <c r="BW6" s="42"/>
      <c r="BX6" s="1">
        <f>IF($B6&lt;Analysis!$C$66,$P6+$N6+$X6+$Z6,$P6+$N6+AS6+AV6+BB6+BE6+BG6+MAX(BI6,SUM(BJ6:BN6))+BP6)</f>
        <v>-107659.38241566315</v>
      </c>
      <c r="BY6" s="1">
        <f t="shared" si="24"/>
        <v>103119.38719420528</v>
      </c>
      <c r="BZ6" s="1">
        <f t="shared" si="46"/>
        <v>-4539.9952214578661</v>
      </c>
      <c r="CA6" s="1">
        <f>IF(BZ6 &lt; 0,
    IF(CA5 + BZ6 &gt; 0,
        CA5 + BZ6, IF(CF5-ABS(CA5 + BZ6)*(1+$V6) &gt;= CA5 + BZ6,
        0, CA5 + BZ6)),
    MIN(CA5 + BZ6, Analysis!$C$7))+IF(CA5&lt;0, CA5*Analysis!$C$9,0)</f>
        <v>-62638.445196563618</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466020.05408819357</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-8698.2621051568258</v>
      </c>
      <c r="CQ6" s="1">
        <f>IF(OR($B6&lt;Analysis!$C$100, $B6&gt;=Analysis!$C$101),0,IF($B6=Analysis!$C$100,-CM6-CP6,MIN(0,CQ5-CP6)))</f>
        <v>-345953.99109900452</v>
      </c>
      <c r="CR6" s="64">
        <f>IF(OR($B6&lt;Analysis!$C$100, $B6&gt;=Analysis!$C$101),0,IF($B6=Analysis!$C$100,Analysis!$C$102,IF(($B6-Analysis!$C$100)&lt;LOOKUP(Analysis!$C$100,$B:$B,CN:CN),CR5,0)))</f>
        <v>2.9600000000000001E-2</v>
      </c>
      <c r="CS6" s="1">
        <f>IF(OR($B6&lt;Analysis!$C$100, $B6&gt;=Analysis!$C$101),0,IF($B6=Analysis!$C$100,-CR6*CM6,CR5*CQ5))</f>
        <v>-10497.706694843177</v>
      </c>
      <c r="CT6" s="1">
        <f>IF(OR($B6&lt;Analysis!$C$100, $B6&gt;=Analysis!$C$101),0,IF($B6=Analysis!$C$100,PMT(CR6,CN6,CM6)*CN6-CU6-CQ6,IF(($B6-Analysis!$C$100+1)&lt;LOOKUP(Analysis!$C$100,$B:$B,CN:CN),IF(CT5-CS6&lt;0, CT5-CS6,0),0)))</f>
        <v>-155758.2277876859</v>
      </c>
      <c r="CU6" s="1">
        <f>IF(OR($B6&lt;Analysis!$C$100, $B6&gt;=Analysis!$C$101),0,IF($B6=Analysis!$C$100,CP6+CS6,IF(CQ5&lt;0,IF(CQ5&gt;LOOKUP(Analysis!$C$100,$B:$B,CU:CU), CQ5*(1+CR5),CU5),0)))</f>
        <v>-19195.968800000002</v>
      </c>
      <c r="CV6" s="1">
        <f>IF($B6=Analysis!$C$100,Analysis!$C$105,0)</f>
        <v>0</v>
      </c>
      <c r="CW6" s="1">
        <f>IF($B6=Analysis!$C$100,PMT(CR6,CX6,CV6)*CX6,0)</f>
        <v>0</v>
      </c>
      <c r="CX6" s="7">
        <f>IF($B6=Analysis!$C$100,Analysis!$C$107,0)</f>
        <v>0</v>
      </c>
      <c r="CY6" s="1">
        <f>IF(OR($B6&lt;Analysis!$C$100, $B6&gt;=Analysis!$C$101),0,IF($B6=Analysis!$C$100,CW6/CX6,IF(($B6-Analysis!$C$100)&lt;LOOKUP(Analysis!$C$100,$B:$B,CX:CX),CY5,0)))</f>
        <v>-5849.5661171837091</v>
      </c>
      <c r="CZ6" s="1">
        <f>IF(OR($B6&lt;Analysis!$C$100, $B6&gt;=Analysis!$C$101),0,IF($B6=Analysis!$C$100,CX6*CY6-CY6,IF(($B6-Analysis!$C$100)&lt;Analysis!$C$107,CZ5-CY6,0)))</f>
        <v>-29247.830585918538</v>
      </c>
      <c r="DA6" s="53"/>
      <c r="DB6" s="1">
        <f>IF(OR($B6&lt;Analysis!$C$100, $B6&gt;=Analysis!$C$101),0,IF($B6=2025,(Analysis!$C$109*12),IF($B6=Analysis!$C$100,(Analysis!$C$109*12)*(1+DC6)^($B6-$B$2),DB5*(1+DC6))))</f>
        <v>15563.946866656297</v>
      </c>
      <c r="DC6" s="64">
        <f>IF(OR($B6&lt;Analysis!$C$100, $B6&gt;=Analysis!$C$101),0,((1+Analysis!$C$114)/(1+$S6))-1)</f>
        <v>2.941176470588247E-2</v>
      </c>
      <c r="DD6" s="1">
        <f t="shared" si="6"/>
        <v>20922.007028920878</v>
      </c>
      <c r="DE6" s="1">
        <f t="shared" si="27"/>
        <v>-1398.0601622645806</v>
      </c>
      <c r="DF6" s="64">
        <f>IF(OR($B6&lt;Analysis!$C$100, $B6&gt;=Analysis!$C$101),0,Analysis!$C$118)</f>
        <v>3.0000000000000001E-3</v>
      </c>
      <c r="DG6" s="1">
        <f t="shared" si="28"/>
        <v>-3495.1504056614517</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-1167.2960149992223</v>
      </c>
      <c r="DR6" s="1">
        <f t="shared" si="29"/>
        <v>-18320.506582925253</v>
      </c>
      <c r="DS6" s="1">
        <f>MIN(0,-(DB6+DR6)*Analysis!$C$28)-CS6*Analysis!$C$28</f>
        <v>4651.5338364850113</v>
      </c>
      <c r="DT6" s="1">
        <f>-Analysis!$C$116*DD6/12</f>
        <v>-1743.5005857434064</v>
      </c>
      <c r="DU6" s="53"/>
      <c r="DV6" s="1">
        <f t="shared" si="30"/>
        <v>-59417.556896244685</v>
      </c>
      <c r="DW6" s="64">
        <f>IF(OR($B6&lt;Analysis!$C$100, $B6&gt;=Analysis!$C$101),0,IF($B6=Analysis!$C$100,Analysis!$C$31,DW5))</f>
        <v>0.1275</v>
      </c>
      <c r="DX6" s="1">
        <f>IF(OR($B6&lt;Analysis!$C$100, $B6&gt;=Analysis!$C$101),0,CK6+DV6)</f>
        <v>406602.49719194887</v>
      </c>
      <c r="DY6" s="1">
        <f>IF(OR($B6&lt;Analysis!$C$100, $B6&gt;=Analysis!$C$101),0,IF($B6-Analysis!$C$100&gt;3,0,IF(CK6&gt;LOOKUP(Analysis!$C$100,$B:$B, CK:CK),$V6*(LOOKUP(Analysis!$C$100,$B:$B, CK:CK)-CK6),0)))</f>
        <v>0</v>
      </c>
      <c r="DZ6" s="1">
        <f t="shared" si="49"/>
        <v>406602.49719194887</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IF($B6&lt;Analysis!$C$130,0,IF($B6=Analysis!$C$130,Analysis!$B$136,IF(($B6-Analysis!$C$130)&lt;LOOKUP(Analysis!$C$130,$B:$B,EE:EE),EI5,0)))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-109205.37609697455</v>
      </c>
      <c r="FM6" s="1">
        <f>$M6+$R6+DD6+IF(AND($B6&lt;&gt;Analysis!$C$130,$B6=Analysis!$C$101),DZ5+CQ5+CT5+CZ5,0)</f>
        <v>124041.39422312616</v>
      </c>
      <c r="FN6" s="1">
        <f t="shared" si="34"/>
        <v>14836.018126151612</v>
      </c>
      <c r="FO6" s="1">
        <f>IF(FN6 &lt; 0,
    IF(FO5 + FN6 &gt; 0,
        FO5 + FN6, IF(FT5-ABS(FO5 + FN6)*(1+$V6) &gt;= FO5 + FN6,
        0, FO5 + FN6)),
    MIN(FO5 + FN6, Analysis!$C$7))+IF(FO5&lt;0, FO5*Analysis!$C$9,0)</f>
        <v>24000</v>
      </c>
      <c r="FP6" s="53"/>
      <c r="FQ6" s="1">
        <f t="shared" si="51"/>
        <v>471.19535564152761</v>
      </c>
      <c r="FR6" s="1">
        <f>IF(OR($B6=Analysis!$C$100, $B6=Analysis!$C$130),0,IF(FN6 &gt;= 0,
    MAX(0, FO5 + FN6 - Analysis!$C$7),
    0))</f>
        <v>14836.018126151612</v>
      </c>
      <c r="FS6" s="1">
        <f>IF(OR($B6=Analysis!$C$100, $B6=Analysis!$C$130),0,MAX(0, FS5 + FR6 - IF(FN6 &lt; 0, MIN(ABS(FN6), FS5 + FR6), 0)))</f>
        <v>18102.582419551836</v>
      </c>
      <c r="FT6" s="1">
        <f>IF(OR($B6=Analysis!$C$100, $B6=Analysis!$C$130),0,IF(FN6 &lt; 0,
    IF(FN6 + FO5 &lt; 0,
        MAX(0, FT5 - (ABS(FN6 + FO5) * (1+$V5))),
        FT5 + FQ6),
    FT5 + FR6 + FQ6))</f>
        <v>21890.523671368315</v>
      </c>
      <c r="FU6" s="1">
        <f t="shared" si="35"/>
        <v>20891.454166201718</v>
      </c>
      <c r="FV6" s="36"/>
      <c r="FW6" s="1">
        <f t="shared" si="52"/>
        <v>466020.05408819357</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-8698.2621051568258</v>
      </c>
      <c r="GC6" s="1">
        <f>IF($B6&lt;Analysis!$C$159,0,IF($B6=Analysis!$C$159,-FY6-GB6,MIN(0,GC5-GB6)))</f>
        <v>-345953.99109900452</v>
      </c>
      <c r="GD6" s="64">
        <f>IF($B6&lt;Analysis!$C$159,0,IF($B6=Analysis!$C$159,Analysis!$B$160,IF(($B6-Analysis!$C$159)&lt;LOOKUP(Analysis!$C$159,$B:$B,FZ:FZ),GD5,0)))</f>
        <v>2.9600000000000001E-2</v>
      </c>
      <c r="GE6" s="1">
        <f>IF($B6&lt;Analysis!$C$159,0,IF($B6=Analysis!$C$159,-GD6*FY6,GD5*GC5))</f>
        <v>-10497.706694843177</v>
      </c>
      <c r="GF6" s="1">
        <f>IF($B6&lt;Analysis!$C$159,0,IF($B6=Analysis!$C$159,PMT(GD6,FZ6,FY6)*FZ6-GG6-GC6,IF(($B6-Analysis!$C$159+1)&lt;LOOKUP(Analysis!$C$159,$B:$B,FZ:FZ),IF(GF5-GE6&lt;0, GF5-GE6,0),0)))</f>
        <v>-155758.2277876859</v>
      </c>
      <c r="GG6" s="1">
        <f>IF($B6&lt;Analysis!$C$159,0,IF($B6=Analysis!$C$159,GB6+GE6,IF(GC5&lt;0,IF(GC5&gt;LOOKUP(Analysis!$C$159,$B:$B,GG:GG), GC5*(1+GD5),GG5),0)))</f>
        <v>-19195.968800000002</v>
      </c>
      <c r="GH6" s="1">
        <f>IF($B6=Analysis!$C$159,Analysis!$C$165,0)</f>
        <v>0</v>
      </c>
      <c r="GI6" s="1">
        <f>IF($B6=Analysis!$C$159,PMT(GD6,GJ6,GH6)*GJ6,0)</f>
        <v>0</v>
      </c>
      <c r="GJ6" s="7">
        <f>IF($B6=Analysis!$C$159,Analysis!$C$167,0)</f>
        <v>0</v>
      </c>
      <c r="GK6" s="1">
        <f>IF($B6&lt;Analysis!$C$159,0,IF($B6=Analysis!$C$159,GI6/GJ6,IF(($B6-Analysis!$C$159)&lt;LOOKUP(Analysis!$C$159,$B:$B,GJ:GJ),GK5,0)))</f>
        <v>-5849.5661171837091</v>
      </c>
      <c r="GL6" s="1">
        <f>IF($B6&lt;Analysis!$C$159,0,IF($B6=Analysis!$C$159,GJ6*GK6-GK6,IF(($B6-Analysis!$C$159)&lt;Analysis!$C$167,GL5-GK6,0)))</f>
        <v>-29247.830585918538</v>
      </c>
      <c r="GM6" s="38"/>
      <c r="GN6" s="1">
        <f>IF($B6&lt;Analysis!$C$159,0,IF($B6=2025,(Analysis!$C$109*12),IF($B6=Analysis!$C$159,(Analysis!$C$109*12)*(1+GO6)^($B6-$B$2),GN5*(1+GO6))))</f>
        <v>15563.946866656297</v>
      </c>
      <c r="GO6" s="64">
        <f>IF($B6&lt;Analysis!$C$159,0,((1+Analysis!$C$174)/(1+$S6))-1)</f>
        <v>2.941176470588247E-2</v>
      </c>
      <c r="GP6" s="1">
        <f t="shared" si="7"/>
        <v>20922.007028920878</v>
      </c>
      <c r="GQ6" s="1">
        <f t="shared" si="36"/>
        <v>-1398.0601622645806</v>
      </c>
      <c r="GR6" s="64">
        <f>IF($B6&lt;Analysis!$C$159,0,Analysis!$C$178)</f>
        <v>3.0000000000000001E-3</v>
      </c>
      <c r="GS6" s="1">
        <f t="shared" si="37"/>
        <v>-3495.1504056614517</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-1167.2960149992223</v>
      </c>
      <c r="HD6" s="1">
        <f t="shared" si="38"/>
        <v>-18320.506582925253</v>
      </c>
      <c r="HE6" s="1">
        <f>MIN(0,-(GN6+HD6)*Analysis!$C$28)-GE6*Analysis!$C$28</f>
        <v>4651.5338364850113</v>
      </c>
      <c r="HF6" s="1">
        <f>-Analysis!$C$176*GP6/12</f>
        <v>-1743.5005857434064</v>
      </c>
      <c r="HG6" s="38"/>
      <c r="HH6" s="1">
        <f>IF($B6&lt;Analysis!$C$159,0,-$HI6*$FW6)</f>
        <v>-59417.556896244685</v>
      </c>
      <c r="HI6" s="64">
        <f>IF($B6&lt;Analysis!$C$159,0,IF($B6=Analysis!$C$159,Analysis!$C$31,HI5))</f>
        <v>0.1275</v>
      </c>
      <c r="HJ6" s="1">
        <f>IF($B6&lt;Analysis!$C$159,0,$FW6+HH6)</f>
        <v>406602.49719194887</v>
      </c>
      <c r="HK6" s="1">
        <f>IF($B6-Analysis!$C$159&gt;10,0,IF($FW6&gt;LOOKUP(Analysis!$C$159,$B:$B, FW:FW),$V6*(LOOKUP(Analysis!$C$159,$B:$B, FW:FW)-FW6),0))</f>
        <v>-13456.539265761054</v>
      </c>
      <c r="HL6" s="1">
        <f t="shared" si="39"/>
        <v>393145.95792618784</v>
      </c>
      <c r="HM6" s="38"/>
      <c r="HN6" s="1">
        <f t="shared" si="40"/>
        <v>-109205.37609697455</v>
      </c>
      <c r="HO6" s="1">
        <f t="shared" si="8"/>
        <v>124041.39422312616</v>
      </c>
      <c r="HP6" s="1">
        <f t="shared" si="41"/>
        <v>14836.018126151612</v>
      </c>
      <c r="HQ6" s="1">
        <f>IF(HP6 &lt; 0,
    IF(HQ5 + HP6 &gt; 0,
        HQ5 + HP6, IF(HV5-ABS(HQ5 + HP6)*(1+$V6) &gt;= HQ5 + HP6,
        0, HQ5 + HP6)),
    MIN(HQ5 + HP6, Analysis!$C$7))+IF(HQ5&lt;0, HQ5*Analysis!$C$9,0)</f>
        <v>24000</v>
      </c>
      <c r="HR6" s="38"/>
      <c r="HS6" s="1">
        <f t="shared" si="54"/>
        <v>471.19535564152761</v>
      </c>
      <c r="HT6" s="1">
        <f>IF($B6=Analysis!$C$159,0,IF(HP6 &gt;= 0,
    MAX(0, HQ5 + HP6 - Analysis!$C$7),
    0))</f>
        <v>14836.018126151612</v>
      </c>
      <c r="HU6" s="1">
        <f>IF($B6=Analysis!$C$159,0,MAX(0, HU5 + HT6 - IF(HP6 &lt; 0, MIN(ABS(HP6), HU5 + HT6), 0)))</f>
        <v>18102.582419551836</v>
      </c>
      <c r="HV6" s="1">
        <f>IF($B6=Analysis!$C$159,0,IF(HP6 &lt; 0,
    IF(HP6 + HQ5 &lt; 0,
        MAX(0, HV5 - (ABS(HP6 + HQ5) * (1+$V5))),
        HV5 + HS6),
    HV5 + HT6 + HS6))</f>
        <v>21890.523671368315</v>
      </c>
      <c r="HW6" s="1">
        <f t="shared" si="42"/>
        <v>20891.454166201718</v>
      </c>
      <c r="HX6" s="36"/>
    </row>
    <row r="7" spans="1:232" x14ac:dyDescent="0.35">
      <c r="A7">
        <f t="shared" si="0"/>
        <v>40</v>
      </c>
      <c r="B7">
        <v>2030</v>
      </c>
      <c r="C7" s="1">
        <f>IF($B7&lt;Analysis!C$66,0,$AN7)+$AT7+$AW7+$BC7+$CF7+$CA7</f>
        <v>-160726.70674744609</v>
      </c>
      <c r="D7" s="1">
        <f>IF($B7&lt;Analysis!C$66, 0, BV7)+AT7+AW7+BC7+CG7+CA7</f>
        <v>-262422.95047843899</v>
      </c>
      <c r="E7" s="1">
        <f t="shared" si="1"/>
        <v>185006.38017291311</v>
      </c>
      <c r="F7" s="1">
        <f t="shared" si="9"/>
        <v>177301.34965740159</v>
      </c>
      <c r="G7" s="1">
        <f>IF(AND($B7&gt;=Analysis!$C$100, $B7&lt;Analysis!$C$101),$CK7,0)+IF($B7&gt;=Analysis!$C$130,EB7,0)+CQ7+CT7+CZ7+EH7+EK7+EQ7+$FO7+$FT7</f>
        <v>38237.076850677076</v>
      </c>
      <c r="H7" s="1">
        <f t="shared" si="10"/>
        <v>-24330.469915808586</v>
      </c>
      <c r="I7" s="1">
        <f>IF($B7&lt;Analysis!$C$159,0,$FW7)+$GC7+$GF7+$GL7+$HQ7+$HV7</f>
        <v>38237.076850677076</v>
      </c>
      <c r="J7" s="1">
        <f t="shared" si="2"/>
        <v>-41402.091218797897</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8680.0970404356303</v>
      </c>
      <c r="AI7" s="1">
        <f>IF(AE7 &gt;= 0,
    MAX(0, AF6 + AE7 - Analysis!$C$7),
    0)</f>
        <v>28076.297429369559</v>
      </c>
      <c r="AJ7" s="1">
        <f t="shared" si="44"/>
        <v>131792.99433211115</v>
      </c>
      <c r="AK7" s="1">
        <f t="shared" si="20"/>
        <v>161006.38017291311</v>
      </c>
      <c r="AL7" s="1">
        <f t="shared" si="5"/>
        <v>153301.34965740159</v>
      </c>
      <c r="AM7" s="36"/>
      <c r="AN7" s="1">
        <f t="shared" si="45"/>
        <v>797617.59789014014</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-16055.639821730681</v>
      </c>
      <c r="AT7" s="1">
        <f>IF($B7&lt;Analysis!$C$66,0,IF($B7=Analysis!$C$66,-AP7-AS7,MIN(0,AT6-AS7)))</f>
        <v>-604163.17701169231</v>
      </c>
      <c r="AU7" s="64">
        <f>IF($B7&lt;Analysis!$C$66,0,IF($B7=Analysis!$C$66,Analysis!$C$72,IF(($B7-Analysis!$C$66)&lt;LOOKUP(Analysis!$C$66,$B:$B,AQ:AQ),AU6,0)))</f>
        <v>2.9600000000000001E-2</v>
      </c>
      <c r="AV7" s="1">
        <f>IF($B7&lt;Analysis!$C$66,0,IF($B7=Analysis!$C$66,-AU7*AP7,AU6*AT6))</f>
        <v>-18358.476978269322</v>
      </c>
      <c r="AW7" s="1">
        <f>IF($B7&lt;Analysis!$C$66,0,IF($B7=Analysis!$C$66,PMT(AU7,AQ7,AP7)*AQ7-AX7-AT7,IF(($B7-Analysis!$C$66+1)&lt;LOOKUP(Analysis!$C$66,$B:$B,AQ:AQ),IF(AW6-AV7&lt;0, AW6-AV7,0),0)))</f>
        <v>-260881.49780468774</v>
      </c>
      <c r="AX7" s="1">
        <f>IF($B7&lt;Analysis!$C$66,0,IF($B7=Analysis!$C$66,AS7+AV7,IF(AT6&lt;0,IF(AT6&gt;LOOKUP(Analysis!$C$66,$B:$B,AX:AX), AT6*(1+AU6),AX6),0)))</f>
        <v>-34414.116800000003</v>
      </c>
      <c r="AY7" s="1">
        <f>IF($B7=Analysis!$C$66,Analysis!$C$68,0)</f>
        <v>0</v>
      </c>
      <c r="AZ7" s="1">
        <f>IF($B7=Analysis!$C$66,PMT(AU7,BA7,AY7)*BA7,0)</f>
        <v>0</v>
      </c>
      <c r="BA7" s="7">
        <f>IF($B7=Analysis!$C$66,Analysis!$C$70,0)</f>
        <v>0</v>
      </c>
      <c r="BB7" s="1">
        <f>IF($B7&lt;Analysis!$C$66,0,IF($B7=Analysis!$C$66,AZ7/BA7,IF(($B7-Analysis!$C$66)&lt;LOOKUP(Analysis!$C$66,$B:$B,BA:BA),BB6,0)))</f>
        <v>-5849.5661171837091</v>
      </c>
      <c r="BC7" s="1">
        <f>IF($B7&lt;Analysis!$C$66,0,IF($B7=Analysis!$C$66,BA7*BB7-BB7,IF(($B7-Analysis!$C$66)&lt;Analysis!$C$70,BC6-BB7,0)))</f>
        <v>-23398.264468734829</v>
      </c>
      <c r="BD7" s="42"/>
      <c r="BE7" s="1">
        <f>IF($B7&lt;Analysis!$C$66,0,-BF7*AN7)</f>
        <v>-2392.8527936704204</v>
      </c>
      <c r="BF7" s="64">
        <f>IF($B7&lt;Analysis!$C$66,0,Analysis!$C$78)</f>
        <v>3.0000000000000001E-3</v>
      </c>
      <c r="BG7" s="1">
        <f>IF($B7&lt;Analysis!$C$66,0,-BH7*AN7)</f>
        <v>-5982.1319841760505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-101696.24373099286</v>
      </c>
      <c r="BS7" s="64">
        <f>IF($B7&lt;Analysis!C$66,0,Analysis!C$31)</f>
        <v>0.1275</v>
      </c>
      <c r="BT7" s="1">
        <f>IF($B7&lt;Analysis!$C$66,0,AN7+BR7)</f>
        <v>695921.35415914725</v>
      </c>
      <c r="BU7" s="1">
        <f>IF($B7-Analysis!$C$66&gt;3,0,IF($AN7&gt;LOOKUP(Analysis!$C$66,$B:$B, AN:AN),$V7*(LOOKUP(Analysis!$C$66,$B:$B, AN:AN)-AN7),0))</f>
        <v>0</v>
      </c>
      <c r="BV7" s="1">
        <f t="shared" si="23"/>
        <v>695921.35415914725</v>
      </c>
      <c r="BW7" s="42"/>
      <c r="BX7" s="1">
        <f>IF($B7&lt;Analysis!$C$66,$P7+$N7+$X7+$Z7,$P7+$N7+AS7+AV7+BB7+BE7+BG7+MAX(BI7,SUM(BJ7:BN7))+BP7)</f>
        <v>-107898.66769503019</v>
      </c>
      <c r="BY7" s="1">
        <f t="shared" si="24"/>
        <v>105646.82315484756</v>
      </c>
      <c r="BZ7" s="1">
        <f t="shared" si="46"/>
        <v>-2251.844540182632</v>
      </c>
      <c r="CA7" s="1">
        <f>IF(BZ7 &lt; 0,
    IF(CA6 + BZ7 &gt; 0,
        CA6 + BZ7, IF(CF6-ABS(CA6 + BZ7)*(1+$V7) &gt;= CA6 + BZ7,
        0, CA6 + BZ7)),
    MIN(CA6 + BZ7, Analysis!$C$7))+IF(CA6&lt;0, CA6*Analysis!$C$9,0)</f>
        <v>-69901.365352471345</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479726.52626725816</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-8955.7306634694687</v>
      </c>
      <c r="CQ7" s="1">
        <f>IF(OR($B7&lt;Analysis!$C$100, $B7&gt;=Analysis!$C$101),0,IF($B7=Analysis!$C$100,-CM7-CP7,MIN(0,CQ6-CP7)))</f>
        <v>-336998.26043553505</v>
      </c>
      <c r="CR7" s="64">
        <f>IF(OR($B7&lt;Analysis!$C$100, $B7&gt;=Analysis!$C$101),0,IF($B7=Analysis!$C$100,Analysis!$C$102,IF(($B7-Analysis!$C$100)&lt;LOOKUP(Analysis!$C$100,$B:$B,CN:CN),CR6,0)))</f>
        <v>2.9600000000000001E-2</v>
      </c>
      <c r="CS7" s="1">
        <f>IF(OR($B7&lt;Analysis!$C$100, $B7&gt;=Analysis!$C$101),0,IF($B7=Analysis!$C$100,-CR7*CM7,CR6*CQ6))</f>
        <v>-10240.238136530534</v>
      </c>
      <c r="CT7" s="1">
        <f>IF(OR($B7&lt;Analysis!$C$100, $B7&gt;=Analysis!$C$101),0,IF($B7=Analysis!$C$100,PMT(CR7,CN7,CM7)*CN7-CU7-CQ7,IF(($B7-Analysis!$C$100+1)&lt;LOOKUP(Analysis!$C$100,$B:$B,CN:CN),IF(CT6-CS7&lt;0, CT6-CS7,0),0)))</f>
        <v>-145517.98965115537</v>
      </c>
      <c r="CU7" s="1">
        <f>IF(OR($B7&lt;Analysis!$C$100, $B7&gt;=Analysis!$C$101),0,IF($B7=Analysis!$C$100,CP7+CS7,IF(CQ6&lt;0,IF(CQ6&gt;LOOKUP(Analysis!$C$100,$B:$B,CU:CU), CQ6*(1+CR6),CU6),0)))</f>
        <v>-19195.968800000002</v>
      </c>
      <c r="CV7" s="1">
        <f>IF($B7=Analysis!$C$100,Analysis!$C$105,0)</f>
        <v>0</v>
      </c>
      <c r="CW7" s="1">
        <f>IF($B7=Analysis!$C$100,PMT(CR7,CX7,CV7)*CX7,0)</f>
        <v>0</v>
      </c>
      <c r="CX7" s="7">
        <f>IF($B7=Analysis!$C$100,Analysis!$C$107,0)</f>
        <v>0</v>
      </c>
      <c r="CY7" s="1">
        <f>IF(OR($B7&lt;Analysis!$C$100, $B7&gt;=Analysis!$C$101),0,IF($B7=Analysis!$C$100,CW7/CX7,IF(($B7-Analysis!$C$100)&lt;LOOKUP(Analysis!$C$100,$B:$B,CX:CX),CY6,0)))</f>
        <v>-5849.5661171837091</v>
      </c>
      <c r="CZ7" s="1">
        <f>IF(OR($B7&lt;Analysis!$C$100, $B7&gt;=Analysis!$C$101),0,IF($B7=Analysis!$C$100,CX7*CY7-CY7,IF(($B7-Analysis!$C$100)&lt;Analysis!$C$107,CZ6-CY7,0)))</f>
        <v>-23398.264468734829</v>
      </c>
      <c r="DA7" s="53"/>
      <c r="DB7" s="1">
        <f>IF(OR($B7&lt;Analysis!$C$100, $B7&gt;=Analysis!$C$101),0,IF($B7=2025,(Analysis!$C$109*12),IF($B7=Analysis!$C$100,(Analysis!$C$109*12)*(1+DC7)^($B7-$B$2),DB6*(1+DC7))))</f>
        <v>16021.710009793249</v>
      </c>
      <c r="DC7" s="64">
        <f>IF(OR($B7&lt;Analysis!$C$100, $B7&gt;=Analysis!$C$101),0,((1+Analysis!$C$114)/(1+$S7))-1)</f>
        <v>2.941176470588247E-2</v>
      </c>
      <c r="DD7" s="1">
        <f t="shared" si="6"/>
        <v>21420.889588595022</v>
      </c>
      <c r="DE7" s="1">
        <f t="shared" si="27"/>
        <v>-1439.1795788017746</v>
      </c>
      <c r="DF7" s="64">
        <f>IF(OR($B7&lt;Analysis!$C$100, $B7&gt;=Analysis!$C$101),0,Analysis!$C$118)</f>
        <v>3.0000000000000001E-3</v>
      </c>
      <c r="DG7" s="1">
        <f t="shared" si="28"/>
        <v>-3597.9489470044359</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-1201.6282507344936</v>
      </c>
      <c r="DR7" s="1">
        <f t="shared" si="29"/>
        <v>-18498.756776540708</v>
      </c>
      <c r="DS7" s="1">
        <f>MIN(0,-(DB7+DR7)*Analysis!$C$28)-CS7*Analysis!$C$28</f>
        <v>4537.4495182966784</v>
      </c>
      <c r="DT7" s="1">
        <f>-Analysis!$C$116*DD7/12</f>
        <v>-1785.0741323829186</v>
      </c>
      <c r="DU7" s="53"/>
      <c r="DV7" s="1">
        <f t="shared" si="30"/>
        <v>-61165.132099075417</v>
      </c>
      <c r="DW7" s="64">
        <f>IF(OR($B7&lt;Analysis!$C$100, $B7&gt;=Analysis!$C$101),0,IF($B7=Analysis!$C$100,Analysis!$C$31,DW6))</f>
        <v>0.1275</v>
      </c>
      <c r="DX7" s="1">
        <f>IF(OR($B7&lt;Analysis!$C$100, $B7&gt;=Analysis!$C$101),0,CK7+DV7)</f>
        <v>418561.39416818274</v>
      </c>
      <c r="DY7" s="1">
        <f>IF(OR($B7&lt;Analysis!$C$100, $B7&gt;=Analysis!$C$101),0,IF($B7-Analysis!$C$100&gt;3,0,IF(CK7&gt;LOOKUP(Analysis!$C$100,$B:$B, CK:CK),$V7*(LOOKUP(Analysis!$C$100,$B:$B, CK:CK)-CK7),0)))</f>
        <v>0</v>
      </c>
      <c r="DZ7" s="1">
        <f t="shared" si="49"/>
        <v>418561.39416818274</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IF($B7&lt;Analysis!$C$130,0,IF($B7=Analysis!$C$130,Analysis!$B$136,IF(($B7-Analysis!$C$130)&lt;LOOKUP(Analysis!$C$130,$B:$B,EE:EE),EI6,0)))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-110062.44203328865</v>
      </c>
      <c r="FM7" s="1">
        <f>$M7+$R7+DD7+IF(AND($B7&lt;&gt;Analysis!$C$130,$B7=Analysis!$C$101),DZ6+CQ6+CT6+CZ6,0)</f>
        <v>127067.71274344258</v>
      </c>
      <c r="FN7" s="1">
        <f t="shared" si="34"/>
        <v>17005.270710153927</v>
      </c>
      <c r="FO7" s="1">
        <f>IF(FN7 &lt; 0,
    IF(FO6 + FN7 &gt; 0,
        FO6 + FN7, IF(FT6-ABS(FO6 + FN7)*(1+$V7) &gt;= FO6 + FN7,
        0, FO6 + FN7)),
    MIN(FO6 + FN7, Analysis!$C$7))+IF(FO6&lt;0, FO6*Analysis!$C$9,0)</f>
        <v>24000</v>
      </c>
      <c r="FP7" s="53"/>
      <c r="FQ7" s="1">
        <f t="shared" si="51"/>
        <v>1529.270757321925</v>
      </c>
      <c r="FR7" s="1">
        <f>IF(OR($B7=Analysis!$C$100, $B7=Analysis!$C$130),0,IF(FN7 &gt;= 0,
    MAX(0, FO6 + FN7 - Analysis!$C$7),
    0))</f>
        <v>17005.270710153927</v>
      </c>
      <c r="FS7" s="1">
        <f>IF(OR($B7=Analysis!$C$100, $B7=Analysis!$C$130),0,MAX(0, FS6 + FR7 - IF(FN7 &lt; 0, MIN(ABS(FN7), FS6 + FR7), 0)))</f>
        <v>35107.853129705763</v>
      </c>
      <c r="FT7" s="1">
        <f>IF(OR($B7=Analysis!$C$100, $B7=Analysis!$C$130),0,IF(FN7 &lt; 0,
    IF(FN7 + FO6 &lt; 0,
        MAX(0, FT6 - (ABS(FN7 + FO6) * (1+$V6))),
        FT6 + FQ7),
    FT6 + FR7 + FQ7))</f>
        <v>40425.065138844162</v>
      </c>
      <c r="FU7" s="1">
        <f t="shared" si="35"/>
        <v>39022.65047143391</v>
      </c>
      <c r="FV7" s="36"/>
      <c r="FW7" s="1">
        <f t="shared" si="52"/>
        <v>479726.52626725816</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-8955.7306634694687</v>
      </c>
      <c r="GC7" s="1">
        <f>IF($B7&lt;Analysis!$C$159,0,IF($B7=Analysis!$C$159,-FY7-GB7,MIN(0,GC6-GB7)))</f>
        <v>-336998.26043553505</v>
      </c>
      <c r="GD7" s="64">
        <f>IF($B7&lt;Analysis!$C$159,0,IF($B7=Analysis!$C$159,Analysis!$B$160,IF(($B7-Analysis!$C$159)&lt;LOOKUP(Analysis!$C$159,$B:$B,FZ:FZ),GD6,0)))</f>
        <v>2.9600000000000001E-2</v>
      </c>
      <c r="GE7" s="1">
        <f>IF($B7&lt;Analysis!$C$159,0,IF($B7=Analysis!$C$159,-GD7*FY7,GD6*GC6))</f>
        <v>-10240.238136530534</v>
      </c>
      <c r="GF7" s="1">
        <f>IF($B7&lt;Analysis!$C$159,0,IF($B7=Analysis!$C$159,PMT(GD7,FZ7,FY7)*FZ7-GG7-GC7,IF(($B7-Analysis!$C$159+1)&lt;LOOKUP(Analysis!$C$159,$B:$B,FZ:FZ),IF(GF6-GE7&lt;0, GF6-GE7,0),0)))</f>
        <v>-145517.98965115537</v>
      </c>
      <c r="GG7" s="1">
        <f>IF($B7&lt;Analysis!$C$159,0,IF($B7=Analysis!$C$159,GB7+GE7,IF(GC6&lt;0,IF(GC6&gt;LOOKUP(Analysis!$C$159,$B:$B,GG:GG), GC6*(1+GD6),GG6),0)))</f>
        <v>-19195.968800000002</v>
      </c>
      <c r="GH7" s="1">
        <f>IF($B7=Analysis!$C$159,Analysis!$C$165,0)</f>
        <v>0</v>
      </c>
      <c r="GI7" s="1">
        <f>IF($B7=Analysis!$C$159,PMT(GD7,GJ7,GH7)*GJ7,0)</f>
        <v>0</v>
      </c>
      <c r="GJ7" s="7">
        <f>IF($B7=Analysis!$C$159,Analysis!$C$167,0)</f>
        <v>0</v>
      </c>
      <c r="GK7" s="1">
        <f>IF($B7&lt;Analysis!$C$159,0,IF($B7=Analysis!$C$159,GI7/GJ7,IF(($B7-Analysis!$C$159)&lt;LOOKUP(Analysis!$C$159,$B:$B,GJ:GJ),GK6,0)))</f>
        <v>-5849.5661171837091</v>
      </c>
      <c r="GL7" s="1">
        <f>IF($B7&lt;Analysis!$C$159,0,IF($B7=Analysis!$C$159,GJ7*GK7-GK7,IF(($B7-Analysis!$C$159)&lt;Analysis!$C$167,GL6-GK7,0)))</f>
        <v>-23398.264468734829</v>
      </c>
      <c r="GM7" s="38"/>
      <c r="GN7" s="1">
        <f>IF($B7&lt;Analysis!$C$159,0,IF($B7=2025,(Analysis!$C$109*12),IF($B7=Analysis!$C$159,(Analysis!$C$109*12)*(1+GO7)^($B7-$B$2),GN6*(1+GO7))))</f>
        <v>16021.710009793249</v>
      </c>
      <c r="GO7" s="64">
        <f>IF($B7&lt;Analysis!$C$159,0,((1+Analysis!$C$174)/(1+$S7))-1)</f>
        <v>2.941176470588247E-2</v>
      </c>
      <c r="GP7" s="1">
        <f t="shared" si="7"/>
        <v>21420.889588595022</v>
      </c>
      <c r="GQ7" s="1">
        <f t="shared" si="36"/>
        <v>-1439.1795788017746</v>
      </c>
      <c r="GR7" s="64">
        <f>IF($B7&lt;Analysis!$C$159,0,Analysis!$C$178)</f>
        <v>3.0000000000000001E-3</v>
      </c>
      <c r="GS7" s="1">
        <f t="shared" si="37"/>
        <v>-3597.9489470044359</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-1201.6282507344936</v>
      </c>
      <c r="HD7" s="1">
        <f t="shared" si="38"/>
        <v>-18498.756776540708</v>
      </c>
      <c r="HE7" s="1">
        <f>MIN(0,-(GN7+HD7)*Analysis!$C$28)-GE7*Analysis!$C$28</f>
        <v>4537.4495182966784</v>
      </c>
      <c r="HF7" s="1">
        <f>-Analysis!$C$176*GP7/12</f>
        <v>-1785.0741323829186</v>
      </c>
      <c r="HG7" s="38"/>
      <c r="HH7" s="1">
        <f>IF($B7&lt;Analysis!$C$159,0,-$HI7*$FW7)</f>
        <v>-61165.132099075417</v>
      </c>
      <c r="HI7" s="64">
        <f>IF($B7&lt;Analysis!$C$159,0,IF($B7=Analysis!$C$159,Analysis!$C$31,HI6))</f>
        <v>0.1275</v>
      </c>
      <c r="HJ7" s="1">
        <f>IF($B7&lt;Analysis!$C$159,0,$FW7+HH7)</f>
        <v>418561.39416818274</v>
      </c>
      <c r="HK7" s="1">
        <f>IF($B7-Analysis!$C$159&gt;10,0,IF($FW7&gt;LOOKUP(Analysis!$C$159,$B:$B, FW:FW),$V7*(LOOKUP(Analysis!$C$159,$B:$B, FW:FW)-FW7),0))</f>
        <v>-17071.621302989337</v>
      </c>
      <c r="HL7" s="1">
        <f t="shared" si="39"/>
        <v>401489.77286519343</v>
      </c>
      <c r="HM7" s="38"/>
      <c r="HN7" s="1">
        <f t="shared" si="40"/>
        <v>-110062.44203328865</v>
      </c>
      <c r="HO7" s="1">
        <f t="shared" si="8"/>
        <v>127067.71274344258</v>
      </c>
      <c r="HP7" s="1">
        <f t="shared" si="41"/>
        <v>17005.270710153927</v>
      </c>
      <c r="HQ7" s="1">
        <f>IF(HP7 &lt; 0,
    IF(HQ6 + HP7 &gt; 0,
        HQ6 + HP7, IF(HV6-ABS(HQ6 + HP7)*(1+$V7) &gt;= HQ6 + HP7,
        0, HQ6 + HP7)),
    MIN(HQ6 + HP7, Analysis!$C$7))+IF(HQ6&lt;0, HQ6*Analysis!$C$9,0)</f>
        <v>24000</v>
      </c>
      <c r="HR7" s="38"/>
      <c r="HS7" s="1">
        <f t="shared" si="54"/>
        <v>1529.270757321925</v>
      </c>
      <c r="HT7" s="1">
        <f>IF($B7=Analysis!$C$159,0,IF(HP7 &gt;= 0,
    MAX(0, HQ6 + HP7 - Analysis!$C$7),
    0))</f>
        <v>17005.270710153927</v>
      </c>
      <c r="HU7" s="1">
        <f>IF($B7=Analysis!$C$159,0,MAX(0, HU6 + HT7 - IF(HP7 &lt; 0, MIN(ABS(HP7), HU6 + HT7), 0)))</f>
        <v>35107.853129705763</v>
      </c>
      <c r="HV7" s="1">
        <f>IF($B7=Analysis!$C$159,0,IF(HP7 &lt; 0,
    IF(HP7 + HQ6 &lt; 0,
        MAX(0, HV6 - (ABS(HP7 + HQ6) * (1+$V6))),
        HV6 + HS7),
    HV6 + HT7 + HS7))</f>
        <v>40425.065138844162</v>
      </c>
      <c r="HW7" s="1">
        <f t="shared" si="42"/>
        <v>39022.65047143391</v>
      </c>
      <c r="HX7" s="36"/>
    </row>
    <row r="8" spans="1:232" x14ac:dyDescent="0.35">
      <c r="A8">
        <f t="shared" si="0"/>
        <v>41</v>
      </c>
      <c r="B8">
        <v>2031</v>
      </c>
      <c r="C8" s="1">
        <f>IF($B8&lt;Analysis!C$66,0,$AN8)+$AT8+$AW8+$BC8+$CF8+$CA8</f>
        <v>-105604.57664546611</v>
      </c>
      <c r="D8" s="1">
        <f>IF($B8&lt;Analysis!C$66, 0, BV8)+AT8+AW8+BC8+CG8+CA8</f>
        <v>-210291.88636854704</v>
      </c>
      <c r="E8" s="1">
        <f t="shared" si="1"/>
        <v>223005.40140994103</v>
      </c>
      <c r="F8" s="1">
        <f t="shared" si="9"/>
        <v>212406.53602484043</v>
      </c>
      <c r="G8" s="1">
        <f>IF(AND($B8&gt;=Analysis!$C$100, $B8&lt;Analysis!$C$101),$CK8,0)+IF($B8&gt;=Analysis!$C$130,EB8,0)+CQ8+CT8+CZ8+EH8+EK8+EQ8+$FO8+$FT8</f>
        <v>96272.922129912695</v>
      </c>
      <c r="H8" s="1">
        <f t="shared" si="10"/>
        <v>31179.824322098313</v>
      </c>
      <c r="I8" s="1">
        <f>IF($B8&lt;Analysis!$C$159,0,$FW8)+$GC8+$GF8+$GL8+$HQ8+$HV8</f>
        <v>96272.922129912695</v>
      </c>
      <c r="J8" s="1">
        <f t="shared" si="2"/>
        <v>10386.795039609278</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10971.885761475185</v>
      </c>
      <c r="AI8" s="1">
        <f>IF(AE8 &gt;= 0,
    MAX(0, AF7 + AE8 - Analysis!$C$7),
    0)</f>
        <v>27027.135475552743</v>
      </c>
      <c r="AJ8" s="1">
        <f t="shared" si="44"/>
        <v>158820.12980766391</v>
      </c>
      <c r="AK8" s="1">
        <f t="shared" si="20"/>
        <v>199005.40140994103</v>
      </c>
      <c r="AL8" s="1">
        <f t="shared" si="5"/>
        <v>188406.53602484043</v>
      </c>
      <c r="AM8" s="36"/>
      <c r="AN8" s="1">
        <f t="shared" si="45"/>
        <v>821076.93900455616</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-16530.886760453912</v>
      </c>
      <c r="AT8" s="1">
        <f>IF($B8&lt;Analysis!$C$66,0,IF($B8=Analysis!$C$66,-AP8-AS8,MIN(0,AT7-AS8)))</f>
        <v>-587632.29025123839</v>
      </c>
      <c r="AU8" s="64">
        <f>IF($B8&lt;Analysis!$C$66,0,IF($B8=Analysis!$C$66,Analysis!$C$72,IF(($B8-Analysis!$C$66)&lt;LOOKUP(Analysis!$C$66,$B:$B,AQ:AQ),AU7,0)))</f>
        <v>2.9600000000000001E-2</v>
      </c>
      <c r="AV8" s="1">
        <f>IF($B8&lt;Analysis!$C$66,0,IF($B8=Analysis!$C$66,-AU8*AP8,AU7*AT7))</f>
        <v>-17883.230039546092</v>
      </c>
      <c r="AW8" s="1">
        <f>IF($B8&lt;Analysis!$C$66,0,IF($B8=Analysis!$C$66,PMT(AU8,AQ8,AP8)*AQ8-AX8-AT8,IF(($B8-Analysis!$C$66+1)&lt;LOOKUP(Analysis!$C$66,$B:$B,AQ:AQ),IF(AW7-AV8&lt;0, AW7-AV8,0),0)))</f>
        <v>-242998.26776514165</v>
      </c>
      <c r="AX8" s="1">
        <f>IF($B8&lt;Analysis!$C$66,0,IF($B8=Analysis!$C$66,AS8+AV8,IF(AT7&lt;0,IF(AT7&gt;LOOKUP(Analysis!$C$66,$B:$B,AX:AX), AT7*(1+AU7),AX7),0)))</f>
        <v>-34414.116800000003</v>
      </c>
      <c r="AY8" s="1">
        <f>IF($B8=Analysis!$C$66,Analysis!$C$68,0)</f>
        <v>0</v>
      </c>
      <c r="AZ8" s="1">
        <f>IF($B8=Analysis!$C$66,PMT(AU8,BA8,AY8)*BA8,0)</f>
        <v>0</v>
      </c>
      <c r="BA8" s="7">
        <f>IF($B8=Analysis!$C$66,Analysis!$C$70,0)</f>
        <v>0</v>
      </c>
      <c r="BB8" s="1">
        <f>IF($B8&lt;Analysis!$C$66,0,IF($B8=Analysis!$C$66,AZ8/BA8,IF(($B8-Analysis!$C$66)&lt;LOOKUP(Analysis!$C$66,$B:$B,BA:BA),BB7,0)))</f>
        <v>-5849.5661171837091</v>
      </c>
      <c r="BC8" s="1">
        <f>IF($B8&lt;Analysis!$C$66,0,IF($B8=Analysis!$C$66,BA8*BB8-BB8,IF(($B8-Analysis!$C$66)&lt;Analysis!$C$70,BC7-BB8,0)))</f>
        <v>-17548.69835155112</v>
      </c>
      <c r="BD8" s="42"/>
      <c r="BE8" s="1">
        <f>IF($B8&lt;Analysis!$C$66,0,-BF8*AN8)</f>
        <v>-2463.2308170136685</v>
      </c>
      <c r="BF8" s="64">
        <f>IF($B8&lt;Analysis!$C$66,0,Analysis!$C$78)</f>
        <v>3.0000000000000001E-3</v>
      </c>
      <c r="BG8" s="1">
        <f>IF($B8&lt;Analysis!$C$66,0,-BH8*AN8)</f>
        <v>-6158.0770425341707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-104687.30972308091</v>
      </c>
      <c r="BS8" s="64">
        <f>IF($B8&lt;Analysis!C$66,0,Analysis!C$31)</f>
        <v>0.1275</v>
      </c>
      <c r="BT8" s="1">
        <f>IF($B8&lt;Analysis!$C$66,0,AN8+BR8)</f>
        <v>716389.62928147521</v>
      </c>
      <c r="BU8" s="1">
        <f>IF($B8-Analysis!$C$66&gt;3,0,IF($AN8&gt;LOOKUP(Analysis!$C$66,$B:$B, AN:AN),$V8*(LOOKUP(Analysis!$C$66,$B:$B, AN:AN)-AN8),0))</f>
        <v>0</v>
      </c>
      <c r="BV8" s="1">
        <f t="shared" si="23"/>
        <v>716389.62928147521</v>
      </c>
      <c r="BW8" s="42"/>
      <c r="BX8" s="1">
        <f>IF($B8&lt;Analysis!$C$66,$P8+$N8+$X8+$Z8,$P8+$N8+AS8+AV8+BB8+BE8+BG8+MAX(BI8,SUM(BJ8:BN8))+BP8)</f>
        <v>-111244.99077673156</v>
      </c>
      <c r="BY8" s="1">
        <f t="shared" si="24"/>
        <v>108236.2060753095</v>
      </c>
      <c r="BZ8" s="1">
        <f t="shared" si="46"/>
        <v>-3008.7847014220606</v>
      </c>
      <c r="CA8" s="1">
        <f>IF(BZ8 &lt; 0,
    IF(CA7 + BZ8 &gt; 0,
        CA7 + BZ8, IF(CF7-ABS(CA7 + BZ8)*(1+$V8) &gt;= CA7 + BZ8,
        0, CA7 + BZ8)),
    MIN(CA7 + BZ8, Analysis!$C$7))+IF(CA7&lt;0, CA7*Analysis!$C$9,0)</f>
        <v>-78502.259282091109</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493836.12998100108</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-9220.8202911081644</v>
      </c>
      <c r="CQ8" s="1">
        <f>IF(OR($B8&lt;Analysis!$C$100, $B8&gt;=Analysis!$C$101),0,IF($B8=Analysis!$C$100,-CM8-CP8,MIN(0,CQ7-CP8)))</f>
        <v>-327777.44014442689</v>
      </c>
      <c r="CR8" s="64">
        <f>IF(OR($B8&lt;Analysis!$C$100, $B8&gt;=Analysis!$C$101),0,IF($B8=Analysis!$C$100,Analysis!$C$102,IF(($B8-Analysis!$C$100)&lt;LOOKUP(Analysis!$C$100,$B:$B,CN:CN),CR7,0)))</f>
        <v>2.9600000000000001E-2</v>
      </c>
      <c r="CS8" s="1">
        <f>IF(OR($B8&lt;Analysis!$C$100, $B8&gt;=Analysis!$C$101),0,IF($B8=Analysis!$C$100,-CR8*CM8,CR7*CQ7))</f>
        <v>-9975.148508891838</v>
      </c>
      <c r="CT8" s="1">
        <f>IF(OR($B8&lt;Analysis!$C$100, $B8&gt;=Analysis!$C$101),0,IF($B8=Analysis!$C$100,PMT(CR8,CN8,CM8)*CN8-CU8-CQ8,IF(($B8-Analysis!$C$100+1)&lt;LOOKUP(Analysis!$C$100,$B:$B,CN:CN),IF(CT7-CS8&lt;0, CT7-CS8,0),0)))</f>
        <v>-135542.84114226353</v>
      </c>
      <c r="CU8" s="1">
        <f>IF(OR($B8&lt;Analysis!$C$100, $B8&gt;=Analysis!$C$101),0,IF($B8=Analysis!$C$100,CP8+CS8,IF(CQ7&lt;0,IF(CQ7&gt;LOOKUP(Analysis!$C$100,$B:$B,CU:CU), CQ7*(1+CR7),CU7),0)))</f>
        <v>-19195.968800000002</v>
      </c>
      <c r="CV8" s="1">
        <f>IF($B8=Analysis!$C$100,Analysis!$C$105,0)</f>
        <v>0</v>
      </c>
      <c r="CW8" s="1">
        <f>IF($B8=Analysis!$C$100,PMT(CR8,CX8,CV8)*CX8,0)</f>
        <v>0</v>
      </c>
      <c r="CX8" s="7">
        <f>IF($B8=Analysis!$C$100,Analysis!$C$107,0)</f>
        <v>0</v>
      </c>
      <c r="CY8" s="1">
        <f>IF(OR($B8&lt;Analysis!$C$100, $B8&gt;=Analysis!$C$101),0,IF($B8=Analysis!$C$100,CW8/CX8,IF(($B8-Analysis!$C$100)&lt;LOOKUP(Analysis!$C$100,$B:$B,CX:CX),CY7,0)))</f>
        <v>-5849.5661171837091</v>
      </c>
      <c r="CZ8" s="1">
        <f>IF(OR($B8&lt;Analysis!$C$100, $B8&gt;=Analysis!$C$101),0,IF($B8=Analysis!$C$100,CX8*CY8-CY8,IF(($B8-Analysis!$C$100)&lt;Analysis!$C$107,CZ7-CY8,0)))</f>
        <v>-17548.69835155112</v>
      </c>
      <c r="DA8" s="53"/>
      <c r="DB8" s="1">
        <f>IF(OR($B8&lt;Analysis!$C$100, $B8&gt;=Analysis!$C$101),0,IF($B8=2025,(Analysis!$C$109*12),IF($B8=Analysis!$C$100,(Analysis!$C$109*12)*(1+DC8)^($B8-$B$2),DB7*(1+DC8))))</f>
        <v>16492.936774787169</v>
      </c>
      <c r="DC8" s="64">
        <f>IF(OR($B8&lt;Analysis!$C$100, $B8&gt;=Analysis!$C$101),0,((1+Analysis!$C$114)/(1+$S8))-1)</f>
        <v>2.941176470588247E-2</v>
      </c>
      <c r="DD8" s="1">
        <f t="shared" si="6"/>
        <v>21934.445164730172</v>
      </c>
      <c r="DE8" s="1">
        <f t="shared" si="27"/>
        <v>-1481.5083899430033</v>
      </c>
      <c r="DF8" s="64">
        <f>IF(OR($B8&lt;Analysis!$C$100, $B8&gt;=Analysis!$C$101),0,Analysis!$C$118)</f>
        <v>3.0000000000000001E-3</v>
      </c>
      <c r="DG8" s="1">
        <f t="shared" si="28"/>
        <v>-3703.770974857508</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-1236.9702581090376</v>
      </c>
      <c r="DR8" s="1">
        <f t="shared" si="29"/>
        <v>-18682.249622909549</v>
      </c>
      <c r="DS8" s="1">
        <f>MIN(0,-(DB8+DR8)*Analysis!$C$28)-CS8*Analysis!$C$28</f>
        <v>4419.9883042899728</v>
      </c>
      <c r="DT8" s="1">
        <f>-Analysis!$C$116*DD8/12</f>
        <v>-1827.8704303941811</v>
      </c>
      <c r="DU8" s="53"/>
      <c r="DV8" s="1">
        <f t="shared" si="30"/>
        <v>-62964.106572577643</v>
      </c>
      <c r="DW8" s="64">
        <f>IF(OR($B8&lt;Analysis!$C$100, $B8&gt;=Analysis!$C$101),0,IF($B8=Analysis!$C$100,Analysis!$C$31,DW7))</f>
        <v>0.1275</v>
      </c>
      <c r="DX8" s="1">
        <f>IF(OR($B8&lt;Analysis!$C$100, $B8&gt;=Analysis!$C$101),0,CK8+DV8)</f>
        <v>430872.02340842341</v>
      </c>
      <c r="DY8" s="1">
        <f>IF(OR($B8&lt;Analysis!$C$100, $B8&gt;=Analysis!$C$101),0,IF($B8-Analysis!$C$100&gt;3,0,IF(CK8&gt;LOOKUP(Analysis!$C$100,$B:$B, CK:CK),$V8*(LOOKUP(Analysis!$C$100,$B:$B, CK:CK)-CK8),0)))</f>
        <v>0</v>
      </c>
      <c r="DZ8" s="1">
        <f t="shared" si="49"/>
        <v>430872.02340842341</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IF($B8&lt;Analysis!$C$130,0,IF($B8=Analysis!$C$130,Analysis!$B$136,IF(($B8-Analysis!$C$130)&lt;LOOKUP(Analysis!$C$130,$B:$B,EE:EE),EI7,0)))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-114044.73726595423</v>
      </c>
      <c r="FM8" s="1">
        <f>$M8+$R8+DD8+IF(AND($B8&lt;&gt;Analysis!$C$130,$B8=Analysis!$C$101),DZ7+CQ7+CT7+CZ7,0)</f>
        <v>130170.65124003968</v>
      </c>
      <c r="FN8" s="1">
        <f t="shared" si="34"/>
        <v>16125.913974085444</v>
      </c>
      <c r="FO8" s="1">
        <f>IF(FN8 &lt; 0,
    IF(FO7 + FN8 &gt; 0,
        FO7 + FN8, IF(FT7-ABS(FO7 + FN8)*(1+$V8) &gt;= FO7 + FN8,
        0, FO7 + FN8)),
    MIN(FO7 + FN8, Analysis!$C$7))+IF(FO7&lt;0, FO7*Analysis!$C$9,0)</f>
        <v>24000</v>
      </c>
      <c r="FP8" s="53"/>
      <c r="FQ8" s="1">
        <f t="shared" si="51"/>
        <v>2754.7926742235395</v>
      </c>
      <c r="FR8" s="1">
        <f>IF(OR($B8=Analysis!$C$100, $B8=Analysis!$C$130),0,IF(FN8 &gt;= 0,
    MAX(0, FO7 + FN8 - Analysis!$C$7),
    0))</f>
        <v>16125.913974085444</v>
      </c>
      <c r="FS8" s="1">
        <f>IF(OR($B8=Analysis!$C$100, $B8=Analysis!$C$130),0,MAX(0, FS7 + FR8 - IF(FN8 &lt; 0, MIN(ABS(FN8), FS7 + FR8), 0)))</f>
        <v>51233.767103791208</v>
      </c>
      <c r="FT8" s="1">
        <f>IF(OR($B8=Analysis!$C$100, $B8=Analysis!$C$130),0,IF(FN8 &lt; 0,
    IF(FN8 + FO7 &lt; 0,
        MAX(0, FT7 - (ABS(FN8 + FO7) * (1+$V7))),
        FT7 + FQ8),
    FT7 + FR8 + FQ8))</f>
        <v>59305.771787153149</v>
      </c>
      <c r="FU8" s="1">
        <f t="shared" si="35"/>
        <v>57176.780551916439</v>
      </c>
      <c r="FV8" s="36"/>
      <c r="FW8" s="1">
        <f t="shared" si="52"/>
        <v>493836.12998100108</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-9220.8202911081644</v>
      </c>
      <c r="GC8" s="1">
        <f>IF($B8&lt;Analysis!$C$159,0,IF($B8=Analysis!$C$159,-FY8-GB8,MIN(0,GC7-GB8)))</f>
        <v>-327777.44014442689</v>
      </c>
      <c r="GD8" s="64">
        <f>IF($B8&lt;Analysis!$C$159,0,IF($B8=Analysis!$C$159,Analysis!$B$160,IF(($B8-Analysis!$C$159)&lt;LOOKUP(Analysis!$C$159,$B:$B,FZ:FZ),GD7,0)))</f>
        <v>2.9600000000000001E-2</v>
      </c>
      <c r="GE8" s="1">
        <f>IF($B8&lt;Analysis!$C$159,0,IF($B8=Analysis!$C$159,-GD8*FY8,GD7*GC7))</f>
        <v>-9975.148508891838</v>
      </c>
      <c r="GF8" s="1">
        <f>IF($B8&lt;Analysis!$C$159,0,IF($B8=Analysis!$C$159,PMT(GD8,FZ8,FY8)*FZ8-GG8-GC8,IF(($B8-Analysis!$C$159+1)&lt;LOOKUP(Analysis!$C$159,$B:$B,FZ:FZ),IF(GF7-GE8&lt;0, GF7-GE8,0),0)))</f>
        <v>-135542.84114226353</v>
      </c>
      <c r="GG8" s="1">
        <f>IF($B8&lt;Analysis!$C$159,0,IF($B8=Analysis!$C$159,GB8+GE8,IF(GC7&lt;0,IF(GC7&gt;LOOKUP(Analysis!$C$159,$B:$B,GG:GG), GC7*(1+GD7),GG7),0)))</f>
        <v>-19195.968800000002</v>
      </c>
      <c r="GH8" s="1">
        <f>IF($B8=Analysis!$C$159,Analysis!$C$165,0)</f>
        <v>0</v>
      </c>
      <c r="GI8" s="1">
        <f>IF($B8=Analysis!$C$159,PMT(GD8,GJ8,GH8)*GJ8,0)</f>
        <v>0</v>
      </c>
      <c r="GJ8" s="7">
        <f>IF($B8=Analysis!$C$159,Analysis!$C$167,0)</f>
        <v>0</v>
      </c>
      <c r="GK8" s="1">
        <f>IF($B8&lt;Analysis!$C$159,0,IF($B8=Analysis!$C$159,GI8/GJ8,IF(($B8-Analysis!$C$159)&lt;LOOKUP(Analysis!$C$159,$B:$B,GJ:GJ),GK7,0)))</f>
        <v>-5849.5661171837091</v>
      </c>
      <c r="GL8" s="1">
        <f>IF($B8&lt;Analysis!$C$159,0,IF($B8=Analysis!$C$159,GJ8*GK8-GK8,IF(($B8-Analysis!$C$159)&lt;Analysis!$C$167,GL7-GK8,0)))</f>
        <v>-17548.69835155112</v>
      </c>
      <c r="GM8" s="38"/>
      <c r="GN8" s="1">
        <f>IF($B8&lt;Analysis!$C$159,0,IF($B8=2025,(Analysis!$C$109*12),IF($B8=Analysis!$C$159,(Analysis!$C$109*12)*(1+GO8)^($B8-$B$2),GN7*(1+GO8))))</f>
        <v>16492.936774787169</v>
      </c>
      <c r="GO8" s="64">
        <f>IF($B8&lt;Analysis!$C$159,0,((1+Analysis!$C$174)/(1+$S8))-1)</f>
        <v>2.941176470588247E-2</v>
      </c>
      <c r="GP8" s="1">
        <f t="shared" si="7"/>
        <v>21934.445164730172</v>
      </c>
      <c r="GQ8" s="1">
        <f t="shared" si="36"/>
        <v>-1481.5083899430033</v>
      </c>
      <c r="GR8" s="64">
        <f>IF($B8&lt;Analysis!$C$159,0,Analysis!$C$178)</f>
        <v>3.0000000000000001E-3</v>
      </c>
      <c r="GS8" s="1">
        <f t="shared" si="37"/>
        <v>-3703.770974857508</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-1236.9702581090376</v>
      </c>
      <c r="HD8" s="1">
        <f t="shared" si="38"/>
        <v>-18682.249622909549</v>
      </c>
      <c r="HE8" s="1">
        <f>MIN(0,-(GN8+HD8)*Analysis!$C$28)-GE8*Analysis!$C$28</f>
        <v>4419.9883042899728</v>
      </c>
      <c r="HF8" s="1">
        <f>-Analysis!$C$176*GP8/12</f>
        <v>-1827.8704303941811</v>
      </c>
      <c r="HG8" s="38"/>
      <c r="HH8" s="1">
        <f>IF($B8&lt;Analysis!$C$159,0,-$HI8*$FW8)</f>
        <v>-62964.106572577643</v>
      </c>
      <c r="HI8" s="64">
        <f>IF($B8&lt;Analysis!$C$159,0,IF($B8=Analysis!$C$159,Analysis!$C$31,HI7))</f>
        <v>0.1275</v>
      </c>
      <c r="HJ8" s="1">
        <f>IF($B8&lt;Analysis!$C$159,0,$FW8+HH8)</f>
        <v>430872.02340842341</v>
      </c>
      <c r="HK8" s="1">
        <f>IF($B8-Analysis!$C$159&gt;10,0,IF($FW8&gt;LOOKUP(Analysis!$C$159,$B:$B, FW:FW),$V8*(LOOKUP(Analysis!$C$159,$B:$B, FW:FW)-FW8),0))</f>
        <v>-20793.029282489035</v>
      </c>
      <c r="HL8" s="1">
        <f t="shared" si="39"/>
        <v>410078.99412593438</v>
      </c>
      <c r="HM8" s="38"/>
      <c r="HN8" s="1">
        <f t="shared" si="40"/>
        <v>-114044.73726595423</v>
      </c>
      <c r="HO8" s="1">
        <f t="shared" si="8"/>
        <v>130170.65124003968</v>
      </c>
      <c r="HP8" s="1">
        <f t="shared" si="41"/>
        <v>16125.913974085444</v>
      </c>
      <c r="HQ8" s="1">
        <f>IF(HP8 &lt; 0,
    IF(HQ7 + HP8 &gt; 0,
        HQ7 + HP8, IF(HV7-ABS(HQ7 + HP8)*(1+$V8) &gt;= HQ7 + HP8,
        0, HQ7 + HP8)),
    MIN(HQ7 + HP8, Analysis!$C$7))+IF(HQ7&lt;0, HQ7*Analysis!$C$9,0)</f>
        <v>24000</v>
      </c>
      <c r="HR8" s="38"/>
      <c r="HS8" s="1">
        <f t="shared" si="54"/>
        <v>2754.7926742235395</v>
      </c>
      <c r="HT8" s="1">
        <f>IF($B8=Analysis!$C$159,0,IF(HP8 &gt;= 0,
    MAX(0, HQ7 + HP8 - Analysis!$C$7),
    0))</f>
        <v>16125.913974085444</v>
      </c>
      <c r="HU8" s="1">
        <f>IF($B8=Analysis!$C$159,0,MAX(0, HU7 + HT8 - IF(HP8 &lt; 0, MIN(ABS(HP8), HU7 + HT8), 0)))</f>
        <v>51233.767103791208</v>
      </c>
      <c r="HV8" s="1">
        <f>IF($B8=Analysis!$C$159,0,IF(HP8 &lt; 0,
    IF(HP8 + HQ7 &lt; 0,
        MAX(0, HV7 - (ABS(HP8 + HQ7) * (1+$V7))),
        HV7 + HS8),
    HV7 + HT8 + HS8))</f>
        <v>59305.771787153149</v>
      </c>
      <c r="HW8" s="1">
        <f t="shared" si="42"/>
        <v>57176.780551916439</v>
      </c>
      <c r="HX8" s="36"/>
    </row>
    <row r="9" spans="1:232" x14ac:dyDescent="0.35">
      <c r="A9">
        <f t="shared" si="0"/>
        <v>42</v>
      </c>
      <c r="B9">
        <v>2032</v>
      </c>
      <c r="C9" s="1">
        <f>IF($B9&lt;Analysis!C$66,0,$AN9)+$AT9+$AW9+$BC9+$CF9+$CA9</f>
        <v>-48081.257126945173</v>
      </c>
      <c r="D9" s="1">
        <f>IF($B9&lt;Analysis!C$66, 0, BV9)+AT9+AW9+BC9+CG9+CA9</f>
        <v>-155847.60537129315</v>
      </c>
      <c r="E9" s="1">
        <f t="shared" si="1"/>
        <v>265351.20260454051</v>
      </c>
      <c r="F9" s="1">
        <f t="shared" si="9"/>
        <v>251265.50895240257</v>
      </c>
      <c r="G9" s="1">
        <f>IF(AND($B9&gt;=Analysis!$C$100, $B9&lt;Analysis!$C$101),$CK9,0)+IF($B9&gt;=Analysis!$C$130,EB9,0)+CQ9+CT9+CZ9+EH9+EK9+EQ9+$FO9+$FT9</f>
        <v>158181.96803657425</v>
      </c>
      <c r="H9" s="1">
        <f t="shared" si="10"/>
        <v>90197.872033832609</v>
      </c>
      <c r="I9" s="1">
        <f>IF($B9&lt;Analysis!$C$159,0,$FW9)+$GC9+$GF9+$GL9+$HQ9+$HV9</f>
        <v>158181.96803657425</v>
      </c>
      <c r="J9" s="1">
        <f t="shared" si="2"/>
        <v>65573.981595976235</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13220.201960331024</v>
      </c>
      <c r="AI9" s="1">
        <f>IF(AE9 &gt;= 0,
    MAX(0, AF8 + AE9 - Analysis!$C$7),
    0)</f>
        <v>29125.599234268433</v>
      </c>
      <c r="AJ9" s="1">
        <f t="shared" si="44"/>
        <v>187945.72904193233</v>
      </c>
      <c r="AK9" s="1">
        <f t="shared" si="20"/>
        <v>241351.20260454048</v>
      </c>
      <c r="AL9" s="1">
        <f t="shared" si="5"/>
        <v>227265.50895240257</v>
      </c>
      <c r="AM9" s="36"/>
      <c r="AN9" s="1">
        <f t="shared" si="45"/>
        <v>845226.26073998434</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-17020.201008563345</v>
      </c>
      <c r="AT9" s="1">
        <f>IF($B9&lt;Analysis!$C$66,0,IF($B9=Analysis!$C$66,-AP9-AS9,MIN(0,AT8-AS9)))</f>
        <v>-570612.08924267499</v>
      </c>
      <c r="AU9" s="64">
        <f>IF($B9&lt;Analysis!$C$66,0,IF($B9=Analysis!$C$66,Analysis!$C$72,IF(($B9-Analysis!$C$66)&lt;LOOKUP(Analysis!$C$66,$B:$B,AQ:AQ),AU8,0)))</f>
        <v>2.9600000000000001E-2</v>
      </c>
      <c r="AV9" s="1">
        <f>IF($B9&lt;Analysis!$C$66,0,IF($B9=Analysis!$C$66,-AU9*AP9,AU8*AT8))</f>
        <v>-17393.915791436659</v>
      </c>
      <c r="AW9" s="1">
        <f>IF($B9&lt;Analysis!$C$66,0,IF($B9=Analysis!$C$66,PMT(AU9,AQ9,AP9)*AQ9-AX9-AT9,IF(($B9-Analysis!$C$66+1)&lt;LOOKUP(Analysis!$C$66,$B:$B,AQ:AQ),IF(AW8-AV9&lt;0, AW8-AV9,0),0)))</f>
        <v>-225604.35197370499</v>
      </c>
      <c r="AX9" s="1">
        <f>IF($B9&lt;Analysis!$C$66,0,IF($B9=Analysis!$C$66,AS9+AV9,IF(AT8&lt;0,IF(AT8&gt;LOOKUP(Analysis!$C$66,$B:$B,AX:AX), AT8*(1+AU8),AX8),0)))</f>
        <v>-34414.116800000003</v>
      </c>
      <c r="AY9" s="1">
        <f>IF($B9=Analysis!$C$66,Analysis!$C$68,0)</f>
        <v>0</v>
      </c>
      <c r="AZ9" s="1">
        <f>IF($B9=Analysis!$C$66,PMT(AU9,BA9,AY9)*BA9,0)</f>
        <v>0</v>
      </c>
      <c r="BA9" s="7">
        <f>IF($B9=Analysis!$C$66,Analysis!$C$70,0)</f>
        <v>0</v>
      </c>
      <c r="BB9" s="1">
        <f>IF($B9&lt;Analysis!$C$66,0,IF($B9=Analysis!$C$66,AZ9/BA9,IF(($B9-Analysis!$C$66)&lt;LOOKUP(Analysis!$C$66,$B:$B,BA:BA),BB8,0)))</f>
        <v>-5849.5661171837091</v>
      </c>
      <c r="BC9" s="1">
        <f>IF($B9&lt;Analysis!$C$66,0,IF($B9=Analysis!$C$66,BA9*BB9-BB9,IF(($B9-Analysis!$C$66)&lt;Analysis!$C$70,BC8-BB9,0)))</f>
        <v>-11699.132234367411</v>
      </c>
      <c r="BD9" s="42"/>
      <c r="BE9" s="1">
        <f>IF($B9&lt;Analysis!$C$66,0,-BF9*AN9)</f>
        <v>-2535.6787822199531</v>
      </c>
      <c r="BF9" s="64">
        <f>IF($B9&lt;Analysis!$C$66,0,Analysis!$C$78)</f>
        <v>3.0000000000000001E-3</v>
      </c>
      <c r="BG9" s="1">
        <f>IF($B9&lt;Analysis!$C$66,0,-BH9*AN9)</f>
        <v>-6339.1969555498827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-107766.348244348</v>
      </c>
      <c r="BS9" s="64">
        <f>IF($B9&lt;Analysis!C$66,0,Analysis!C$31)</f>
        <v>0.1275</v>
      </c>
      <c r="BT9" s="1">
        <f>IF($B9&lt;Analysis!$C$66,0,AN9+BR9)</f>
        <v>737459.91249563638</v>
      </c>
      <c r="BU9" s="1">
        <f>IF($B9-Analysis!$C$66&gt;3,0,IF($AN9&gt;LOOKUP(Analysis!$C$66,$B:$B, AN:AN),$V9*(LOOKUP(Analysis!$C$66,$B:$B, AN:AN)-AN9),0))</f>
        <v>0</v>
      </c>
      <c r="BV9" s="1">
        <f>BT9+BU9</f>
        <v>737459.91249563638</v>
      </c>
      <c r="BW9" s="42"/>
      <c r="BX9" s="1">
        <f>IF($B9&lt;Analysis!$C$66,$P9+$N9+$X9+$Z9,$P9+$N9+AS9+AV9+BB9+BE9+BG9+MAX(BI9,SUM(BJ9:BN9))+BP9)</f>
        <v>-111498.55865495354</v>
      </c>
      <c r="BY9" s="1">
        <f t="shared" si="24"/>
        <v>110889.05426342982</v>
      </c>
      <c r="BZ9" s="1">
        <f t="shared" si="46"/>
        <v>-609.50439152371837</v>
      </c>
      <c r="CA9" s="1">
        <f>IF(BZ9 &lt; 0,
    IF(CA8 + BZ9 &gt; 0,
        CA8 + BZ9, IF(CF8-ABS(CA8 + BZ9)*(1+$V9) &gt;= CA8 + BZ9,
        0, CA8 + BZ9)),
    MIN(CA8 + BZ9, Analysis!$C$7))+IF(CA8&lt;0, CA8*Analysis!$C$9,0)</f>
        <v>-85391.944416182116</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508360.72203926585</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-9493.7565717249654</v>
      </c>
      <c r="CQ9" s="1">
        <f>IF(OR($B9&lt;Analysis!$C$100, $B9&gt;=Analysis!$C$101),0,IF($B9=Analysis!$C$100,-CM9-CP9,MIN(0,CQ8-CP9)))</f>
        <v>-318283.68357270194</v>
      </c>
      <c r="CR9" s="64">
        <f>IF(OR($B9&lt;Analysis!$C$100, $B9&gt;=Analysis!$C$101),0,IF($B9=Analysis!$C$100,Analysis!$C$102,IF(($B9-Analysis!$C$100)&lt;LOOKUP(Analysis!$C$100,$B:$B,CN:CN),CR8,0)))</f>
        <v>2.9600000000000001E-2</v>
      </c>
      <c r="CS9" s="1">
        <f>IF(OR($B9&lt;Analysis!$C$100, $B9&gt;=Analysis!$C$101),0,IF($B9=Analysis!$C$100,-CR9*CM9,CR8*CQ8))</f>
        <v>-9702.212228275037</v>
      </c>
      <c r="CT9" s="1">
        <f>IF(OR($B9&lt;Analysis!$C$100, $B9&gt;=Analysis!$C$101),0,IF($B9=Analysis!$C$100,PMT(CR9,CN9,CM9)*CN9-CU9-CQ9,IF(($B9-Analysis!$C$100+1)&lt;LOOKUP(Analysis!$C$100,$B:$B,CN:CN),IF(CT8-CS9&lt;0, CT8-CS9,0),0)))</f>
        <v>-125840.62891398849</v>
      </c>
      <c r="CU9" s="1">
        <f>IF(OR($B9&lt;Analysis!$C$100, $B9&gt;=Analysis!$C$101),0,IF($B9=Analysis!$C$100,CP9+CS9,IF(CQ8&lt;0,IF(CQ8&gt;LOOKUP(Analysis!$C$100,$B:$B,CU:CU), CQ8*(1+CR8),CU8),0)))</f>
        <v>-19195.968800000002</v>
      </c>
      <c r="CV9" s="1">
        <f>IF($B9=Analysis!$C$100,Analysis!$C$105,0)</f>
        <v>0</v>
      </c>
      <c r="CW9" s="1">
        <f>IF($B9=Analysis!$C$100,PMT(CR9,CX9,CV9)*CX9,0)</f>
        <v>0</v>
      </c>
      <c r="CX9" s="7">
        <f>IF($B9=Analysis!$C$100,Analysis!$C$107,0)</f>
        <v>0</v>
      </c>
      <c r="CY9" s="1">
        <f>IF(OR($B9&lt;Analysis!$C$100, $B9&gt;=Analysis!$C$101),0,IF($B9=Analysis!$C$100,CW9/CX9,IF(($B9-Analysis!$C$100)&lt;LOOKUP(Analysis!$C$100,$B:$B,CX:CX),CY8,0)))</f>
        <v>-5849.5661171837091</v>
      </c>
      <c r="CZ9" s="1">
        <f>IF(OR($B9&lt;Analysis!$C$100, $B9&gt;=Analysis!$C$101),0,IF($B9=Analysis!$C$100,CX9*CY9-CY9,IF(($B9-Analysis!$C$100)&lt;Analysis!$C$107,CZ8-CY9,0)))</f>
        <v>-11699.132234367411</v>
      </c>
      <c r="DA9" s="53"/>
      <c r="DB9" s="1">
        <f>IF(OR($B9&lt;Analysis!$C$100, $B9&gt;=Analysis!$C$101),0,IF($B9=2025,(Analysis!$C$109*12),IF($B9=Analysis!$C$100,(Analysis!$C$109*12)*(1+DC9)^($B9-$B$2),DB8*(1+DC9))))</f>
        <v>16978.023150516205</v>
      </c>
      <c r="DC9" s="64">
        <f>IF(OR($B9&lt;Analysis!$C$100, $B9&gt;=Analysis!$C$101),0,((1+Analysis!$C$114)/(1+$S9))-1)</f>
        <v>2.941176470588247E-2</v>
      </c>
      <c r="DD9" s="1">
        <f t="shared" si="6"/>
        <v>22463.105316634003</v>
      </c>
      <c r="DE9" s="1">
        <f t="shared" si="27"/>
        <v>-1525.0821661177977</v>
      </c>
      <c r="DF9" s="64">
        <f>IF(OR($B9&lt;Analysis!$C$100, $B9&gt;=Analysis!$C$101),0,Analysis!$C$118)</f>
        <v>3.0000000000000001E-3</v>
      </c>
      <c r="DG9" s="1">
        <f t="shared" si="28"/>
        <v>-3812.7054152944938</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-1273.3517362887153</v>
      </c>
      <c r="DR9" s="1">
        <f t="shared" si="29"/>
        <v>-18871.139317701007</v>
      </c>
      <c r="DS9" s="1">
        <f>MIN(0,-(DB9+DR9)*Analysis!$C$28)-CS9*Analysis!$C$28</f>
        <v>4299.0502383486682</v>
      </c>
      <c r="DT9" s="1">
        <f>-Analysis!$C$116*DD9/12</f>
        <v>-1871.9254430528335</v>
      </c>
      <c r="DU9" s="53"/>
      <c r="DV9" s="1">
        <f t="shared" si="30"/>
        <v>-64815.9920600064</v>
      </c>
      <c r="DW9" s="64">
        <f>IF(OR($B9&lt;Analysis!$C$100, $B9&gt;=Analysis!$C$101),0,IF($B9=Analysis!$C$100,Analysis!$C$31,DW8))</f>
        <v>0.1275</v>
      </c>
      <c r="DX9" s="1">
        <f>IF(OR($B9&lt;Analysis!$C$100, $B9&gt;=Analysis!$C$101),0,CK9+DV9)</f>
        <v>443544.72997925943</v>
      </c>
      <c r="DY9" s="1">
        <f>IF(OR($B9&lt;Analysis!$C$100, $B9&gt;=Analysis!$C$101),0,IF($B9-Analysis!$C$100&gt;3,0,IF(CK9&gt;LOOKUP(Analysis!$C$100,$B:$B, CK:CK),$V9*(LOOKUP(Analysis!$C$100,$B:$B, CK:CK)-CK9),0)))</f>
        <v>0</v>
      </c>
      <c r="DZ9" s="1">
        <f t="shared" si="49"/>
        <v>443544.72997925943</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IF($B9&lt;Analysis!$C$130,0,IF($B9=Analysis!$C$130,Analysis!$B$136,IF(($B9-Analysis!$C$130)&lt;LOOKUP(Analysis!$C$130,$B:$B,EE:EE),EI8,0)))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-114953.00446875027</v>
      </c>
      <c r="FM9" s="1">
        <f>$M9+$R9+DD9+IF(AND($B9&lt;&gt;Analysis!$C$130,$B9=Analysis!$C$101),DZ8+CQ8+CT8+CZ8,0)</f>
        <v>133352.15958006383</v>
      </c>
      <c r="FN9" s="1">
        <f t="shared" si="34"/>
        <v>18399.155111313565</v>
      </c>
      <c r="FO9" s="1">
        <f>IF(FN9 &lt; 0,
    IF(FO8 + FN9 &gt; 0,
        FO8 + FN9, IF(FT8-ABS(FO8 + FN9)*(1+$V9) &gt;= FO8 + FN9,
        0, FO8 + FN9)),
    MIN(FO8 + FN9, Analysis!$C$7))+IF(FO8&lt;0, FO8*Analysis!$C$9,0)</f>
        <v>24000</v>
      </c>
      <c r="FP9" s="53"/>
      <c r="FQ9" s="1">
        <f t="shared" si="51"/>
        <v>3939.7638198995187</v>
      </c>
      <c r="FR9" s="1">
        <f>IF(OR($B9=Analysis!$C$100, $B9=Analysis!$C$130),0,IF(FN9 &gt;= 0,
    MAX(0, FO8 + FN9 - Analysis!$C$7),
    0))</f>
        <v>18399.155111313565</v>
      </c>
      <c r="FS9" s="1">
        <f>IF(OR($B9=Analysis!$C$100, $B9=Analysis!$C$130),0,MAX(0, FS8 + FR9 - IF(FN9 &lt; 0, MIN(ABS(FN9), FS8 + FR9), 0)))</f>
        <v>69632.922215104772</v>
      </c>
      <c r="FT9" s="1">
        <f>IF(OR($B9=Analysis!$C$100, $B9=Analysis!$C$130),0,IF(FN9 &lt; 0,
    IF(FN9 + FO8 &lt; 0,
        MAX(0, FT8 - (ABS(FN9 + FO8) * (1+$V8))),
        FT8 + FQ9),
    FT8 + FR9 + FQ9))</f>
        <v>81644.690718366226</v>
      </c>
      <c r="FU9" s="1">
        <f t="shared" si="35"/>
        <v>78476.586775631018</v>
      </c>
      <c r="FV9" s="36"/>
      <c r="FW9" s="1">
        <f t="shared" si="52"/>
        <v>508360.72203926585</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-9493.7565717249654</v>
      </c>
      <c r="GC9" s="1">
        <f>IF($B9&lt;Analysis!$C$159,0,IF($B9=Analysis!$C$159,-FY9-GB9,MIN(0,GC8-GB9)))</f>
        <v>-318283.68357270194</v>
      </c>
      <c r="GD9" s="64">
        <f>IF($B9&lt;Analysis!$C$159,0,IF($B9=Analysis!$C$159,Analysis!$B$160,IF(($B9-Analysis!$C$159)&lt;LOOKUP(Analysis!$C$159,$B:$B,FZ:FZ),GD8,0)))</f>
        <v>2.9600000000000001E-2</v>
      </c>
      <c r="GE9" s="1">
        <f>IF($B9&lt;Analysis!$C$159,0,IF($B9=Analysis!$C$159,-GD9*FY9,GD8*GC8))</f>
        <v>-9702.212228275037</v>
      </c>
      <c r="GF9" s="1">
        <f>IF($B9&lt;Analysis!$C$159,0,IF($B9=Analysis!$C$159,PMT(GD9,FZ9,FY9)*FZ9-GG9-GC9,IF(($B9-Analysis!$C$159+1)&lt;LOOKUP(Analysis!$C$159,$B:$B,FZ:FZ),IF(GF8-GE9&lt;0, GF8-GE9,0),0)))</f>
        <v>-125840.62891398849</v>
      </c>
      <c r="GG9" s="1">
        <f>IF($B9&lt;Analysis!$C$159,0,IF($B9=Analysis!$C$159,GB9+GE9,IF(GC8&lt;0,IF(GC8&gt;LOOKUP(Analysis!$C$159,$B:$B,GG:GG), GC8*(1+GD8),GG8),0)))</f>
        <v>-19195.968800000002</v>
      </c>
      <c r="GH9" s="1">
        <f>IF($B9=Analysis!$C$159,Analysis!$C$165,0)</f>
        <v>0</v>
      </c>
      <c r="GI9" s="1">
        <f>IF($B9=Analysis!$C$159,PMT(GD9,GJ9,GH9)*GJ9,0)</f>
        <v>0</v>
      </c>
      <c r="GJ9" s="7">
        <f>IF($B9=Analysis!$C$159,Analysis!$C$167,0)</f>
        <v>0</v>
      </c>
      <c r="GK9" s="1">
        <f>IF($B9&lt;Analysis!$C$159,0,IF($B9=Analysis!$C$159,GI9/GJ9,IF(($B9-Analysis!$C$159)&lt;LOOKUP(Analysis!$C$159,$B:$B,GJ:GJ),GK8,0)))</f>
        <v>-5849.5661171837091</v>
      </c>
      <c r="GL9" s="1">
        <f>IF($B9&lt;Analysis!$C$159,0,IF($B9=Analysis!$C$159,GJ9*GK9-GK9,IF(($B9-Analysis!$C$159)&lt;Analysis!$C$167,GL8-GK9,0)))</f>
        <v>-11699.132234367411</v>
      </c>
      <c r="GM9" s="38"/>
      <c r="GN9" s="1">
        <f>IF($B9&lt;Analysis!$C$159,0,IF($B9=2025,(Analysis!$C$109*12),IF($B9=Analysis!$C$159,(Analysis!$C$109*12)*(1+GO9)^($B9-$B$2),GN8*(1+GO9))))</f>
        <v>16978.023150516205</v>
      </c>
      <c r="GO9" s="64">
        <f>IF($B9&lt;Analysis!$C$159,0,((1+Analysis!$C$174)/(1+$S9))-1)</f>
        <v>2.941176470588247E-2</v>
      </c>
      <c r="GP9" s="1">
        <f t="shared" si="7"/>
        <v>22463.105316634003</v>
      </c>
      <c r="GQ9" s="1">
        <f t="shared" si="36"/>
        <v>-1525.0821661177977</v>
      </c>
      <c r="GR9" s="64">
        <f>IF($B9&lt;Analysis!$C$159,0,Analysis!$C$178)</f>
        <v>3.0000000000000001E-3</v>
      </c>
      <c r="GS9" s="1">
        <f t="shared" si="37"/>
        <v>-3812.7054152944938</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-1273.3517362887153</v>
      </c>
      <c r="HD9" s="1">
        <f t="shared" si="38"/>
        <v>-18871.139317701007</v>
      </c>
      <c r="HE9" s="1">
        <f>MIN(0,-(GN9+HD9)*Analysis!$C$28)-GE9*Analysis!$C$28</f>
        <v>4299.0502383486682</v>
      </c>
      <c r="HF9" s="1">
        <f>-Analysis!$C$176*GP9/12</f>
        <v>-1871.9254430528335</v>
      </c>
      <c r="HG9" s="38"/>
      <c r="HH9" s="1">
        <f>IF($B9&lt;Analysis!$C$159,0,-$HI9*$FW9)</f>
        <v>-64815.9920600064</v>
      </c>
      <c r="HI9" s="64">
        <f>IF($B9&lt;Analysis!$C$159,0,IF($B9=Analysis!$C$159,Analysis!$C$31,HI8))</f>
        <v>0.1275</v>
      </c>
      <c r="HJ9" s="1">
        <f>IF($B9&lt;Analysis!$C$159,0,$FW9+HH9)</f>
        <v>443544.72997925943</v>
      </c>
      <c r="HK9" s="1">
        <f>IF($B9-Analysis!$C$159&gt;10,0,IF($FW9&gt;LOOKUP(Analysis!$C$159,$B:$B, FW:FW),$V9*(LOOKUP(Analysis!$C$159,$B:$B, FW:FW)-FW9),0))</f>
        <v>-24623.890437856367</v>
      </c>
      <c r="HL9" s="1">
        <f t="shared" si="39"/>
        <v>418920.83954140305</v>
      </c>
      <c r="HM9" s="38"/>
      <c r="HN9" s="1">
        <f t="shared" si="40"/>
        <v>-114953.00446875027</v>
      </c>
      <c r="HO9" s="1">
        <f t="shared" si="8"/>
        <v>133352.15958006383</v>
      </c>
      <c r="HP9" s="1">
        <f t="shared" si="41"/>
        <v>18399.155111313565</v>
      </c>
      <c r="HQ9" s="1">
        <f>IF(HP9 &lt; 0,
    IF(HQ8 + HP9 &gt; 0,
        HQ8 + HP9, IF(HV8-ABS(HQ8 + HP9)*(1+$V9) &gt;= HQ8 + HP9,
        0, HQ8 + HP9)),
    MIN(HQ8 + HP9, Analysis!$C$7))+IF(HQ8&lt;0, HQ8*Analysis!$C$9,0)</f>
        <v>24000</v>
      </c>
      <c r="HR9" s="38"/>
      <c r="HS9" s="1">
        <f t="shared" si="54"/>
        <v>3939.7638198995187</v>
      </c>
      <c r="HT9" s="1">
        <f>IF($B9=Analysis!$C$159,0,IF(HP9 &gt;= 0,
    MAX(0, HQ8 + HP9 - Analysis!$C$7),
    0))</f>
        <v>18399.155111313565</v>
      </c>
      <c r="HU9" s="1">
        <f>IF($B9=Analysis!$C$159,0,MAX(0, HU8 + HT9 - IF(HP9 &lt; 0, MIN(ABS(HP9), HU8 + HT9), 0)))</f>
        <v>69632.922215104772</v>
      </c>
      <c r="HV9" s="1">
        <f>IF($B9=Analysis!$C$159,0,IF(HP9 &lt; 0,
    IF(HP9 + HQ8 &lt; 0,
        MAX(0, HV8 - (ABS(HP9 + HQ8) * (1+$V8))),
        HV8 + HS9),
    HV8 + HT9 + HS9))</f>
        <v>81644.690718366226</v>
      </c>
      <c r="HW9" s="1">
        <f t="shared" si="42"/>
        <v>78476.586775631018</v>
      </c>
      <c r="HX9" s="36"/>
    </row>
    <row r="10" spans="1:232" x14ac:dyDescent="0.35">
      <c r="A10">
        <f t="shared" si="0"/>
        <v>43</v>
      </c>
      <c r="B10">
        <v>2033</v>
      </c>
      <c r="C10" s="1">
        <f>IF($B10&lt;Analysis!C$66,0,$AN10)+$AT10+$AW10+$BC10+$CF10+$CA10</f>
        <v>12058.004969589223</v>
      </c>
      <c r="D10" s="1">
        <f>IF($B10&lt;Analysis!C$66, 0, BV10)+AT10+AW10+BC10+CG10+CA10</f>
        <v>-98877.941752533734</v>
      </c>
      <c r="E10" s="1">
        <f t="shared" si="1"/>
        <v>312243.52769868047</v>
      </c>
      <c r="F10" s="1">
        <f t="shared" si="9"/>
        <v>294038.17859475757</v>
      </c>
      <c r="G10" s="1">
        <f>IF(AND($B10&gt;=Analysis!$C$100, $B10&lt;Analysis!$C$101),$CK10,0)+IF($B10&gt;=Analysis!$C$130,EB10,0)+CQ10+CT10+CZ10+EH10+EK10+EQ10+$FO10+$FT10</f>
        <v>224189.32479429716</v>
      </c>
      <c r="H10" s="1">
        <f t="shared" si="10"/>
        <v>152905.27210929568</v>
      </c>
      <c r="I10" s="1">
        <f>IF($B10&lt;Analysis!$C$159,0,$FW10)+$GC10+$GF10+$GL10+$HQ10+$HV10</f>
        <v>224189.32479429716</v>
      </c>
      <c r="J10" s="1">
        <f t="shared" si="2"/>
        <v>124337.84812914938</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15619.546736625547</v>
      </c>
      <c r="AI10" s="1">
        <f>IF(AE10 &gt;= 0,
    MAX(0, AF9 + AE10 - Analysis!$C$7),
    0)</f>
        <v>31272.778357514413</v>
      </c>
      <c r="AJ10" s="1">
        <f t="shared" si="44"/>
        <v>219218.50739944674</v>
      </c>
      <c r="AK10" s="1">
        <f t="shared" si="20"/>
        <v>288243.52769868047</v>
      </c>
      <c r="AL10" s="1">
        <f t="shared" si="5"/>
        <v>270038.17859475757</v>
      </c>
      <c r="AM10" s="36"/>
      <c r="AN10" s="1">
        <f t="shared" si="45"/>
        <v>870085.85664410167</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-17523.998958416822</v>
      </c>
      <c r="AT10" s="1">
        <f>IF($B10&lt;Analysis!$C$66,0,IF($B10=Analysis!$C$66,-AP10-AS10,MIN(0,AT9-AS10)))</f>
        <v>-553088.09028425813</v>
      </c>
      <c r="AU10" s="64">
        <f>IF($B10&lt;Analysis!$C$66,0,IF($B10=Analysis!$C$66,Analysis!$C$72,IF(($B10-Analysis!$C$66)&lt;LOOKUP(Analysis!$C$66,$B:$B,AQ:AQ),AU9,0)))</f>
        <v>2.9600000000000001E-2</v>
      </c>
      <c r="AV10" s="1">
        <f>IF($B10&lt;Analysis!$C$66,0,IF($B10=Analysis!$C$66,-AU10*AP10,AU9*AT9))</f>
        <v>-16890.117841583182</v>
      </c>
      <c r="AW10" s="1">
        <f>IF($B10&lt;Analysis!$C$66,0,IF($B10=Analysis!$C$66,PMT(AU10,AQ10,AP10)*AQ10-AX10-AT10,IF(($B10-Analysis!$C$66+1)&lt;LOOKUP(Analysis!$C$66,$B:$B,AQ:AQ),IF(AW9-AV10&lt;0, AW9-AV10,0),0)))</f>
        <v>-208714.23413212181</v>
      </c>
      <c r="AX10" s="1">
        <f>IF($B10&lt;Analysis!$C$66,0,IF($B10=Analysis!$C$66,AS10+AV10,IF(AT9&lt;0,IF(AT9&gt;LOOKUP(Analysis!$C$66,$B:$B,AX:AX), AT9*(1+AU9),AX9),0)))</f>
        <v>-34414.116800000003</v>
      </c>
      <c r="AY10" s="1">
        <f>IF($B10=Analysis!$C$66,Analysis!$C$68,0)</f>
        <v>0</v>
      </c>
      <c r="AZ10" s="1">
        <f>IF($B10=Analysis!$C$66,PMT(AU10,BA10,AY10)*BA10,0)</f>
        <v>0</v>
      </c>
      <c r="BA10" s="7">
        <f>IF($B10=Analysis!$C$66,Analysis!$C$70,0)</f>
        <v>0</v>
      </c>
      <c r="BB10" s="1">
        <f>IF($B10&lt;Analysis!$C$66,0,IF($B10=Analysis!$C$66,AZ10/BA10,IF(($B10-Analysis!$C$66)&lt;LOOKUP(Analysis!$C$66,$B:$B,BA:BA),BB9,0)))</f>
        <v>-5849.5661171837091</v>
      </c>
      <c r="BC10" s="1">
        <f>IF($B10&lt;Analysis!$C$66,0,IF($B10=Analysis!$C$66,BA10*BB10-BB10,IF(($B10-Analysis!$C$66)&lt;Analysis!$C$70,BC9-BB10,0)))</f>
        <v>-5849.5661171837019</v>
      </c>
      <c r="BD10" s="42"/>
      <c r="BE10" s="1">
        <f>IF($B10&lt;Analysis!$C$66,0,-BF10*AN10)</f>
        <v>-2610.2575699323052</v>
      </c>
      <c r="BF10" s="64">
        <f>IF($B10&lt;Analysis!$C$66,0,Analysis!$C$78)</f>
        <v>3.0000000000000001E-3</v>
      </c>
      <c r="BG10" s="1">
        <f>IF($B10&lt;Analysis!$C$66,0,-BH10*AN10)</f>
        <v>-6525.6439248307624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-110935.94672212297</v>
      </c>
      <c r="BS10" s="64">
        <f>IF($B10&lt;Analysis!C$66,0,Analysis!C$31)</f>
        <v>0.1275</v>
      </c>
      <c r="BT10" s="1">
        <f>IF($B10&lt;Analysis!$C$66,0,AN10+BR10)</f>
        <v>759149.90992197872</v>
      </c>
      <c r="BU10" s="1">
        <f>IF($B10-Analysis!$C$66&gt;3,0,IF($AN10&gt;LOOKUP(Analysis!$C$66,$B:$B, AN:AN),$V10*(LOOKUP(Analysis!$C$66,$B:$B, AN:AN)-AN10),0))</f>
        <v>0</v>
      </c>
      <c r="BV10" s="1">
        <f t="shared" si="23"/>
        <v>759149.90992197872</v>
      </c>
      <c r="BW10" s="42"/>
      <c r="BX10" s="1">
        <f>IF($B10&lt;Analysis!$C$66,$P10+$N10+$X10+$Z10,$P10+$N10+AS10+AV10+BB10+BE10+BG10+MAX(BI10,SUM(BJ10:BN10))+BP10)</f>
        <v>-111759.58441194678</v>
      </c>
      <c r="BY10" s="1">
        <f t="shared" si="24"/>
        <v>113606.92324047466</v>
      </c>
      <c r="BZ10" s="1">
        <f t="shared" si="46"/>
        <v>1847.3388285278779</v>
      </c>
      <c r="CA10" s="1">
        <f>IF(BZ10 &lt; 0,
    IF(CA9 + BZ10 &gt; 0,
        CA9 + BZ10, IF(CF9-ABS(CA9 + BZ10)*(1+$V10) &gt;= CA9 + BZ10,
        0, CA9 + BZ10)),
    MIN(CA9 + BZ10, Analysis!$C$7))+IF(CA9&lt;0, CA9*Analysis!$C$9,0)</f>
        <v>-90375.961140948813</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-19974.144882960245</v>
      </c>
      <c r="CJ10" s="1">
        <f>IF(OR($B10&lt;Analysis!$C$100, $B10&gt;=Analysis!$C$130),0,Z10)</f>
        <v>-3960</v>
      </c>
      <c r="CK10" s="1">
        <f t="shared" si="26"/>
        <v>523312.50798159727</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-9774.7717662480245</v>
      </c>
      <c r="CQ10" s="1">
        <f>IF(OR($B10&lt;Analysis!$C$100, $B10&gt;=Analysis!$C$101),0,IF($B10=Analysis!$C$100,-CM10-CP10,MIN(0,CQ9-CP10)))</f>
        <v>-308508.91180645389</v>
      </c>
      <c r="CR10" s="64">
        <f>IF(OR($B10&lt;Analysis!$C$100, $B10&gt;=Analysis!$C$101),0,IF($B10=Analysis!$C$100,Analysis!$C$102,IF(($B10-Analysis!$C$100)&lt;LOOKUP(Analysis!$C$100,$B:$B,CN:CN),CR9,0)))</f>
        <v>2.9600000000000001E-2</v>
      </c>
      <c r="CS10" s="1">
        <f>IF(OR($B10&lt;Analysis!$C$100, $B10&gt;=Analysis!$C$101),0,IF($B10=Analysis!$C$100,-CR10*CM10,CR9*CQ9))</f>
        <v>-9421.1970337519779</v>
      </c>
      <c r="CT10" s="1">
        <f>IF(OR($B10&lt;Analysis!$C$100, $B10&gt;=Analysis!$C$101),0,IF($B10=Analysis!$C$100,PMT(CR10,CN10,CM10)*CN10-CU10-CQ10,IF(($B10-Analysis!$C$100+1)&lt;LOOKUP(Analysis!$C$100,$B:$B,CN:CN),IF(CT9-CS10&lt;0, CT9-CS10,0),0)))</f>
        <v>-116419.43188023652</v>
      </c>
      <c r="CU10" s="1">
        <f>IF(OR($B10&lt;Analysis!$C$100, $B10&gt;=Analysis!$C$101),0,IF($B10=Analysis!$C$100,CP10+CS10,IF(CQ9&lt;0,IF(CQ9&gt;LOOKUP(Analysis!$C$100,$B:$B,CU:CU), CQ9*(1+CR9),CU9),0)))</f>
        <v>-19195.968800000002</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-5849.5661171837091</v>
      </c>
      <c r="CZ10" s="1">
        <f>IF(OR($B10&lt;Analysis!$C$100, $B10&gt;=Analysis!$C$101),0,IF($B10=Analysis!$C$100,CX10*CY10-CY10,IF(($B10-Analysis!$C$100)&lt;Analysis!$C$107,CZ9-CY10,0)))</f>
        <v>-5849.5661171837019</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23007.314296535005</v>
      </c>
      <c r="DE10" s="1">
        <f t="shared" si="27"/>
        <v>-1569.9375239447918</v>
      </c>
      <c r="DF10" s="64">
        <f>IF(OR($B10&lt;Analysis!$C$100, $B10&gt;=Analysis!$C$101),0,Analysis!$C$118)</f>
        <v>3.0000000000000001E-3</v>
      </c>
      <c r="DG10" s="1">
        <f t="shared" si="28"/>
        <v>-3924.8438098619795</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-1310.8032579442661</v>
      </c>
      <c r="DR10" s="1">
        <f t="shared" si="29"/>
        <v>-19065.584591751038</v>
      </c>
      <c r="DS10" s="1">
        <f>MIN(0,-(DB10+DR10)*Analysis!$C$28)-CS10*Analysis!$C$28</f>
        <v>4174.532405655501</v>
      </c>
      <c r="DT10" s="1">
        <f>-Analysis!$C$116*DD10/12</f>
        <v>-1917.276191377917</v>
      </c>
      <c r="DU10" s="53"/>
      <c r="DV10" s="1">
        <f t="shared" si="30"/>
        <v>-66722.34476765366</v>
      </c>
      <c r="DW10" s="64">
        <f>IF(OR($B10&lt;Analysis!$C$100, $B10&gt;=Analysis!$C$101),0,IF($B10=Analysis!$C$100,Analysis!$C$31,DW9))</f>
        <v>0.1275</v>
      </c>
      <c r="DX10" s="1">
        <f>IF(OR($B10&lt;Analysis!$C$100, $B10&gt;=Analysis!$C$101),0,CK10+DV10)</f>
        <v>456590.1632139436</v>
      </c>
      <c r="DY10" s="1">
        <f>IF(OR($B10&lt;Analysis!$C$100, $B10&gt;=Analysis!$C$101),0,IF($B10-Analysis!$C$100&gt;3,0,IF(CK10&gt;LOOKUP(Analysis!$C$100,$B:$B, CK:CK),$V10*(LOOKUP(Analysis!$C$100,$B:$B, CK:CK)-CK10),0)))</f>
        <v>0</v>
      </c>
      <c r="DZ10" s="1">
        <f t="shared" si="49"/>
        <v>456590.1632139436</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IF($B10&lt;Analysis!$C$130,0,IF($B10=Analysis!$C$130,Analysis!$B$136,IF(($B10-Analysis!$C$130)&lt;LOOKUP(Analysis!$C$130,$B:$B,EE:EE),EI9,0)))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-115888.00817761742</v>
      </c>
      <c r="FM10" s="1">
        <f>$M10+$R10+DD10+IF(AND($B10&lt;&gt;Analysis!$C$130,$B10=Analysis!$C$101),DZ9+CQ9+CT9+CZ9,0)</f>
        <v>136614.23753700967</v>
      </c>
      <c r="FN10" s="1">
        <f t="shared" si="34"/>
        <v>20726.229359392251</v>
      </c>
      <c r="FO10" s="1">
        <f>IF(FN10 &lt; 0,
    IF(FO9 + FN10 &gt; 0,
        FO9 + FN10, IF(FT9-ABS(FO9 + FN10)*(1+$V10) &gt;= FO9 + FN10,
        0, FO9 + FN10)),
    MIN(FO9 + FN10, Analysis!$C$7))+IF(FO9&lt;0, FO9*Analysis!$C$9,0)</f>
        <v>24000</v>
      </c>
      <c r="FP10" s="53"/>
      <c r="FQ10" s="1">
        <f t="shared" si="51"/>
        <v>5283.8065388155155</v>
      </c>
      <c r="FR10" s="1">
        <f>IF(OR($B10=Analysis!$C$100, $B10=Analysis!$C$130),0,IF(FN10 &gt;= 0,
    MAX(0, FO9 + FN10 - Analysis!$C$7),
    0))</f>
        <v>20726.229359392251</v>
      </c>
      <c r="FS10" s="1">
        <f>IF(OR($B10=Analysis!$C$100, $B10=Analysis!$C$130),0,MAX(0, FS9 + FR10 - IF(FN10 &lt; 0, MIN(ABS(FN10), FS9 + FR10), 0)))</f>
        <v>90359.151574497024</v>
      </c>
      <c r="FT10" s="1">
        <f>IF(OR($B10=Analysis!$C$100, $B10=Analysis!$C$130),0,IF(FN10 &lt; 0,
    IF(FN10 + FO9 &lt; 0,
        MAX(0, FT9 - (ABS(FN10 + FO9) * (1+$V9))),
        FT9 + FQ10),
    FT9 + FR10 + FQ10))</f>
        <v>107654.72661657399</v>
      </c>
      <c r="FU10" s="1">
        <f t="shared" si="35"/>
        <v>103093.01869922619</v>
      </c>
      <c r="FV10" s="36"/>
      <c r="FW10" s="1">
        <f t="shared" si="52"/>
        <v>523312.50798159727</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-9774.7717662480245</v>
      </c>
      <c r="GC10" s="1">
        <f>IF($B10&lt;Analysis!$C$159,0,IF($B10=Analysis!$C$159,-FY10-GB10,MIN(0,GC9-GB10)))</f>
        <v>-308508.91180645389</v>
      </c>
      <c r="GD10" s="64">
        <f>IF($B10&lt;Analysis!$C$159,0,IF($B10=Analysis!$C$159,Analysis!$B$160,IF(($B10-Analysis!$C$159)&lt;LOOKUP(Analysis!$C$159,$B:$B,FZ:FZ),GD9,0)))</f>
        <v>2.9600000000000001E-2</v>
      </c>
      <c r="GE10" s="1">
        <f>IF($B10&lt;Analysis!$C$159,0,IF($B10=Analysis!$C$159,-GD10*FY10,GD9*GC9))</f>
        <v>-9421.1970337519779</v>
      </c>
      <c r="GF10" s="1">
        <f>IF($B10&lt;Analysis!$C$159,0,IF($B10=Analysis!$C$159,PMT(GD10,FZ10,FY10)*FZ10-GG10-GC10,IF(($B10-Analysis!$C$159+1)&lt;LOOKUP(Analysis!$C$159,$B:$B,FZ:FZ),IF(GF9-GE10&lt;0, GF9-GE10,0),0)))</f>
        <v>-116419.43188023652</v>
      </c>
      <c r="GG10" s="1">
        <f>IF($B10&lt;Analysis!$C$159,0,IF($B10=Analysis!$C$159,GB10+GE10,IF(GC9&lt;0,IF(GC9&gt;LOOKUP(Analysis!$C$159,$B:$B,GG:GG), GC9*(1+GD9),GG9),0)))</f>
        <v>-19195.968800000002</v>
      </c>
      <c r="GH10" s="1">
        <f>IF($B10=Analysis!$C$159,Analysis!$C$165,0)</f>
        <v>0</v>
      </c>
      <c r="GI10" s="1">
        <f>IF($B10=Analysis!$C$159,PMT(GD10,GJ10,GH10)*GJ10,0)</f>
        <v>0</v>
      </c>
      <c r="GJ10" s="7">
        <f>IF($B10=Analysis!$C$159,Analysis!$C$167,0)</f>
        <v>0</v>
      </c>
      <c r="GK10" s="1">
        <f>IF($B10&lt;Analysis!$C$159,0,IF($B10=Analysis!$C$159,GI10/GJ10,IF(($B10-Analysis!$C$159)&lt;LOOKUP(Analysis!$C$159,$B:$B,GJ:GJ),GK9,0)))</f>
        <v>-5849.5661171837091</v>
      </c>
      <c r="GL10" s="1">
        <f>IF($B10&lt;Analysis!$C$159,0,IF($B10=Analysis!$C$159,GJ10*GK10-GK10,IF(($B10-Analysis!$C$159)&lt;Analysis!$C$167,GL9-GK10,0)))</f>
        <v>-5849.5661171837019</v>
      </c>
      <c r="GM10" s="38"/>
      <c r="GN10" s="1">
        <f>IF($B10&lt;Analysis!$C$159,0,IF($B10=2025,(Analysis!$C$109*12),IF($B10=Analysis!$C$159,(Analysis!$C$109*12)*(1+GO10)^($B10-$B$2),GN9*(1+GO10))))</f>
        <v>17477.376772590214</v>
      </c>
      <c r="GO10" s="64">
        <f>IF($B10&lt;Analysis!$C$159,0,((1+Analysis!$C$174)/(1+$S10))-1)</f>
        <v>2.941176470588247E-2</v>
      </c>
      <c r="GP10" s="1">
        <f t="shared" si="7"/>
        <v>23007.314296535005</v>
      </c>
      <c r="GQ10" s="1">
        <f t="shared" si="36"/>
        <v>-1569.9375239447918</v>
      </c>
      <c r="GR10" s="64">
        <f>IF($B10&lt;Analysis!$C$159,0,Analysis!$C$178)</f>
        <v>3.0000000000000001E-3</v>
      </c>
      <c r="GS10" s="1">
        <f t="shared" si="37"/>
        <v>-3924.8438098619795</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-1310.8032579442661</v>
      </c>
      <c r="HD10" s="1">
        <f t="shared" si="38"/>
        <v>-19065.584591751038</v>
      </c>
      <c r="HE10" s="1">
        <f>MIN(0,-(GN10+HD10)*Analysis!$C$28)-GE10*Analysis!$C$28</f>
        <v>4174.532405655501</v>
      </c>
      <c r="HF10" s="1">
        <f>-Analysis!$C$176*GP10/12</f>
        <v>-1917.276191377917</v>
      </c>
      <c r="HG10" s="38"/>
      <c r="HH10" s="1">
        <f>IF($B10&lt;Analysis!$C$159,0,-$HI10*$FW10)</f>
        <v>-66722.34476765366</v>
      </c>
      <c r="HI10" s="64">
        <f>IF($B10&lt;Analysis!$C$159,0,IF($B10=Analysis!$C$159,Analysis!$C$31,HI9))</f>
        <v>0.1275</v>
      </c>
      <c r="HJ10" s="1">
        <f>IF($B10&lt;Analysis!$C$159,0,$FW10+HH10)</f>
        <v>456590.1632139436</v>
      </c>
      <c r="HK10" s="1">
        <f>IF($B10-Analysis!$C$159&gt;10,0,IF($FW10&gt;LOOKUP(Analysis!$C$159,$B:$B, FW:FW),$V10*(LOOKUP(Analysis!$C$159,$B:$B, FW:FW)-FW10),0))</f>
        <v>-28567.423980146279</v>
      </c>
      <c r="HL10" s="1">
        <f t="shared" si="39"/>
        <v>428022.7392337973</v>
      </c>
      <c r="HM10" s="38"/>
      <c r="HN10" s="1">
        <f t="shared" si="40"/>
        <v>-115888.00817761742</v>
      </c>
      <c r="HO10" s="1">
        <f t="shared" si="8"/>
        <v>136614.23753700967</v>
      </c>
      <c r="HP10" s="1">
        <f t="shared" si="41"/>
        <v>20726.229359392251</v>
      </c>
      <c r="HQ10" s="1">
        <f>IF(HP10 &lt; 0,
    IF(HQ9 + HP10 &gt; 0,
        HQ9 + HP10, IF(HV9-ABS(HQ9 + HP10)*(1+$V10) &gt;= HQ9 + HP10,
        0, HQ9 + HP10)),
    MIN(HQ9 + HP10, Analysis!$C$7))+IF(HQ9&lt;0, HQ9*Analysis!$C$9,0)</f>
        <v>24000</v>
      </c>
      <c r="HR10" s="38"/>
      <c r="HS10" s="1">
        <f t="shared" si="54"/>
        <v>5283.8065388155155</v>
      </c>
      <c r="HT10" s="1">
        <f>IF($B10=Analysis!$C$159,0,IF(HP10 &gt;= 0,
    MAX(0, HQ9 + HP10 - Analysis!$C$7),
    0))</f>
        <v>20726.229359392251</v>
      </c>
      <c r="HU10" s="1">
        <f>IF($B10=Analysis!$C$159,0,MAX(0, HU9 + HT10 - IF(HP10 &lt; 0, MIN(ABS(HP10), HU9 + HT10), 0)))</f>
        <v>90359.151574497024</v>
      </c>
      <c r="HV10" s="1">
        <f>IF($B10=Analysis!$C$159,0,IF(HP10 &lt; 0,
    IF(HP10 + HQ9 &lt; 0,
        MAX(0, HV9 - (ABS(HP10 + HQ9) * (1+$V9))),
        HV9 + HS10),
    HV9 + HT10 + HS10))</f>
        <v>107654.72661657399</v>
      </c>
      <c r="HW10" s="1">
        <f t="shared" si="42"/>
        <v>103093.01869922619</v>
      </c>
      <c r="HX10" s="36"/>
    </row>
    <row r="11" spans="1:232" x14ac:dyDescent="0.35">
      <c r="A11">
        <f t="shared" si="0"/>
        <v>44</v>
      </c>
      <c r="B11">
        <v>2034</v>
      </c>
      <c r="C11" s="1">
        <f>IF($B11&lt;Analysis!C$66,0,$AN11)+$AT11+$AW11+$BC11+$CF11+$CA11</f>
        <v>75045.490741174042</v>
      </c>
      <c r="D11" s="1">
        <f>IF($B11&lt;Analysis!C$66, 0, BV11)+AT11+AW11+BC11+CG11+CA11</f>
        <v>-39153.277943364265</v>
      </c>
      <c r="E11" s="1">
        <f t="shared" si="1"/>
        <v>363873.46426930919</v>
      </c>
      <c r="F11" s="1">
        <f t="shared" si="9"/>
        <v>340878.37569523667</v>
      </c>
      <c r="G11" s="1">
        <f>IF(AND($B11&gt;=Analysis!$C$100, $B11&lt;Analysis!$C$101),$CK11,0)+IF($B11&gt;=Analysis!$C$130,EB11,0)+CQ11+CT11+CZ11+EH11+EK11+EQ11+$FO11+$FT11</f>
        <v>294517.35403649637</v>
      </c>
      <c r="H11" s="1">
        <f t="shared" si="10"/>
        <v>219481.98206059178</v>
      </c>
      <c r="I11" s="1">
        <f>IF($B11&lt;Analysis!$C$159,0,$FW11)+$GC11+$GF11+$GL11+$HQ11+$HV11</f>
        <v>294517.35403649637</v>
      </c>
      <c r="J11" s="1">
        <f t="shared" si="2"/>
        <v>186855.03825750001</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18160.149649856419</v>
      </c>
      <c r="AI11" s="1">
        <f>IF(AE11 &gt;= 0,
    MAX(0, AF10 + AE11 - Analysis!$C$7),
    0)</f>
        <v>33469.786920772298</v>
      </c>
      <c r="AJ11" s="1">
        <f t="shared" si="44"/>
        <v>252688.29432021902</v>
      </c>
      <c r="AK11" s="1">
        <f t="shared" si="20"/>
        <v>339873.46426930919</v>
      </c>
      <c r="AL11" s="1">
        <f t="shared" si="5"/>
        <v>316878.37569523667</v>
      </c>
      <c r="AM11" s="36"/>
      <c r="AN11" s="1">
        <f t="shared" si="45"/>
        <v>895676.61713363416</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-18042.709327585962</v>
      </c>
      <c r="AT11" s="1">
        <f>IF($B11&lt;Analysis!$C$66,0,IF($B11=Analysis!$C$66,-AP11-AS11,MIN(0,AT10-AS11)))</f>
        <v>-535045.38095667213</v>
      </c>
      <c r="AU11" s="64">
        <f>IF($B11&lt;Analysis!$C$66,0,IF($B11=Analysis!$C$66,Analysis!$C$72,IF(($B11-Analysis!$C$66)&lt;LOOKUP(Analysis!$C$66,$B:$B,AQ:AQ),AU10,0)))</f>
        <v>2.9600000000000001E-2</v>
      </c>
      <c r="AV11" s="1">
        <f>IF($B11&lt;Analysis!$C$66,0,IF($B11=Analysis!$C$66,-AU11*AP11,AU10*AT10))</f>
        <v>-16371.407472414041</v>
      </c>
      <c r="AW11" s="1">
        <f>IF($B11&lt;Analysis!$C$66,0,IF($B11=Analysis!$C$66,PMT(AU11,AQ11,AP11)*AQ11-AX11-AT11,IF(($B11-Analysis!$C$66+1)&lt;LOOKUP(Analysis!$C$66,$B:$B,AQ:AQ),IF(AW10-AV11&lt;0, AW10-AV11,0),0)))</f>
        <v>-192342.82665970776</v>
      </c>
      <c r="AX11" s="1">
        <f>IF($B11&lt;Analysis!$C$66,0,IF($B11=Analysis!$C$66,AS11+AV11,IF(AT10&lt;0,IF(AT10&gt;LOOKUP(Analysis!$C$66,$B:$B,AX:AX), AT10*(1+AU10),AX10),0)))</f>
        <v>-34414.116800000003</v>
      </c>
      <c r="AY11" s="1">
        <f>IF($B11=Analysis!$C$66,Analysis!$C$68,0)</f>
        <v>0</v>
      </c>
      <c r="AZ11" s="1">
        <f>IF($B11=Analysis!$C$66,PMT(AU11,BA11,AY11)*BA11,0)</f>
        <v>0</v>
      </c>
      <c r="BA11" s="7">
        <f>IF($B11=Analysis!$C$66,Analysis!$C$70,0)</f>
        <v>0</v>
      </c>
      <c r="BB11" s="1">
        <f>IF($B11&lt;Analysis!$C$66,0,IF($B11=Analysis!$C$66,AZ11/BA11,IF(($B11-Analysis!$C$66)&lt;LOOKUP(Analysis!$C$66,$B:$B,BA:BA),BB10,0)))</f>
        <v>-5849.5661171837091</v>
      </c>
      <c r="BC11" s="1">
        <f>IF($B11&lt;Analysis!$C$66,0,IF($B11=Analysis!$C$66,BA11*BB11-BB11,IF(($B11-Analysis!$C$66)&lt;Analysis!$C$70,BC10-BB11,0)))</f>
        <v>7.2759576141834259E-12</v>
      </c>
      <c r="BD11" s="42"/>
      <c r="BE11" s="1">
        <f>IF($B11&lt;Analysis!$C$66,0,-BF11*AN11)</f>
        <v>-2687.0298514009028</v>
      </c>
      <c r="BF11" s="64">
        <f>IF($B11&lt;Analysis!$C$66,0,Analysis!$C$78)</f>
        <v>3.0000000000000001E-3</v>
      </c>
      <c r="BG11" s="1">
        <f>IF($B11&lt;Analysis!$C$66,0,-BH11*AN11)</f>
        <v>-6717.574628502256</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-114198.76868453836</v>
      </c>
      <c r="BS11" s="64">
        <f>IF($B11&lt;Analysis!C$66,0,Analysis!C$31)</f>
        <v>0.1275</v>
      </c>
      <c r="BT11" s="1">
        <f>IF($B11&lt;Analysis!$C$66,0,AN11+BR11)</f>
        <v>781477.84844909585</v>
      </c>
      <c r="BU11" s="1">
        <f>IF($B11-Analysis!$C$66&gt;3,0,IF($AN11&gt;LOOKUP(Analysis!$C$66,$B:$B, AN:AN),$V11*(LOOKUP(Analysis!$C$66,$B:$B, AN:AN)-AN11),0))</f>
        <v>0</v>
      </c>
      <c r="BV11" s="1">
        <f t="shared" si="23"/>
        <v>781477.84844909585</v>
      </c>
      <c r="BW11" s="42"/>
      <c r="BX11" s="1">
        <f>IF($B11&lt;Analysis!$C$66,$P11+$N11+$X11+$Z11,$P11+$N11+AS11+AV11+BB11+BE11+BG11+MAX(BI11,SUM(BJ11:BN11))+BP11)</f>
        <v>-112028.28739708688</v>
      </c>
      <c r="BY11" s="1">
        <f t="shared" si="24"/>
        <v>116391.40665323137</v>
      </c>
      <c r="BZ11" s="1">
        <f t="shared" si="46"/>
        <v>4363.1192561444914</v>
      </c>
      <c r="CA11" s="1">
        <f>IF(BZ11 &lt; 0,
    IF(CA10 + BZ11 &gt; 0,
        CA10 + BZ11, IF(CF10-ABS(CA10 + BZ11)*(1+$V11) &gt;= CA10 + BZ11,
        0, CA10 + BZ11)),
    MIN(CA10 + BZ11, Analysis!$C$7))+IF(CA10&lt;0, CA10*Analysis!$C$9,0)</f>
        <v>-93242.918776080231</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-20561.619732459079</v>
      </c>
      <c r="CJ11" s="1">
        <f>IF(OR($B11&lt;Analysis!$C$100, $B11&gt;=Analysis!$C$130),0,Z11)</f>
        <v>-3960</v>
      </c>
      <c r="CK11" s="1">
        <f t="shared" si="26"/>
        <v>538704.05233399721</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-10064.105010528967</v>
      </c>
      <c r="CQ11" s="1">
        <f>IF(OR($B11&lt;Analysis!$C$100, $B11&gt;=Analysis!$C$101),0,IF($B11=Analysis!$C$100,-CM11-CP11,MIN(0,CQ10-CP11)))</f>
        <v>-298444.8067959249</v>
      </c>
      <c r="CR11" s="64">
        <f>IF(OR($B11&lt;Analysis!$C$100, $B11&gt;=Analysis!$C$101),0,IF($B11=Analysis!$C$100,Analysis!$C$102,IF(($B11-Analysis!$C$100)&lt;LOOKUP(Analysis!$C$100,$B:$B,CN:CN),CR10,0)))</f>
        <v>2.9600000000000001E-2</v>
      </c>
      <c r="CS11" s="1">
        <f>IF(OR($B11&lt;Analysis!$C$100, $B11&gt;=Analysis!$C$101),0,IF($B11=Analysis!$C$100,-CR11*CM11,CR10*CQ10))</f>
        <v>-9131.8637894710355</v>
      </c>
      <c r="CT11" s="1">
        <f>IF(OR($B11&lt;Analysis!$C$100, $B11&gt;=Analysis!$C$101),0,IF($B11=Analysis!$C$100,PMT(CR11,CN11,CM11)*CN11-CU11-CQ11,IF(($B11-Analysis!$C$100+1)&lt;LOOKUP(Analysis!$C$100,$B:$B,CN:CN),IF(CT10-CS11&lt;0, CT10-CS11,0),0)))</f>
        <v>-107287.56809076548</v>
      </c>
      <c r="CU11" s="1">
        <f>IF(OR($B11&lt;Analysis!$C$100, $B11&gt;=Analysis!$C$101),0,IF($B11=Analysis!$C$100,CP11+CS11,IF(CQ10&lt;0,IF(CQ10&gt;LOOKUP(Analysis!$C$100,$B:$B,CU:CU), CQ10*(1+CR10),CU10),0)))</f>
        <v>-19195.968800000002</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-5849.5661171837091</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23567.529422903688</v>
      </c>
      <c r="DE11" s="1">
        <f t="shared" si="27"/>
        <v>-1616.1121570019916</v>
      </c>
      <c r="DF11" s="64">
        <f>IF(OR($B11&lt;Analysis!$C$100, $B11&gt;=Analysis!$C$101),0,Analysis!$C$118)</f>
        <v>3.0000000000000001E-3</v>
      </c>
      <c r="DG11" s="1">
        <f t="shared" si="28"/>
        <v>-4040.2803925049789</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-1349.3562949426271</v>
      </c>
      <c r="DR11" s="1">
        <f t="shared" si="29"/>
        <v>-19265.748844449598</v>
      </c>
      <c r="DS11" s="1">
        <f>MIN(0,-(DB11+DR11)*Analysis!$C$28)-CS11*Analysis!$C$28</f>
        <v>4046.3288451146154</v>
      </c>
      <c r="DT11" s="1">
        <f>-Analysis!$C$116*DD11/12</f>
        <v>-1963.960785241974</v>
      </c>
      <c r="DU11" s="53"/>
      <c r="DV11" s="1">
        <f t="shared" si="30"/>
        <v>-68684.76667258465</v>
      </c>
      <c r="DW11" s="64">
        <f>IF(OR($B11&lt;Analysis!$C$100, $B11&gt;=Analysis!$C$101),0,IF($B11=Analysis!$C$100,Analysis!$C$31,DW10))</f>
        <v>0.1275</v>
      </c>
      <c r="DX11" s="1">
        <f>IF(OR($B11&lt;Analysis!$C$100, $B11&gt;=Analysis!$C$101),0,CK11+DV11)</f>
        <v>470019.28566141258</v>
      </c>
      <c r="DY11" s="1">
        <f>IF(OR($B11&lt;Analysis!$C$100, $B11&gt;=Analysis!$C$101),0,IF($B11-Analysis!$C$100&gt;3,0,IF(CK11&gt;LOOKUP(Analysis!$C$100,$B:$B, CK:CK),$V11*(LOOKUP(Analysis!$C$100,$B:$B, CK:CK)-CK11),0)))</f>
        <v>0</v>
      </c>
      <c r="DZ11" s="1">
        <f t="shared" si="49"/>
        <v>470019.28566141258</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IF($B11&lt;Analysis!$C$130,0,IF($B11=Analysis!$C$130,Analysis!$B$136,IF(($B11-Analysis!$C$130)&lt;LOOKUP(Analysis!$C$130,$B:$B,EE:EE),EI10,0)))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-116850.53543421974</v>
      </c>
      <c r="FM11" s="1">
        <f>$M11+$R11+DD11+IF(AND($B11&lt;&gt;Analysis!$C$130,$B11=Analysis!$C$101),DZ10+CQ10+CT10+CZ10,0)</f>
        <v>139958.93607613505</v>
      </c>
      <c r="FN11" s="1">
        <f t="shared" si="34"/>
        <v>23108.400641915316</v>
      </c>
      <c r="FO11" s="1">
        <f>IF(FN11 &lt; 0,
    IF(FO10 + FN11 &gt; 0,
        FO10 + FN11, IF(FT10-ABS(FO10 + FN11)*(1+$V11) &gt;= FO10 + FN11,
        0, FO10 + FN11)),
    MIN(FO10 + FN11, Analysis!$C$7))+IF(FO10&lt;0, FO10*Analysis!$C$9,0)</f>
        <v>24000</v>
      </c>
      <c r="FP11" s="53"/>
      <c r="FQ11" s="1">
        <f t="shared" si="51"/>
        <v>6782.5493307002516</v>
      </c>
      <c r="FR11" s="1">
        <f>IF(OR($B11=Analysis!$C$100, $B11=Analysis!$C$130),0,IF(FN11 &gt;= 0,
    MAX(0, FO10 + FN11 - Analysis!$C$7),
    0))</f>
        <v>23108.400641915316</v>
      </c>
      <c r="FS11" s="1">
        <f>IF(OR($B11=Analysis!$C$100, $B11=Analysis!$C$130),0,MAX(0, FS10 + FR11 - IF(FN11 &lt; 0, MIN(ABS(FN11), FS10 + FR11), 0)))</f>
        <v>113467.55221641234</v>
      </c>
      <c r="FT11" s="1">
        <f>IF(OR($B11=Analysis!$C$100, $B11=Analysis!$C$130),0,IF(FN11 &lt; 0,
    IF(FN11 + FO10 &lt; 0,
        MAX(0, FT10 - (ABS(FN11 + FO10) * (1+$V10))),
        FT10 + FQ11),
    FT10 + FR11 + FQ11))</f>
        <v>137545.67658918956</v>
      </c>
      <c r="FU11" s="1">
        <f t="shared" si="35"/>
        <v>131195.07128586958</v>
      </c>
      <c r="FV11" s="36"/>
      <c r="FW11" s="1">
        <f t="shared" si="52"/>
        <v>538704.05233399721</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-10064.105010528967</v>
      </c>
      <c r="GC11" s="1">
        <f>IF($B11&lt;Analysis!$C$159,0,IF($B11=Analysis!$C$159,-FY11-GB11,MIN(0,GC10-GB11)))</f>
        <v>-298444.8067959249</v>
      </c>
      <c r="GD11" s="64">
        <f>IF($B11&lt;Analysis!$C$159,0,IF($B11=Analysis!$C$159,Analysis!$B$160,IF(($B11-Analysis!$C$159)&lt;LOOKUP(Analysis!$C$159,$B:$B,FZ:FZ),GD10,0)))</f>
        <v>2.9600000000000001E-2</v>
      </c>
      <c r="GE11" s="1">
        <f>IF($B11&lt;Analysis!$C$159,0,IF($B11=Analysis!$C$159,-GD11*FY11,GD10*GC10))</f>
        <v>-9131.8637894710355</v>
      </c>
      <c r="GF11" s="1">
        <f>IF($B11&lt;Analysis!$C$159,0,IF($B11=Analysis!$C$159,PMT(GD11,FZ11,FY11)*FZ11-GG11-GC11,IF(($B11-Analysis!$C$159+1)&lt;LOOKUP(Analysis!$C$159,$B:$B,FZ:FZ),IF(GF10-GE11&lt;0, GF10-GE11,0),0)))</f>
        <v>-107287.56809076548</v>
      </c>
      <c r="GG11" s="1">
        <f>IF($B11&lt;Analysis!$C$159,0,IF($B11=Analysis!$C$159,GB11+GE11,IF(GC10&lt;0,IF(GC10&gt;LOOKUP(Analysis!$C$159,$B:$B,GG:GG), GC10*(1+GD10),GG10),0)))</f>
        <v>-19195.968800000002</v>
      </c>
      <c r="GH11" s="1">
        <f>IF($B11=Analysis!$C$159,Analysis!$C$165,0)</f>
        <v>0</v>
      </c>
      <c r="GI11" s="1">
        <f>IF($B11=Analysis!$C$159,PMT(GD11,GJ11,GH11)*GJ11,0)</f>
        <v>0</v>
      </c>
      <c r="GJ11" s="7">
        <f>IF($B11=Analysis!$C$159,Analysis!$C$167,0)</f>
        <v>0</v>
      </c>
      <c r="GK11" s="1">
        <f>IF($B11&lt;Analysis!$C$159,0,IF($B11=Analysis!$C$159,GI11/GJ11,IF(($B11-Analysis!$C$159)&lt;LOOKUP(Analysis!$C$159,$B:$B,GJ:GJ),GK10,0)))</f>
        <v>-5849.5661171837091</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7"/>
        <v>23567.529422903688</v>
      </c>
      <c r="GQ11" s="1">
        <f t="shared" si="36"/>
        <v>-1616.1121570019916</v>
      </c>
      <c r="GR11" s="64">
        <f>IF($B11&lt;Analysis!$C$159,0,Analysis!$C$178)</f>
        <v>3.0000000000000001E-3</v>
      </c>
      <c r="GS11" s="1">
        <f t="shared" si="37"/>
        <v>-4040.2803925049789</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-1349.3562949426271</v>
      </c>
      <c r="HD11" s="1">
        <f t="shared" si="38"/>
        <v>-19265.748844449598</v>
      </c>
      <c r="HE11" s="1">
        <f>MIN(0,-(GN11+HD11)*Analysis!$C$28)-GE11*Analysis!$C$28</f>
        <v>4046.3288451146154</v>
      </c>
      <c r="HF11" s="1">
        <f>-Analysis!$C$176*GP11/12</f>
        <v>-1963.960785241974</v>
      </c>
      <c r="HG11" s="38"/>
      <c r="HH11" s="1">
        <f>IF($B11&lt;Analysis!$C$159,0,-$HI11*$FW11)</f>
        <v>-68684.76667258465</v>
      </c>
      <c r="HI11" s="64">
        <f>IF($B11&lt;Analysis!$C$159,0,IF($B11=Analysis!$C$159,Analysis!$C$31,HI10))</f>
        <v>0.1275</v>
      </c>
      <c r="HJ11" s="1">
        <f>IF($B11&lt;Analysis!$C$159,0,$FW11+HH11)</f>
        <v>470019.28566141258</v>
      </c>
      <c r="HK11" s="1">
        <f>IF($B11-Analysis!$C$159&gt;10,0,IF($FW11&gt;LOOKUP(Analysis!$C$159,$B:$B, FW:FW),$V11*(LOOKUP(Analysis!$C$159,$B:$B, FW:FW)-FW11),0))</f>
        <v>-32626.943803091763</v>
      </c>
      <c r="HL11" s="1">
        <f t="shared" si="39"/>
        <v>437392.34185832081</v>
      </c>
      <c r="HM11" s="38"/>
      <c r="HN11" s="1">
        <f t="shared" si="40"/>
        <v>-116850.53543421974</v>
      </c>
      <c r="HO11" s="1">
        <f t="shared" si="8"/>
        <v>139958.93607613505</v>
      </c>
      <c r="HP11" s="1">
        <f t="shared" si="41"/>
        <v>23108.400641915316</v>
      </c>
      <c r="HQ11" s="1">
        <f>IF(HP11 &lt; 0,
    IF(HQ10 + HP11 &gt; 0,
        HQ10 + HP11, IF(HV10-ABS(HQ10 + HP11)*(1+$V11) &gt;= HQ10 + HP11,
        0, HQ10 + HP11)),
    MIN(HQ10 + HP11, Analysis!$C$7))+IF(HQ10&lt;0, HQ10*Analysis!$C$9,0)</f>
        <v>24000</v>
      </c>
      <c r="HR11" s="38"/>
      <c r="HS11" s="1">
        <f t="shared" si="54"/>
        <v>6782.5493307002516</v>
      </c>
      <c r="HT11" s="1">
        <f>IF($B11=Analysis!$C$159,0,IF(HP11 &gt;= 0,
    MAX(0, HQ10 + HP11 - Analysis!$C$7),
    0))</f>
        <v>23108.400641915316</v>
      </c>
      <c r="HU11" s="1">
        <f>IF($B11=Analysis!$C$159,0,MAX(0, HU10 + HT11 - IF(HP11 &lt; 0, MIN(ABS(HP11), HU10 + HT11), 0)))</f>
        <v>113467.55221641234</v>
      </c>
      <c r="HV11" s="1">
        <f>IF($B11=Analysis!$C$159,0,IF(HP11 &lt; 0,
    IF(HP11 + HQ10 &lt; 0,
        MAX(0, HV10 - (ABS(HP11 + HQ10) * (1+$V10))),
        HV10 + HS11),
    HV10 + HT11 + HS11))</f>
        <v>137545.67658918956</v>
      </c>
      <c r="HW11" s="1">
        <f t="shared" si="42"/>
        <v>131195.07128586958</v>
      </c>
      <c r="HX11" s="36"/>
    </row>
    <row r="12" spans="1:232" x14ac:dyDescent="0.35">
      <c r="A12">
        <f t="shared" si="0"/>
        <v>45</v>
      </c>
      <c r="B12">
        <v>2035</v>
      </c>
      <c r="C12" s="1">
        <f>IF($B12&lt;Analysis!C$66,0,$AN12)+$AT12+$AW12+$BC12+$CF12+$CA12</f>
        <v>139706.04859160935</v>
      </c>
      <c r="D12" s="1">
        <f>IF($B12&lt;Analysis!C$66, 0, BV12)+AT12+AW12+BC12+CG12+CA12</f>
        <v>22148.492592819865</v>
      </c>
      <c r="E12" s="1">
        <f t="shared" si="1"/>
        <v>418995.20299716713</v>
      </c>
      <c r="F12" s="1">
        <f t="shared" si="9"/>
        <v>390506.11223463929</v>
      </c>
      <c r="G12" s="1">
        <f>IF(AND($B12&gt;=Analysis!$C$100, $B12&lt;Analysis!$C$101),$CK12,0)+IF($B12&gt;=Analysis!$C$130,EB12,0)+CQ12+CT12+CZ12+EH12+EK12+EQ12+$FO12+$FT12</f>
        <v>367957.69305286778</v>
      </c>
      <c r="H12" s="1">
        <f t="shared" si="10"/>
        <v>288678.77620915673</v>
      </c>
      <c r="I12" s="1">
        <f>IF($B12&lt;Analysis!$C$159,0,$FW12)+$GC12+$GF12+$GL12+$HQ12+$HV12</f>
        <v>367957.69305286778</v>
      </c>
      <c r="J12" s="1">
        <f t="shared" si="2"/>
        <v>251872.91494126813</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20830.340051015432</v>
      </c>
      <c r="AI12" s="1">
        <f>IF(AE12 &gt;= 0,
    MAX(0, AF11 + AE12 - Analysis!$C$7),
    0)</f>
        <v>34291.398676842495</v>
      </c>
      <c r="AJ12" s="1">
        <f t="shared" si="44"/>
        <v>286979.69299706153</v>
      </c>
      <c r="AK12" s="1">
        <f t="shared" si="20"/>
        <v>394995.20299716713</v>
      </c>
      <c r="AL12" s="1">
        <f t="shared" si="5"/>
        <v>366506.11223463929</v>
      </c>
      <c r="AM12" s="36"/>
      <c r="AN12" s="1">
        <f t="shared" si="45"/>
        <v>922020.04704932938</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-18576.77352368251</v>
      </c>
      <c r="AT12" s="1">
        <f>IF($B12&lt;Analysis!$C$66,0,IF($B12=Analysis!$C$66,-AP12-AS12,MIN(0,AT11-AS12)))</f>
        <v>-516468.60743298964</v>
      </c>
      <c r="AU12" s="64">
        <f>IF($B12&lt;Analysis!$C$66,0,IF($B12=Analysis!$C$66,Analysis!$C$72,IF(($B12-Analysis!$C$66)&lt;LOOKUP(Analysis!$C$66,$B:$B,AQ:AQ),AU11,0)))</f>
        <v>2.9600000000000001E-2</v>
      </c>
      <c r="AV12" s="1">
        <f>IF($B12&lt;Analysis!$C$66,0,IF($B12=Analysis!$C$66,-AU12*AP12,AU11*AT11))</f>
        <v>-15837.343276317495</v>
      </c>
      <c r="AW12" s="1">
        <f>IF($B12&lt;Analysis!$C$66,0,IF($B12=Analysis!$C$66,PMT(AU12,AQ12,AP12)*AQ12-AX12-AT12,IF(($B12-Analysis!$C$66+1)&lt;LOOKUP(Analysis!$C$66,$B:$B,AQ:AQ),IF(AW11-AV12&lt;0, AW11-AV12,0),0)))</f>
        <v>-176505.48338339027</v>
      </c>
      <c r="AX12" s="1">
        <f>IF($B12&lt;Analysis!$C$66,0,IF($B12=Analysis!$C$66,AS12+AV12,IF(AT11&lt;0,IF(AT11&gt;LOOKUP(Analysis!$C$66,$B:$B,AX:AX), AT11*(1+AU11),AX11),0)))</f>
        <v>-34414.116800000003</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-2766.0601411479884</v>
      </c>
      <c r="BF12" s="64">
        <f>IF($B12&lt;Analysis!$C$66,0,Analysis!$C$78)</f>
        <v>3.0000000000000001E-3</v>
      </c>
      <c r="BG12" s="1">
        <f>IF($B12&lt;Analysis!$C$66,0,-BH12*AN12)</f>
        <v>-6915.1503528699704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-117557.5559987895</v>
      </c>
      <c r="BS12" s="64">
        <f>IF($B12&lt;Analysis!C$66,0,Analysis!C$31)</f>
        <v>0.1275</v>
      </c>
      <c r="BT12" s="1">
        <f>IF($B12&lt;Analysis!$C$66,0,AN12+BR12)</f>
        <v>804462.49105053989</v>
      </c>
      <c r="BU12" s="1">
        <f>IF($B12-Analysis!$C$66&gt;3,0,IF($AN12&gt;LOOKUP(Analysis!$C$66,$B:$B, AN:AN),$V12*(LOOKUP(Analysis!$C$66,$B:$B, AN:AN)-AN12),0))</f>
        <v>0</v>
      </c>
      <c r="BV12" s="1">
        <f t="shared" si="23"/>
        <v>804462.49105053989</v>
      </c>
      <c r="BW12" s="42"/>
      <c r="BX12" s="1">
        <f>IF($B12&lt;Analysis!$C$66,$P12+$N12+$X12+$Z12,$P12+$N12+AS12+AV12+BB12+BE12+BG12+MAX(BI12,SUM(BJ12:BN12))+BP12)</f>
        <v>-106455.32729401796</v>
      </c>
      <c r="BY12" s="1">
        <f t="shared" si="24"/>
        <v>117817.77193084449</v>
      </c>
      <c r="BZ12" s="1">
        <f t="shared" si="46"/>
        <v>11362.444636826534</v>
      </c>
      <c r="CA12" s="1">
        <f>IF(BZ12 &lt; 0,
    IF(CA11 + BZ12 &gt; 0,
        CA11 + BZ12, IF(CF11-ABS(CA11 + BZ12)*(1+$V12) &gt;= CA11 + BZ12,
        0, CA11 + BZ12)),
    MIN(CA11 + BZ12, Analysis!$C$7))+IF(CA11&lt;0, CA11*Analysis!$C$9,0)</f>
        <v>-89339.90764134012</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26"/>
        <v>554548.28916735016</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-10362.002518840625</v>
      </c>
      <c r="CQ12" s="1">
        <f>IF(OR($B12&lt;Analysis!$C$100, $B12&gt;=Analysis!$C$101),0,IF($B12=Analysis!$C$100,-CM12-CP12,MIN(0,CQ11-CP12)))</f>
        <v>-288082.8042770843</v>
      </c>
      <c r="CR12" s="64">
        <f>IF(OR($B12&lt;Analysis!$C$100, $B12&gt;=Analysis!$C$101),0,IF($B12=Analysis!$C$100,Analysis!$C$102,IF(($B12-Analysis!$C$100)&lt;LOOKUP(Analysis!$C$100,$B:$B,CN:CN),CR11,0)))</f>
        <v>2.9600000000000001E-2</v>
      </c>
      <c r="CS12" s="1">
        <f>IF(OR($B12&lt;Analysis!$C$100, $B12&gt;=Analysis!$C$101),0,IF($B12=Analysis!$C$100,-CR12*CM12,CR11*CQ11))</f>
        <v>-8833.9662811593771</v>
      </c>
      <c r="CT12" s="1">
        <f>IF(OR($B12&lt;Analysis!$C$100, $B12&gt;=Analysis!$C$101),0,IF($B12=Analysis!$C$100,PMT(CR12,CN12,CM12)*CN12-CU12-CQ12,IF(($B12-Analysis!$C$100+1)&lt;LOOKUP(Analysis!$C$100,$B:$B,CN:CN),IF(CT11-CS12&lt;0, CT11-CS12,0),0)))</f>
        <v>-98453.601809606102</v>
      </c>
      <c r="CU12" s="1">
        <f>IF(OR($B12&lt;Analysis!$C$100, $B12&gt;=Analysis!$C$101),0,IF($B12=Analysis!$C$100,CP12+CS12,IF(CQ11&lt;0,IF(CQ11&gt;LOOKUP(Analysis!$C$100,$B:$B,CU:CU), CQ11*(1+CR11),CU11),0)))</f>
        <v>-19195.968800000002</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24144.221464753799</v>
      </c>
      <c r="DE12" s="1">
        <f t="shared" si="27"/>
        <v>-1663.6448675020506</v>
      </c>
      <c r="DF12" s="64">
        <f>IF(OR($B12&lt;Analysis!$C$100, $B12&gt;=Analysis!$C$101),0,Analysis!$C$118)</f>
        <v>3.0000000000000001E-3</v>
      </c>
      <c r="DG12" s="1">
        <f t="shared" si="28"/>
        <v>-4159.1121687551258</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-1389.0432447938811</v>
      </c>
      <c r="DR12" s="1">
        <f t="shared" si="29"/>
        <v>-19471.800281051059</v>
      </c>
      <c r="DS12" s="1">
        <f>MIN(0,-(DB12+DR12)*Analysis!$C$28)-CS12*Analysis!$C$28</f>
        <v>3914.3304591817196</v>
      </c>
      <c r="DT12" s="1">
        <f>-Analysis!$C$116*DD12/12</f>
        <v>-2012.0184553961499</v>
      </c>
      <c r="DU12" s="53"/>
      <c r="DV12" s="1">
        <f t="shared" si="30"/>
        <v>-70704.906868837148</v>
      </c>
      <c r="DW12" s="64">
        <f>IF(OR($B12&lt;Analysis!$C$100, $B12&gt;=Analysis!$C$101),0,IF($B12=Analysis!$C$100,Analysis!$C$31,DW11))</f>
        <v>0.1275</v>
      </c>
      <c r="DX12" s="1">
        <f>IF(OR($B12&lt;Analysis!$C$100, $B12&gt;=Analysis!$C$101),0,CK12+DV12)</f>
        <v>483843.38229851302</v>
      </c>
      <c r="DY12" s="1">
        <f>IF(OR($B12&lt;Analysis!$C$100, $B12&gt;=Analysis!$C$101),0,IF($B12-Analysis!$C$100&gt;3,0,IF(CK12&gt;LOOKUP(Analysis!$C$100,$B:$B, CK:CK),$V12*(LOOKUP(Analysis!$C$100,$B:$B, CK:CK)-CK12),0)))</f>
        <v>0</v>
      </c>
      <c r="DZ12" s="1">
        <f t="shared" si="49"/>
        <v>483843.38229851302</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IF($B12&lt;Analysis!$C$130,0,IF($B12=Analysis!$C$130,Analysis!$B$136,IF(($B12-Analysis!$C$130)&lt;LOOKUP(Analysis!$C$130,$B:$B,EE:EE),EI11,0)))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-111991.83033126748</v>
      </c>
      <c r="FM12" s="1">
        <f>$M12+$R12+DD12+IF(AND($B12&lt;&gt;Analysis!$C$130,$B12=Analysis!$C$101),DZ11+CQ11+CT11+CZ11,0)</f>
        <v>141961.99339559829</v>
      </c>
      <c r="FN12" s="1">
        <f t="shared" si="34"/>
        <v>29970.163064330802</v>
      </c>
      <c r="FO12" s="1">
        <f>IF(FN12 &lt; 0,
    IF(FO11 + FN12 &gt; 0,
        FO11 + FN12, IF(FT11-ABS(FO11 + FN12)*(1+$V12) &gt;= FO11 + FN12,
        0, FO11 + FN12)),
    MIN(FO11 + FN12, Analysis!$C$7))+IF(FO11&lt;0, FO11*Analysis!$C$9,0)</f>
        <v>24000</v>
      </c>
      <c r="FP12" s="53"/>
      <c r="FQ12" s="1">
        <f t="shared" si="51"/>
        <v>8429.9703186876122</v>
      </c>
      <c r="FR12" s="1">
        <f>IF(OR($B12=Analysis!$C$100, $B12=Analysis!$C$130),0,IF(FN12 &gt;= 0,
    MAX(0, FO11 + FN12 - Analysis!$C$7),
    0))</f>
        <v>29970.163064330802</v>
      </c>
      <c r="FS12" s="1">
        <f>IF(OR($B12=Analysis!$C$100, $B12=Analysis!$C$130),0,MAX(0, FS11 + FR12 - IF(FN12 &lt; 0, MIN(ABS(FN12), FS11 + FR12), 0)))</f>
        <v>143437.71528074314</v>
      </c>
      <c r="FT12" s="1">
        <f>IF(OR($B12=Analysis!$C$100, $B12=Analysis!$C$130),0,IF(FN12 &lt; 0,
    IF(FN12 + FO11 &lt; 0,
        MAX(0, FT11 - (ABS(FN12 + FO11) * (1+$V11))),
        FT11 + FQ12),
    FT11 + FR12 + FQ12))</f>
        <v>175945.80997220799</v>
      </c>
      <c r="FU12" s="1">
        <f>IF(FT12-FS12&gt;0, FT12-$V12*(FT12-FS12),FT12)</f>
        <v>167371.79999733414</v>
      </c>
      <c r="FV12" s="36"/>
      <c r="FW12" s="1">
        <f t="shared" si="52"/>
        <v>554548.28916735016</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-10362.002518840625</v>
      </c>
      <c r="GC12" s="1">
        <f>IF($B12&lt;Analysis!$C$159,0,IF($B12=Analysis!$C$159,-FY12-GB12,MIN(0,GC11-GB12)))</f>
        <v>-288082.8042770843</v>
      </c>
      <c r="GD12" s="64">
        <f>IF($B12&lt;Analysis!$C$159,0,IF($B12=Analysis!$C$159,Analysis!$B$160,IF(($B12-Analysis!$C$159)&lt;LOOKUP(Analysis!$C$159,$B:$B,FZ:FZ),GD11,0)))</f>
        <v>2.9600000000000001E-2</v>
      </c>
      <c r="GE12" s="1">
        <f>IF($B12&lt;Analysis!$C$159,0,IF($B12=Analysis!$C$159,-GD12*FY12,GD11*GC11))</f>
        <v>-8833.9662811593771</v>
      </c>
      <c r="GF12" s="1">
        <f>IF($B12&lt;Analysis!$C$159,0,IF($B12=Analysis!$C$159,PMT(GD12,FZ12,FY12)*FZ12-GG12-GC12,IF(($B12-Analysis!$C$159+1)&lt;LOOKUP(Analysis!$C$159,$B:$B,FZ:FZ),IF(GF11-GE12&lt;0, GF11-GE12,0),0)))</f>
        <v>-98453.601809606102</v>
      </c>
      <c r="GG12" s="1">
        <f>IF($B12&lt;Analysis!$C$159,0,IF($B12=Analysis!$C$159,GB12+GE12,IF(GC11&lt;0,IF(GC11&gt;LOOKUP(Analysis!$C$159,$B:$B,GG:GG), GC11*(1+GD11),GG11),0)))</f>
        <v>-19195.968800000002</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24144.221464753799</v>
      </c>
      <c r="GQ12" s="1">
        <f t="shared" si="36"/>
        <v>-1663.6448675020506</v>
      </c>
      <c r="GR12" s="64">
        <f>IF($B12&lt;Analysis!$C$159,0,Analysis!$C$178)</f>
        <v>3.0000000000000001E-3</v>
      </c>
      <c r="GS12" s="1">
        <f t="shared" si="37"/>
        <v>-4159.1121687551258</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-1389.0432447938811</v>
      </c>
      <c r="HD12" s="1">
        <f t="shared" si="38"/>
        <v>-19471.800281051059</v>
      </c>
      <c r="HE12" s="1">
        <f>MIN(0,-(GN12+HD12)*Analysis!$C$28)-GE12*Analysis!$C$28</f>
        <v>3914.3304591817196</v>
      </c>
      <c r="HF12" s="1">
        <f>-Analysis!$C$176*GP12/12</f>
        <v>-2012.0184553961499</v>
      </c>
      <c r="HG12" s="38"/>
      <c r="HH12" s="1">
        <f>IF($B12&lt;Analysis!$C$159,0,-$HI12*$FW12)</f>
        <v>-70704.906868837148</v>
      </c>
      <c r="HI12" s="64">
        <f>IF($B12&lt;Analysis!$C$159,0,IF($B12=Analysis!$C$159,Analysis!$C$31,HI11))</f>
        <v>0.1275</v>
      </c>
      <c r="HJ12" s="1">
        <f>IF($B12&lt;Analysis!$C$159,0,$FW12+HH12)</f>
        <v>483843.38229851302</v>
      </c>
      <c r="HK12" s="1">
        <f>IF($B12-Analysis!$C$159&gt;10,0,IF($FW12&gt;LOOKUP(Analysis!$C$159,$B:$B, FW:FW),$V12*(LOOKUP(Analysis!$C$159,$B:$B, FW:FW)-FW12),0))</f>
        <v>-36805.861267888606</v>
      </c>
      <c r="HL12" s="1">
        <f t="shared" si="39"/>
        <v>447037.5210306244</v>
      </c>
      <c r="HM12" s="38"/>
      <c r="HN12" s="1">
        <f t="shared" si="40"/>
        <v>-111991.83033126748</v>
      </c>
      <c r="HO12" s="1">
        <f t="shared" si="8"/>
        <v>141961.99339559829</v>
      </c>
      <c r="HP12" s="1">
        <f t="shared" si="41"/>
        <v>29970.163064330802</v>
      </c>
      <c r="HQ12" s="1">
        <f>IF(HP12 &lt; 0,
    IF(HQ11 + HP12 &gt; 0,
        HQ11 + HP12, IF(HV11-ABS(HQ11 + HP12)*(1+$V12) &gt;= HQ11 + HP12,
        0, HQ11 + HP12)),
    MIN(HQ11 + HP12, Analysis!$C$7))+IF(HQ11&lt;0, HQ11*Analysis!$C$9,0)</f>
        <v>24000</v>
      </c>
      <c r="HR12" s="38"/>
      <c r="HS12" s="1">
        <f t="shared" si="54"/>
        <v>8429.9703186876122</v>
      </c>
      <c r="HT12" s="1">
        <f>IF($B12=Analysis!$C$159,0,IF(HP12 &gt;= 0,
    MAX(0, HQ11 + HP12 - Analysis!$C$7),
    0))</f>
        <v>29970.163064330802</v>
      </c>
      <c r="HU12" s="1">
        <f>IF($B12=Analysis!$C$159,0,MAX(0, HU11 + HT12 - IF(HP12 &lt; 0, MIN(ABS(HP12), HU11 + HT12), 0)))</f>
        <v>143437.71528074314</v>
      </c>
      <c r="HV12" s="1">
        <f>IF($B12=Analysis!$C$159,0,IF(HP12 &lt; 0,
    IF(HP12 + HQ11 &lt; 0,
        MAX(0, HV11 - (ABS(HP12 + HQ11) * (1+$V11))),
        HV11 + HS12),
    HV11 + HT12 + HS12))</f>
        <v>175945.80997220799</v>
      </c>
      <c r="HW12" s="1">
        <f>IF(HV12-HU12&gt;0, HV12-$V12*(HV12-HU12),HV12)</f>
        <v>167371.79999733414</v>
      </c>
      <c r="HX12" s="36"/>
    </row>
    <row r="13" spans="1:232" x14ac:dyDescent="0.35">
      <c r="A13">
        <f t="shared" si="0"/>
        <v>46</v>
      </c>
      <c r="B13">
        <v>2036</v>
      </c>
      <c r="C13" s="1">
        <f>IF($B13&lt;Analysis!C$66,0,$AN13)+$AT13+$AW13+$BC13+$CF13+$CA13</f>
        <v>202862.75785418265</v>
      </c>
      <c r="D13" s="1">
        <f>IF($B13&lt;Analysis!C$66, 0, BV13)+AT13+AW13+BC13+CG13+CA13</f>
        <v>81847.626678958128</v>
      </c>
      <c r="E13" s="1">
        <f t="shared" si="1"/>
        <v>473889.44147897937</v>
      </c>
      <c r="F13" s="1">
        <f t="shared" si="9"/>
        <v>439193.90837324585</v>
      </c>
      <c r="G13" s="1">
        <f>IF(AND($B13&gt;=Analysis!$C$100, $B13&lt;Analysis!$C$101),$CK13,0)+IF($B13&gt;=Analysis!$C$130,EB13,0)+CQ13+CT13+CZ13+EH13+EK13+EQ13+$FO13+$FT13</f>
        <v>441183.37479759601</v>
      </c>
      <c r="H13" s="1">
        <f t="shared" si="10"/>
        <v>357060.31759902718</v>
      </c>
      <c r="I13" s="1">
        <f>IF($B13&lt;Analysis!$C$159,0,$FW13)+$GC13+$GF13+$GL13+$HQ13+$HV13</f>
        <v>441183.37479759601</v>
      </c>
      <c r="J13" s="1">
        <f t="shared" si="2"/>
        <v>357060.31759902718</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23531.534950542798</v>
      </c>
      <c r="AI13" s="1">
        <f>IF(AE13 &gt;= 0,
    MAX(0, AF12 + AE13 - Analysis!$C$7),
    0)</f>
        <v>31362.70353126945</v>
      </c>
      <c r="AJ13" s="1">
        <f t="shared" si="44"/>
        <v>318342.39652833098</v>
      </c>
      <c r="AK13" s="1">
        <f t="shared" si="20"/>
        <v>449889.44147897937</v>
      </c>
      <c r="AL13" s="1">
        <f t="shared" si="5"/>
        <v>415193.90837324585</v>
      </c>
      <c r="AM13" s="36"/>
      <c r="AN13" s="1">
        <f t="shared" si="45"/>
        <v>949138.28372725099</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-19126.646019983509</v>
      </c>
      <c r="AT13" s="1">
        <f>IF($B13&lt;Analysis!$C$66,0,IF($B13=Analysis!$C$66,-AP13-AS13,MIN(0,AT12-AS13)))</f>
        <v>-497341.96141300612</v>
      </c>
      <c r="AU13" s="64">
        <f>IF($B13&lt;Analysis!$C$66,0,IF($B13=Analysis!$C$66,Analysis!$C$72,IF(($B13-Analysis!$C$66)&lt;LOOKUP(Analysis!$C$66,$B:$B,AQ:AQ),AU12,0)))</f>
        <v>2.9600000000000001E-2</v>
      </c>
      <c r="AV13" s="1">
        <f>IF($B13&lt;Analysis!$C$66,0,IF($B13=Analysis!$C$66,-AU13*AP13,AU12*AT12))</f>
        <v>-15287.470780016494</v>
      </c>
      <c r="AW13" s="1">
        <f>IF($B13&lt;Analysis!$C$66,0,IF($B13=Analysis!$C$66,PMT(AU13,AQ13,AP13)*AQ13-AX13-AT13,IF(($B13-Analysis!$C$66+1)&lt;LOOKUP(Analysis!$C$66,$B:$B,AQ:AQ),IF(AW12-AV13&lt;0, AW12-AV13,0),0)))</f>
        <v>-161218.01260337376</v>
      </c>
      <c r="AX13" s="1">
        <f>IF($B13&lt;Analysis!$C$66,0,IF($B13=Analysis!$C$66,AS13+AV13,IF(AT12&lt;0,IF(AT12&gt;LOOKUP(Analysis!$C$66,$B:$B,AX:AX), AT12*(1+AU12),AX12),0)))</f>
        <v>-34414.116800000003</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-2847.414851181753</v>
      </c>
      <c r="BF13" s="64">
        <f>IF($B13&lt;Analysis!$C$66,0,Analysis!$C$78)</f>
        <v>3.0000000000000001E-3</v>
      </c>
      <c r="BG13" s="1">
        <f>IF($B13&lt;Analysis!$C$66,0,-BH13*AN13)</f>
        <v>-7118.5371279543824</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-121015.13117522451</v>
      </c>
      <c r="BS13" s="64">
        <f>IF($B13&lt;Analysis!C$66,0,Analysis!C$31)</f>
        <v>0.1275</v>
      </c>
      <c r="BT13" s="1">
        <f>IF($B13&lt;Analysis!$C$66,0,AN13+BR13)</f>
        <v>828123.15255202644</v>
      </c>
      <c r="BU13" s="1">
        <f>IF($B13-Analysis!$C$66&gt;3,0,IF($AN13&gt;LOOKUP(Analysis!$C$66,$B:$B, AN:AN),$V13*(LOOKUP(Analysis!$C$66,$B:$B, AN:AN)-AN13),0))</f>
        <v>0</v>
      </c>
      <c r="BV13" s="1">
        <f t="shared" si="23"/>
        <v>828123.15255202644</v>
      </c>
      <c r="BW13" s="42"/>
      <c r="BX13" s="1">
        <f>IF($B13&lt;Analysis!$C$66,$P13+$N13+$X13+$Z13,$P13+$N13+AS13+AV13+BB13+BE13+BG13+MAX(BI13,SUM(BJ13:BN13))+BP13)</f>
        <v>-110490.06877913613</v>
      </c>
      <c r="BY13" s="1">
        <f t="shared" si="24"/>
        <v>119261.61717509503</v>
      </c>
      <c r="BZ13" s="1">
        <f t="shared" si="46"/>
        <v>8771.5483959589037</v>
      </c>
      <c r="CA13" s="1">
        <f>IF(BZ13 &lt; 0,
    IF(CA12 + BZ13 &gt; 0,
        CA12 + BZ13, IF(CF12-ABS(CA12 + BZ13)*(1+$V13) &gt;= CA12 + BZ13,
        0, CA12 + BZ13)),
    MIN(CA12 + BZ13, Analysis!$C$7))+IF(CA12&lt;0, CA12*Analysis!$C$9,0)</f>
        <v>-87715.551856688428</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-21788.913643825585</v>
      </c>
      <c r="CJ13" s="1">
        <f>IF(OR($B13&lt;Analysis!$C$100, $B13&gt;=Analysis!$C$130),0,Z13)</f>
        <v>-3960</v>
      </c>
      <c r="CK13" s="1">
        <f t="shared" si="26"/>
        <v>570858.5329663899</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-10668.717793398308</v>
      </c>
      <c r="CQ13" s="1">
        <f>IF(OR($B13&lt;Analysis!$C$100, $B13&gt;=Analysis!$C$101),0,IF($B13=Analysis!$C$100,-CM13-CP13,MIN(0,CQ12-CP13)))</f>
        <v>-277414.086483686</v>
      </c>
      <c r="CR13" s="64">
        <f>IF(OR($B13&lt;Analysis!$C$100, $B13&gt;=Analysis!$C$101),0,IF($B13=Analysis!$C$100,Analysis!$C$102,IF(($B13-Analysis!$C$100)&lt;LOOKUP(Analysis!$C$100,$B:$B,CN:CN),CR12,0)))</f>
        <v>2.9600000000000001E-2</v>
      </c>
      <c r="CS13" s="1">
        <f>IF(OR($B13&lt;Analysis!$C$100, $B13&gt;=Analysis!$C$101),0,IF($B13=Analysis!$C$100,-CR13*CM13,CR12*CQ12))</f>
        <v>-8527.2510066016948</v>
      </c>
      <c r="CT13" s="1">
        <f>IF(OR($B13&lt;Analysis!$C$100, $B13&gt;=Analysis!$C$101),0,IF($B13=Analysis!$C$100,PMT(CR13,CN13,CM13)*CN13-CU13-CQ13,IF(($B13-Analysis!$C$100+1)&lt;LOOKUP(Analysis!$C$100,$B:$B,CN:CN),IF(CT12-CS13&lt;0, CT12-CS13,0),0)))</f>
        <v>-89926.350803004403</v>
      </c>
      <c r="CU13" s="1">
        <f>IF(OR($B13&lt;Analysis!$C$100, $B13&gt;=Analysis!$C$101),0,IF($B13=Analysis!$C$100,CP13+CS13,IF(CQ12&lt;0,IF(CQ12&gt;LOOKUP(Analysis!$C$100,$B:$B,CU:CU), CQ12*(1+CR12),CU12),0)))</f>
        <v>-19195.968800000002</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24737.875037246558</v>
      </c>
      <c r="DE13" s="1">
        <f t="shared" si="27"/>
        <v>-1712.5755988991698</v>
      </c>
      <c r="DF13" s="64">
        <f>IF(OR($B13&lt;Analysis!$C$100, $B13&gt;=Analysis!$C$101),0,Analysis!$C$118)</f>
        <v>3.0000000000000001E-3</v>
      </c>
      <c r="DG13" s="1">
        <f t="shared" si="28"/>
        <v>-4281.4389972479239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-1429.8974578760542</v>
      </c>
      <c r="DR13" s="1">
        <f t="shared" si="29"/>
        <v>-19683.912054023145</v>
      </c>
      <c r="DS13" s="1">
        <f>MIN(0,-(DB13+DR13)*Analysis!$C$28)-CS13*Analysis!$C$28</f>
        <v>3778.4249210252106</v>
      </c>
      <c r="DT13" s="1">
        <f>-Analysis!$C$116*DD13/12</f>
        <v>-2061.4895864372133</v>
      </c>
      <c r="DU13" s="53"/>
      <c r="DV13" s="1">
        <f t="shared" si="30"/>
        <v>-72784.462953214708</v>
      </c>
      <c r="DW13" s="64">
        <f>IF(OR($B13&lt;Analysis!$C$100, $B13&gt;=Analysis!$C$101),0,IF($B13=Analysis!$C$100,Analysis!$C$31,DW12))</f>
        <v>0.1275</v>
      </c>
      <c r="DX13" s="1">
        <f>IF(OR($B13&lt;Analysis!$C$100, $B13&gt;=Analysis!$C$101),0,CK13+DV13)</f>
        <v>498074.07001317519</v>
      </c>
      <c r="DY13" s="1">
        <f>IF(OR($B13&lt;Analysis!$C$100, $B13&gt;=Analysis!$C$101),0,IF($B13-Analysis!$C$100&gt;3,0,IF(CK13&gt;LOOKUP(Analysis!$C$100,$B:$B, CK:CK),$V13*(LOOKUP(Analysis!$C$100,$B:$B, CK:CK)-CK13),0)))</f>
        <v>0</v>
      </c>
      <c r="DZ13" s="1">
        <f t="shared" si="49"/>
        <v>498074.07001317519</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IF($B13&lt;Analysis!$C$130,0,IF($B13=Analysis!$C$130,Analysis!$B$136,IF(($B13-Analysis!$C$130)&lt;LOOKUP(Analysis!$C$130,$B:$B,EE:EE),EI12,0)))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-116761.85916326073</v>
      </c>
      <c r="FM13" s="1">
        <f>$M13+$R13+DD13+IF(AND($B13&lt;&gt;Analysis!$C$130,$B13=Analysis!$C$101),DZ12+CQ12+CT12+CZ12,0)</f>
        <v>143999.49221234157</v>
      </c>
      <c r="FN13" s="1">
        <f t="shared" si="34"/>
        <v>27237.633049080847</v>
      </c>
      <c r="FO13" s="1">
        <f>IF(FN13 &lt; 0,
    IF(FO12 + FN13 &gt; 0,
        FO12 + FN13, IF(FT12-ABS(FO12 + FN13)*(1+$V13) &gt;= FO12 + FN13,
        0, FO12 + FN13)),
    MIN(FO12 + FN13, Analysis!$C$7))+IF(FO12&lt;0, FO12*Analysis!$C$9,0)</f>
        <v>24000</v>
      </c>
      <c r="FP13" s="53"/>
      <c r="FQ13" s="1">
        <f t="shared" si="51"/>
        <v>10481.836096607653</v>
      </c>
      <c r="FR13" s="1">
        <f>IF(OR($B13=Analysis!$C$100, $B13=Analysis!$C$130),0,IF(FN13 &gt;= 0,
    MAX(0, FO12 + FN13 - Analysis!$C$7),
    0))</f>
        <v>27237.633049080847</v>
      </c>
      <c r="FS13" s="1">
        <f>IF(OR($B13=Analysis!$C$100, $B13=Analysis!$C$130),0,MAX(0, FS12 + FR13 - IF(FN13 &lt; 0, MIN(ABS(FN13), FS12 + FR13), 0)))</f>
        <v>170675.34832982399</v>
      </c>
      <c r="FT13" s="1">
        <f>IF(OR($B13=Analysis!$C$100, $B13=Analysis!$C$130),0,IF(FN13 &lt; 0,
    IF(FN13 + FO12 &lt; 0,
        MAX(0, FT12 - (ABS(FN13 + FO12) * (1+$V12))),
        FT12 + FQ13),
    FT12 + FR13 + FQ13))</f>
        <v>213665.27911789648</v>
      </c>
      <c r="FU13" s="1">
        <f t="shared" ref="FU13:FU16" si="55">IF(FT13-FS13&gt;0, FT13-$V13*(FT13-FS13),FT13)</f>
        <v>202326.68487254236</v>
      </c>
      <c r="FV13" s="36"/>
      <c r="FW13" s="1">
        <f t="shared" si="52"/>
        <v>570858.5329663899</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-10668.717793398308</v>
      </c>
      <c r="GC13" s="1">
        <f>IF($B13&lt;Analysis!$C$159,0,IF($B13=Analysis!$C$159,-FY13-GB13,MIN(0,GC12-GB13)))</f>
        <v>-277414.086483686</v>
      </c>
      <c r="GD13" s="64">
        <f>IF($B13&lt;Analysis!$C$159,0,IF($B13=Analysis!$C$159,Analysis!$B$160,IF(($B13-Analysis!$C$159)&lt;LOOKUP(Analysis!$C$159,$B:$B,FZ:FZ),GD12,0)))</f>
        <v>2.9600000000000001E-2</v>
      </c>
      <c r="GE13" s="1">
        <f>IF($B13&lt;Analysis!$C$159,0,IF($B13=Analysis!$C$159,-GD13*FY13,GD12*GC12))</f>
        <v>-8527.2510066016948</v>
      </c>
      <c r="GF13" s="1">
        <f>IF($B13&lt;Analysis!$C$159,0,IF($B13=Analysis!$C$159,PMT(GD13,FZ13,FY13)*FZ13-GG13-GC13,IF(($B13-Analysis!$C$159+1)&lt;LOOKUP(Analysis!$C$159,$B:$B,FZ:FZ),IF(GF12-GE13&lt;0, GF12-GE13,0),0)))</f>
        <v>-89926.350803004403</v>
      </c>
      <c r="GG13" s="1">
        <f>IF($B13&lt;Analysis!$C$159,0,IF($B13=Analysis!$C$159,GB13+GE13,IF(GC12&lt;0,IF(GC12&gt;LOOKUP(Analysis!$C$159,$B:$B,GG:GG), GC12*(1+GD12),GG12),0)))</f>
        <v>-19195.968800000002</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24737.875037246558</v>
      </c>
      <c r="GQ13" s="1">
        <f t="shared" si="36"/>
        <v>-1712.5755988991698</v>
      </c>
      <c r="GR13" s="64">
        <f>IF($B13&lt;Analysis!$C$159,0,Analysis!$C$178)</f>
        <v>3.0000000000000001E-3</v>
      </c>
      <c r="GS13" s="1">
        <f t="shared" si="37"/>
        <v>-4281.4389972479239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-1429.8974578760542</v>
      </c>
      <c r="HD13" s="1">
        <f t="shared" si="38"/>
        <v>-19683.912054023145</v>
      </c>
      <c r="HE13" s="1">
        <f>MIN(0,-(GN13+HD13)*Analysis!$C$28)-GE13*Analysis!$C$28</f>
        <v>3778.4249210252106</v>
      </c>
      <c r="HF13" s="1">
        <f>-Analysis!$C$176*GP13/12</f>
        <v>-2061.4895864372133</v>
      </c>
      <c r="HG13" s="38"/>
      <c r="HH13" s="1">
        <f>IF($B13&lt;Analysis!$C$159,0,-$HI13*$FW13)</f>
        <v>-72784.462953214708</v>
      </c>
      <c r="HI13" s="64">
        <f>IF($B13&lt;Analysis!$C$159,0,IF($B13=Analysis!$C$159,Analysis!$C$31,HI12))</f>
        <v>0.1275</v>
      </c>
      <c r="HJ13" s="1">
        <f>IF($B13&lt;Analysis!$C$159,0,$FW13+HH13)</f>
        <v>498074.07001317519</v>
      </c>
      <c r="HK13" s="1">
        <f>IF($B13-Analysis!$C$159&gt;10,0,IF($FW13&gt;LOOKUP(Analysis!$C$159,$B:$B, FW:FW),$V13*(LOOKUP(Analysis!$C$159,$B:$B, FW:FW)-FW13),0))</f>
        <v>0</v>
      </c>
      <c r="HL13" s="1">
        <f t="shared" si="39"/>
        <v>498074.07001317519</v>
      </c>
      <c r="HM13" s="38"/>
      <c r="HN13" s="1">
        <f t="shared" si="40"/>
        <v>-116761.85916326073</v>
      </c>
      <c r="HO13" s="1">
        <f t="shared" si="8"/>
        <v>143999.49221234157</v>
      </c>
      <c r="HP13" s="1">
        <f t="shared" si="41"/>
        <v>27237.633049080847</v>
      </c>
      <c r="HQ13" s="1">
        <f>IF(HP13 &lt; 0,
    IF(HQ12 + HP13 &gt; 0,
        HQ12 + HP13, IF(HV12-ABS(HQ12 + HP13)*(1+$V13) &gt;= HQ12 + HP13,
        0, HQ12 + HP13)),
    MIN(HQ12 + HP13, Analysis!$C$7))+IF(HQ12&lt;0, HQ12*Analysis!$C$9,0)</f>
        <v>24000</v>
      </c>
      <c r="HR13" s="38"/>
      <c r="HS13" s="1">
        <f t="shared" si="54"/>
        <v>10481.836096607653</v>
      </c>
      <c r="HT13" s="1">
        <f>IF($B13=Analysis!$C$159,0,IF(HP13 &gt;= 0,
    MAX(0, HQ12 + HP13 - Analysis!$C$7),
    0))</f>
        <v>27237.633049080847</v>
      </c>
      <c r="HU13" s="1">
        <f>IF($B13=Analysis!$C$159,0,MAX(0, HU12 + HT13 - IF(HP13 &lt; 0, MIN(ABS(HP13), HU12 + HT13), 0)))</f>
        <v>170675.34832982399</v>
      </c>
      <c r="HV13" s="1">
        <f>IF($B13=Analysis!$C$159,0,IF(HP13 &lt; 0,
    IF(HP13 + HQ12 &lt; 0,
        MAX(0, HV12 - (ABS(HP13 + HQ12) * (1+$V12))),
        HV12 + HS13),
    HV12 + HT13 + HS13))</f>
        <v>213665.27911789648</v>
      </c>
      <c r="HW13" s="1">
        <f t="shared" ref="HW13:HW16" si="56">IF(HV13-HU13&gt;0, HV13-$V13*(HV13-HU13),HV13)</f>
        <v>202326.68487254236</v>
      </c>
      <c r="HX13" s="36"/>
    </row>
    <row r="14" spans="1:232" x14ac:dyDescent="0.35">
      <c r="A14">
        <f t="shared" si="0"/>
        <v>47</v>
      </c>
      <c r="B14">
        <v>2037</v>
      </c>
      <c r="C14" s="1">
        <f>IF($B14&lt;Analysis!C$66,0,$AN14)+$AT14+$AW14+$BC14+$CF14+$CA14</f>
        <v>268115.4339674224</v>
      </c>
      <c r="D14" s="1">
        <f>IF($B14&lt;Analysis!C$66, 0, BV14)+AT14+AW14+BC14+CG14+CA14</f>
        <v>143541.03422822076</v>
      </c>
      <c r="E14" s="1">
        <f t="shared" si="1"/>
        <v>532103.4119152088</v>
      </c>
      <c r="F14" s="1">
        <f t="shared" si="9"/>
        <v>490542.31389360322</v>
      </c>
      <c r="G14" s="1">
        <f>IF(AND($B14&gt;=Analysis!$C$100, $B14&lt;Analysis!$C$101),$CK14,0)+IF($B14&gt;=Analysis!$C$130,EB14,0)+CQ14+CT14+CZ14+EH14+EK14+EQ14+$FO14+$FT14</f>
        <v>517792.19271398452</v>
      </c>
      <c r="H14" s="1">
        <f t="shared" si="10"/>
        <v>428267.76415701618</v>
      </c>
      <c r="I14" s="1">
        <f>IF($B14&lt;Analysis!$C$159,0,$FW14)+$GC14+$GF14+$GL14+$HQ14+$HV14</f>
        <v>517792.19271398452</v>
      </c>
      <c r="J14" s="1">
        <f t="shared" si="2"/>
        <v>428267.76415701618</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26030.577880083558</v>
      </c>
      <c r="AI14" s="1">
        <f>IF(AE14 &gt;= 0,
    MAX(0, AF13 + AE14 - Analysis!$C$7),
    0)</f>
        <v>32183.392556145831</v>
      </c>
      <c r="AJ14" s="1">
        <f t="shared" si="44"/>
        <v>350525.78908447683</v>
      </c>
      <c r="AK14" s="1">
        <f t="shared" si="20"/>
        <v>508103.4119152088</v>
      </c>
      <c r="AL14" s="1">
        <f t="shared" si="5"/>
        <v>466542.31389360322</v>
      </c>
      <c r="AM14" s="36"/>
      <c r="AN14" s="1">
        <f t="shared" si="45"/>
        <v>977054.11560158199</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-19692.794742175021</v>
      </c>
      <c r="AT14" s="1">
        <f>IF($B14&lt;Analysis!$C$66,0,IF($B14=Analysis!$C$66,-AP14-AS14,MIN(0,AT13-AS14)))</f>
        <v>-477649.16667083109</v>
      </c>
      <c r="AU14" s="64">
        <f>IF($B14&lt;Analysis!$C$66,0,IF($B14=Analysis!$C$66,Analysis!$C$72,IF(($B14-Analysis!$C$66)&lt;LOOKUP(Analysis!$C$66,$B:$B,AQ:AQ),AU13,0)))</f>
        <v>2.9600000000000001E-2</v>
      </c>
      <c r="AV14" s="1">
        <f>IF($B14&lt;Analysis!$C$66,0,IF($B14=Analysis!$C$66,-AU14*AP14,AU13*AT13))</f>
        <v>-14721.322057824982</v>
      </c>
      <c r="AW14" s="1">
        <f>IF($B14&lt;Analysis!$C$66,0,IF($B14=Analysis!$C$66,PMT(AU14,AQ14,AP14)*AQ14-AX14-AT14,IF(($B14-Analysis!$C$66+1)&lt;LOOKUP(Analysis!$C$66,$B:$B,AQ:AQ),IF(AW13-AV14&lt;0, AW13-AV14,0),0)))</f>
        <v>-146496.69054554877</v>
      </c>
      <c r="AX14" s="1">
        <f>IF($B14&lt;Analysis!$C$66,0,IF($B14=Analysis!$C$66,AS14+AV14,IF(AT13&lt;0,IF(AT13&gt;LOOKUP(Analysis!$C$66,$B:$B,AX:AX), AT13*(1+AU13),AX13),0)))</f>
        <v>-34414.116800000003</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-2931.162346804746</v>
      </c>
      <c r="BF14" s="64">
        <f>IF($B14&lt;Analysis!$C$66,0,Analysis!$C$78)</f>
        <v>3.0000000000000001E-3</v>
      </c>
      <c r="BG14" s="1">
        <f>IF($B14&lt;Analysis!$C$66,0,-BH14*AN14)</f>
        <v>-7327.9058670118648</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-124574.3997392017</v>
      </c>
      <c r="BS14" s="64">
        <f>IF($B14&lt;Analysis!C$66,0,Analysis!C$31)</f>
        <v>0.1275</v>
      </c>
      <c r="BT14" s="1">
        <f>IF($B14&lt;Analysis!$C$66,0,AN14+BR14)</f>
        <v>852479.71586238034</v>
      </c>
      <c r="BU14" s="1">
        <f>IF($B14-Analysis!$C$66&gt;3,0,IF($AN14&gt;LOOKUP(Analysis!$C$66,$B:$B, AN:AN),$V14*(LOOKUP(Analysis!$C$66,$B:$B, AN:AN)-AN14),0))</f>
        <v>0</v>
      </c>
      <c r="BV14" s="1">
        <f t="shared" si="23"/>
        <v>852479.71586238034</v>
      </c>
      <c r="BW14" s="42"/>
      <c r="BX14" s="1">
        <f>IF($B14&lt;Analysis!$C$66,$P14+$N14+$X14+$Z14,$P14+$N14+AS14+AV14+BB14+BE14+BG14+MAX(BI14,SUM(BJ14:BN14))+BP14)</f>
        <v>-110783.18501381663</v>
      </c>
      <c r="BY14" s="1">
        <f t="shared" si="24"/>
        <v>120723.1566012604</v>
      </c>
      <c r="BZ14" s="1">
        <f t="shared" si="46"/>
        <v>9939.9715874437679</v>
      </c>
      <c r="CA14" s="1">
        <f>IF(BZ14 &lt; 0,
    IF(CA13 + BZ14 &gt; 0,
        CA13 + BZ14, IF(CF13-ABS(CA13 + BZ14)*(1+$V14) &gt;= CA13 + BZ14,
        0, CA13 + BZ14)),
    MIN(CA13 + BZ14, Analysis!$C$7))+IF(CA13&lt;0, CA13*Analysis!$C$9,0)</f>
        <v>-84792.824417779731</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-22429.764045114574</v>
      </c>
      <c r="CJ14" s="1">
        <f>IF(OR($B14&lt;Analysis!$C$100, $B14&gt;=Analysis!$C$130),0,Z14)</f>
        <v>-3960</v>
      </c>
      <c r="CK14" s="1">
        <f t="shared" si="26"/>
        <v>587648.48981834261</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-10984.511840082896</v>
      </c>
      <c r="CQ14" s="1">
        <f>IF(OR($B14&lt;Analysis!$C$100, $B14&gt;=Analysis!$C$101),0,IF($B14=Analysis!$C$100,-CM14-CP14,MIN(0,CQ13-CP14)))</f>
        <v>-266429.57464360312</v>
      </c>
      <c r="CR14" s="64">
        <f>IF(OR($B14&lt;Analysis!$C$100, $B14&gt;=Analysis!$C$101),0,IF($B14=Analysis!$C$100,Analysis!$C$102,IF(($B14-Analysis!$C$100)&lt;LOOKUP(Analysis!$C$100,$B:$B,CN:CN),CR13,0)))</f>
        <v>2.9600000000000001E-2</v>
      </c>
      <c r="CS14" s="1">
        <f>IF(OR($B14&lt;Analysis!$C$100, $B14&gt;=Analysis!$C$101),0,IF($B14=Analysis!$C$100,-CR14*CM14,CR13*CQ13))</f>
        <v>-8211.4569599171064</v>
      </c>
      <c r="CT14" s="1">
        <f>IF(OR($B14&lt;Analysis!$C$100, $B14&gt;=Analysis!$C$101),0,IF($B14=Analysis!$C$100,PMT(CR14,CN14,CM14)*CN14-CU14-CQ14,IF(($B14-Analysis!$C$100+1)&lt;LOOKUP(Analysis!$C$100,$B:$B,CN:CN),IF(CT13-CS14&lt;0, CT13-CS14,0),0)))</f>
        <v>-81714.893843087295</v>
      </c>
      <c r="CU14" s="1">
        <f>IF(OR($B14&lt;Analysis!$C$100, $B14&gt;=Analysis!$C$101),0,IF($B14=Analysis!$C$100,CP14+CS14,IF(CQ13&lt;0,IF(CQ13&gt;LOOKUP(Analysis!$C$100,$B:$B,CU:CU), CQ13*(1+CR13),CU13),0)))</f>
        <v>-19195.968800000002</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25348.989008930286</v>
      </c>
      <c r="DE14" s="1">
        <f t="shared" si="27"/>
        <v>-1762.9454694550279</v>
      </c>
      <c r="DF14" s="64">
        <f>IF(OR($B14&lt;Analysis!$C$100, $B14&gt;=Analysis!$C$101),0,Analysis!$C$118)</f>
        <v>3.0000000000000001E-3</v>
      </c>
      <c r="DG14" s="1">
        <f t="shared" si="28"/>
        <v>-4407.3636736375693</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-1471.9532654606442</v>
      </c>
      <c r="DR14" s="1">
        <f t="shared" si="29"/>
        <v>-19902.262408553241</v>
      </c>
      <c r="DS14" s="1">
        <f>MIN(0,-(DB14+DR14)*Analysis!$C$28)-CS14*Analysis!$C$28</f>
        <v>3638.4965789392695</v>
      </c>
      <c r="DT14" s="1">
        <f>-Analysis!$C$116*DD14/12</f>
        <v>-2112.4157507441905</v>
      </c>
      <c r="DU14" s="53"/>
      <c r="DV14" s="1">
        <f t="shared" si="30"/>
        <v>-74925.182451838686</v>
      </c>
      <c r="DW14" s="64">
        <f>IF(OR($B14&lt;Analysis!$C$100, $B14&gt;=Analysis!$C$101),0,IF($B14=Analysis!$C$100,Analysis!$C$31,DW13))</f>
        <v>0.1275</v>
      </c>
      <c r="DX14" s="1">
        <f>IF(OR($B14&lt;Analysis!$C$100, $B14&gt;=Analysis!$C$101),0,CK14+DV14)</f>
        <v>512723.30736650393</v>
      </c>
      <c r="DY14" s="1">
        <f>IF(OR($B14&lt;Analysis!$C$100, $B14&gt;=Analysis!$C$101),0,IF($B14-Analysis!$C$100&gt;3,0,IF(CK14&gt;LOOKUP(Analysis!$C$100,$B:$B, CK:CK),$V14*(LOOKUP(Analysis!$C$100,$B:$B, CK:CK)-CK14),0)))</f>
        <v>0</v>
      </c>
      <c r="DZ14" s="1">
        <f t="shared" si="49"/>
        <v>512723.30736650393</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IF($B14&lt;Analysis!$C$130,0,IF($B14=Analysis!$C$130,Analysis!$B$136,IF(($B14-Analysis!$C$130)&lt;LOOKUP(Analysis!$C$130,$B:$B,EE:EE),EI13,0)))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-117811.91442547271</v>
      </c>
      <c r="FM14" s="1">
        <f>$M14+$R14+DD14+IF(AND($B14&lt;&gt;Analysis!$C$130,$B14=Analysis!$C$101),DZ13+CQ13+CT13+CZ13,0)</f>
        <v>146072.1456101907</v>
      </c>
      <c r="FN14" s="1">
        <f t="shared" si="34"/>
        <v>28260.231184717981</v>
      </c>
      <c r="FO14" s="1">
        <f>IF(FN14 &lt; 0,
    IF(FO13 + FN14 &gt; 0,
        FO13 + FN14, IF(FT13-ABS(FO13 + FN14)*(1+$V14) &gt;= FO13 + FN14,
        0, FO13 + FN14)),
    MIN(FO13 + FN14, Analysis!$C$7))+IF(FO13&lt;0, FO13*Analysis!$C$9,0)</f>
        <v>24000</v>
      </c>
      <c r="FP14" s="53"/>
      <c r="FQ14" s="1">
        <f t="shared" si="51"/>
        <v>12362.661079717886</v>
      </c>
      <c r="FR14" s="1">
        <f>IF(OR($B14=Analysis!$C$100, $B14=Analysis!$C$130),0,IF(FN14 &gt;= 0,
    MAX(0, FO13 + FN14 - Analysis!$C$7),
    0))</f>
        <v>28260.231184717981</v>
      </c>
      <c r="FS14" s="1">
        <f>IF(OR($B14=Analysis!$C$100, $B14=Analysis!$C$130),0,MAX(0, FS13 + FR14 - IF(FN14 &lt; 0, MIN(ABS(FN14), FS13 + FR14), 0)))</f>
        <v>198935.57951454195</v>
      </c>
      <c r="FT14" s="1">
        <f>IF(OR($B14=Analysis!$C$100, $B14=Analysis!$C$130),0,IF(FN14 &lt; 0,
    IF(FN14 + FO13 &lt; 0,
        MAX(0, FT13 - (ABS(FN14 + FO13) * (1+$V13))),
        FT13 + FQ14),
    FT13 + FR14 + FQ14))</f>
        <v>254288.17138233237</v>
      </c>
      <c r="FU14" s="1">
        <f t="shared" si="55"/>
        <v>239688.92527720265</v>
      </c>
      <c r="FV14" s="36"/>
      <c r="FW14" s="1">
        <f t="shared" si="52"/>
        <v>587648.48981834261</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-10984.511840082896</v>
      </c>
      <c r="GC14" s="1">
        <f>IF($B14&lt;Analysis!$C$159,0,IF($B14=Analysis!$C$159,-FY14-GB14,MIN(0,GC13-GB14)))</f>
        <v>-266429.57464360312</v>
      </c>
      <c r="GD14" s="64">
        <f>IF($B14&lt;Analysis!$C$159,0,IF($B14=Analysis!$C$159,Analysis!$B$160,IF(($B14-Analysis!$C$159)&lt;LOOKUP(Analysis!$C$159,$B:$B,FZ:FZ),GD13,0)))</f>
        <v>2.9600000000000001E-2</v>
      </c>
      <c r="GE14" s="1">
        <f>IF($B14&lt;Analysis!$C$159,0,IF($B14=Analysis!$C$159,-GD14*FY14,GD13*GC13))</f>
        <v>-8211.4569599171064</v>
      </c>
      <c r="GF14" s="1">
        <f>IF($B14&lt;Analysis!$C$159,0,IF($B14=Analysis!$C$159,PMT(GD14,FZ14,FY14)*FZ14-GG14-GC14,IF(($B14-Analysis!$C$159+1)&lt;LOOKUP(Analysis!$C$159,$B:$B,FZ:FZ),IF(GF13-GE14&lt;0, GF13-GE14,0),0)))</f>
        <v>-81714.893843087295</v>
      </c>
      <c r="GG14" s="1">
        <f>IF($B14&lt;Analysis!$C$159,0,IF($B14=Analysis!$C$159,GB14+GE14,IF(GC13&lt;0,IF(GC13&gt;LOOKUP(Analysis!$C$159,$B:$B,GG:GG), GC13*(1+GD13),GG13),0)))</f>
        <v>-19195.968800000002</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25348.989008930286</v>
      </c>
      <c r="GQ14" s="1">
        <f t="shared" si="36"/>
        <v>-1762.9454694550279</v>
      </c>
      <c r="GR14" s="64">
        <f>IF($B14&lt;Analysis!$C$159,0,Analysis!$C$178)</f>
        <v>3.0000000000000001E-3</v>
      </c>
      <c r="GS14" s="1">
        <f t="shared" si="37"/>
        <v>-4407.3636736375693</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-1471.9532654606442</v>
      </c>
      <c r="HD14" s="1">
        <f t="shared" si="38"/>
        <v>-19902.262408553241</v>
      </c>
      <c r="HE14" s="1">
        <f>MIN(0,-(GN14+HD14)*Analysis!$C$28)-GE14*Analysis!$C$28</f>
        <v>3638.4965789392695</v>
      </c>
      <c r="HF14" s="1">
        <f>-Analysis!$C$176*GP14/12</f>
        <v>-2112.4157507441905</v>
      </c>
      <c r="HG14" s="38"/>
      <c r="HH14" s="1">
        <f>IF($B14&lt;Analysis!$C$159,0,-$HI14*$FW14)</f>
        <v>-74925.182451838686</v>
      </c>
      <c r="HI14" s="64">
        <f>IF($B14&lt;Analysis!$C$159,0,IF($B14=Analysis!$C$159,Analysis!$C$31,HI13))</f>
        <v>0.1275</v>
      </c>
      <c r="HJ14" s="1">
        <f>IF($B14&lt;Analysis!$C$159,0,$FW14+HH14)</f>
        <v>512723.30736650393</v>
      </c>
      <c r="HK14" s="1">
        <f>IF($B14-Analysis!$C$159&gt;10,0,IF($FW14&gt;LOOKUP(Analysis!$C$159,$B:$B, FW:FW),$V14*(LOOKUP(Analysis!$C$159,$B:$B, FW:FW)-FW14),0))</f>
        <v>0</v>
      </c>
      <c r="HL14" s="1">
        <f t="shared" si="39"/>
        <v>512723.30736650393</v>
      </c>
      <c r="HM14" s="38"/>
      <c r="HN14" s="1">
        <f t="shared" si="40"/>
        <v>-117811.91442547271</v>
      </c>
      <c r="HO14" s="1">
        <f t="shared" si="8"/>
        <v>146072.1456101907</v>
      </c>
      <c r="HP14" s="1">
        <f t="shared" si="41"/>
        <v>28260.231184717981</v>
      </c>
      <c r="HQ14" s="1">
        <f>IF(HP14 &lt; 0,
    IF(HQ13 + HP14 &gt; 0,
        HQ13 + HP14, IF(HV13-ABS(HQ13 + HP14)*(1+$V14) &gt;= HQ13 + HP14,
        0, HQ13 + HP14)),
    MIN(HQ13 + HP14, Analysis!$C$7))+IF(HQ13&lt;0, HQ13*Analysis!$C$9,0)</f>
        <v>24000</v>
      </c>
      <c r="HR14" s="38"/>
      <c r="HS14" s="1">
        <f t="shared" si="54"/>
        <v>12362.661079717886</v>
      </c>
      <c r="HT14" s="1">
        <f>IF($B14=Analysis!$C$159,0,IF(HP14 &gt;= 0,
    MAX(0, HQ13 + HP14 - Analysis!$C$7),
    0))</f>
        <v>28260.231184717981</v>
      </c>
      <c r="HU14" s="1">
        <f>IF($B14=Analysis!$C$159,0,MAX(0, HU13 + HT14 - IF(HP14 &lt; 0, MIN(ABS(HP14), HU13 + HT14), 0)))</f>
        <v>198935.57951454195</v>
      </c>
      <c r="HV14" s="1">
        <f>IF($B14=Analysis!$C$159,0,IF(HP14 &lt; 0,
    IF(HP14 + HQ13 &lt; 0,
        MAX(0, HV13 - (ABS(HP14 + HQ13) * (1+$V13))),
        HV13 + HS14),
    HV13 + HT14 + HS14))</f>
        <v>254288.17138233237</v>
      </c>
      <c r="HW14" s="1">
        <f t="shared" si="56"/>
        <v>239688.92527720265</v>
      </c>
      <c r="HX14" s="36"/>
    </row>
    <row r="15" spans="1:232" x14ac:dyDescent="0.35">
      <c r="A15">
        <f t="shared" si="0"/>
        <v>48</v>
      </c>
      <c r="B15">
        <v>2038</v>
      </c>
      <c r="C15" s="1">
        <f>IF($B15&lt;Analysis!C$66,0,$AN15)+$AT15+$AW15+$BC15+$CF15+$CA15</f>
        <v>331850.69530257006</v>
      </c>
      <c r="D15" s="1">
        <f>IF($B15&lt;Analysis!C$66, 0, BV15)+AT15+AW15+BC15+CG15+CA15</f>
        <v>203612.34262986243</v>
      </c>
      <c r="E15" s="1">
        <f t="shared" si="1"/>
        <v>589884.3565052069</v>
      </c>
      <c r="F15" s="1">
        <f t="shared" si="9"/>
        <v>540799.05109439127</v>
      </c>
      <c r="G15" s="1">
        <f>IF(AND($B15&gt;=Analysis!$C$100, $B15&lt;Analysis!$C$101),$CK15,0)+IF($B15&gt;=Analysis!$C$130,EB15,0)+CQ15+CT15+CZ15+EH15+EK15+EQ15+$FO15+$FT15</f>
        <v>594053.13707806775</v>
      </c>
      <c r="H15" s="1">
        <f t="shared" si="10"/>
        <v>498559.4213109733</v>
      </c>
      <c r="I15" s="1">
        <f>IF($B15&lt;Analysis!$C$159,0,$FW15)+$GC15+$GF15+$GL15+$HQ15+$HV15</f>
        <v>594053.13707806775</v>
      </c>
      <c r="J15" s="1">
        <f t="shared" si="2"/>
        <v>498559.4213109733</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28527.800527810869</v>
      </c>
      <c r="AI15" s="1">
        <f>IF(AE15 &gt;= 0,
    MAX(0, AF14 + AE15 - Analysis!$C$7),
    0)</f>
        <v>29253.144062187319</v>
      </c>
      <c r="AJ15" s="1">
        <f t="shared" si="44"/>
        <v>379778.93314666417</v>
      </c>
      <c r="AK15" s="1">
        <f t="shared" si="20"/>
        <v>565884.3565052069</v>
      </c>
      <c r="AL15" s="1">
        <f t="shared" si="5"/>
        <v>516799.05109439127</v>
      </c>
      <c r="AM15" s="36"/>
      <c r="AN15" s="1">
        <f t="shared" si="45"/>
        <v>1005791.0013545698</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-20275.701466543404</v>
      </c>
      <c r="AT15" s="1">
        <f>IF($B15&lt;Analysis!$C$66,0,IF($B15=Analysis!$C$66,-AP15-AS15,MIN(0,AT14-AS15)))</f>
        <v>-457373.46520428767</v>
      </c>
      <c r="AU15" s="64">
        <f>IF($B15&lt;Analysis!$C$66,0,IF($B15=Analysis!$C$66,Analysis!$C$72,IF(($B15-Analysis!$C$66)&lt;LOOKUP(Analysis!$C$66,$B:$B,AQ:AQ),AU14,0)))</f>
        <v>2.9600000000000001E-2</v>
      </c>
      <c r="AV15" s="1">
        <f>IF($B15&lt;Analysis!$C$66,0,IF($B15=Analysis!$C$66,-AU15*AP15,AU14*AT14))</f>
        <v>-14138.415333456602</v>
      </c>
      <c r="AW15" s="1">
        <f>IF($B15&lt;Analysis!$C$66,0,IF($B15=Analysis!$C$66,PMT(AU15,AQ15,AP15)*AQ15-AX15-AT15,IF(($B15-Analysis!$C$66+1)&lt;LOOKUP(Analysis!$C$66,$B:$B,AQ:AQ),IF(AW14-AV15&lt;0, AW14-AV15,0),0)))</f>
        <v>-132358.27521209218</v>
      </c>
      <c r="AX15" s="1">
        <f>IF($B15&lt;Analysis!$C$66,0,IF($B15=Analysis!$C$66,AS15+AV15,IF(AT14&lt;0,IF(AT14&gt;LOOKUP(Analysis!$C$66,$B:$B,AX:AX), AT14*(1+AU14),AX14),0)))</f>
        <v>-34414.116800000003</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-3017.3730040637097</v>
      </c>
      <c r="BF15" s="64">
        <f>IF($B15&lt;Analysis!$C$66,0,Analysis!$C$78)</f>
        <v>3.0000000000000001E-3</v>
      </c>
      <c r="BG15" s="1">
        <f>IF($B15&lt;Analysis!$C$66,0,-BH15*AN15)</f>
        <v>-7543.4325101592731</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-128238.35267270765</v>
      </c>
      <c r="BS15" s="64">
        <f>IF($B15&lt;Analysis!C$66,0,Analysis!C$31)</f>
        <v>0.1275</v>
      </c>
      <c r="BT15" s="1">
        <f>IF($B15&lt;Analysis!$C$66,0,AN15+BR15)</f>
        <v>877552.64868186216</v>
      </c>
      <c r="BU15" s="1">
        <f>IF($B15-Analysis!$C$66&gt;3,0,IF($AN15&gt;LOOKUP(Analysis!$C$66,$B:$B, AN:AN),$V15*(LOOKUP(Analysis!$C$66,$B:$B, AN:AN)-AN15),0))</f>
        <v>0</v>
      </c>
      <c r="BV15" s="1">
        <f t="shared" si="23"/>
        <v>877552.64868186216</v>
      </c>
      <c r="BW15" s="42"/>
      <c r="BX15" s="1">
        <f>IF($B15&lt;Analysis!$C$66,$P15+$N15+$X15+$Z15,$P15+$N15+AS15+AV15+BB15+BE15+BG15+MAX(BI15,SUM(BJ15:BN15))+BP15)</f>
        <v>-114834.92231422299</v>
      </c>
      <c r="BY15" s="1">
        <f t="shared" si="24"/>
        <v>122202.60704980526</v>
      </c>
      <c r="BZ15" s="1">
        <f t="shared" si="46"/>
        <v>7367.6847355822683</v>
      </c>
      <c r="CA15" s="1">
        <f>IF(BZ15 &lt; 0,
    IF(CA14 + BZ15 &gt; 0,
        CA14 + BZ15, IF(CF14-ABS(CA14 + BZ15)*(1+$V15) &gt;= CA14 + BZ15,
        0, CA14 + BZ15)),
    MIN(CA14 + BZ15, Analysis!$C$7))+IF(CA14&lt;0, CA14*Analysis!$C$9,0)</f>
        <v>-84208.565635619845</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-23089.462987617946</v>
      </c>
      <c r="CJ15" s="1">
        <f>IF(OR($B15&lt;Analysis!$C$100, $B15&gt;=Analysis!$C$130),0,Z15)</f>
        <v>-3960</v>
      </c>
      <c r="CK15" s="1">
        <f t="shared" si="26"/>
        <v>604932.26893064682</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-11309.653390549349</v>
      </c>
      <c r="CQ15" s="1">
        <f>IF(OR($B15&lt;Analysis!$C$100, $B15&gt;=Analysis!$C$101),0,IF($B15=Analysis!$C$100,-CM15-CP15,MIN(0,CQ14-CP15)))</f>
        <v>-255119.92125305376</v>
      </c>
      <c r="CR15" s="64">
        <f>IF(OR($B15&lt;Analysis!$C$100, $B15&gt;=Analysis!$C$101),0,IF($B15=Analysis!$C$100,Analysis!$C$102,IF(($B15-Analysis!$C$100)&lt;LOOKUP(Analysis!$C$100,$B:$B,CN:CN),CR14,0)))</f>
        <v>2.9600000000000001E-2</v>
      </c>
      <c r="CS15" s="1">
        <f>IF(OR($B15&lt;Analysis!$C$100, $B15&gt;=Analysis!$C$101),0,IF($B15=Analysis!$C$100,-CR15*CM15,CR14*CQ14))</f>
        <v>-7886.3154094506526</v>
      </c>
      <c r="CT15" s="1">
        <f>IF(OR($B15&lt;Analysis!$C$100, $B15&gt;=Analysis!$C$101),0,IF($B15=Analysis!$C$100,PMT(CR15,CN15,CM15)*CN15-CU15-CQ15,IF(($B15-Analysis!$C$100+1)&lt;LOOKUP(Analysis!$C$100,$B:$B,CN:CN),IF(CT14-CS15&lt;0, CT14-CS15,0),0)))</f>
        <v>-73828.578433636649</v>
      </c>
      <c r="CU15" s="1">
        <f>IF(OR($B15&lt;Analysis!$C$100, $B15&gt;=Analysis!$C$101),0,IF($B15=Analysis!$C$100,CP15+CS15,IF(CQ14&lt;0,IF(CQ14&gt;LOOKUP(Analysis!$C$100,$B:$B,CU:CU), CQ14*(1+CR14),CU14),0)))</f>
        <v>-19195.968800000002</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25978.076920957647</v>
      </c>
      <c r="DE15" s="1">
        <f t="shared" si="27"/>
        <v>-1814.7968067919405</v>
      </c>
      <c r="DF15" s="64">
        <f>IF(OR($B15&lt;Analysis!$C$100, $B15&gt;=Analysis!$C$101),0,Analysis!$C$118)</f>
        <v>3.0000000000000001E-3</v>
      </c>
      <c r="DG15" s="1">
        <f t="shared" si="28"/>
        <v>-4536.9920169798506</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-1515.246008562428</v>
      </c>
      <c r="DR15" s="1">
        <f t="shared" si="29"/>
        <v>-20127.034832334219</v>
      </c>
      <c r="DS15" s="1">
        <f>MIN(0,-(DB15+DR15)*Analysis!$C$28)-CS15*Analysis!$C$28</f>
        <v>3460.642073548051</v>
      </c>
      <c r="DT15" s="1">
        <f>-Analysis!$C$116*DD15/12</f>
        <v>-2164.8397434131371</v>
      </c>
      <c r="DU15" s="53"/>
      <c r="DV15" s="1">
        <f t="shared" si="30"/>
        <v>-77128.864288657467</v>
      </c>
      <c r="DW15" s="64">
        <f>IF(OR($B15&lt;Analysis!$C$100, $B15&gt;=Analysis!$C$101),0,IF($B15=Analysis!$C$100,Analysis!$C$31,DW14))</f>
        <v>0.1275</v>
      </c>
      <c r="DX15" s="1">
        <f>IF(OR($B15&lt;Analysis!$C$100, $B15&gt;=Analysis!$C$101),0,CK15+DV15)</f>
        <v>527803.40464198939</v>
      </c>
      <c r="DY15" s="1">
        <f>IF(OR($B15&lt;Analysis!$C$100, $B15&gt;=Analysis!$C$101),0,IF($B15-Analysis!$C$100&gt;3,0,IF(CK15&gt;LOOKUP(Analysis!$C$100,$B:$B, CK:CK),$V15*(LOOKUP(Analysis!$C$100,$B:$B, CK:CK)-CK15),0)))</f>
        <v>0</v>
      </c>
      <c r="DZ15" s="1">
        <f t="shared" si="49"/>
        <v>527803.40464198939</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IF($B15&lt;Analysis!$C$130,0,IF($B15=Analysis!$C$130,Analysis!$B$136,IF(($B15-Analysis!$C$130)&lt;LOOKUP(Analysis!$C$130,$B:$B,EE:EE),EI14,0)))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-122676.66428981726</v>
      </c>
      <c r="FM15" s="1">
        <f>$M15+$R15+DD15+IF(AND($B15&lt;&gt;Analysis!$C$130,$B15=Analysis!$C$101),DZ14+CQ14+CT14+CZ14,0)</f>
        <v>148180.68397076291</v>
      </c>
      <c r="FN15" s="1">
        <f t="shared" si="34"/>
        <v>25504.019680945654</v>
      </c>
      <c r="FO15" s="1">
        <f>IF(FN15 &lt; 0,
    IF(FO14 + FN15 &gt; 0,
        FO14 + FN15, IF(FT14-ABS(FO14 + FN15)*(1+$V15) &gt;= FO14 + FN15,
        0, FO14 + FN15)),
    MIN(FO14 + FN15, Analysis!$C$7))+IF(FO14&lt;0, FO14*Analysis!$C$9,0)</f>
        <v>24000</v>
      </c>
      <c r="FP15" s="53"/>
      <c r="FQ15" s="1">
        <f t="shared" si="51"/>
        <v>14277.176770833299</v>
      </c>
      <c r="FR15" s="1">
        <f>IF(OR($B15=Analysis!$C$100, $B15=Analysis!$C$130),0,IF(FN15 &gt;= 0,
    MAX(0, FO14 + FN15 - Analysis!$C$7),
    0))</f>
        <v>25504.019680945654</v>
      </c>
      <c r="FS15" s="1">
        <f>IF(OR($B15=Analysis!$C$100, $B15=Analysis!$C$130),0,MAX(0, FS14 + FR15 - IF(FN15 &lt; 0, MIN(ABS(FN15), FS14 + FR15), 0)))</f>
        <v>224439.59919548762</v>
      </c>
      <c r="FT15" s="1">
        <f>IF(OR($B15=Analysis!$C$100, $B15=Analysis!$C$130),0,IF(FN15 &lt; 0,
    IF(FN15 + FO14 &lt; 0,
        MAX(0, FT14 - (ABS(FN15 + FO14) * (1+$V14))),
        FT14 + FQ15),
    FT14 + FR15 + FQ15))</f>
        <v>294069.36783411133</v>
      </c>
      <c r="FU15" s="1">
        <f t="shared" si="55"/>
        <v>275704.51635567431</v>
      </c>
      <c r="FV15" s="36"/>
      <c r="FW15" s="1">
        <f t="shared" si="52"/>
        <v>604932.26893064682</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-11309.653390549349</v>
      </c>
      <c r="GC15" s="1">
        <f>IF($B15&lt;Analysis!$C$159,0,IF($B15=Analysis!$C$159,-FY15-GB15,MIN(0,GC14-GB15)))</f>
        <v>-255119.92125305376</v>
      </c>
      <c r="GD15" s="64">
        <f>IF($B15&lt;Analysis!$C$159,0,IF($B15=Analysis!$C$159,Analysis!$B$160,IF(($B15-Analysis!$C$159)&lt;LOOKUP(Analysis!$C$159,$B:$B,FZ:FZ),GD14,0)))</f>
        <v>2.9600000000000001E-2</v>
      </c>
      <c r="GE15" s="1">
        <f>IF($B15&lt;Analysis!$C$159,0,IF($B15=Analysis!$C$159,-GD15*FY15,GD14*GC14))</f>
        <v>-7886.3154094506526</v>
      </c>
      <c r="GF15" s="1">
        <f>IF($B15&lt;Analysis!$C$159,0,IF($B15=Analysis!$C$159,PMT(GD15,FZ15,FY15)*FZ15-GG15-GC15,IF(($B15-Analysis!$C$159+1)&lt;LOOKUP(Analysis!$C$159,$B:$B,FZ:FZ),IF(GF14-GE15&lt;0, GF14-GE15,0),0)))</f>
        <v>-73828.578433636649</v>
      </c>
      <c r="GG15" s="1">
        <f>IF($B15&lt;Analysis!$C$159,0,IF($B15=Analysis!$C$159,GB15+GE15,IF(GC14&lt;0,IF(GC14&gt;LOOKUP(Analysis!$C$159,$B:$B,GG:GG), GC14*(1+GD14),GG14),0)))</f>
        <v>-19195.968800000002</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25978.076920957647</v>
      </c>
      <c r="GQ15" s="1">
        <f t="shared" si="36"/>
        <v>-1814.7968067919405</v>
      </c>
      <c r="GR15" s="64">
        <f>IF($B15&lt;Analysis!$C$159,0,Analysis!$C$178)</f>
        <v>3.0000000000000001E-3</v>
      </c>
      <c r="GS15" s="1">
        <f t="shared" si="37"/>
        <v>-4536.9920169798506</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-1515.246008562428</v>
      </c>
      <c r="HD15" s="1">
        <f t="shared" si="38"/>
        <v>-20127.034832334219</v>
      </c>
      <c r="HE15" s="1">
        <f>MIN(0,-(GN15+HD15)*Analysis!$C$28)-GE15*Analysis!$C$28</f>
        <v>3460.642073548051</v>
      </c>
      <c r="HF15" s="1">
        <f>-Analysis!$C$176*GP15/12</f>
        <v>-2164.8397434131371</v>
      </c>
      <c r="HG15" s="38"/>
      <c r="HH15" s="1">
        <f>IF($B15&lt;Analysis!$C$159,0,-$HI15*$FW15)</f>
        <v>-77128.864288657467</v>
      </c>
      <c r="HI15" s="64">
        <f>IF($B15&lt;Analysis!$C$159,0,IF($B15=Analysis!$C$159,Analysis!$C$31,HI14))</f>
        <v>0.1275</v>
      </c>
      <c r="HJ15" s="1">
        <f>IF($B15&lt;Analysis!$C$159,0,$FW15+HH15)</f>
        <v>527803.40464198939</v>
      </c>
      <c r="HK15" s="1">
        <f>IF($B15-Analysis!$C$159&gt;10,0,IF($FW15&gt;LOOKUP(Analysis!$C$159,$B:$B, FW:FW),$V15*(LOOKUP(Analysis!$C$159,$B:$B, FW:FW)-FW15),0))</f>
        <v>0</v>
      </c>
      <c r="HL15" s="1">
        <f t="shared" si="39"/>
        <v>527803.40464198939</v>
      </c>
      <c r="HM15" s="38"/>
      <c r="HN15" s="1">
        <f t="shared" si="40"/>
        <v>-122676.66428981726</v>
      </c>
      <c r="HO15" s="1">
        <f t="shared" si="8"/>
        <v>148180.68397076291</v>
      </c>
      <c r="HP15" s="1">
        <f t="shared" si="41"/>
        <v>25504.019680945654</v>
      </c>
      <c r="HQ15" s="1">
        <f>IF(HP15 &lt; 0,
    IF(HQ14 + HP15 &gt; 0,
        HQ14 + HP15, IF(HV14-ABS(HQ14 + HP15)*(1+$V15) &gt;= HQ14 + HP15,
        0, HQ14 + HP15)),
    MIN(HQ14 + HP15, Analysis!$C$7))+IF(HQ14&lt;0, HQ14*Analysis!$C$9,0)</f>
        <v>24000</v>
      </c>
      <c r="HR15" s="38"/>
      <c r="HS15" s="1">
        <f t="shared" si="54"/>
        <v>14277.176770833299</v>
      </c>
      <c r="HT15" s="1">
        <f>IF($B15=Analysis!$C$159,0,IF(HP15 &gt;= 0,
    MAX(0, HQ14 + HP15 - Analysis!$C$7),
    0))</f>
        <v>25504.019680945654</v>
      </c>
      <c r="HU15" s="1">
        <f>IF($B15=Analysis!$C$159,0,MAX(0, HU14 + HT15 - IF(HP15 &lt; 0, MIN(ABS(HP15), HU14 + HT15), 0)))</f>
        <v>224439.59919548762</v>
      </c>
      <c r="HV15" s="1">
        <f>IF($B15=Analysis!$C$159,0,IF(HP15 &lt; 0,
    IF(HP15 + HQ14 &lt; 0,
        MAX(0, HV14 - (ABS(HP15 + HQ14) * (1+$V14))),
        HV14 + HS15),
    HV14 + HT15 + HS15))</f>
        <v>294069.36783411133</v>
      </c>
      <c r="HW15" s="1">
        <f t="shared" si="56"/>
        <v>275704.51635567431</v>
      </c>
      <c r="HX15" s="36"/>
    </row>
    <row r="16" spans="1:232" x14ac:dyDescent="0.35">
      <c r="A16">
        <f t="shared" si="0"/>
        <v>49</v>
      </c>
      <c r="B16">
        <v>2039</v>
      </c>
      <c r="C16" s="1">
        <f>IF($B16&lt;Analysis!C$66,0,$AN16)+$AT16+$AW16+$BC16+$CF16+$CA16</f>
        <v>397664.86890429613</v>
      </c>
      <c r="D16" s="1">
        <f>IF($B16&lt;Analysis!C$66, 0, BV16)+AT16+AW16+BC16+CG16+CA16</f>
        <v>265654.79997650883</v>
      </c>
      <c r="E16" s="1">
        <f t="shared" si="1"/>
        <v>650757.84191216214</v>
      </c>
      <c r="F16" s="1">
        <f t="shared" si="9"/>
        <v>593548.54533855396</v>
      </c>
      <c r="G16" s="1">
        <f>IF(AND($B16&gt;=Analysis!$C$100, $B16&lt;Analysis!$C$101),$CK16,0)+IF($B16&gt;=Analysis!$C$130,EB16,0)+CQ16+CT16+CZ16+EH16+EK16+EQ16+$FO16+$FT16</f>
        <v>673423.46579121298</v>
      </c>
      <c r="H16" s="1">
        <f t="shared" si="10"/>
        <v>571439.51344607747</v>
      </c>
      <c r="I16" s="1">
        <f>IF($B16&lt;Analysis!$C$159,0,$FW16)+$GC16+$GF16+$GL16+$HQ16+$HV16</f>
        <v>673423.46579121298</v>
      </c>
      <c r="J16" s="1">
        <f t="shared" si="2"/>
        <v>571439.51344607747</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30801.862228597252</v>
      </c>
      <c r="AI16" s="1">
        <f>IF(AE16 &gt;= 0,
    MAX(0, AF15 + AE16 - Analysis!$C$7),
    0)</f>
        <v>30071.623178357928</v>
      </c>
      <c r="AJ16" s="1">
        <f t="shared" si="44"/>
        <v>409850.55632502213</v>
      </c>
      <c r="AK16" s="1">
        <f t="shared" si="20"/>
        <v>626757.84191216214</v>
      </c>
      <c r="AL16" s="1">
        <f t="shared" si="5"/>
        <v>569548.54533855396</v>
      </c>
      <c r="AM16" s="36"/>
      <c r="AN16" s="1">
        <f t="shared" si="45"/>
        <v>1035373.0896297044</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-20875.862229953087</v>
      </c>
      <c r="AT16" s="1">
        <f>IF($B16&lt;Analysis!$C$66,0,IF($B16=Analysis!$C$66,-AP16-AS16,MIN(0,AT15-AS16)))</f>
        <v>-436497.60297433456</v>
      </c>
      <c r="AU16" s="64">
        <f>IF($B16&lt;Analysis!$C$66,0,IF($B16=Analysis!$C$66,Analysis!$C$72,IF(($B16-Analysis!$C$66)&lt;LOOKUP(Analysis!$C$66,$B:$B,AQ:AQ),AU15,0)))</f>
        <v>2.9600000000000001E-2</v>
      </c>
      <c r="AV16" s="1">
        <f>IF($B16&lt;Analysis!$C$66,0,IF($B16=Analysis!$C$66,-AU16*AP16,AU15*AT15))</f>
        <v>-13538.254570046916</v>
      </c>
      <c r="AW16" s="1">
        <f>IF($B16&lt;Analysis!$C$66,0,IF($B16=Analysis!$C$66,PMT(AU16,AQ16,AP16)*AQ16-AX16-AT16,IF(($B16-Analysis!$C$66+1)&lt;LOOKUP(Analysis!$C$66,$B:$B,AQ:AQ),IF(AW15-AV16&lt;0, AW15-AV16,0),0)))</f>
        <v>-118820.02064204526</v>
      </c>
      <c r="AX16" s="1">
        <f>IF($B16&lt;Analysis!$C$66,0,IF($B16=Analysis!$C$66,AS16+AV16,IF(AT15&lt;0,IF(AT15&gt;LOOKUP(Analysis!$C$66,$B:$B,AX:AX), AT15*(1+AU15),AX15),0)))</f>
        <v>-34414.116800000003</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-3106.1192688891133</v>
      </c>
      <c r="BF16" s="64">
        <f>IF($B16&lt;Analysis!$C$66,0,Analysis!$C$78)</f>
        <v>3.0000000000000001E-3</v>
      </c>
      <c r="BG16" s="1">
        <f>IF($B16&lt;Analysis!$C$66,0,-BH16*AN16)</f>
        <v>-7765.2981722227823</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-132010.0689277873</v>
      </c>
      <c r="BS16" s="64">
        <f>IF($B16&lt;Analysis!C$66,0,Analysis!C$31)</f>
        <v>0.1275</v>
      </c>
      <c r="BT16" s="1">
        <f>IF($B16&lt;Analysis!$C$66,0,AN16+BR16)</f>
        <v>903363.02070191712</v>
      </c>
      <c r="BU16" s="1">
        <f>IF($B16-Analysis!$C$66&gt;3,0,IF($AN16&gt;LOOKUP(Analysis!$C$66,$B:$B, AN:AN),$V16*(LOOKUP(Analysis!$C$66,$B:$B, AN:AN)-AN16),0))</f>
        <v>0</v>
      </c>
      <c r="BV16" s="1">
        <f t="shared" si="23"/>
        <v>903363.02070191712</v>
      </c>
      <c r="BW16" s="42"/>
      <c r="BX16" s="1">
        <f>IF($B16&lt;Analysis!$C$66,$P16+$N16+$X16+$Z16,$P16+$N16+AS16+AV16+BB16+BE16+BG16+MAX(BI16,SUM(BJ16:BN16))+BP16)</f>
        <v>-115145.53424111191</v>
      </c>
      <c r="BY16" s="1">
        <f t="shared" si="24"/>
        <v>123700.18801855287</v>
      </c>
      <c r="BZ16" s="1">
        <f t="shared" si="46"/>
        <v>8554.6537774409662</v>
      </c>
      <c r="CA16" s="1">
        <f>IF(BZ16 &lt; 0,
    IF(CA15 + BZ16 &gt; 0,
        CA15 + BZ16, IF(CF15-ABS(CA15 + BZ16)*(1+$V16) &gt;= CA15 + BZ16,
        0, CA15 + BZ16)),
    MIN(CA15 + BZ16, Analysis!$C$7))+IF(CA15&lt;0, CA15*Analysis!$C$9,0)</f>
        <v>-82390.597109028473</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-23768.564840194947</v>
      </c>
      <c r="CJ16" s="1">
        <f>IF(OR($B16&lt;Analysis!$C$100, $B16&gt;=Analysis!$C$130),0,Z16)</f>
        <v>-3960</v>
      </c>
      <c r="CK16" s="1">
        <f t="shared" si="26"/>
        <v>622724.39448743057</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-11644.41913090961</v>
      </c>
      <c r="CQ16" s="1">
        <f>IF(OR($B16&lt;Analysis!$C$100, $B16&gt;=Analysis!$C$101),0,IF($B16=Analysis!$C$100,-CM16-CP16,MIN(0,CQ15-CP16)))</f>
        <v>-243475.50212214416</v>
      </c>
      <c r="CR16" s="64">
        <f>IF(OR($B16&lt;Analysis!$C$100, $B16&gt;=Analysis!$C$101),0,IF($B16=Analysis!$C$100,Analysis!$C$102,IF(($B16-Analysis!$C$100)&lt;LOOKUP(Analysis!$C$100,$B:$B,CN:CN),CR15,0)))</f>
        <v>2.9600000000000001E-2</v>
      </c>
      <c r="CS16" s="1">
        <f>IF(OR($B16&lt;Analysis!$C$100, $B16&gt;=Analysis!$C$101),0,IF($B16=Analysis!$C$100,-CR16*CM16,CR15*CQ15))</f>
        <v>-7551.5496690903919</v>
      </c>
      <c r="CT16" s="1">
        <f>IF(OR($B16&lt;Analysis!$C$100, $B16&gt;=Analysis!$C$101),0,IF($B16=Analysis!$C$100,PMT(CR16,CN16,CM16)*CN16-CU16-CQ16,IF(($B16-Analysis!$C$100+1)&lt;LOOKUP(Analysis!$C$100,$B:$B,CN:CN),IF(CT15-CS16&lt;0, CT15-CS16,0),0)))</f>
        <v>-66277.028764546252</v>
      </c>
      <c r="CU16" s="1">
        <f>IF(OR($B16&lt;Analysis!$C$100, $B16&gt;=Analysis!$C$101),0,IF($B16=Analysis!$C$100,CP16+CS16,IF(CQ15&lt;0,IF(CQ15&gt;LOOKUP(Analysis!$C$100,$B:$B,CU:CU), CQ15*(1+CR15),CU15),0)))</f>
        <v>-19195.968800000002</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26625.667418632875</v>
      </c>
      <c r="DE16" s="1">
        <f t="shared" si="27"/>
        <v>-1868.1731834622917</v>
      </c>
      <c r="DF16" s="64">
        <f>IF(OR($B16&lt;Analysis!$C$100, $B16&gt;=Analysis!$C$101),0,Analysis!$C$118)</f>
        <v>3.0000000000000001E-3</v>
      </c>
      <c r="DG16" s="1">
        <f t="shared" si="28"/>
        <v>-4670.4329586557287</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-1559.8120676377937</v>
      </c>
      <c r="DR16" s="1">
        <f t="shared" si="29"/>
        <v>-20358.418209755815</v>
      </c>
      <c r="DS16" s="1">
        <f>MIN(0,-(DB16+DR16)*Analysis!$C$28)-CS16*Analysis!$C$28</f>
        <v>3151.5370715126683</v>
      </c>
      <c r="DT16" s="1">
        <f>-Analysis!$C$116*DD16/12</f>
        <v>-2218.8056182194064</v>
      </c>
      <c r="DU16" s="53"/>
      <c r="DV16" s="1">
        <f t="shared" si="30"/>
        <v>-79397.360297147403</v>
      </c>
      <c r="DW16" s="64">
        <f>IF(OR($B16&lt;Analysis!$C$100, $B16&gt;=Analysis!$C$101),0,IF($B16=Analysis!$C$100,Analysis!$C$31,DW15))</f>
        <v>0.1275</v>
      </c>
      <c r="DX16" s="1">
        <f>IF(OR($B16&lt;Analysis!$C$100, $B16&gt;=Analysis!$C$101),0,CK16+DV16)</f>
        <v>543327.03419028316</v>
      </c>
      <c r="DY16" s="1">
        <f>IF(OR($B16&lt;Analysis!$C$100, $B16&gt;=Analysis!$C$101),0,IF($B16-Analysis!$C$100&gt;3,0,IF(CK16&gt;LOOKUP(Analysis!$C$100,$B:$B, CK:CK),$V16*(LOOKUP(Analysis!$C$100,$B:$B, CK:CK)-CK16),0)))</f>
        <v>0</v>
      </c>
      <c r="DZ16" s="1">
        <f t="shared" si="49"/>
        <v>543327.03419028316</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IF($B16&lt;Analysis!$C$130,0,IF($B16=Analysis!$C$130,Analysis!$B$136,IF(($B16-Analysis!$C$130)&lt;LOOKUP(Analysis!$C$130,$B:$B,EE:EE),EI15,0)))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-123950.2203966575</v>
      </c>
      <c r="FM16" s="1">
        <f>$M16+$R16+DD16+IF(AND($B16&lt;&gt;Analysis!$C$130,$B16=Analysis!$C$101),DZ15+CQ15+CT15+CZ15,0)</f>
        <v>150325.85543718573</v>
      </c>
      <c r="FN16" s="1">
        <f t="shared" si="34"/>
        <v>26375.635040528228</v>
      </c>
      <c r="FO16" s="1">
        <f>IF(FN16 &lt; 0,
    IF(FO15 + FN16 &gt; 0,
        FO15 + FN16, IF(FT15-ABS(FO15 + FN16)*(1+$V16) &gt;= FO15 + FN16,
        0, FO15 + FN16)),
    MIN(FO15 + FN16, Analysis!$C$7))+IF(FO15&lt;0, FO15*Analysis!$C$9,0)</f>
        <v>24000</v>
      </c>
      <c r="FP16" s="53"/>
      <c r="FQ16" s="1">
        <f t="shared" si="51"/>
        <v>16006.599315833253</v>
      </c>
      <c r="FR16" s="1">
        <f>IF(OR($B16=Analysis!$C$100, $B16=Analysis!$C$130),0,IF(FN16 &gt;= 0,
    MAX(0, FO15 + FN16 - Analysis!$C$7),
    0))</f>
        <v>26375.635040528228</v>
      </c>
      <c r="FS16" s="1">
        <f>IF(OR($B16=Analysis!$C$100, $B16=Analysis!$C$130),0,MAX(0, FS15 + FR16 - IF(FN16 &lt; 0, MIN(ABS(FN16), FS15 + FR16), 0)))</f>
        <v>250815.23423601585</v>
      </c>
      <c r="FT16" s="1">
        <f>IF(OR($B16=Analysis!$C$100, $B16=Analysis!$C$130),0,IF(FN16 &lt; 0,
    IF(FN16 + FO15 &lt; 0,
        MAX(0, FT15 - (ABS(FN16 + FO15) * (1+$V15))),
        FT15 + FQ16),
    FT15 + FR16 + FQ16))</f>
        <v>336451.60219047283</v>
      </c>
      <c r="FU16" s="1">
        <f t="shared" si="55"/>
        <v>313865.0101424848</v>
      </c>
      <c r="FV16" s="36"/>
      <c r="FW16" s="1">
        <f t="shared" si="52"/>
        <v>622724.39448743057</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-11644.41913090961</v>
      </c>
      <c r="GC16" s="1">
        <f>IF($B16&lt;Analysis!$C$159,0,IF($B16=Analysis!$C$159,-FY16-GB16,MIN(0,GC15-GB16)))</f>
        <v>-243475.50212214416</v>
      </c>
      <c r="GD16" s="64">
        <f>IF($B16&lt;Analysis!$C$159,0,IF($B16=Analysis!$C$159,Analysis!$B$160,IF(($B16-Analysis!$C$159)&lt;LOOKUP(Analysis!$C$159,$B:$B,FZ:FZ),GD15,0)))</f>
        <v>2.9600000000000001E-2</v>
      </c>
      <c r="GE16" s="1">
        <f>IF($B16&lt;Analysis!$C$159,0,IF($B16=Analysis!$C$159,-GD16*FY16,GD15*GC15))</f>
        <v>-7551.5496690903919</v>
      </c>
      <c r="GF16" s="1">
        <f>IF($B16&lt;Analysis!$C$159,0,IF($B16=Analysis!$C$159,PMT(GD16,FZ16,FY16)*FZ16-GG16-GC16,IF(($B16-Analysis!$C$159+1)&lt;LOOKUP(Analysis!$C$159,$B:$B,FZ:FZ),IF(GF15-GE16&lt;0, GF15-GE16,0),0)))</f>
        <v>-66277.028764546252</v>
      </c>
      <c r="GG16" s="1">
        <f>IF($B16&lt;Analysis!$C$159,0,IF($B16=Analysis!$C$159,GB16+GE16,IF(GC15&lt;0,IF(GC15&gt;LOOKUP(Analysis!$C$159,$B:$B,GG:GG), GC15*(1+GD15),GG15),0)))</f>
        <v>-19195.968800000002</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26625.667418632875</v>
      </c>
      <c r="GQ16" s="1">
        <f t="shared" si="36"/>
        <v>-1868.1731834622917</v>
      </c>
      <c r="GR16" s="64">
        <f>IF($B16&lt;Analysis!$C$159,0,Analysis!$C$178)</f>
        <v>3.0000000000000001E-3</v>
      </c>
      <c r="GS16" s="1">
        <f t="shared" si="37"/>
        <v>-4670.4329586557287</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-1559.8120676377937</v>
      </c>
      <c r="HD16" s="1">
        <f t="shared" si="38"/>
        <v>-20358.418209755815</v>
      </c>
      <c r="HE16" s="1">
        <f>MIN(0,-(GN16+HD16)*Analysis!$C$28)-GE16*Analysis!$C$28</f>
        <v>3151.5370715126683</v>
      </c>
      <c r="HF16" s="1">
        <f>-Analysis!$C$176*GP16/12</f>
        <v>-2218.8056182194064</v>
      </c>
      <c r="HG16" s="38"/>
      <c r="HH16" s="1">
        <f>IF($B16&lt;Analysis!$C$159,0,-$HI16*$FW16)</f>
        <v>-79397.360297147403</v>
      </c>
      <c r="HI16" s="64">
        <f>IF($B16&lt;Analysis!$C$159,0,IF($B16=Analysis!$C$159,Analysis!$C$31,HI15))</f>
        <v>0.1275</v>
      </c>
      <c r="HJ16" s="1">
        <f>IF($B16&lt;Analysis!$C$159,0,$FW16+HH16)</f>
        <v>543327.03419028316</v>
      </c>
      <c r="HK16" s="1">
        <f>IF($B16-Analysis!$C$159&gt;10,0,IF($FW16&gt;LOOKUP(Analysis!$C$159,$B:$B, FW:FW),$V16*(LOOKUP(Analysis!$C$159,$B:$B, FW:FW)-FW16),0))</f>
        <v>0</v>
      </c>
      <c r="HL16" s="1">
        <f t="shared" si="39"/>
        <v>543327.03419028316</v>
      </c>
      <c r="HM16" s="38"/>
      <c r="HN16" s="1">
        <f t="shared" si="40"/>
        <v>-123950.2203966575</v>
      </c>
      <c r="HO16" s="1">
        <f t="shared" si="8"/>
        <v>150325.85543718573</v>
      </c>
      <c r="HP16" s="1">
        <f t="shared" si="41"/>
        <v>26375.635040528228</v>
      </c>
      <c r="HQ16" s="1">
        <f>IF(HP16 &lt; 0,
    IF(HQ15 + HP16 &gt; 0,
        HQ15 + HP16, IF(HV15-ABS(HQ15 + HP16)*(1+$V16) &gt;= HQ15 + HP16,
        0, HQ15 + HP16)),
    MIN(HQ15 + HP16, Analysis!$C$7))+IF(HQ15&lt;0, HQ15*Analysis!$C$9,0)</f>
        <v>24000</v>
      </c>
      <c r="HR16" s="38"/>
      <c r="HS16" s="1">
        <f t="shared" si="54"/>
        <v>16006.599315833253</v>
      </c>
      <c r="HT16" s="1">
        <f>IF($B16=Analysis!$C$159,0,IF(HP16 &gt;= 0,
    MAX(0, HQ15 + HP16 - Analysis!$C$7),
    0))</f>
        <v>26375.635040528228</v>
      </c>
      <c r="HU16" s="1">
        <f>IF($B16=Analysis!$C$159,0,MAX(0, HU15 + HT16 - IF(HP16 &lt; 0, MIN(ABS(HP16), HU15 + HT16), 0)))</f>
        <v>250815.23423601585</v>
      </c>
      <c r="HV16" s="1">
        <f>IF($B16=Analysis!$C$159,0,IF(HP16 &lt; 0,
    IF(HP16 + HQ15 &lt; 0,
        MAX(0, HV15 - (ABS(HP16 + HQ15) * (1+$V15))),
        HV15 + HS16),
    HV15 + HT16 + HS16))</f>
        <v>336451.60219047283</v>
      </c>
      <c r="HW16" s="1">
        <f t="shared" si="56"/>
        <v>313865.0101424848</v>
      </c>
      <c r="HX16" s="36"/>
    </row>
    <row r="17" spans="1:232" x14ac:dyDescent="0.35">
      <c r="A17">
        <f t="shared" si="0"/>
        <v>50</v>
      </c>
      <c r="B17">
        <v>2040</v>
      </c>
      <c r="C17" s="1">
        <f>IF($B17&lt;Analysis!C$66,0,$AN17)+$AT17+$AW17+$BC17+$CF17+$CA17</f>
        <v>465690.72751290677</v>
      </c>
      <c r="D17" s="1">
        <f>IF($B17&lt;Analysis!C$66, 0, BV17)+AT17+AW17+BC17+CG17+CA17</f>
        <v>329798.00949900807</v>
      </c>
      <c r="E17" s="1">
        <f t="shared" si="1"/>
        <v>714687.17090717575</v>
      </c>
      <c r="F17" s="1">
        <f t="shared" si="9"/>
        <v>648763.35078528314</v>
      </c>
      <c r="G17" s="1">
        <f>IF(AND($B17&gt;=Analysis!$C$100, $B17&lt;Analysis!$C$101),$CK17,0)+IF($B17&gt;=Analysis!$C$130,EB17,0)+CQ17+CT17+CZ17+EH17+EK17+EQ17+$FO17+$FT17</f>
        <v>755918.7707198757</v>
      </c>
      <c r="H17" s="1">
        <f t="shared" si="10"/>
        <v>646921.53452380723</v>
      </c>
      <c r="I17" s="1">
        <f>IF($B17&lt;Analysis!$C$159,0,$FW17)+$GC17+$GF17+$GL17+$HQ17+$HV17</f>
        <v>755918.7707198757</v>
      </c>
      <c r="J17" s="1">
        <f t="shared" si="2"/>
        <v>646921.53452380723</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33040.847576433989</v>
      </c>
      <c r="AI17" s="1">
        <f>IF(AE17 &gt;= 0,
    MAX(0, AF16 + AE17 - Analysis!$C$7),
    0)</f>
        <v>30888.48141857954</v>
      </c>
      <c r="AJ17" s="1">
        <f t="shared" si="44"/>
        <v>440739.03774360166</v>
      </c>
      <c r="AK17" s="1">
        <f t="shared" si="20"/>
        <v>690687.17090717575</v>
      </c>
      <c r="AL17" s="1">
        <f t="shared" si="5"/>
        <v>624763.35078528314</v>
      </c>
      <c r="AM17" s="36"/>
      <c r="AN17" s="1">
        <f t="shared" si="45"/>
        <v>1065825.2393246959</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-21493.787751959702</v>
      </c>
      <c r="AT17" s="1">
        <f>IF($B17&lt;Analysis!$C$66,0,IF($B17=Analysis!$C$66,-AP17-AS17,MIN(0,AT16-AS17)))</f>
        <v>-415003.81522237486</v>
      </c>
      <c r="AU17" s="64">
        <f>IF($B17&lt;Analysis!$C$66,0,IF($B17=Analysis!$C$66,Analysis!$C$72,IF(($B17-Analysis!$C$66)&lt;LOOKUP(Analysis!$C$66,$B:$B,AQ:AQ),AU16,0)))</f>
        <v>2.9600000000000001E-2</v>
      </c>
      <c r="AV17" s="1">
        <f>IF($B17&lt;Analysis!$C$66,0,IF($B17=Analysis!$C$66,-AU17*AP17,AU16*AT16))</f>
        <v>-12920.329048040303</v>
      </c>
      <c r="AW17" s="1">
        <f>IF($B17&lt;Analysis!$C$66,0,IF($B17=Analysis!$C$66,PMT(AU17,AQ17,AP17)*AQ17-AX17-AT17,IF(($B17-Analysis!$C$66+1)&lt;LOOKUP(Analysis!$C$66,$B:$B,AQ:AQ),IF(AW16-AV17&lt;0, AW16-AV17,0),0)))</f>
        <v>-105899.69159400495</v>
      </c>
      <c r="AX17" s="1">
        <f>IF($B17&lt;Analysis!$C$66,0,IF($B17=Analysis!$C$66,AS17+AV17,IF(AT16&lt;0,IF(AT16&gt;LOOKUP(Analysis!$C$66,$B:$B,AX:AX), AT16*(1+AU16),AX16),0)))</f>
        <v>-34414.116800000003</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-3197.4757179740877</v>
      </c>
      <c r="BF17" s="64">
        <f>IF($B17&lt;Analysis!$C$66,0,Analysis!$C$78)</f>
        <v>3.0000000000000001E-3</v>
      </c>
      <c r="BG17" s="1">
        <f>IF($B17&lt;Analysis!$C$66,0,-BH17*AN17)</f>
        <v>-7993.6892949352186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-135892.71801389873</v>
      </c>
      <c r="BS17" s="64">
        <f>IF($B17&lt;Analysis!C$66,0,Analysis!C$31)</f>
        <v>0.1275</v>
      </c>
      <c r="BT17" s="1">
        <f>IF($B17&lt;Analysis!$C$66,0,AN17+BR17)</f>
        <v>929932.52131079719</v>
      </c>
      <c r="BU17" s="1">
        <f>IF($B17-Analysis!$C$66&gt;3,0,IF($AN17&gt;LOOKUP(Analysis!$C$66,$B:$B, AN:AN),$V17*(LOOKUP(Analysis!$C$66,$B:$B, AN:AN)-AN17),0))</f>
        <v>0</v>
      </c>
      <c r="BV17" s="1">
        <f t="shared" si="23"/>
        <v>929932.52131079719</v>
      </c>
      <c r="BW17" s="42"/>
      <c r="BX17" s="1">
        <f>IF($B17&lt;Analysis!$C$66,$P17+$N17+$X17+$Z17,$P17+$N17+AS17+AV17+BB17+BE17+BG17+MAX(BI17,SUM(BJ17:BN17))+BP17)</f>
        <v>-115465.28181290931</v>
      </c>
      <c r="BY17" s="1">
        <f t="shared" si="24"/>
        <v>125216.12169525081</v>
      </c>
      <c r="BZ17" s="1">
        <f t="shared" si="46"/>
        <v>9750.8398823415046</v>
      </c>
      <c r="CA17" s="1">
        <f>IF(BZ17 &lt; 0,
    IF(CA16 + BZ17 &gt; 0,
        CA16 + BZ17, IF(CF16-ABS(CA16 + BZ17)*(1+$V17) &gt;= CA16 + BZ17,
        0, CA16 + BZ17)),
    MIN(CA16 + BZ17, Analysis!$C$7))+IF(CA16&lt;0, CA16*Analysis!$C$9,0)</f>
        <v>-79231.004995409254</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26"/>
        <v>641039.81785470806</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-11989.093937184534</v>
      </c>
      <c r="CQ17" s="1">
        <f>IF(OR($B17&lt;Analysis!$C$100, $B17&gt;=Analysis!$C$101),0,IF($B17=Analysis!$C$100,-CM17-CP17,MIN(0,CQ16-CP17)))</f>
        <v>-231486.40818495961</v>
      </c>
      <c r="CR17" s="64">
        <f>IF(OR($B17&lt;Analysis!$C$100, $B17&gt;=Analysis!$C$101),0,IF($B17=Analysis!$C$100,Analysis!$C$102,IF(($B17-Analysis!$C$100)&lt;LOOKUP(Analysis!$C$100,$B:$B,CN:CN),CR16,0)))</f>
        <v>2.9600000000000001E-2</v>
      </c>
      <c r="CS17" s="1">
        <f>IF(OR($B17&lt;Analysis!$C$100, $B17&gt;=Analysis!$C$101),0,IF($B17=Analysis!$C$100,-CR17*CM17,CR16*CQ16))</f>
        <v>-7206.8748628154672</v>
      </c>
      <c r="CT17" s="1">
        <f>IF(OR($B17&lt;Analysis!$C$100, $B17&gt;=Analysis!$C$101),0,IF($B17=Analysis!$C$100,PMT(CR17,CN17,CM17)*CN17-CU17-CQ17,IF(($B17-Analysis!$C$100+1)&lt;LOOKUP(Analysis!$C$100,$B:$B,CN:CN),IF(CT16-CS17&lt;0, CT16-CS17,0),0)))</f>
        <v>-59070.153901730788</v>
      </c>
      <c r="CU17" s="1">
        <f>IF(OR($B17&lt;Analysis!$C$100, $B17&gt;=Analysis!$C$101),0,IF($B17=Analysis!$C$100,CP17+CS17,IF(CQ16&lt;0,IF(CQ16&gt;LOOKUP(Analysis!$C$100,$B:$B,CU:CU), CQ16*(1+CR16),CU16),0)))</f>
        <v>-19195.968800000002</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27292.304695651488</v>
      </c>
      <c r="DE17" s="1">
        <f t="shared" si="27"/>
        <v>-1923.1194535641241</v>
      </c>
      <c r="DF17" s="64">
        <f>IF(OR($B17&lt;Analysis!$C$100, $B17&gt;=Analysis!$C$101),0,Analysis!$C$118)</f>
        <v>3.0000000000000001E-3</v>
      </c>
      <c r="DG17" s="1">
        <f t="shared" si="28"/>
        <v>-4807.7986339103099</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-1605.6888931565525</v>
      </c>
      <c r="DR17" s="1">
        <f t="shared" si="29"/>
        <v>-20596.606980630986</v>
      </c>
      <c r="DS17" s="1">
        <f>MIN(0,-(DB17+DR17)*Analysis!$C$28)-CS17*Analysis!$C$28</f>
        <v>2833.3128240622113</v>
      </c>
      <c r="DT17" s="1">
        <f>-Analysis!$C$116*DD17/12</f>
        <v>-2274.3587246376242</v>
      </c>
      <c r="DU17" s="53"/>
      <c r="DV17" s="1">
        <f t="shared" si="30"/>
        <v>-81732.576776475282</v>
      </c>
      <c r="DW17" s="64">
        <f>IF(OR($B17&lt;Analysis!$C$100, $B17&gt;=Analysis!$C$101),0,IF($B17=Analysis!$C$100,Analysis!$C$31,DW16))</f>
        <v>0.1275</v>
      </c>
      <c r="DX17" s="1">
        <f>IF(OR($B17&lt;Analysis!$C$100, $B17&gt;=Analysis!$C$101),0,CK17+DV17)</f>
        <v>559307.24107823276</v>
      </c>
      <c r="DY17" s="1">
        <f>IF(OR($B17&lt;Analysis!$C$100, $B17&gt;=Analysis!$C$101),0,IF($B17-Analysis!$C$100&gt;3,0,IF(CK17&gt;LOOKUP(Analysis!$C$100,$B:$B, CK:CK),$V17*(LOOKUP(Analysis!$C$100,$B:$B, CK:CK)-CK17),0)))</f>
        <v>0</v>
      </c>
      <c r="DZ17" s="1">
        <f t="shared" si="49"/>
        <v>559307.24107823276</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IF($B17&lt;Analysis!$C$130,0,IF($B17=Analysis!$C$130,Analysis!$B$136,IF(($B17-Analysis!$C$130)&lt;LOOKUP(Analysis!$C$130,$B:$B,EE:EE),EI16,0)))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-125261.26195787766</v>
      </c>
      <c r="FM17" s="1">
        <f>$M17+$R17+DD17+IF(AND($B17&lt;&gt;Analysis!$C$130,$B17=Analysis!$C$101),DZ16+CQ16+CT16+CZ16,0)</f>
        <v>152508.42639090231</v>
      </c>
      <c r="FN17" s="1">
        <f t="shared" si="34"/>
        <v>27247.164433024649</v>
      </c>
      <c r="FO17" s="1">
        <f>IF(FN17 &lt; 0,
    IF(FO16 + FN17 &gt; 0,
        FO16 + FN17, IF(FT16-ABS(FO16 + FN17)*(1+$V17) &gt;= FO16 + FN17,
        0, FO16 + FN17)),
    MIN(FO16 + FN17, Analysis!$C$7))+IF(FO16&lt;0, FO16*Analysis!$C$9,0)</f>
        <v>24000</v>
      </c>
      <c r="FP17" s="53"/>
      <c r="FQ17" s="1">
        <f t="shared" si="51"/>
        <v>17736.748328360565</v>
      </c>
      <c r="FR17" s="1">
        <f>IF(OR($B17=Analysis!$C$100, $B17=Analysis!$C$130),0,IF(FN17 &gt;= 0,
    MAX(0, FO16 + FN17 - Analysis!$C$7),
    0))</f>
        <v>27247.164433024649</v>
      </c>
      <c r="FS17" s="1">
        <f>IF(OR($B17=Analysis!$C$100, $B17=Analysis!$C$130),0,MAX(0, FS16 + FR17 - IF(FN17 &lt; 0, MIN(ABS(FN17), FS16 + FR17), 0)))</f>
        <v>278062.39866904053</v>
      </c>
      <c r="FT17" s="1">
        <f>IF(OR($B17=Analysis!$C$100, $B17=Analysis!$C$130),0,IF(FN17 &lt; 0,
    IF(FN17 + FO16 &lt; 0,
        MAX(0, FT16 - (ABS(FN17 + FO16) * (1+$V16))),
        FT16 + FQ17),
    FT16 + FR17 + FQ17))</f>
        <v>381435.51495185803</v>
      </c>
      <c r="FU17" s="1">
        <f>IF(FT17-FS17&gt;0, FT17-$V17*(FT17-FS17),FT17)</f>
        <v>354170.85553226492</v>
      </c>
      <c r="FV17" s="36"/>
      <c r="FW17" s="1">
        <f t="shared" si="52"/>
        <v>641039.81785470806</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-11989.093937184534</v>
      </c>
      <c r="GC17" s="1">
        <f>IF($B17&lt;Analysis!$C$159,0,IF($B17=Analysis!$C$159,-FY17-GB17,MIN(0,GC16-GB17)))</f>
        <v>-231486.40818495961</v>
      </c>
      <c r="GD17" s="64">
        <f>IF($B17&lt;Analysis!$C$159,0,IF($B17=Analysis!$C$159,Analysis!$B$160,IF(($B17-Analysis!$C$159)&lt;LOOKUP(Analysis!$C$159,$B:$B,FZ:FZ),GD16,0)))</f>
        <v>2.9600000000000001E-2</v>
      </c>
      <c r="GE17" s="1">
        <f>IF($B17&lt;Analysis!$C$159,0,IF($B17=Analysis!$C$159,-GD17*FY17,GD16*GC16))</f>
        <v>-7206.8748628154672</v>
      </c>
      <c r="GF17" s="1">
        <f>IF($B17&lt;Analysis!$C$159,0,IF($B17=Analysis!$C$159,PMT(GD17,FZ17,FY17)*FZ17-GG17-GC17,IF(($B17-Analysis!$C$159+1)&lt;LOOKUP(Analysis!$C$159,$B:$B,FZ:FZ),IF(GF16-GE17&lt;0, GF16-GE17,0),0)))</f>
        <v>-59070.153901730788</v>
      </c>
      <c r="GG17" s="1">
        <f>IF($B17&lt;Analysis!$C$159,0,IF($B17=Analysis!$C$159,GB17+GE17,IF(GC16&lt;0,IF(GC16&gt;LOOKUP(Analysis!$C$159,$B:$B,GG:GG), GC16*(1+GD16),GG16),0)))</f>
        <v>-19195.968800000002</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27292.304695651488</v>
      </c>
      <c r="GQ17" s="1">
        <f t="shared" si="36"/>
        <v>-1923.1194535641241</v>
      </c>
      <c r="GR17" s="64">
        <f>IF($B17&lt;Analysis!$C$159,0,Analysis!$C$178)</f>
        <v>3.0000000000000001E-3</v>
      </c>
      <c r="GS17" s="1">
        <f t="shared" si="37"/>
        <v>-4807.7986339103099</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-1605.6888931565525</v>
      </c>
      <c r="HD17" s="1">
        <f t="shared" si="38"/>
        <v>-20596.606980630986</v>
      </c>
      <c r="HE17" s="1">
        <f>MIN(0,-(GN17+HD17)*Analysis!$C$28)-GE17*Analysis!$C$28</f>
        <v>2833.3128240622113</v>
      </c>
      <c r="HF17" s="1">
        <f>-Analysis!$C$176*GP17/12</f>
        <v>-2274.3587246376242</v>
      </c>
      <c r="HG17" s="38"/>
      <c r="HH17" s="1">
        <f>IF($B17&lt;Analysis!$C$159,0,-$HI17*$FW17)</f>
        <v>-81732.576776475282</v>
      </c>
      <c r="HI17" s="64">
        <f>IF($B17&lt;Analysis!$C$159,0,IF($B17=Analysis!$C$159,Analysis!$C$31,HI16))</f>
        <v>0.1275</v>
      </c>
      <c r="HJ17" s="1">
        <f>IF($B17&lt;Analysis!$C$159,0,$FW17+HH17)</f>
        <v>559307.24107823276</v>
      </c>
      <c r="HK17" s="1">
        <f>IF($B17-Analysis!$C$159&gt;10,0,IF($FW17&gt;LOOKUP(Analysis!$C$159,$B:$B, FW:FW),$V17*(LOOKUP(Analysis!$C$159,$B:$B, FW:FW)-FW17),0))</f>
        <v>0</v>
      </c>
      <c r="HL17" s="1">
        <f t="shared" si="39"/>
        <v>559307.24107823276</v>
      </c>
      <c r="HM17" s="38"/>
      <c r="HN17" s="1">
        <f t="shared" si="40"/>
        <v>-125261.26195787766</v>
      </c>
      <c r="HO17" s="1">
        <f t="shared" si="8"/>
        <v>152508.42639090231</v>
      </c>
      <c r="HP17" s="1">
        <f t="shared" si="41"/>
        <v>27247.164433024649</v>
      </c>
      <c r="HQ17" s="1">
        <f>IF(HP17 &lt; 0,
    IF(HQ16 + HP17 &gt; 0,
        HQ16 + HP17, IF(HV16-ABS(HQ16 + HP17)*(1+$V17) &gt;= HQ16 + HP17,
        0, HQ16 + HP17)),
    MIN(HQ16 + HP17, Analysis!$C$7))+IF(HQ16&lt;0, HQ16*Analysis!$C$9,0)</f>
        <v>24000</v>
      </c>
      <c r="HR17" s="38"/>
      <c r="HS17" s="1">
        <f t="shared" si="54"/>
        <v>17736.748328360565</v>
      </c>
      <c r="HT17" s="1">
        <f>IF($B17=Analysis!$C$159,0,IF(HP17 &gt;= 0,
    MAX(0, HQ16 + HP17 - Analysis!$C$7),
    0))</f>
        <v>27247.164433024649</v>
      </c>
      <c r="HU17" s="1">
        <f>IF($B17=Analysis!$C$159,0,MAX(0, HU16 + HT17 - IF(HP17 &lt; 0, MIN(ABS(HP17), HU16 + HT17), 0)))</f>
        <v>278062.39866904053</v>
      </c>
      <c r="HV17" s="1">
        <f>IF($B17=Analysis!$C$159,0,IF(HP17 &lt; 0,
    IF(HP17 + HQ16 &lt; 0,
        MAX(0, HV16 - (ABS(HP17 + HQ16) * (1+$V16))),
        HV16 + HS17),
    HV16 + HT17 + HS17))</f>
        <v>381435.51495185803</v>
      </c>
      <c r="HW17" s="1">
        <f>IF(HV17-HU17&gt;0, HV17-$V17*(HV17-HU17),HV17)</f>
        <v>354170.85553226492</v>
      </c>
      <c r="HX17" s="36"/>
    </row>
    <row r="18" spans="1:232" x14ac:dyDescent="0.35">
      <c r="A18">
        <f t="shared" si="0"/>
        <v>51</v>
      </c>
      <c r="B18">
        <v>2041</v>
      </c>
      <c r="C18" s="1">
        <f>IF($B18&lt;Analysis!C$66,0,$AN18)+$AT18+$AW18+$BC18+$CF18+$CA18</f>
        <v>536070.36433536501</v>
      </c>
      <c r="D18" s="1">
        <f>IF($B18&lt;Analysis!C$66, 0, BV18)+AT18+AW18+BC18+CG18+CA18</f>
        <v>396180.80167399865</v>
      </c>
      <c r="E18" s="1">
        <f t="shared" si="1"/>
        <v>781617.50755653845</v>
      </c>
      <c r="F18" s="1">
        <f t="shared" si="9"/>
        <v>706402.57135039428</v>
      </c>
      <c r="G18" s="1">
        <f>IF(AND($B18&gt;=Analysis!$C$100, $B18&lt;Analysis!$C$101),$CK18,0)+IF($B18&gt;=Analysis!$C$130,EB18,0)+CQ18+CT18+CZ18+EH18+EK18+EQ18+$FO18+$FT18</f>
        <v>841541.42114769935</v>
      </c>
      <c r="H18" s="1">
        <f t="shared" si="10"/>
        <v>725009.21936133062</v>
      </c>
      <c r="I18" s="1">
        <f>IF($B18&lt;Analysis!$C$159,0,$FW18)+$GC18+$GF18+$GL18+$HQ18+$HV18</f>
        <v>841541.42114769935</v>
      </c>
      <c r="J18" s="1">
        <f t="shared" si="2"/>
        <v>725009.21936133062</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35226.980414223814</v>
      </c>
      <c r="AI18" s="1">
        <f>IF(AE18 &gt;= 0,
    MAX(0, AF17 + AE18 - Analysis!$C$7),
    0)</f>
        <v>31703.356235138839</v>
      </c>
      <c r="AJ18" s="1">
        <f t="shared" si="44"/>
        <v>472442.3939787405</v>
      </c>
      <c r="AK18" s="1">
        <f t="shared" si="20"/>
        <v>757617.50755653845</v>
      </c>
      <c r="AL18" s="1">
        <f t="shared" si="5"/>
        <v>682402.57135039428</v>
      </c>
      <c r="AM18" s="36"/>
      <c r="AN18" s="1">
        <f t="shared" si="45"/>
        <v>1097173.0404813047</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-22130.003869417706</v>
      </c>
      <c r="AT18" s="1">
        <f>IF($B18&lt;Analysis!$C$66,0,IF($B18=Analysis!$C$66,-AP18-AS18,MIN(0,AT17-AS18)))</f>
        <v>-392873.81135295716</v>
      </c>
      <c r="AU18" s="64">
        <f>IF($B18&lt;Analysis!$C$66,0,IF($B18=Analysis!$C$66,Analysis!$C$72,IF(($B18-Analysis!$C$66)&lt;LOOKUP(Analysis!$C$66,$B:$B,AQ:AQ),AU17,0)))</f>
        <v>2.9600000000000001E-2</v>
      </c>
      <c r="AV18" s="1">
        <f>IF($B18&lt;Analysis!$C$66,0,IF($B18=Analysis!$C$66,-AU18*AP18,AU17*AT17))</f>
        <v>-12284.112930582296</v>
      </c>
      <c r="AW18" s="1">
        <f>IF($B18&lt;Analysis!$C$66,0,IF($B18=Analysis!$C$66,PMT(AU18,AQ18,AP18)*AQ18-AX18-AT18,IF(($B18-Analysis!$C$66+1)&lt;LOOKUP(Analysis!$C$66,$B:$B,AQ:AQ),IF(AW17-AV18&lt;0, AW17-AV18,0),0)))</f>
        <v>-93615.578663422653</v>
      </c>
      <c r="AX18" s="1">
        <f>IF($B18&lt;Analysis!$C$66,0,IF($B18=Analysis!$C$66,AS18+AV18,IF(AT17&lt;0,IF(AT17&gt;LOOKUP(Analysis!$C$66,$B:$B,AX:AX), AT17*(1+AU17),AX17),0)))</f>
        <v>-34414.116800000003</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-3291.5191214439142</v>
      </c>
      <c r="BF18" s="64">
        <f>IF($B18&lt;Analysis!$C$66,0,Analysis!$C$78)</f>
        <v>3.0000000000000001E-3</v>
      </c>
      <c r="BG18" s="1">
        <f>IF($B18&lt;Analysis!$C$66,0,-BH18*AN18)</f>
        <v>-8228.7978036097848</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-139889.56266136636</v>
      </c>
      <c r="BS18" s="64">
        <f>IF($B18&lt;Analysis!C$66,0,Analysis!C$31)</f>
        <v>0.1275</v>
      </c>
      <c r="BT18" s="1">
        <f>IF($B18&lt;Analysis!$C$66,0,AN18+BR18)</f>
        <v>957283.47781993845</v>
      </c>
      <c r="BU18" s="1">
        <f>IF($B18-Analysis!$C$66&gt;3,0,IF($AN18&gt;LOOKUP(Analysis!$C$66,$B:$B, AN:AN),$V18*(LOOKUP(Analysis!$C$66,$B:$B, AN:AN)-AN18),0))</f>
        <v>0</v>
      </c>
      <c r="BV18" s="1">
        <f t="shared" si="23"/>
        <v>957283.47781993845</v>
      </c>
      <c r="BW18" s="42"/>
      <c r="BX18" s="1">
        <f>IF($B18&lt;Analysis!$C$66,$P18+$N18+$X18+$Z18,$P18+$N18+AS18+AV18+BB18+BE18+BG18+MAX(BI18,SUM(BJ18:BN18))+BP18)</f>
        <v>-115794.43372505371</v>
      </c>
      <c r="BY18" s="1">
        <f t="shared" si="24"/>
        <v>126750.63299053574</v>
      </c>
      <c r="BZ18" s="1">
        <f t="shared" si="46"/>
        <v>10956.199265482035</v>
      </c>
      <c r="CA18" s="1">
        <f>IF(BZ18 &lt; 0,
    IF(CA17 + BZ18 &gt; 0,
        CA17 + BZ18, IF(CF17-ABS(CA17 + BZ18)*(1+$V18) &gt;= CA17 + BZ18,
        0, CA17 + BZ18)),
    MIN(CA17 + BZ18, Analysis!$C$7))+IF(CA17&lt;0, CA17*Analysis!$C$9,0)</f>
        <v>-74613.286129559958</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26"/>
        <v>659893.93014455249</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-12343.971117725197</v>
      </c>
      <c r="CQ18" s="1">
        <f>IF(OR($B18&lt;Analysis!$C$100, $B18&gt;=Analysis!$C$101),0,IF($B18=Analysis!$C$100,-CM18-CP18,MIN(0,CQ17-CP18)))</f>
        <v>-219142.43706723442</v>
      </c>
      <c r="CR18" s="64">
        <f>IF(OR($B18&lt;Analysis!$C$100, $B18&gt;=Analysis!$C$101),0,IF($B18=Analysis!$C$100,Analysis!$C$102,IF(($B18-Analysis!$C$100)&lt;LOOKUP(Analysis!$C$100,$B:$B,CN:CN),CR17,0)))</f>
        <v>2.9600000000000001E-2</v>
      </c>
      <c r="CS18" s="1">
        <f>IF(OR($B18&lt;Analysis!$C$100, $B18&gt;=Analysis!$C$101),0,IF($B18=Analysis!$C$100,-CR18*CM18,CR17*CQ17))</f>
        <v>-6851.9976822748049</v>
      </c>
      <c r="CT18" s="1">
        <f>IF(OR($B18&lt;Analysis!$C$100, $B18&gt;=Analysis!$C$101),0,IF($B18=Analysis!$C$100,PMT(CR18,CN18,CM18)*CN18-CU18-CQ18,IF(($B18-Analysis!$C$100+1)&lt;LOOKUP(Analysis!$C$100,$B:$B,CN:CN),IF(CT17-CS18&lt;0, CT17-CS18,0),0)))</f>
        <v>-52218.156219455981</v>
      </c>
      <c r="CU18" s="1">
        <f>IF(OR($B18&lt;Analysis!$C$100, $B18&gt;=Analysis!$C$101),0,IF($B18=Analysis!$C$100,CP18+CS18,IF(CQ17&lt;0,IF(CQ17&gt;LOOKUP(Analysis!$C$100,$B:$B,CU:CU), CQ17*(1+CR17),CU17),0)))</f>
        <v>-19195.968800000002</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27978.548951405948</v>
      </c>
      <c r="DE18" s="1">
        <f t="shared" si="27"/>
        <v>-1979.6817904336576</v>
      </c>
      <c r="DF18" s="64">
        <f>IF(OR($B18&lt;Analysis!$C$100, $B18&gt;=Analysis!$C$101),0,Analysis!$C$118)</f>
        <v>3.0000000000000001E-3</v>
      </c>
      <c r="DG18" s="1">
        <f t="shared" si="28"/>
        <v>-4949.2044760841436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-1652.9150370729219</v>
      </c>
      <c r="DR18" s="1">
        <f t="shared" si="29"/>
        <v>-20841.801303590724</v>
      </c>
      <c r="DS18" s="1">
        <f>MIN(0,-(DB18+DR18)*Analysis!$C$28)-CS18*Analysis!$C$28</f>
        <v>2505.7002916101933</v>
      </c>
      <c r="DT18" s="1">
        <f>-Analysis!$C$116*DD18/12</f>
        <v>-2331.5457459504955</v>
      </c>
      <c r="DU18" s="53"/>
      <c r="DV18" s="1">
        <f t="shared" si="30"/>
        <v>-84136.47609343045</v>
      </c>
      <c r="DW18" s="64">
        <f>IF(OR($B18&lt;Analysis!$C$100, $B18&gt;=Analysis!$C$101),0,IF($B18=Analysis!$C$100,Analysis!$C$31,DW17))</f>
        <v>0.1275</v>
      </c>
      <c r="DX18" s="1">
        <f>IF(OR($B18&lt;Analysis!$C$100, $B18&gt;=Analysis!$C$101),0,CK18+DV18)</f>
        <v>575757.45405112207</v>
      </c>
      <c r="DY18" s="1">
        <f>IF(OR($B18&lt;Analysis!$C$100, $B18&gt;=Analysis!$C$101),0,IF($B18-Analysis!$C$100&gt;3,0,IF(CK18&gt;LOOKUP(Analysis!$C$100,$B:$B, CK:CK),$V18*(LOOKUP(Analysis!$C$100,$B:$B, CK:CK)-CK18),0)))</f>
        <v>0</v>
      </c>
      <c r="DZ18" s="1">
        <f t="shared" si="49"/>
        <v>575757.45405112207</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IF($B18&lt;Analysis!$C$130,0,IF($B18=Analysis!$C$130,Analysis!$B$136,IF(($B18-Analysis!$C$130)&lt;LOOKUP(Analysis!$C$130,$B:$B,EE:EE),EI17,0)))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-126610.89231332793</v>
      </c>
      <c r="FM18" s="1">
        <f>$M18+$R18+DD18+IF(AND($B18&lt;&gt;Analysis!$C$130,$B18=Analysis!$C$101),DZ17+CQ17+CT17+CZ17,0)</f>
        <v>154729.1819419417</v>
      </c>
      <c r="FN18" s="1">
        <f t="shared" si="34"/>
        <v>28118.289628613769</v>
      </c>
      <c r="FO18" s="1">
        <f>IF(FN18 &lt; 0,
    IF(FO17 + FN18 &gt; 0,
        FO17 + FN18, IF(FT17-ABS(FO17 + FN18)*(1+$V18) &gt;= FO17 + FN18,
        0, FO17 + FN18)),
    MIN(FO17 + FN18, Analysis!$C$7))+IF(FO17&lt;0, FO17*Analysis!$C$9,0)</f>
        <v>24000</v>
      </c>
      <c r="FP18" s="53"/>
      <c r="FQ18" s="1">
        <f t="shared" si="51"/>
        <v>19454.279709365426</v>
      </c>
      <c r="FR18" s="1">
        <f>IF(OR($B18=Analysis!$C$100, $B18=Analysis!$C$130),0,IF(FN18 &gt;= 0,
    MAX(0, FO17 + FN18 - Analysis!$C$7),
    0))</f>
        <v>28118.289628613769</v>
      </c>
      <c r="FS18" s="1">
        <f>IF(OR($B18=Analysis!$C$100, $B18=Analysis!$C$130),0,MAX(0, FS17 + FR18 - IF(FN18 &lt; 0, MIN(ABS(FN18), FS17 + FR18), 0)))</f>
        <v>306180.68829765427</v>
      </c>
      <c r="FT18" s="1">
        <f>IF(OR($B18=Analysis!$C$100, $B18=Analysis!$C$130),0,IF(FN18 &lt; 0,
    IF(FN18 + FO17 &lt; 0,
        MAX(0, FT17 - (ABS(FN18 + FO17) * (1+$V17))),
        FT17 + FQ18),
    FT17 + FR18 + FQ18))</f>
        <v>429008.08428983728</v>
      </c>
      <c r="FU18" s="1">
        <f>IF(FT18-FS18&gt;0, FT18-$V18*(FT18-FS18),FT18)</f>
        <v>396612.35859689902</v>
      </c>
      <c r="FV18" s="36"/>
      <c r="FW18" s="1">
        <f t="shared" si="52"/>
        <v>659893.93014455249</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-12343.971117725197</v>
      </c>
      <c r="GC18" s="1">
        <f>IF($B18&lt;Analysis!$C$159,0,IF($B18=Analysis!$C$159,-FY18-GB18,MIN(0,GC17-GB18)))</f>
        <v>-219142.43706723442</v>
      </c>
      <c r="GD18" s="64">
        <f>IF($B18&lt;Analysis!$C$159,0,IF($B18=Analysis!$C$159,Analysis!$B$160,IF(($B18-Analysis!$C$159)&lt;LOOKUP(Analysis!$C$159,$B:$B,FZ:FZ),GD17,0)))</f>
        <v>2.9600000000000001E-2</v>
      </c>
      <c r="GE18" s="1">
        <f>IF($B18&lt;Analysis!$C$159,0,IF($B18=Analysis!$C$159,-GD18*FY18,GD17*GC17))</f>
        <v>-6851.9976822748049</v>
      </c>
      <c r="GF18" s="1">
        <f>IF($B18&lt;Analysis!$C$159,0,IF($B18=Analysis!$C$159,PMT(GD18,FZ18,FY18)*FZ18-GG18-GC18,IF(($B18-Analysis!$C$159+1)&lt;LOOKUP(Analysis!$C$159,$B:$B,FZ:FZ),IF(GF17-GE18&lt;0, GF17-GE18,0),0)))</f>
        <v>-52218.156219455981</v>
      </c>
      <c r="GG18" s="1">
        <f>IF($B18&lt;Analysis!$C$159,0,IF($B18=Analysis!$C$159,GB18+GE18,IF(GC17&lt;0,IF(GC17&gt;LOOKUP(Analysis!$C$159,$B:$B,GG:GG), GC17*(1+GD17),GG17),0)))</f>
        <v>-19195.968800000002</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27978.548951405948</v>
      </c>
      <c r="GQ18" s="1">
        <f t="shared" si="36"/>
        <v>-1979.6817904336576</v>
      </c>
      <c r="GR18" s="64">
        <f>IF($B18&lt;Analysis!$C$159,0,Analysis!$C$178)</f>
        <v>3.0000000000000001E-3</v>
      </c>
      <c r="GS18" s="1">
        <f t="shared" si="37"/>
        <v>-4949.2044760841436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-1652.9150370729219</v>
      </c>
      <c r="HD18" s="1">
        <f t="shared" si="38"/>
        <v>-20841.801303590724</v>
      </c>
      <c r="HE18" s="1">
        <f>MIN(0,-(GN18+HD18)*Analysis!$C$28)-GE18*Analysis!$C$28</f>
        <v>2505.7002916101933</v>
      </c>
      <c r="HF18" s="1">
        <f>-Analysis!$C$176*GP18/12</f>
        <v>-2331.5457459504955</v>
      </c>
      <c r="HG18" s="38"/>
      <c r="HH18" s="1">
        <f>IF($B18&lt;Analysis!$C$159,0,-$HI18*$FW18)</f>
        <v>-84136.47609343045</v>
      </c>
      <c r="HI18" s="64">
        <f>IF($B18&lt;Analysis!$C$159,0,IF($B18=Analysis!$C$159,Analysis!$C$31,HI17))</f>
        <v>0.1275</v>
      </c>
      <c r="HJ18" s="1">
        <f>IF($B18&lt;Analysis!$C$159,0,$FW18+HH18)</f>
        <v>575757.45405112207</v>
      </c>
      <c r="HK18" s="1">
        <f>IF($B18-Analysis!$C$159&gt;10,0,IF($FW18&gt;LOOKUP(Analysis!$C$159,$B:$B, FW:FW),$V18*(LOOKUP(Analysis!$C$159,$B:$B, FW:FW)-FW18),0))</f>
        <v>0</v>
      </c>
      <c r="HL18" s="1">
        <f t="shared" si="39"/>
        <v>575757.45405112207</v>
      </c>
      <c r="HM18" s="38"/>
      <c r="HN18" s="1">
        <f t="shared" si="40"/>
        <v>-126610.89231332793</v>
      </c>
      <c r="HO18" s="1">
        <f t="shared" si="8"/>
        <v>154729.1819419417</v>
      </c>
      <c r="HP18" s="1">
        <f t="shared" si="41"/>
        <v>28118.289628613769</v>
      </c>
      <c r="HQ18" s="1">
        <f>IF(HP18 &lt; 0,
    IF(HQ17 + HP18 &gt; 0,
        HQ17 + HP18, IF(HV17-ABS(HQ17 + HP18)*(1+$V18) &gt;= HQ17 + HP18,
        0, HQ17 + HP18)),
    MIN(HQ17 + HP18, Analysis!$C$7))+IF(HQ17&lt;0, HQ17*Analysis!$C$9,0)</f>
        <v>24000</v>
      </c>
      <c r="HR18" s="38"/>
      <c r="HS18" s="1">
        <f t="shared" si="54"/>
        <v>19454.279709365426</v>
      </c>
      <c r="HT18" s="1">
        <f>IF($B18=Analysis!$C$159,0,IF(HP18 &gt;= 0,
    MAX(0, HQ17 + HP18 - Analysis!$C$7),
    0))</f>
        <v>28118.289628613769</v>
      </c>
      <c r="HU18" s="1">
        <f>IF($B18=Analysis!$C$159,0,MAX(0, HU17 + HT18 - IF(HP18 &lt; 0, MIN(ABS(HP18), HU17 + HT18), 0)))</f>
        <v>306180.68829765427</v>
      </c>
      <c r="HV18" s="1">
        <f>IF($B18=Analysis!$C$159,0,IF(HP18 &lt; 0,
    IF(HP18 + HQ17 &lt; 0,
        MAX(0, HV17 - (ABS(HP18 + HQ17) * (1+$V17))),
        HV17 + HS18),
    HV17 + HT18 + HS18))</f>
        <v>429008.08428983728</v>
      </c>
      <c r="HW18" s="1">
        <f>IF(HV18-HU18&gt;0, HV18-$V18*(HV18-HU18),HV18)</f>
        <v>396612.35859689902</v>
      </c>
      <c r="HX18" s="36"/>
    </row>
    <row r="19" spans="1:232" x14ac:dyDescent="0.35">
      <c r="A19">
        <f t="shared" si="0"/>
        <v>52</v>
      </c>
      <c r="B19">
        <v>2042</v>
      </c>
      <c r="C19" s="1">
        <f>IF($B19&lt;Analysis!C$66,0,$AN19)+$AT19+$AW19+$BC19+$CF19+$CA19</f>
        <v>608955.8965487855</v>
      </c>
      <c r="D19" s="1">
        <f>IF($B19&lt;Analysis!C$66, 0, BV19)+AT19+AW19+BC19+CG19+CA19</f>
        <v>464951.93498561438</v>
      </c>
      <c r="E19" s="1">
        <f t="shared" si="1"/>
        <v>851475.22030811093</v>
      </c>
      <c r="F19" s="1">
        <f t="shared" si="9"/>
        <v>766411.37322351581</v>
      </c>
      <c r="G19" s="1">
        <f>IF(AND($B19&gt;=Analysis!$C$100, $B19&lt;Analysis!$C$101),$CK19,0)+IF($B19&gt;=Analysis!$C$130,EB19,0)+CQ19+CT19+CZ19+EH19+EK19+EQ19+$FO19+$FT19</f>
        <v>930279.88567838795</v>
      </c>
      <c r="H19" s="1">
        <f t="shared" si="10"/>
        <v>805696.04265189171</v>
      </c>
      <c r="I19" s="1">
        <f>IF($B19&lt;Analysis!$C$159,0,$FW19)+$GC19+$GF19+$GL19+$HQ19+$HV19</f>
        <v>930279.88567838795</v>
      </c>
      <c r="J19" s="1">
        <f t="shared" si="2"/>
        <v>805696.04265189171</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37341.842193178993</v>
      </c>
      <c r="AI19" s="1">
        <f>IF(AE19 &gt;= 0,
    MAX(0, AF18 + AE19 - Analysis!$C$7),
    0)</f>
        <v>32515.870558393523</v>
      </c>
      <c r="AJ19" s="1">
        <f t="shared" si="44"/>
        <v>504958.26453713403</v>
      </c>
      <c r="AK19" s="1">
        <f t="shared" si="20"/>
        <v>827475.22030811093</v>
      </c>
      <c r="AL19" s="1">
        <f t="shared" si="5"/>
        <v>742411.37322351581</v>
      </c>
      <c r="AM19" s="36"/>
      <c r="AN19" s="1">
        <f t="shared" si="45"/>
        <v>1129442.8357895785</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-22785.051983952471</v>
      </c>
      <c r="AT19" s="1">
        <f>IF($B19&lt;Analysis!$C$66,0,IF($B19=Analysis!$C$66,-AP19-AS19,MIN(0,AT18-AS19)))</f>
        <v>-370088.75936900469</v>
      </c>
      <c r="AU19" s="64">
        <f>IF($B19&lt;Analysis!$C$66,0,IF($B19=Analysis!$C$66,Analysis!$C$72,IF(($B19-Analysis!$C$66)&lt;LOOKUP(Analysis!$C$66,$B:$B,AQ:AQ),AU18,0)))</f>
        <v>2.9600000000000001E-2</v>
      </c>
      <c r="AV19" s="1">
        <f>IF($B19&lt;Analysis!$C$66,0,IF($B19=Analysis!$C$66,-AU19*AP19,AU18*AT18))</f>
        <v>-11629.064816047532</v>
      </c>
      <c r="AW19" s="1">
        <f>IF($B19&lt;Analysis!$C$66,0,IF($B19=Analysis!$C$66,PMT(AU19,AQ19,AP19)*AQ19-AX19-AT19,IF(($B19-Analysis!$C$66+1)&lt;LOOKUP(Analysis!$C$66,$B:$B,AQ:AQ),IF(AW18-AV19&lt;0, AW18-AV19,0),0)))</f>
        <v>-81986.513847375114</v>
      </c>
      <c r="AX19" s="1">
        <f>IF($B19&lt;Analysis!$C$66,0,IF($B19=Analysis!$C$66,AS19+AV19,IF(AT18&lt;0,IF(AT18&gt;LOOKUP(Analysis!$C$66,$B:$B,AX:AX), AT18*(1+AU18),AX18),0)))</f>
        <v>-34414.116800000003</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-3388.3285073687357</v>
      </c>
      <c r="BF19" s="64">
        <f>IF($B19&lt;Analysis!$C$66,0,Analysis!$C$78)</f>
        <v>3.0000000000000001E-3</v>
      </c>
      <c r="BG19" s="1">
        <f>IF($B19&lt;Analysis!$C$66,0,-BH19*AN19)</f>
        <v>-8470.8212684218379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-144003.96156317127</v>
      </c>
      <c r="BS19" s="64">
        <f>IF($B19&lt;Analysis!C$66,0,Analysis!C$31)</f>
        <v>0.1275</v>
      </c>
      <c r="BT19" s="1">
        <f>IF($B19&lt;Analysis!$C$66,0,AN19+BR19)</f>
        <v>985438.87422640726</v>
      </c>
      <c r="BU19" s="1">
        <f>IF($B19-Analysis!$C$66&gt;3,0,IF($AN19&gt;LOOKUP(Analysis!$C$66,$B:$B, AN:AN),$V19*(LOOKUP(Analysis!$C$66,$B:$B, AN:AN)-AN19),0))</f>
        <v>0</v>
      </c>
      <c r="BV19" s="1">
        <f t="shared" si="23"/>
        <v>985438.87422640726</v>
      </c>
      <c r="BW19" s="42"/>
      <c r="BX19" s="1">
        <f>IF($B19&lt;Analysis!$C$66,$P19+$N19+$X19+$Z19,$P19+$N19+AS19+AV19+BB19+BE19+BG19+MAX(BI19,SUM(BJ19:BN19))+BP19)</f>
        <v>-116133.26657579056</v>
      </c>
      <c r="BY19" s="1">
        <f t="shared" si="24"/>
        <v>128303.9495713021</v>
      </c>
      <c r="BZ19" s="1">
        <f t="shared" si="46"/>
        <v>12170.682995511539</v>
      </c>
      <c r="CA19" s="1">
        <f>IF(BZ19 &lt; 0,
    IF(CA18 + BZ19 &gt; 0,
        CA18 + BZ19, IF(CF18-ABS(CA18 + BZ19)*(1+$V19) &gt;= CA18 + BZ19,
        0, CA18 + BZ19)),
    MIN(CA18 + BZ19, Analysis!$C$7))+IF(CA18&lt;0, CA18*Analysis!$C$9,0)</f>
        <v>-68411.666024413222</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-25928.079012908576</v>
      </c>
      <c r="CJ19" s="1">
        <f>IF(OR($B19&lt;Analysis!$C$100, $B19&gt;=Analysis!$C$130),0,Z19)</f>
        <v>-3960</v>
      </c>
      <c r="CK19" s="1">
        <f t="shared" si="26"/>
        <v>679302.57514880411</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-12709.352662809863</v>
      </c>
      <c r="CQ19" s="1">
        <f>IF(OR($B19&lt;Analysis!$C$100, $B19&gt;=Analysis!$C$101),0,IF($B19=Analysis!$C$100,-CM19-CP19,MIN(0,CQ18-CP19)))</f>
        <v>-206433.08440442456</v>
      </c>
      <c r="CR19" s="64">
        <f>IF(OR($B19&lt;Analysis!$C$100, $B19&gt;=Analysis!$C$101),0,IF($B19=Analysis!$C$100,Analysis!$C$102,IF(($B19-Analysis!$C$100)&lt;LOOKUP(Analysis!$C$100,$B:$B,CN:CN),CR18,0)))</f>
        <v>2.9600000000000001E-2</v>
      </c>
      <c r="CS19" s="1">
        <f>IF(OR($B19&lt;Analysis!$C$100, $B19&gt;=Analysis!$C$101),0,IF($B19=Analysis!$C$100,-CR19*CM19,CR18*CQ18))</f>
        <v>-6486.6161371901389</v>
      </c>
      <c r="CT19" s="1">
        <f>IF(OR($B19&lt;Analysis!$C$100, $B19&gt;=Analysis!$C$101),0,IF($B19=Analysis!$C$100,PMT(CR19,CN19,CM19)*CN19-CU19-CQ19,IF(($B19-Analysis!$C$100+1)&lt;LOOKUP(Analysis!$C$100,$B:$B,CN:CN),IF(CT18-CS19&lt;0, CT18-CS19,0),0)))</f>
        <v>-45731.540082265841</v>
      </c>
      <c r="CU19" s="1">
        <f>IF(OR($B19&lt;Analysis!$C$100, $B19&gt;=Analysis!$C$101),0,IF($B19=Analysis!$C$100,CP19+CS19,IF(CQ18&lt;0,IF(CQ18&gt;LOOKUP(Analysis!$C$100,$B:$B,CU:CU), CQ18*(1+CR18),CU18),0)))</f>
        <v>-19195.968800000002</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28684.976861741423</v>
      </c>
      <c r="DE19" s="1">
        <f t="shared" si="27"/>
        <v>-2037.9077254464123</v>
      </c>
      <c r="DF19" s="64">
        <f>IF(OR($B19&lt;Analysis!$C$100, $B19&gt;=Analysis!$C$101),0,Analysis!$C$118)</f>
        <v>3.0000000000000001E-3</v>
      </c>
      <c r="DG19" s="1">
        <f t="shared" si="28"/>
        <v>-5094.7693136160306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-1701.5301852221257</v>
      </c>
      <c r="DR19" s="1">
        <f t="shared" si="29"/>
        <v>-21094.207224284572</v>
      </c>
      <c r="DS19" s="1">
        <f>MIN(0,-(DB19+DR19)*Analysis!$C$28)-CS19*Analysis!$C$28</f>
        <v>2168.4224971771255</v>
      </c>
      <c r="DT19" s="1">
        <f>-Analysis!$C$116*DD19/12</f>
        <v>-2390.4147384784519</v>
      </c>
      <c r="DU19" s="53"/>
      <c r="DV19" s="1">
        <f t="shared" si="30"/>
        <v>-86611.078331472527</v>
      </c>
      <c r="DW19" s="64">
        <f>IF(OR($B19&lt;Analysis!$C$100, $B19&gt;=Analysis!$C$101),0,IF($B19=Analysis!$C$100,Analysis!$C$31,DW18))</f>
        <v>0.1275</v>
      </c>
      <c r="DX19" s="1">
        <f>IF(OR($B19&lt;Analysis!$C$100, $B19&gt;=Analysis!$C$101),0,CK19+DV19)</f>
        <v>592691.49681733153</v>
      </c>
      <c r="DY19" s="1">
        <f>IF(OR($B19&lt;Analysis!$C$100, $B19&gt;=Analysis!$C$101),0,IF($B19-Analysis!$C$100&gt;3,0,IF(CK19&gt;LOOKUP(Analysis!$C$100,$B:$B, CK:CK),$V19*(LOOKUP(Analysis!$C$100,$B:$B, CK:CK)-CK19),0)))</f>
        <v>0</v>
      </c>
      <c r="DZ19" s="1">
        <f t="shared" si="49"/>
        <v>592691.49681733153</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IF($B19&lt;Analysis!$C$130,0,IF($B19=Analysis!$C$130,Analysis!$B$136,IF(($B19-Analysis!$C$130)&lt;LOOKUP(Analysis!$C$130,$B:$B,EE:EE),EI18,0)))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-128000.2472784945</v>
      </c>
      <c r="FM19" s="1">
        <f>$M19+$R19+DD19+IF(AND($B19&lt;&gt;Analysis!$C$130,$B19=Analysis!$C$101),DZ18+CQ18+CT18+CZ18,0)</f>
        <v>156988.92643304353</v>
      </c>
      <c r="FN19" s="1">
        <f t="shared" si="34"/>
        <v>28988.679154549027</v>
      </c>
      <c r="FO19" s="1">
        <f>IF(FN19 &lt; 0,
    IF(FO18 + FN19 &gt; 0,
        FO18 + FN19, IF(FT18-ABS(FO18 + FN19)*(1+$V19) &gt;= FO18 + FN19,
        0, FO18 + FN19)),
    MIN(FO18 + FN19, Analysis!$C$7))+IF(FO18&lt;0, FO18*Analysis!$C$9,0)</f>
        <v>24000</v>
      </c>
      <c r="FP19" s="53"/>
      <c r="FQ19" s="1">
        <f t="shared" si="51"/>
        <v>21145.171571887968</v>
      </c>
      <c r="FR19" s="1">
        <f>IF(OR($B19=Analysis!$C$100, $B19=Analysis!$C$130),0,IF(FN19 &gt;= 0,
    MAX(0, FO18 + FN19 - Analysis!$C$7),
    0))</f>
        <v>28988.679154549027</v>
      </c>
      <c r="FS19" s="1">
        <f>IF(OR($B19=Analysis!$C$100, $B19=Analysis!$C$130),0,MAX(0, FS18 + FR19 - IF(FN19 &lt; 0, MIN(ABS(FN19), FS18 + FR19), 0)))</f>
        <v>335169.3674522033</v>
      </c>
      <c r="FT19" s="1">
        <f>IF(OR($B19=Analysis!$C$100, $B19=Analysis!$C$130),0,IF(FN19 &lt; 0,
    IF(FN19 + FO18 &lt; 0,
        MAX(0, FT18 - (ABS(FN19 + FO18) * (1+$V18))),
        FT18 + FQ19),
    FT18 + FR19 + FQ19))</f>
        <v>479141.93501627428</v>
      </c>
      <c r="FU19" s="1">
        <f t="shared" ref="FU19:FU52" si="57">IF(FT19-FS19&gt;0, FT19-$V19*(FT19-FS19),FT19)</f>
        <v>441169.17032125057</v>
      </c>
      <c r="FV19" s="36"/>
      <c r="FW19" s="1">
        <f t="shared" si="52"/>
        <v>679302.57514880411</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-12709.352662809863</v>
      </c>
      <c r="GC19" s="1">
        <f>IF($B19&lt;Analysis!$C$159,0,IF($B19=Analysis!$C$159,-FY19-GB19,MIN(0,GC18-GB19)))</f>
        <v>-206433.08440442456</v>
      </c>
      <c r="GD19" s="64">
        <f>IF($B19&lt;Analysis!$C$159,0,IF($B19=Analysis!$C$159,Analysis!$B$160,IF(($B19-Analysis!$C$159)&lt;LOOKUP(Analysis!$C$159,$B:$B,FZ:FZ),GD18,0)))</f>
        <v>2.9600000000000001E-2</v>
      </c>
      <c r="GE19" s="1">
        <f>IF($B19&lt;Analysis!$C$159,0,IF($B19=Analysis!$C$159,-GD19*FY19,GD18*GC18))</f>
        <v>-6486.6161371901389</v>
      </c>
      <c r="GF19" s="1">
        <f>IF($B19&lt;Analysis!$C$159,0,IF($B19=Analysis!$C$159,PMT(GD19,FZ19,FY19)*FZ19-GG19-GC19,IF(($B19-Analysis!$C$159+1)&lt;LOOKUP(Analysis!$C$159,$B:$B,FZ:FZ),IF(GF18-GE19&lt;0, GF18-GE19,0),0)))</f>
        <v>-45731.540082265841</v>
      </c>
      <c r="GG19" s="1">
        <f>IF($B19&lt;Analysis!$C$159,0,IF($B19=Analysis!$C$159,GB19+GE19,IF(GC18&lt;0,IF(GC18&gt;LOOKUP(Analysis!$C$159,$B:$B,GG:GG), GC18*(1+GD18),GG18),0)))</f>
        <v>-19195.968800000002</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28684.976861741423</v>
      </c>
      <c r="GQ19" s="1">
        <f t="shared" si="36"/>
        <v>-2037.9077254464123</v>
      </c>
      <c r="GR19" s="64">
        <f>IF($B19&lt;Analysis!$C$159,0,Analysis!$C$178)</f>
        <v>3.0000000000000001E-3</v>
      </c>
      <c r="GS19" s="1">
        <f t="shared" si="37"/>
        <v>-5094.7693136160306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-1701.5301852221257</v>
      </c>
      <c r="HD19" s="1">
        <f t="shared" si="38"/>
        <v>-21094.207224284572</v>
      </c>
      <c r="HE19" s="1">
        <f>MIN(0,-(GN19+HD19)*Analysis!$C$28)-GE19*Analysis!$C$28</f>
        <v>2168.4224971771255</v>
      </c>
      <c r="HF19" s="1">
        <f>-Analysis!$C$176*GP19/12</f>
        <v>-2390.4147384784519</v>
      </c>
      <c r="HG19" s="38"/>
      <c r="HH19" s="1">
        <f>IF($B19&lt;Analysis!$C$159,0,-$HI19*$FW19)</f>
        <v>-86611.078331472527</v>
      </c>
      <c r="HI19" s="64">
        <f>IF($B19&lt;Analysis!$C$159,0,IF($B19=Analysis!$C$159,Analysis!$C$31,HI18))</f>
        <v>0.1275</v>
      </c>
      <c r="HJ19" s="1">
        <f>IF($B19&lt;Analysis!$C$159,0,$FW19+HH19)</f>
        <v>592691.49681733153</v>
      </c>
      <c r="HK19" s="1">
        <f>IF($B19-Analysis!$C$159&gt;10,0,IF($FW19&gt;LOOKUP(Analysis!$C$159,$B:$B, FW:FW),$V19*(LOOKUP(Analysis!$C$159,$B:$B, FW:FW)-FW19),0))</f>
        <v>0</v>
      </c>
      <c r="HL19" s="1">
        <f t="shared" si="39"/>
        <v>592691.49681733153</v>
      </c>
      <c r="HM19" s="38"/>
      <c r="HN19" s="1">
        <f t="shared" si="40"/>
        <v>-128000.2472784945</v>
      </c>
      <c r="HO19" s="1">
        <f t="shared" si="8"/>
        <v>156988.92643304353</v>
      </c>
      <c r="HP19" s="1">
        <f t="shared" si="41"/>
        <v>28988.679154549027</v>
      </c>
      <c r="HQ19" s="1">
        <f>IF(HP19 &lt; 0,
    IF(HQ18 + HP19 &gt; 0,
        HQ18 + HP19, IF(HV18-ABS(HQ18 + HP19)*(1+$V19) &gt;= HQ18 + HP19,
        0, HQ18 + HP19)),
    MIN(HQ18 + HP19, Analysis!$C$7))+IF(HQ18&lt;0, HQ18*Analysis!$C$9,0)</f>
        <v>24000</v>
      </c>
      <c r="HR19" s="38"/>
      <c r="HS19" s="1">
        <f t="shared" si="54"/>
        <v>21145.171571887968</v>
      </c>
      <c r="HT19" s="1">
        <f>IF($B19=Analysis!$C$159,0,IF(HP19 &gt;= 0,
    MAX(0, HQ18 + HP19 - Analysis!$C$7),
    0))</f>
        <v>28988.679154549027</v>
      </c>
      <c r="HU19" s="1">
        <f>IF($B19=Analysis!$C$159,0,MAX(0, HU18 + HT19 - IF(HP19 &lt; 0, MIN(ABS(HP19), HU18 + HT19), 0)))</f>
        <v>335169.3674522033</v>
      </c>
      <c r="HV19" s="1">
        <f>IF($B19=Analysis!$C$159,0,IF(HP19 &lt; 0,
    IF(HP19 + HQ18 &lt; 0,
        MAX(0, HV18 - (ABS(HP19 + HQ18) * (1+$V18))),
        HV18 + HS19),
    HV18 + HT19 + HS19))</f>
        <v>479141.93501627428</v>
      </c>
      <c r="HW19" s="1">
        <f t="shared" ref="HW19:HW52" si="58">IF(HV19-HU19&gt;0, HV19-$V19*(HV19-HU19),HV19)</f>
        <v>441169.17032125057</v>
      </c>
      <c r="HX19" s="36"/>
    </row>
    <row r="20" spans="1:232" x14ac:dyDescent="0.35">
      <c r="A20">
        <f t="shared" si="0"/>
        <v>53</v>
      </c>
      <c r="B20">
        <v>2043</v>
      </c>
      <c r="C20" s="1">
        <f>IF($B20&lt;Analysis!C$66,0,$AN20)+$AT20+$AW20+$BC20+$CF20+$CA20</f>
        <v>684510.22379769199</v>
      </c>
      <c r="D20" s="1">
        <f>IF($B20&lt;Analysis!C$66, 0, BV20)+AT20+AW20+BC20+CG20+CA20</f>
        <v>536270.85160030983</v>
      </c>
      <c r="E20" s="1">
        <f t="shared" si="1"/>
        <v>924167.34882575355</v>
      </c>
      <c r="F20" s="1">
        <f t="shared" si="9"/>
        <v>828720.58836965472</v>
      </c>
      <c r="G20" s="1">
        <f>IF(AND($B20&gt;=Analysis!$C$100, $B20&lt;Analysis!$C$101),$CK20,0)+IF($B20&gt;=Analysis!$C$130,EB20,0)+CQ20+CT20+CZ20+EH20+EK20+EQ20+$FO20+$FT20</f>
        <v>1022108.1383118869</v>
      </c>
      <c r="H20" s="1">
        <f t="shared" si="10"/>
        <v>888964.77989423112</v>
      </c>
      <c r="I20" s="1">
        <f>IF($B20&lt;Analysis!$C$159,0,$FW20)+$GC20+$GF20+$GL20+$HQ20+$HV20</f>
        <v>1022108.1383118869</v>
      </c>
      <c r="J20" s="1">
        <f t="shared" si="2"/>
        <v>888964.77989423112</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39366.496195274536</v>
      </c>
      <c r="AI20" s="1">
        <f>IF(AE20 &gt;= 0,
    MAX(0, AF19 + AE20 - Analysis!$C$7),
    0)</f>
        <v>33325.632322368052</v>
      </c>
      <c r="AJ20" s="1">
        <f t="shared" si="44"/>
        <v>538283.89685950207</v>
      </c>
      <c r="AK20" s="1">
        <f t="shared" si="20"/>
        <v>900167.34882575355</v>
      </c>
      <c r="AL20" s="1">
        <f t="shared" si="5"/>
        <v>804720.58836965472</v>
      </c>
      <c r="AM20" s="36"/>
      <c r="AN20" s="1">
        <f t="shared" si="45"/>
        <v>1162661.7427245663</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-23459.489522677464</v>
      </c>
      <c r="AT20" s="1">
        <f>IF($B20&lt;Analysis!$C$66,0,IF($B20=Analysis!$C$66,-AP20-AS20,MIN(0,AT19-AS20)))</f>
        <v>-346629.26984632725</v>
      </c>
      <c r="AU20" s="64">
        <f>IF($B20&lt;Analysis!$C$66,0,IF($B20=Analysis!$C$66,Analysis!$C$72,IF(($B20-Analysis!$C$66)&lt;LOOKUP(Analysis!$C$66,$B:$B,AQ:AQ),AU19,0)))</f>
        <v>2.9600000000000001E-2</v>
      </c>
      <c r="AV20" s="1">
        <f>IF($B20&lt;Analysis!$C$66,0,IF($B20=Analysis!$C$66,-AU20*AP20,AU19*AT19))</f>
        <v>-10954.627277322539</v>
      </c>
      <c r="AW20" s="1">
        <f>IF($B20&lt;Analysis!$C$66,0,IF($B20=Analysis!$C$66,PMT(AU20,AQ20,AP20)*AQ20-AX20-AT20,IF(($B20-Analysis!$C$66+1)&lt;LOOKUP(Analysis!$C$66,$B:$B,AQ:AQ),IF(AW19-AV20&lt;0, AW19-AV20,0),0)))</f>
        <v>-71031.886570052578</v>
      </c>
      <c r="AX20" s="1">
        <f>IF($B20&lt;Analysis!$C$66,0,IF($B20=Analysis!$C$66,AS20+AV20,IF(AT19&lt;0,IF(AT19&gt;LOOKUP(Analysis!$C$66,$B:$B,AX:AX), AT19*(1+AU19),AX19),0)))</f>
        <v>-34414.116800000003</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-3487.9852281736989</v>
      </c>
      <c r="BF20" s="64">
        <f>IF($B20&lt;Analysis!$C$66,0,Analysis!$C$78)</f>
        <v>3.0000000000000001E-3</v>
      </c>
      <c r="BG20" s="1">
        <f>IF($B20&lt;Analysis!$C$66,0,-BH20*AN20)</f>
        <v>-8719.9630704342471</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-148239.37219738221</v>
      </c>
      <c r="BS20" s="64">
        <f>IF($B20&lt;Analysis!C$66,0,Analysis!C$31)</f>
        <v>0.1275</v>
      </c>
      <c r="BT20" s="1">
        <f>IF($B20&lt;Analysis!$C$66,0,AN20+BR20)</f>
        <v>1014422.3705271841</v>
      </c>
      <c r="BU20" s="1">
        <f>IF($B20-Analysis!$C$66&gt;3,0,IF($AN20&gt;LOOKUP(Analysis!$C$66,$B:$B, AN:AN),$V20*(LOOKUP(Analysis!$C$66,$B:$B, AN:AN)-AN20),0))</f>
        <v>0</v>
      </c>
      <c r="BV20" s="1">
        <f t="shared" si="23"/>
        <v>1014422.3705271841</v>
      </c>
      <c r="BW20" s="42"/>
      <c r="BX20" s="1">
        <f>IF($B20&lt;Analysis!$C$66,$P20+$N20+$X20+$Z20,$P20+$N20+AS20+AV20+BB20+BE20+BG20+MAX(BI20,SUM(BJ20:BN20))+BP20)</f>
        <v>-116482.06509860794</v>
      </c>
      <c r="BY20" s="1">
        <f t="shared" si="24"/>
        <v>129876.30189447982</v>
      </c>
      <c r="BZ20" s="1">
        <f t="shared" si="46"/>
        <v>13394.236795871882</v>
      </c>
      <c r="CA20" s="1">
        <f>IF(BZ20 &lt; 0,
    IF(CA19 + BZ20 &gt; 0,
        CA19 + BZ20, IF(CF19-ABS(CA19 + BZ20)*(1+$V20) &gt;= CA19 + BZ20,
        0, CA19 + BZ20)),
    MIN(CA19 + BZ20, Analysis!$C$7))+IF(CA19&lt;0, CA19*Analysis!$C$9,0)</f>
        <v>-60490.3625104944</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-26690.669572111772</v>
      </c>
      <c r="CJ20" s="1">
        <f>IF(OR($B20&lt;Analysis!$C$100, $B20&gt;=Analysis!$C$130),0,Z20)</f>
        <v>-3960</v>
      </c>
      <c r="CK20" s="1">
        <f t="shared" si="26"/>
        <v>699282.06265318079</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-13085.549501629035</v>
      </c>
      <c r="CQ20" s="1">
        <f>IF(OR($B20&lt;Analysis!$C$100, $B20&gt;=Analysis!$C$101),0,IF($B20=Analysis!$C$100,-CM20-CP20,MIN(0,CQ19-CP20)))</f>
        <v>-193347.53490279554</v>
      </c>
      <c r="CR20" s="64">
        <f>IF(OR($B20&lt;Analysis!$C$100, $B20&gt;=Analysis!$C$101),0,IF($B20=Analysis!$C$100,Analysis!$C$102,IF(($B20-Analysis!$C$100)&lt;LOOKUP(Analysis!$C$100,$B:$B,CN:CN),CR19,0)))</f>
        <v>2.9600000000000001E-2</v>
      </c>
      <c r="CS20" s="1">
        <f>IF(OR($B20&lt;Analysis!$C$100, $B20&gt;=Analysis!$C$101),0,IF($B20=Analysis!$C$100,-CR20*CM20,CR19*CQ19))</f>
        <v>-6110.4192983709672</v>
      </c>
      <c r="CT20" s="1">
        <f>IF(OR($B20&lt;Analysis!$C$100, $B20&gt;=Analysis!$C$101),0,IF($B20=Analysis!$C$100,PMT(CR20,CN20,CM20)*CN20-CU20-CQ20,IF(($B20-Analysis!$C$100+1)&lt;LOOKUP(Analysis!$C$100,$B:$B,CN:CN),IF(CT19-CS20&lt;0, CT19-CS20,0),0)))</f>
        <v>-39621.120783894876</v>
      </c>
      <c r="CU20" s="1">
        <f>IF(OR($B20&lt;Analysis!$C$100, $B20&gt;=Analysis!$C$101),0,IF($B20=Analysis!$C$100,CP20+CS20,IF(CQ19&lt;0,IF(CQ19&gt;LOOKUP(Analysis!$C$100,$B:$B,CU:CU), CQ19*(1+CR19),CU19),0)))</f>
        <v>-19195.968800000002</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29412.182063557349</v>
      </c>
      <c r="DE20" s="1">
        <f t="shared" si="27"/>
        <v>-2097.8461879595425</v>
      </c>
      <c r="DF20" s="64">
        <f>IF(OR($B20&lt;Analysis!$C$100, $B20&gt;=Analysis!$C$101),0,Analysis!$C$118)</f>
        <v>3.0000000000000001E-3</v>
      </c>
      <c r="DG20" s="1">
        <f t="shared" si="28"/>
        <v>-5244.6154698988557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-1751.5751906698356</v>
      </c>
      <c r="DR20" s="1">
        <f t="shared" si="29"/>
        <v>-21354.036848528234</v>
      </c>
      <c r="DS20" s="1">
        <f>MIN(0,-(DB20+DR20)*Analysis!$C$28)-CS20*Analysis!$C$28</f>
        <v>1821.1942922136473</v>
      </c>
      <c r="DT20" s="1">
        <f>-Analysis!$C$116*DD20/12</f>
        <v>-2451.0151719631126</v>
      </c>
      <c r="DU20" s="53"/>
      <c r="DV20" s="1">
        <f t="shared" si="30"/>
        <v>-89158.462988280546</v>
      </c>
      <c r="DW20" s="64">
        <f>IF(OR($B20&lt;Analysis!$C$100, $B20&gt;=Analysis!$C$101),0,IF($B20=Analysis!$C$100,Analysis!$C$31,DW19))</f>
        <v>0.1275</v>
      </c>
      <c r="DX20" s="1">
        <f>IF(OR($B20&lt;Analysis!$C$100, $B20&gt;=Analysis!$C$101),0,CK20+DV20)</f>
        <v>610123.59966490022</v>
      </c>
      <c r="DY20" s="1">
        <f>IF(OR($B20&lt;Analysis!$C$100, $B20&gt;=Analysis!$C$101),0,IF($B20-Analysis!$C$100&gt;3,0,IF(CK20&gt;LOOKUP(Analysis!$C$100,$B:$B, CK:CK),$V20*(LOOKUP(Analysis!$C$100,$B:$B, CK:CK)-CK20),0)))</f>
        <v>0</v>
      </c>
      <c r="DZ20" s="1">
        <f t="shared" si="49"/>
        <v>610123.59966490022</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IF($B20&lt;Analysis!$C$130,0,IF($B20=Analysis!$C$130,Analysis!$B$136,IF(($B20-Analysis!$C$130)&lt;LOOKUP(Analysis!$C$130,$B:$B,EE:EE),EI19,0)))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-129430.49610038947</v>
      </c>
      <c r="FM20" s="1">
        <f>$M20+$R20+DD20+IF(AND($B20&lt;&gt;Analysis!$C$130,$B20=Analysis!$C$101),DZ19+CQ19+CT19+CZ19,0)</f>
        <v>159288.48395803716</v>
      </c>
      <c r="FN20" s="1">
        <f t="shared" si="34"/>
        <v>29857.987857647691</v>
      </c>
      <c r="FO20" s="1">
        <f>IF(FN20 &lt; 0,
    IF(FO19 + FN20 &gt; 0,
        FO19 + FN20, IF(FT19-ABS(FO19 + FN20)*(1+$V20) &gt;= FO19 + FN20,
        0, FO19 + FN20)),
    MIN(FO19 + FN20, Analysis!$C$7))+IF(FO19&lt;0, FO19*Analysis!$C$9,0)</f>
        <v>24000</v>
      </c>
      <c r="FP20" s="53"/>
      <c r="FQ20" s="1">
        <f t="shared" si="51"/>
        <v>22794.808471474604</v>
      </c>
      <c r="FR20" s="1">
        <f>IF(OR($B20=Analysis!$C$100, $B20=Analysis!$C$130),0,IF(FN20 &gt;= 0,
    MAX(0, FO19 + FN20 - Analysis!$C$7),
    0))</f>
        <v>29857.987857647691</v>
      </c>
      <c r="FS20" s="1">
        <f>IF(OR($B20=Analysis!$C$100, $B20=Analysis!$C$130),0,MAX(0, FS19 + FR20 - IF(FN20 &lt; 0, MIN(ABS(FN20), FS19 + FR20), 0)))</f>
        <v>365027.355309851</v>
      </c>
      <c r="FT20" s="1">
        <f>IF(OR($B20=Analysis!$C$100, $B20=Analysis!$C$130),0,IF(FN20 &lt; 0,
    IF(FN20 + FO19 &lt; 0,
        MAX(0, FT19 - (ABS(FN20 + FO19) * (1+$V19))),
        FT19 + FQ20),
    FT19 + FR20 + FQ20))</f>
        <v>531794.73134539661</v>
      </c>
      <c r="FU20" s="1">
        <f t="shared" si="57"/>
        <v>487809.83591602143</v>
      </c>
      <c r="FV20" s="36"/>
      <c r="FW20" s="1">
        <f t="shared" si="52"/>
        <v>699282.06265318079</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-13085.549501629035</v>
      </c>
      <c r="GC20" s="1">
        <f>IF($B20&lt;Analysis!$C$159,0,IF($B20=Analysis!$C$159,-FY20-GB20,MIN(0,GC19-GB20)))</f>
        <v>-193347.53490279554</v>
      </c>
      <c r="GD20" s="64">
        <f>IF($B20&lt;Analysis!$C$159,0,IF($B20=Analysis!$C$159,Analysis!$B$160,IF(($B20-Analysis!$C$159)&lt;LOOKUP(Analysis!$C$159,$B:$B,FZ:FZ),GD19,0)))</f>
        <v>2.9600000000000001E-2</v>
      </c>
      <c r="GE20" s="1">
        <f>IF($B20&lt;Analysis!$C$159,0,IF($B20=Analysis!$C$159,-GD20*FY20,GD19*GC19))</f>
        <v>-6110.4192983709672</v>
      </c>
      <c r="GF20" s="1">
        <f>IF($B20&lt;Analysis!$C$159,0,IF($B20=Analysis!$C$159,PMT(GD20,FZ20,FY20)*FZ20-GG20-GC20,IF(($B20-Analysis!$C$159+1)&lt;LOOKUP(Analysis!$C$159,$B:$B,FZ:FZ),IF(GF19-GE20&lt;0, GF19-GE20,0),0)))</f>
        <v>-39621.120783894876</v>
      </c>
      <c r="GG20" s="1">
        <f>IF($B20&lt;Analysis!$C$159,0,IF($B20=Analysis!$C$159,GB20+GE20,IF(GC19&lt;0,IF(GC19&gt;LOOKUP(Analysis!$C$159,$B:$B,GG:GG), GC19*(1+GD19),GG19),0)))</f>
        <v>-19195.968800000002</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29412.182063557349</v>
      </c>
      <c r="GQ20" s="1">
        <f t="shared" si="36"/>
        <v>-2097.8461879595425</v>
      </c>
      <c r="GR20" s="64">
        <f>IF($B20&lt;Analysis!$C$159,0,Analysis!$C$178)</f>
        <v>3.0000000000000001E-3</v>
      </c>
      <c r="GS20" s="1">
        <f t="shared" si="37"/>
        <v>-5244.6154698988557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-1751.5751906698356</v>
      </c>
      <c r="HD20" s="1">
        <f t="shared" si="38"/>
        <v>-21354.036848528234</v>
      </c>
      <c r="HE20" s="1">
        <f>MIN(0,-(GN20+HD20)*Analysis!$C$28)-GE20*Analysis!$C$28</f>
        <v>1821.1942922136473</v>
      </c>
      <c r="HF20" s="1">
        <f>-Analysis!$C$176*GP20/12</f>
        <v>-2451.0151719631126</v>
      </c>
      <c r="HG20" s="38"/>
      <c r="HH20" s="1">
        <f>IF($B20&lt;Analysis!$C$159,0,-$HI20*$FW20)</f>
        <v>-89158.462988280546</v>
      </c>
      <c r="HI20" s="64">
        <f>IF($B20&lt;Analysis!$C$159,0,IF($B20=Analysis!$C$159,Analysis!$C$31,HI19))</f>
        <v>0.1275</v>
      </c>
      <c r="HJ20" s="1">
        <f>IF($B20&lt;Analysis!$C$159,0,$FW20+HH20)</f>
        <v>610123.59966490022</v>
      </c>
      <c r="HK20" s="1">
        <f>IF($B20-Analysis!$C$159&gt;10,0,IF($FW20&gt;LOOKUP(Analysis!$C$159,$B:$B, FW:FW),$V20*(LOOKUP(Analysis!$C$159,$B:$B, FW:FW)-FW20),0))</f>
        <v>0</v>
      </c>
      <c r="HL20" s="1">
        <f t="shared" si="39"/>
        <v>610123.59966490022</v>
      </c>
      <c r="HM20" s="38"/>
      <c r="HN20" s="1">
        <f t="shared" si="40"/>
        <v>-129430.49610038947</v>
      </c>
      <c r="HO20" s="1">
        <f t="shared" si="8"/>
        <v>159288.48395803716</v>
      </c>
      <c r="HP20" s="1">
        <f t="shared" si="41"/>
        <v>29857.987857647691</v>
      </c>
      <c r="HQ20" s="1">
        <f>IF(HP20 &lt; 0,
    IF(HQ19 + HP20 &gt; 0,
        HQ19 + HP20, IF(HV19-ABS(HQ19 + HP20)*(1+$V20) &gt;= HQ19 + HP20,
        0, HQ19 + HP20)),
    MIN(HQ19 + HP20, Analysis!$C$7))+IF(HQ19&lt;0, HQ19*Analysis!$C$9,0)</f>
        <v>24000</v>
      </c>
      <c r="HR20" s="38"/>
      <c r="HS20" s="1">
        <f t="shared" si="54"/>
        <v>22794.808471474604</v>
      </c>
      <c r="HT20" s="1">
        <f>IF($B20=Analysis!$C$159,0,IF(HP20 &gt;= 0,
    MAX(0, HQ19 + HP20 - Analysis!$C$7),
    0))</f>
        <v>29857.987857647691</v>
      </c>
      <c r="HU20" s="1">
        <f>IF($B20=Analysis!$C$159,0,MAX(0, HU19 + HT20 - IF(HP20 &lt; 0, MIN(ABS(HP20), HU19 + HT20), 0)))</f>
        <v>365027.355309851</v>
      </c>
      <c r="HV20" s="1">
        <f>IF($B20=Analysis!$C$159,0,IF(HP20 &lt; 0,
    IF(HP20 + HQ19 &lt; 0,
        MAX(0, HV19 - (ABS(HP20 + HQ19) * (1+$V19))),
        HV19 + HS20),
    HV19 + HT20 + HS20))</f>
        <v>531794.73134539661</v>
      </c>
      <c r="HW20" s="1">
        <f t="shared" si="58"/>
        <v>487809.83591602143</v>
      </c>
      <c r="HX20" s="36"/>
    </row>
    <row r="21" spans="1:232" x14ac:dyDescent="0.35">
      <c r="A21">
        <f t="shared" si="0"/>
        <v>54</v>
      </c>
      <c r="B21">
        <v>2044</v>
      </c>
      <c r="C21" s="1">
        <f>IF($B21&lt;Analysis!C$66,0,$AN21)+$AT21+$AW21+$BC21+$CF21+$CA21</f>
        <v>758657.84604611632</v>
      </c>
      <c r="D21" s="1">
        <f>IF($B21&lt;Analysis!C$66, 0, BV21)+AT21+AW21+BC21+CG21+CA21</f>
        <v>606058.49231351714</v>
      </c>
      <c r="E21" s="1">
        <f t="shared" si="1"/>
        <v>995331.20698917622</v>
      </c>
      <c r="F21" s="1">
        <f t="shared" si="9"/>
        <v>888996.41815359634</v>
      </c>
      <c r="G21" s="1">
        <f>IF(AND($B21&gt;=Analysis!$C$100, $B21&lt;Analysis!$C$101),$CK21,0)+IF($B21&gt;=Analysis!$C$130,EB21,0)+CQ21+CT21+CZ21+EH21+EK21+EQ21+$FO21+$FT21</f>
        <v>1112735.1596420757</v>
      </c>
      <c r="H21" s="1">
        <f t="shared" si="10"/>
        <v>970537.13828962855</v>
      </c>
      <c r="I21" s="1">
        <f>IF($B21&lt;Analysis!$C$159,0,$FW21)+$GC21+$GF21+$GL21+$HQ21+$HV21</f>
        <v>1112735.1596420757</v>
      </c>
      <c r="J21" s="1">
        <f t="shared" si="2"/>
        <v>970537.13828962855</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41281.62418760587</v>
      </c>
      <c r="AI21" s="1">
        <f>IF(AE21 &gt;= 0,
    MAX(0, AF20 + AE21 - Analysis!$C$7),
    0)</f>
        <v>29882.233975816707</v>
      </c>
      <c r="AJ21" s="1">
        <f t="shared" si="44"/>
        <v>568166.13083531882</v>
      </c>
      <c r="AK21" s="1">
        <f t="shared" si="20"/>
        <v>971331.20698917622</v>
      </c>
      <c r="AL21" s="1">
        <f t="shared" si="5"/>
        <v>864996.41815359634</v>
      </c>
      <c r="AM21" s="36"/>
      <c r="AN21" s="1">
        <f t="shared" si="45"/>
        <v>1196857.6763341124</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-24153.890412548717</v>
      </c>
      <c r="AT21" s="1">
        <f>IF($B21&lt;Analysis!$C$66,0,IF($B21=Analysis!$C$66,-AP21-AS21,MIN(0,AT20-AS21)))</f>
        <v>-322475.37943377852</v>
      </c>
      <c r="AU21" s="64">
        <f>IF($B21&lt;Analysis!$C$66,0,IF($B21=Analysis!$C$66,Analysis!$C$72,IF(($B21-Analysis!$C$66)&lt;LOOKUP(Analysis!$C$66,$B:$B,AQ:AQ),AU20,0)))</f>
        <v>2.9600000000000001E-2</v>
      </c>
      <c r="AV21" s="1">
        <f>IF($B21&lt;Analysis!$C$66,0,IF($B21=Analysis!$C$66,-AU21*AP21,AU20*AT20))</f>
        <v>-10260.226387451286</v>
      </c>
      <c r="AW21" s="1">
        <f>IF($B21&lt;Analysis!$C$66,0,IF($B21=Analysis!$C$66,PMT(AU21,AQ21,AP21)*AQ21-AX21-AT21,IF(($B21-Analysis!$C$66+1)&lt;LOOKUP(Analysis!$C$66,$B:$B,AQ:AQ),IF(AW20-AV21&lt;0, AW20-AV21,0),0)))</f>
        <v>-60771.660182601292</v>
      </c>
      <c r="AX21" s="1">
        <f>IF($B21&lt;Analysis!$C$66,0,IF($B21=Analysis!$C$66,AS21+AV21,IF(AT20&lt;0,IF(AT20&gt;LOOKUP(Analysis!$C$66,$B:$B,AX:AX), AT20*(1+AU20),AX20),0)))</f>
        <v>-34414.116800000003</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-3590.5730290023375</v>
      </c>
      <c r="BF21" s="64">
        <f>IF($B21&lt;Analysis!$C$66,0,Analysis!$C$78)</f>
        <v>3.0000000000000001E-3</v>
      </c>
      <c r="BG21" s="1">
        <f>IF($B21&lt;Analysis!$C$66,0,-BH21*AN21)</f>
        <v>-8976.4325725058425</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-152599.35373259932</v>
      </c>
      <c r="BS21" s="64">
        <f>IF($B21&lt;Analysis!C$66,0,Analysis!C$31)</f>
        <v>0.1275</v>
      </c>
      <c r="BT21" s="1">
        <f>IF($B21&lt;Analysis!$C$66,0,AN21+BR21)</f>
        <v>1044258.3226015131</v>
      </c>
      <c r="BU21" s="1">
        <f>IF($B21-Analysis!$C$66&gt;3,0,IF($AN21&gt;LOOKUP(Analysis!$C$66,$B:$B, AN:AN),$V21*(LOOKUP(Analysis!$C$66,$B:$B, AN:AN)-AN21),0))</f>
        <v>0</v>
      </c>
      <c r="BV21" s="1">
        <f t="shared" si="23"/>
        <v>1044258.3226015131</v>
      </c>
      <c r="BW21" s="42"/>
      <c r="BX21" s="1">
        <f>IF($B21&lt;Analysis!$C$66,$P21+$N21+$X21+$Z21,$P21+$N21+AS21+AV21+BB21+BE21+BG21+MAX(BI21,SUM(BJ21:BN21))+BP21)</f>
        <v>-121091.12240150818</v>
      </c>
      <c r="BY21" s="1">
        <f t="shared" si="24"/>
        <v>131467.92324122589</v>
      </c>
      <c r="BZ21" s="1">
        <f t="shared" si="46"/>
        <v>10376.800839717704</v>
      </c>
      <c r="CA21" s="1">
        <f>IF(BZ21 &lt; 0,
    IF(CA20 + BZ21 &gt; 0,
        CA20 + BZ21, IF(CF20-ABS(CA20 + BZ21)*(1+$V21) &gt;= CA20 + BZ21,
        0, CA20 + BZ21)),
    MIN(CA20 + BZ21, Analysis!$C$7))+IF(CA20&lt;0, CA20*Analysis!$C$9,0)</f>
        <v>-54952.790671616247</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-27475.689265409179</v>
      </c>
      <c r="CJ21" s="1">
        <f>IF(OR($B21&lt;Analysis!$C$100, $B21&gt;=Analysis!$C$130),0,Z21)</f>
        <v>-3960</v>
      </c>
      <c r="CK21" s="1">
        <f t="shared" si="26"/>
        <v>719849.18214298028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-13472.881766877254</v>
      </c>
      <c r="CQ21" s="1">
        <f>IF(OR($B21&lt;Analysis!$C$100, $B21&gt;=Analysis!$C$101),0,IF($B21=Analysis!$C$100,-CM21-CP21,MIN(0,CQ20-CP21)))</f>
        <v>-179874.65313591828</v>
      </c>
      <c r="CR21" s="64">
        <f>IF(OR($B21&lt;Analysis!$C$100, $B21&gt;=Analysis!$C$101),0,IF($B21=Analysis!$C$100,Analysis!$C$102,IF(($B21-Analysis!$C$100)&lt;LOOKUP(Analysis!$C$100,$B:$B,CN:CN),CR20,0)))</f>
        <v>2.9600000000000001E-2</v>
      </c>
      <c r="CS21" s="1">
        <f>IF(OR($B21&lt;Analysis!$C$100, $B21&gt;=Analysis!$C$101),0,IF($B21=Analysis!$C$100,-CR21*CM21,CR20*CQ20))</f>
        <v>-5723.0870331227479</v>
      </c>
      <c r="CT21" s="1">
        <f>IF(OR($B21&lt;Analysis!$C$100, $B21&gt;=Analysis!$C$101),0,IF($B21=Analysis!$C$100,PMT(CR21,CN21,CM21)*CN21-CU21-CQ21,IF(($B21-Analysis!$C$100+1)&lt;LOOKUP(Analysis!$C$100,$B:$B,CN:CN),IF(CT20-CS21&lt;0, CT20-CS21,0),0)))</f>
        <v>-33898.033750772127</v>
      </c>
      <c r="CU21" s="1">
        <f>IF(OR($B21&lt;Analysis!$C$100, $B21&gt;=Analysis!$C$101),0,IF($B21=Analysis!$C$100,CP21+CS21,IF(CQ20&lt;0,IF(CQ20&gt;LOOKUP(Analysis!$C$100,$B:$B,CU:CU), CQ20*(1+CR20),CU20),0)))</f>
        <v>-19195.968800000002</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30160.775653661982</v>
      </c>
      <c r="DE21" s="1">
        <f t="shared" si="27"/>
        <v>-2159.5475464289407</v>
      </c>
      <c r="DF21" s="64">
        <f>IF(OR($B21&lt;Analysis!$C$100, $B21&gt;=Analysis!$C$101),0,Analysis!$C$118)</f>
        <v>3.0000000000000001E-3</v>
      </c>
      <c r="DG21" s="1">
        <f t="shared" si="28"/>
        <v>-5398.8688660723519</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-1803.092108042478</v>
      </c>
      <c r="DR21" s="1">
        <f t="shared" si="29"/>
        <v>-21621.508520543768</v>
      </c>
      <c r="DS21" s="1">
        <f>MIN(0,-(DB21+DR21)*Analysis!$C$28)-CS21*Analysis!$C$28</f>
        <v>1463.7221155146726</v>
      </c>
      <c r="DT21" s="1">
        <f>-Analysis!$C$116*DD21/12</f>
        <v>-2513.3979711384986</v>
      </c>
      <c r="DU21" s="53"/>
      <c r="DV21" s="1">
        <f t="shared" si="30"/>
        <v>-91780.770723229987</v>
      </c>
      <c r="DW21" s="64">
        <f>IF(OR($B21&lt;Analysis!$C$100, $B21&gt;=Analysis!$C$101),0,IF($B21=Analysis!$C$100,Analysis!$C$31,DW20))</f>
        <v>0.1275</v>
      </c>
      <c r="DX21" s="1">
        <f>IF(OR($B21&lt;Analysis!$C$100, $B21&gt;=Analysis!$C$101),0,CK21+DV21)</f>
        <v>628068.41141975031</v>
      </c>
      <c r="DY21" s="1">
        <f>IF(OR($B21&lt;Analysis!$C$100, $B21&gt;=Analysis!$C$101),0,IF($B21-Analysis!$C$100&gt;3,0,IF(CK21&gt;LOOKUP(Analysis!$C$100,$B:$B, CK:CK),$V21*(LOOKUP(Analysis!$C$100,$B:$B, CK:CK)-CK21),0)))</f>
        <v>0</v>
      </c>
      <c r="DZ21" s="1">
        <f t="shared" si="49"/>
        <v>628068.41141975031</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IF($B21&lt;Analysis!$C$130,0,IF($B21=Analysis!$C$130,Analysis!$B$136,IF(($B21-Analysis!$C$130)&lt;LOOKUP(Analysis!$C$130,$B:$B,EE:EE),EI20,0)))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-135152.84244157677</v>
      </c>
      <c r="FM21" s="1">
        <f>$M21+$R21+DD21+IF(AND($B21&lt;&gt;Analysis!$C$130,$B21=Analysis!$C$101),DZ20+CQ20+CT20+CZ20,0)</f>
        <v>161628.69889488787</v>
      </c>
      <c r="FN21" s="1">
        <f t="shared" si="34"/>
        <v>26475.856453311106</v>
      </c>
      <c r="FO21" s="1">
        <f>IF(FN21 &lt; 0,
    IF(FO20 + FN21 &gt; 0,
        FO20 + FN21, IF(FT20-ABS(FO20 + FN21)*(1+$V21) &gt;= FO20 + FN21,
        0, FO20 + FN21)),
    MIN(FO20 + FN21, Analysis!$C$7))+IF(FO20&lt;0, FO20*Analysis!$C$9,0)</f>
        <v>24000</v>
      </c>
      <c r="FP21" s="53"/>
      <c r="FQ21" s="1">
        <f t="shared" si="51"/>
        <v>24388.07658707806</v>
      </c>
      <c r="FR21" s="1">
        <f>IF(OR($B21=Analysis!$C$100, $B21=Analysis!$C$130),0,IF(FN21 &gt;= 0,
    MAX(0, FO20 + FN21 - Analysis!$C$7),
    0))</f>
        <v>26475.856453311106</v>
      </c>
      <c r="FS21" s="1">
        <f>IF(OR($B21=Analysis!$C$100, $B21=Analysis!$C$130),0,MAX(0, FS20 + FR21 - IF(FN21 &lt; 0, MIN(ABS(FN21), FS20 + FR21), 0)))</f>
        <v>391503.21176316211</v>
      </c>
      <c r="FT21" s="1">
        <f>IF(OR($B21=Analysis!$C$100, $B21=Analysis!$C$130),0,IF(FN21 &lt; 0,
    IF(FN21 + FO20 &lt; 0,
        MAX(0, FT20 - (ABS(FN21 + FO20) * (1+$V20))),
        FT20 + FQ21),
    FT20 + FR21 + FQ21))</f>
        <v>582658.6643857857</v>
      </c>
      <c r="FU21" s="1">
        <f t="shared" si="57"/>
        <v>532241.41375656868</v>
      </c>
      <c r="FV21" s="36"/>
      <c r="FW21" s="1">
        <f t="shared" si="52"/>
        <v>719849.18214298028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-13472.881766877254</v>
      </c>
      <c r="GC21" s="1">
        <f>IF($B21&lt;Analysis!$C$159,0,IF($B21=Analysis!$C$159,-FY21-GB21,MIN(0,GC20-GB21)))</f>
        <v>-179874.65313591828</v>
      </c>
      <c r="GD21" s="64">
        <f>IF($B21&lt;Analysis!$C$159,0,IF($B21=Analysis!$C$159,Analysis!$B$160,IF(($B21-Analysis!$C$159)&lt;LOOKUP(Analysis!$C$159,$B:$B,FZ:FZ),GD20,0)))</f>
        <v>2.9600000000000001E-2</v>
      </c>
      <c r="GE21" s="1">
        <f>IF($B21&lt;Analysis!$C$159,0,IF($B21=Analysis!$C$159,-GD21*FY21,GD20*GC20))</f>
        <v>-5723.0870331227479</v>
      </c>
      <c r="GF21" s="1">
        <f>IF($B21&lt;Analysis!$C$159,0,IF($B21=Analysis!$C$159,PMT(GD21,FZ21,FY21)*FZ21-GG21-GC21,IF(($B21-Analysis!$C$159+1)&lt;LOOKUP(Analysis!$C$159,$B:$B,FZ:FZ),IF(GF20-GE21&lt;0, GF20-GE21,0),0)))</f>
        <v>-33898.033750772127</v>
      </c>
      <c r="GG21" s="1">
        <f>IF($B21&lt;Analysis!$C$159,0,IF($B21=Analysis!$C$159,GB21+GE21,IF(GC20&lt;0,IF(GC20&gt;LOOKUP(Analysis!$C$159,$B:$B,GG:GG), GC20*(1+GD20),GG20),0)))</f>
        <v>-19195.968800000002</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30160.775653661982</v>
      </c>
      <c r="GQ21" s="1">
        <f t="shared" si="36"/>
        <v>-2159.5475464289407</v>
      </c>
      <c r="GR21" s="64">
        <f>IF($B21&lt;Analysis!$C$159,0,Analysis!$C$178)</f>
        <v>3.0000000000000001E-3</v>
      </c>
      <c r="GS21" s="1">
        <f t="shared" si="37"/>
        <v>-5398.8688660723519</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-1803.092108042478</v>
      </c>
      <c r="HD21" s="1">
        <f t="shared" si="38"/>
        <v>-21621.508520543768</v>
      </c>
      <c r="HE21" s="1">
        <f>MIN(0,-(GN21+HD21)*Analysis!$C$28)-GE21*Analysis!$C$28</f>
        <v>1463.7221155146726</v>
      </c>
      <c r="HF21" s="1">
        <f>-Analysis!$C$176*GP21/12</f>
        <v>-2513.3979711384986</v>
      </c>
      <c r="HG21" s="38"/>
      <c r="HH21" s="1">
        <f>IF($B21&lt;Analysis!$C$159,0,-$HI21*$FW21)</f>
        <v>-91780.770723229987</v>
      </c>
      <c r="HI21" s="64">
        <f>IF($B21&lt;Analysis!$C$159,0,IF($B21=Analysis!$C$159,Analysis!$C$31,HI20))</f>
        <v>0.1275</v>
      </c>
      <c r="HJ21" s="1">
        <f>IF($B21&lt;Analysis!$C$159,0,$FW21+HH21)</f>
        <v>628068.41141975031</v>
      </c>
      <c r="HK21" s="1">
        <f>IF($B21-Analysis!$C$159&gt;10,0,IF($FW21&gt;LOOKUP(Analysis!$C$159,$B:$B, FW:FW),$V21*(LOOKUP(Analysis!$C$159,$B:$B, FW:FW)-FW21),0))</f>
        <v>0</v>
      </c>
      <c r="HL21" s="1">
        <f t="shared" si="39"/>
        <v>628068.41141975031</v>
      </c>
      <c r="HM21" s="38"/>
      <c r="HN21" s="1">
        <f t="shared" si="40"/>
        <v>-135152.84244157677</v>
      </c>
      <c r="HO21" s="1">
        <f t="shared" si="8"/>
        <v>161628.69889488787</v>
      </c>
      <c r="HP21" s="1">
        <f t="shared" si="41"/>
        <v>26475.856453311106</v>
      </c>
      <c r="HQ21" s="1">
        <f>IF(HP21 &lt; 0,
    IF(HQ20 + HP21 &gt; 0,
        HQ20 + HP21, IF(HV20-ABS(HQ20 + HP21)*(1+$V21) &gt;= HQ20 + HP21,
        0, HQ20 + HP21)),
    MIN(HQ20 + HP21, Analysis!$C$7))+IF(HQ20&lt;0, HQ20*Analysis!$C$9,0)</f>
        <v>24000</v>
      </c>
      <c r="HR21" s="38"/>
      <c r="HS21" s="1">
        <f t="shared" si="54"/>
        <v>24388.07658707806</v>
      </c>
      <c r="HT21" s="1">
        <f>IF($B21=Analysis!$C$159,0,IF(HP21 &gt;= 0,
    MAX(0, HQ20 + HP21 - Analysis!$C$7),
    0))</f>
        <v>26475.856453311106</v>
      </c>
      <c r="HU21" s="1">
        <f>IF($B21=Analysis!$C$159,0,MAX(0, HU20 + HT21 - IF(HP21 &lt; 0, MIN(ABS(HP21), HU20 + HT21), 0)))</f>
        <v>391503.21176316211</v>
      </c>
      <c r="HV21" s="1">
        <f>IF($B21=Analysis!$C$159,0,IF(HP21 &lt; 0,
    IF(HP21 + HQ20 &lt; 0,
        MAX(0, HV20 - (ABS(HP21 + HQ20) * (1+$V20))),
        HV20 + HS21),
    HV20 + HT21 + HS21))</f>
        <v>582658.6643857857</v>
      </c>
      <c r="HW21" s="1">
        <f t="shared" si="58"/>
        <v>532241.41375656868</v>
      </c>
      <c r="HX21" s="36"/>
    </row>
    <row r="22" spans="1:232" x14ac:dyDescent="0.35">
      <c r="A22">
        <f t="shared" si="0"/>
        <v>55</v>
      </c>
      <c r="B22">
        <v>2045</v>
      </c>
      <c r="C22" s="1">
        <f>IF($B22&lt;Analysis!C$66,0,$AN22)+$AT22+$AW22+$BC22+$CF22+$CA22</f>
        <v>883884.61898306385</v>
      </c>
      <c r="D22" s="1">
        <f>IF($B22&lt;Analysis!C$66, 0, BV22)+AT22+AW22+BC22+CG22+CA22</f>
        <v>726797.04896421148</v>
      </c>
      <c r="E22" s="1">
        <f t="shared" si="1"/>
        <v>1117285.3879814148</v>
      </c>
      <c r="F22" s="1">
        <f t="shared" si="9"/>
        <v>999640.98450131982</v>
      </c>
      <c r="G22" s="1">
        <f>IF(AND($B22&gt;=Analysis!$C$100, $B22&lt;Analysis!$C$101),$CK22,0)+IF($B22&gt;=Analysis!$C$130,EB22,0)+CQ22+CT22+CZ22+EH22+EK22+EQ22+$FO22+$FT22</f>
        <v>1254555.7980434792</v>
      </c>
      <c r="H22" s="1">
        <f t="shared" si="10"/>
        <v>1102874.2042460844</v>
      </c>
      <c r="I22" s="1">
        <f>IF($B22&lt;Analysis!$C$159,0,$FW22)+$GC22+$GF22+$GL22+$HQ22+$HV22</f>
        <v>1254555.7980434792</v>
      </c>
      <c r="J22" s="1">
        <f t="shared" si="2"/>
        <v>1102874.2042460844</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42880.055524228235</v>
      </c>
      <c r="AI22" s="1">
        <f>IF(AE22 &gt;= 0,
    MAX(0, AF21 + AE22 - Analysis!$C$7),
    0)</f>
        <v>79074.125468010549</v>
      </c>
      <c r="AJ22" s="1">
        <f t="shared" si="44"/>
        <v>647240.25630332937</v>
      </c>
      <c r="AK22" s="1">
        <f t="shared" si="20"/>
        <v>1093285.3879814148</v>
      </c>
      <c r="AL22" s="1">
        <f t="shared" si="5"/>
        <v>975640.98450131982</v>
      </c>
      <c r="AM22" s="36"/>
      <c r="AN22" s="1">
        <f t="shared" si="45"/>
        <v>1232059.3726968805</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-24868.84556876016</v>
      </c>
      <c r="AT22" s="1">
        <f>IF($B22&lt;Analysis!$C$66,0,IF($B22=Analysis!$C$66,-AP22-AS22,MIN(0,AT21-AS22)))</f>
        <v>-297606.53386501834</v>
      </c>
      <c r="AU22" s="64">
        <f>IF($B22&lt;Analysis!$C$66,0,IF($B22=Analysis!$C$66,Analysis!$C$72,IF(($B22-Analysis!$C$66)&lt;LOOKUP(Analysis!$C$66,$B:$B,AQ:AQ),AU21,0)))</f>
        <v>2.9600000000000001E-2</v>
      </c>
      <c r="AV22" s="1">
        <f>IF($B22&lt;Analysis!$C$66,0,IF($B22=Analysis!$C$66,-AU22*AP22,AU21*AT21))</f>
        <v>-9545.2712312398453</v>
      </c>
      <c r="AW22" s="1">
        <f>IF($B22&lt;Analysis!$C$66,0,IF($B22=Analysis!$C$66,PMT(AU22,AQ22,AP22)*AQ22-AX22-AT22,IF(($B22-Analysis!$C$66+1)&lt;LOOKUP(Analysis!$C$66,$B:$B,AQ:AQ),IF(AW21-AV22&lt;0, AW21-AV22,0),0)))</f>
        <v>-51226.388951361449</v>
      </c>
      <c r="AX22" s="1">
        <f>IF($B22&lt;Analysis!$C$66,0,IF($B22=Analysis!$C$66,AS22+AV22,IF(AT21&lt;0,IF(AT21&gt;LOOKUP(Analysis!$C$66,$B:$B,AX:AX), AT21*(1+AU21),AX21),0)))</f>
        <v>-34414.116800000003</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-3696.1781180906414</v>
      </c>
      <c r="BF22" s="64">
        <f>IF($B22&lt;Analysis!$C$66,0,Analysis!$C$78)</f>
        <v>3.0000000000000001E-3</v>
      </c>
      <c r="BG22" s="1">
        <f>IF($B22&lt;Analysis!$C$66,0,-BH22*AN22)</f>
        <v>-9240.4452952266038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-157087.57001885228</v>
      </c>
      <c r="BS22" s="64">
        <f>IF($B22&lt;Analysis!C$66,0,Analysis!C$31)</f>
        <v>0.1275</v>
      </c>
      <c r="BT22" s="1">
        <f>IF($B22&lt;Analysis!$C$66,0,AN22+BR22)</f>
        <v>1074971.8026780281</v>
      </c>
      <c r="BU22" s="1">
        <f>IF($B22-Analysis!$C$66&gt;3,0,IF($AN22&gt;LOOKUP(Analysis!$C$66,$B:$B, AN:AN),$V22*(LOOKUP(Analysis!$C$66,$B:$B, AN:AN)-AN22),0))</f>
        <v>0</v>
      </c>
      <c r="BV22" s="1">
        <f t="shared" si="23"/>
        <v>1074971.8026780281</v>
      </c>
      <c r="BW22" s="42"/>
      <c r="BX22" s="1">
        <f>IF($B22&lt;Analysis!$C$66,$P22+$N22+$X22+$Z22,$P22+$N22+AS22+AV22+BB22+BE22+BG22+MAX(BI22,SUM(BJ22:BN22))+BP22)</f>
        <v>-121460.74021331724</v>
      </c>
      <c r="BY22" s="1">
        <f t="shared" si="24"/>
        <v>181467.92324122589</v>
      </c>
      <c r="BZ22" s="1">
        <f t="shared" si="46"/>
        <v>60007.183027908643</v>
      </c>
      <c r="CA22" s="1">
        <f>IF(BZ22 &lt; 0,
    IF(CA21 + BZ22 &gt; 0,
        CA21 + BZ22, IF(CF21-ABS(CA21 + BZ22)*(1+$V22) &gt;= CA21 + BZ22,
        0, CA21 + BZ22)),
    MIN(CA21 + BZ22, Analysis!$C$7))+IF(CA21&lt;0, CA21*Analysis!$C$9,0)</f>
        <v>658.16910256309529</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-28283.797773215334</v>
      </c>
      <c r="CJ22" s="1">
        <f>IF(OR($B22&lt;Analysis!$C$100, $B22&gt;=Analysis!$C$130),0,Z22)</f>
        <v>-3960</v>
      </c>
      <c r="CK22" s="1">
        <f t="shared" si="26"/>
        <v>741021.21691189159</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-13871.679067176821</v>
      </c>
      <c r="CQ22" s="1">
        <f>IF(OR($B22&lt;Analysis!$C$100, $B22&gt;=Analysis!$C$101),0,IF($B22=Analysis!$C$100,-CM22-CP22,MIN(0,CQ21-CP22)))</f>
        <v>-166002.97406874146</v>
      </c>
      <c r="CR22" s="64">
        <f>IF(OR($B22&lt;Analysis!$C$100, $B22&gt;=Analysis!$C$101),0,IF($B22=Analysis!$C$100,Analysis!$C$102,IF(($B22-Analysis!$C$100)&lt;LOOKUP(Analysis!$C$100,$B:$B,CN:CN),CR21,0)))</f>
        <v>2.9600000000000001E-2</v>
      </c>
      <c r="CS22" s="1">
        <f>IF(OR($B22&lt;Analysis!$C$100, $B22&gt;=Analysis!$C$101),0,IF($B22=Analysis!$C$100,-CR22*CM22,CR21*CQ21))</f>
        <v>-5324.2897328231811</v>
      </c>
      <c r="CT22" s="1">
        <f>IF(OR($B22&lt;Analysis!$C$100, $B22&gt;=Analysis!$C$101),0,IF($B22=Analysis!$C$100,PMT(CR22,CN22,CM22)*CN22-CU22-CQ22,IF(($B22-Analysis!$C$100+1)&lt;LOOKUP(Analysis!$C$100,$B:$B,CN:CN),IF(CT21-CS22&lt;0, CT21-CS22,0),0)))</f>
        <v>-28573.744017948946</v>
      </c>
      <c r="CU22" s="1">
        <f>IF(OR($B22&lt;Analysis!$C$100, $B22&gt;=Analysis!$C$101),0,IF($B22=Analysis!$C$100,CP22+CS22,IF(CQ21&lt;0,IF(CQ21&gt;LOOKUP(Analysis!$C$100,$B:$B,CU:CU), CQ21*(1+CR21),CU21),0)))</f>
        <v>-19195.968800000002</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30931.386702299103</v>
      </c>
      <c r="DE22" s="1">
        <f t="shared" si="27"/>
        <v>-2223.0636507356749</v>
      </c>
      <c r="DF22" s="64">
        <f>IF(OR($B22&lt;Analysis!$C$100, $B22&gt;=Analysis!$C$101),0,Analysis!$C$118)</f>
        <v>3.0000000000000001E-3</v>
      </c>
      <c r="DG22" s="1">
        <f t="shared" si="28"/>
        <v>-5557.6591268391867</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-1856.124228867257</v>
      </c>
      <c r="DR22" s="1">
        <f t="shared" si="29"/>
        <v>-21896.84700644212</v>
      </c>
      <c r="DS22" s="1">
        <f>MIN(0,-(DB22+DR22)*Analysis!$C$28)-CS22*Analysis!$C$28</f>
        <v>1095.7037450206997</v>
      </c>
      <c r="DT22" s="1">
        <f>-Analysis!$C$116*DD22/12</f>
        <v>-2577.6155585249253</v>
      </c>
      <c r="DU22" s="53"/>
      <c r="DV22" s="1">
        <f t="shared" si="30"/>
        <v>-94480.20515626618</v>
      </c>
      <c r="DW22" s="64">
        <f>IF(OR($B22&lt;Analysis!$C$100, $B22&gt;=Analysis!$C$101),0,IF($B22=Analysis!$C$100,Analysis!$C$31,DW21))</f>
        <v>0.1275</v>
      </c>
      <c r="DX22" s="1">
        <f>IF(OR($B22&lt;Analysis!$C$100, $B22&gt;=Analysis!$C$101),0,CK22+DV22)</f>
        <v>646541.01175562537</v>
      </c>
      <c r="DY22" s="1">
        <f>IF(OR($B22&lt;Analysis!$C$100, $B22&gt;=Analysis!$C$101),0,IF($B22-Analysis!$C$100&gt;3,0,IF(CK22&gt;LOOKUP(Analysis!$C$100,$B:$B, CK:CK),$V22*(LOOKUP(Analysis!$C$100,$B:$B, CK:CK)-CK22),0)))</f>
        <v>0</v>
      </c>
      <c r="DZ22" s="1">
        <f t="shared" si="49"/>
        <v>646541.01175562537</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IF($B22&lt;Analysis!$C$130,0,IF($B22=Analysis!$C$130,Analysis!$B$136,IF(($B22-Analysis!$C$130)&lt;LOOKUP(Analysis!$C$130,$B:$B,EE:EE),EI21,0)))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-136668.52539316172</v>
      </c>
      <c r="FM22" s="1">
        <f>$M22+$R22+DD22+IF(AND($B22&lt;&gt;Analysis!$C$130,$B22=Analysis!$C$101),DZ21+CQ21+CT21+CZ21,0)</f>
        <v>212399.309943525</v>
      </c>
      <c r="FN22" s="1">
        <f t="shared" si="34"/>
        <v>75730.784550363285</v>
      </c>
      <c r="FO22" s="1">
        <f>IF(FN22 &lt; 0,
    IF(FO21 + FN22 &gt; 0,
        FO21 + FN22, IF(FT21-ABS(FO21 + FN22)*(1+$V22) &gt;= FO21 + FN22,
        0, FO21 + FN22)),
    MIN(FO21 + FN22, Analysis!$C$7))+IF(FO21&lt;0, FO21*Analysis!$C$9,0)</f>
        <v>24000</v>
      </c>
      <c r="FP22" s="53"/>
      <c r="FQ22" s="1">
        <f t="shared" si="51"/>
        <v>25721.850282128908</v>
      </c>
      <c r="FR22" s="1">
        <f>IF(OR($B22=Analysis!$C$100, $B22=Analysis!$C$130),0,IF(FN22 &gt;= 0,
    MAX(0, FO21 + FN22 - Analysis!$C$7),
    0))</f>
        <v>75730.784550363285</v>
      </c>
      <c r="FS22" s="1">
        <f>IF(OR($B22=Analysis!$C$100, $B22=Analysis!$C$130),0,MAX(0, FS21 + FR22 - IF(FN22 &lt; 0, MIN(ABS(FN22), FS21 + FR22), 0)))</f>
        <v>467233.99631352536</v>
      </c>
      <c r="FT22" s="1">
        <f>IF(OR($B22=Analysis!$C$100, $B22=Analysis!$C$130),0,IF(FN22 &lt; 0,
    IF(FN22 + FO21 &lt; 0,
        MAX(0, FT21 - (ABS(FN22 + FO21) * (1+$V21))),
        FT21 + FQ22),
    FT21 + FR22 + FQ22))</f>
        <v>684111.29921827791</v>
      </c>
      <c r="FU22" s="1">
        <f t="shared" si="57"/>
        <v>626909.91057714948</v>
      </c>
      <c r="FV22" s="36"/>
      <c r="FW22" s="1">
        <f t="shared" si="52"/>
        <v>741021.21691189159</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-13871.679067176821</v>
      </c>
      <c r="GC22" s="1">
        <f>IF($B22&lt;Analysis!$C$159,0,IF($B22=Analysis!$C$159,-FY22-GB22,MIN(0,GC21-GB22)))</f>
        <v>-166002.97406874146</v>
      </c>
      <c r="GD22" s="64">
        <f>IF($B22&lt;Analysis!$C$159,0,IF($B22=Analysis!$C$159,Analysis!$B$160,IF(($B22-Analysis!$C$159)&lt;LOOKUP(Analysis!$C$159,$B:$B,FZ:FZ),GD21,0)))</f>
        <v>2.9600000000000001E-2</v>
      </c>
      <c r="GE22" s="1">
        <f>IF($B22&lt;Analysis!$C$159,0,IF($B22=Analysis!$C$159,-GD22*FY22,GD21*GC21))</f>
        <v>-5324.2897328231811</v>
      </c>
      <c r="GF22" s="1">
        <f>IF($B22&lt;Analysis!$C$159,0,IF($B22=Analysis!$C$159,PMT(GD22,FZ22,FY22)*FZ22-GG22-GC22,IF(($B22-Analysis!$C$159+1)&lt;LOOKUP(Analysis!$C$159,$B:$B,FZ:FZ),IF(GF21-GE22&lt;0, GF21-GE22,0),0)))</f>
        <v>-28573.744017948946</v>
      </c>
      <c r="GG22" s="1">
        <f>IF($B22&lt;Analysis!$C$159,0,IF($B22=Analysis!$C$159,GB22+GE22,IF(GC21&lt;0,IF(GC21&gt;LOOKUP(Analysis!$C$159,$B:$B,GG:GG), GC21*(1+GD21),GG21),0)))</f>
        <v>-19195.968800000002</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30931.386702299103</v>
      </c>
      <c r="GQ22" s="1">
        <f t="shared" si="36"/>
        <v>-2223.0636507356749</v>
      </c>
      <c r="GR22" s="64">
        <f>IF($B22&lt;Analysis!$C$159,0,Analysis!$C$178)</f>
        <v>3.0000000000000001E-3</v>
      </c>
      <c r="GS22" s="1">
        <f t="shared" si="37"/>
        <v>-5557.6591268391867</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-1856.124228867257</v>
      </c>
      <c r="HD22" s="1">
        <f t="shared" si="38"/>
        <v>-21896.84700644212</v>
      </c>
      <c r="HE22" s="1">
        <f>MIN(0,-(GN22+HD22)*Analysis!$C$28)-GE22*Analysis!$C$28</f>
        <v>1095.7037450206997</v>
      </c>
      <c r="HF22" s="1">
        <f>-Analysis!$C$176*GP22/12</f>
        <v>-2577.6155585249253</v>
      </c>
      <c r="HG22" s="38"/>
      <c r="HH22" s="1">
        <f>IF($B22&lt;Analysis!$C$159,0,-$HI22*$FW22)</f>
        <v>-94480.20515626618</v>
      </c>
      <c r="HI22" s="64">
        <f>IF($B22&lt;Analysis!$C$159,0,IF($B22=Analysis!$C$159,Analysis!$C$31,HI21))</f>
        <v>0.1275</v>
      </c>
      <c r="HJ22" s="1">
        <f>IF($B22&lt;Analysis!$C$159,0,$FW22+HH22)</f>
        <v>646541.01175562537</v>
      </c>
      <c r="HK22" s="1">
        <f>IF($B22-Analysis!$C$159&gt;10,0,IF($FW22&gt;LOOKUP(Analysis!$C$159,$B:$B, FW:FW),$V22*(LOOKUP(Analysis!$C$159,$B:$B, FW:FW)-FW22),0))</f>
        <v>0</v>
      </c>
      <c r="HL22" s="1">
        <f t="shared" si="39"/>
        <v>646541.01175562537</v>
      </c>
      <c r="HM22" s="38"/>
      <c r="HN22" s="1">
        <f t="shared" si="40"/>
        <v>-136668.52539316172</v>
      </c>
      <c r="HO22" s="1">
        <f t="shared" si="8"/>
        <v>212399.309943525</v>
      </c>
      <c r="HP22" s="1">
        <f t="shared" si="41"/>
        <v>75730.784550363285</v>
      </c>
      <c r="HQ22" s="1">
        <f>IF(HP22 &lt; 0,
    IF(HQ21 + HP22 &gt; 0,
        HQ21 + HP22, IF(HV21-ABS(HQ21 + HP22)*(1+$V22) &gt;= HQ21 + HP22,
        0, HQ21 + HP22)),
    MIN(HQ21 + HP22, Analysis!$C$7))+IF(HQ21&lt;0, HQ21*Analysis!$C$9,0)</f>
        <v>24000</v>
      </c>
      <c r="HR22" s="38"/>
      <c r="HS22" s="1">
        <f t="shared" si="54"/>
        <v>25721.850282128908</v>
      </c>
      <c r="HT22" s="1">
        <f>IF($B22=Analysis!$C$159,0,IF(HP22 &gt;= 0,
    MAX(0, HQ21 + HP22 - Analysis!$C$7),
    0))</f>
        <v>75730.784550363285</v>
      </c>
      <c r="HU22" s="1">
        <f>IF($B22=Analysis!$C$159,0,MAX(0, HU21 + HT22 - IF(HP22 &lt; 0, MIN(ABS(HP22), HU21 + HT22), 0)))</f>
        <v>467233.99631352536</v>
      </c>
      <c r="HV22" s="1">
        <f>IF($B22=Analysis!$C$159,0,IF(HP22 &lt; 0,
    IF(HP22 + HQ21 &lt; 0,
        MAX(0, HV21 - (ABS(HP22 + HQ21) * (1+$V21))),
        HV21 + HS22),
    HV21 + HT22 + HS22))</f>
        <v>684111.29921827791</v>
      </c>
      <c r="HW22" s="1">
        <f t="shared" si="58"/>
        <v>626909.91057714948</v>
      </c>
      <c r="HX22" s="36"/>
    </row>
    <row r="23" spans="1:232" x14ac:dyDescent="0.35">
      <c r="A23">
        <f t="shared" si="0"/>
        <v>56</v>
      </c>
      <c r="B23">
        <v>2046</v>
      </c>
      <c r="C23" s="1">
        <f>IF($B23&lt;Analysis!C$66,0,$AN23)+$AT23+$AW23+$BC23+$CF23+$CA23</f>
        <v>959912.47026048903</v>
      </c>
      <c r="D23" s="1">
        <f>IF($B23&lt;Analysis!C$66, 0, BV23)+AT23+AW23+BC23+CG23+CA23</f>
        <v>798204.67759402352</v>
      </c>
      <c r="E23" s="1">
        <f t="shared" si="1"/>
        <v>1187667.2366441698</v>
      </c>
      <c r="F23" s="1">
        <f t="shared" si="9"/>
        <v>1057787.5762696173</v>
      </c>
      <c r="G23" s="1">
        <f>IF(AND($B23&gt;=Analysis!$C$100, $B23&lt;Analysis!$C$101),$CK23,0)+IF($B23&gt;=Analysis!$C$130,EB23,0)+CQ23+CT23+CZ23+EH23+EK23+EQ23+$FO23+$FT23</f>
        <v>1345288.0554248902</v>
      </c>
      <c r="H23" s="1">
        <f t="shared" si="10"/>
        <v>1183171.5547192656</v>
      </c>
      <c r="I23" s="1">
        <f>IF($B23&lt;Analysis!$C$159,0,$FW23)+$GC23+$GF23+$GL23+$HQ23+$HV23</f>
        <v>1345288.0554248902</v>
      </c>
      <c r="J23" s="1">
        <f t="shared" si="2"/>
        <v>1183171.5547192656</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46389.59959983905</v>
      </c>
      <c r="AI23" s="1">
        <f>IF(AE23 &gt;= 0,
    MAX(0, AF22 + AE23 - Analysis!$C$7),
    0)</f>
        <v>23992.249062915973</v>
      </c>
      <c r="AJ23" s="1">
        <f t="shared" si="44"/>
        <v>671232.50536624528</v>
      </c>
      <c r="AK23" s="1">
        <f t="shared" si="20"/>
        <v>1163667.2366441698</v>
      </c>
      <c r="AL23" s="1">
        <f t="shared" si="5"/>
        <v>1033787.5762696172</v>
      </c>
      <c r="AM23" s="36"/>
      <c r="AN23" s="1">
        <f t="shared" si="45"/>
        <v>1268296.4130703183</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-25604.96339759546</v>
      </c>
      <c r="AT23" s="1">
        <f>IF($B23&lt;Analysis!$C$66,0,IF($B23=Analysis!$C$66,-AP23-AS23,MIN(0,AT22-AS23)))</f>
        <v>-272001.57046742289</v>
      </c>
      <c r="AU23" s="64">
        <f>IF($B23&lt;Analysis!$C$66,0,IF($B23=Analysis!$C$66,Analysis!$C$72,IF(($B23-Analysis!$C$66)&lt;LOOKUP(Analysis!$C$66,$B:$B,AQ:AQ),AU22,0)))</f>
        <v>2.9600000000000001E-2</v>
      </c>
      <c r="AV23" s="1">
        <f>IF($B23&lt;Analysis!$C$66,0,IF($B23=Analysis!$C$66,-AU23*AP23,AU22*AT22))</f>
        <v>-8809.1534024045432</v>
      </c>
      <c r="AW23" s="1">
        <f>IF($B23&lt;Analysis!$C$66,0,IF($B23=Analysis!$C$66,PMT(AU23,AQ23,AP23)*AQ23-AX23-AT23,IF(($B23-Analysis!$C$66+1)&lt;LOOKUP(Analysis!$C$66,$B:$B,AQ:AQ),IF(AW22-AV23&lt;0, AW22-AV23,0),0)))</f>
        <v>-42417.235548956902</v>
      </c>
      <c r="AX23" s="1">
        <f>IF($B23&lt;Analysis!$C$66,0,IF($B23=Analysis!$C$66,AS23+AV23,IF(AT22&lt;0,IF(AT22&gt;LOOKUP(Analysis!$C$66,$B:$B,AX:AX), AT22*(1+AU22),AX22),0)))</f>
        <v>-34414.116800000003</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-3804.8892392109551</v>
      </c>
      <c r="BF23" s="64">
        <f>IF($B23&lt;Analysis!$C$66,0,Analysis!$C$78)</f>
        <v>3.0000000000000001E-3</v>
      </c>
      <c r="BG23" s="1">
        <f>IF($B23&lt;Analysis!$C$66,0,-BH23*AN23)</f>
        <v>-9512.2230980273871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-161707.7926664656</v>
      </c>
      <c r="BS23" s="64">
        <f>IF($B23&lt;Analysis!C$66,0,Analysis!C$31)</f>
        <v>0.1275</v>
      </c>
      <c r="BT23" s="1">
        <f>IF($B23&lt;Analysis!$C$66,0,AN23+BR23)</f>
        <v>1106588.6204038528</v>
      </c>
      <c r="BU23" s="1">
        <f>IF($B23-Analysis!$C$66&gt;3,0,IF($AN23&gt;LOOKUP(Analysis!$C$66,$B:$B, AN:AN),$V23*(LOOKUP(Analysis!$C$66,$B:$B, AN:AN)-AN23),0))</f>
        <v>0</v>
      </c>
      <c r="BV23" s="1">
        <f t="shared" si="23"/>
        <v>1106588.6204038528</v>
      </c>
      <c r="BW23" s="42"/>
      <c r="BX23" s="1">
        <f>IF($B23&lt;Analysis!$C$66,$P23+$N23+$X23+$Z23,$P23+$N23+AS23+AV23+BB23+BE23+BG23+MAX(BI23,SUM(BJ23:BN23))+BP23)</f>
        <v>-126091.22913723835</v>
      </c>
      <c r="BY23" s="1">
        <f t="shared" si="24"/>
        <v>131467.92324122589</v>
      </c>
      <c r="BZ23" s="1">
        <f t="shared" si="46"/>
        <v>5376.6941039875383</v>
      </c>
      <c r="CA23" s="1">
        <f>IF(BZ23 &lt; 0,
    IF(CA22 + BZ23 &gt; 0,
        CA22 + BZ23, IF(CF22-ABS(CA22 + BZ23)*(1+$V23) &gt;= CA22 + BZ23,
        0, CA22 + BZ23)),
    MIN(CA22 + BZ23, Analysis!$C$7))+IF(CA22&lt;0, CA22*Analysis!$C$9,0)</f>
        <v>6034.8632065506335</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-29115.674178309906</v>
      </c>
      <c r="CJ23" s="1">
        <f>IF(OR($B23&lt;Analysis!$C$100, $B23&gt;=Analysis!$C$130),0,Z23)</f>
        <v>-3960</v>
      </c>
      <c r="CK23" s="1">
        <f t="shared" si="26"/>
        <v>762815.9585857708</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-14282.280767565255</v>
      </c>
      <c r="CQ23" s="1">
        <f>IF(OR($B23&lt;Analysis!$C$100, $B23&gt;=Analysis!$C$101),0,IF($B23=Analysis!$C$100,-CM23-CP23,MIN(0,CQ22-CP23)))</f>
        <v>-151720.69330117622</v>
      </c>
      <c r="CR23" s="64">
        <f>IF(OR($B23&lt;Analysis!$C$100, $B23&gt;=Analysis!$C$101),0,IF($B23=Analysis!$C$100,Analysis!$C$102,IF(($B23-Analysis!$C$100)&lt;LOOKUP(Analysis!$C$100,$B:$B,CN:CN),CR22,0)))</f>
        <v>2.9600000000000001E-2</v>
      </c>
      <c r="CS23" s="1">
        <f>IF(OR($B23&lt;Analysis!$C$100, $B23&gt;=Analysis!$C$101),0,IF($B23=Analysis!$C$100,-CR23*CM23,CR22*CQ22))</f>
        <v>-4913.6880324347476</v>
      </c>
      <c r="CT23" s="1">
        <f>IF(OR($B23&lt;Analysis!$C$100, $B23&gt;=Analysis!$C$101),0,IF($B23=Analysis!$C$100,PMT(CR23,CN23,CM23)*CN23-CU23-CQ23,IF(($B23-Analysis!$C$100+1)&lt;LOOKUP(Analysis!$C$100,$B:$B,CN:CN),IF(CT22-CS23&lt;0, CT22-CS23,0),0)))</f>
        <v>-23660.055985514198</v>
      </c>
      <c r="CU23" s="1">
        <f>IF(OR($B23&lt;Analysis!$C$100, $B23&gt;=Analysis!$C$101),0,IF($B23=Analysis!$C$100,CP23+CS23,IF(CQ22&lt;0,IF(CQ22&gt;LOOKUP(Analysis!$C$100,$B:$B,CU:CU), CQ22*(1+CR22),CU22),0)))</f>
        <v>-19195.968800000002</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31724.66278177849</v>
      </c>
      <c r="DE23" s="1">
        <f t="shared" si="27"/>
        <v>-2288.4478757573124</v>
      </c>
      <c r="DF23" s="64">
        <f>IF(OR($B23&lt;Analysis!$C$100, $B23&gt;=Analysis!$C$101),0,Analysis!$C$118)</f>
        <v>3.0000000000000001E-3</v>
      </c>
      <c r="DG23" s="1">
        <f t="shared" si="28"/>
        <v>-5721.1196893932811</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-1910.7161179515883</v>
      </c>
      <c r="DR23" s="1">
        <f t="shared" si="29"/>
        <v>-22180.283683102185</v>
      </c>
      <c r="DS23" s="1">
        <f>MIN(0,-(DB23+DR23)*Analysis!$C$28)-CS23*Analysis!$C$28</f>
        <v>716.82804229643102</v>
      </c>
      <c r="DT23" s="1">
        <f>-Analysis!$C$116*DD23/12</f>
        <v>-2643.7218984815408</v>
      </c>
      <c r="DU23" s="53"/>
      <c r="DV23" s="1">
        <f t="shared" si="30"/>
        <v>-97259.034719685777</v>
      </c>
      <c r="DW23" s="64">
        <f>IF(OR($B23&lt;Analysis!$C$100, $B23&gt;=Analysis!$C$101),0,IF($B23=Analysis!$C$100,Analysis!$C$31,DW22))</f>
        <v>0.1275</v>
      </c>
      <c r="DX23" s="1">
        <f>IF(OR($B23&lt;Analysis!$C$100, $B23&gt;=Analysis!$C$101),0,CK23+DV23)</f>
        <v>665556.92386608501</v>
      </c>
      <c r="DY23" s="1">
        <f>IF(OR($B23&lt;Analysis!$C$100, $B23&gt;=Analysis!$C$101),0,IF($B23-Analysis!$C$100&gt;3,0,IF(CK23&gt;LOOKUP(Analysis!$C$100,$B:$B, CK:CK),$V23*(LOOKUP(Analysis!$C$100,$B:$B, CK:CK)-CK23),0)))</f>
        <v>0</v>
      </c>
      <c r="DZ23" s="1">
        <f t="shared" si="49"/>
        <v>665556.92386608501</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IF($B23&lt;Analysis!$C$130,0,IF($B23=Analysis!$C$130,Analysis!$B$136,IF(($B23-Analysis!$C$130)&lt;LOOKUP(Analysis!$C$130,$B:$B,EE:EE),EI22,0)))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-142478.8205175972</v>
      </c>
      <c r="FM23" s="1">
        <f>$M23+$R23+DD23+IF(AND($B23&lt;&gt;Analysis!$C$130,$B23=Analysis!$C$101),DZ22+CQ22+CT22+CZ22,0)</f>
        <v>163192.58602300438</v>
      </c>
      <c r="FN23" s="1">
        <f t="shared" si="34"/>
        <v>20713.76550540718</v>
      </c>
      <c r="FO23" s="1">
        <f>IF(FN23 &lt; 0,
    IF(FO22 + FN23 &gt; 0,
        FO22 + FN23, IF(FT22-ABS(FO22 + FN23)*(1+$V23) &gt;= FO22 + FN23,
        0, FO22 + FN23)),
    MIN(FO22 + FN23, Analysis!$C$7))+IF(FO22&lt;0, FO22*Analysis!$C$9,0)</f>
        <v>24000</v>
      </c>
      <c r="FP23" s="53"/>
      <c r="FQ23" s="1">
        <f t="shared" si="51"/>
        <v>29027.781402124696</v>
      </c>
      <c r="FR23" s="1">
        <f>IF(OR($B23=Analysis!$C$100, $B23=Analysis!$C$130),0,IF(FN23 &gt;= 0,
    MAX(0, FO22 + FN23 - Analysis!$C$7),
    0))</f>
        <v>20713.76550540718</v>
      </c>
      <c r="FS23" s="1">
        <f>IF(OR($B23=Analysis!$C$100, $B23=Analysis!$C$130),0,MAX(0, FS22 + FR23 - IF(FN23 &lt; 0, MIN(ABS(FN23), FS22 + FR23), 0)))</f>
        <v>487947.76181893254</v>
      </c>
      <c r="FT23" s="1">
        <f>IF(OR($B23=Analysis!$C$100, $B23=Analysis!$C$130),0,IF(FN23 &lt; 0,
    IF(FN23 + FO22 &lt; 0,
        MAX(0, FT22 - (ABS(FN23 + FO22) * (1+$V22))),
        FT22 + FQ23),
    FT22 + FR23 + FQ23))</f>
        <v>733852.84612580983</v>
      </c>
      <c r="FU23" s="1">
        <f t="shared" si="57"/>
        <v>668995.38013987092</v>
      </c>
      <c r="FV23" s="36"/>
      <c r="FW23" s="1">
        <f t="shared" si="52"/>
        <v>762815.9585857708</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-14282.280767565255</v>
      </c>
      <c r="GC23" s="1">
        <f>IF($B23&lt;Analysis!$C$159,0,IF($B23=Analysis!$C$159,-FY23-GB23,MIN(0,GC22-GB23)))</f>
        <v>-151720.69330117622</v>
      </c>
      <c r="GD23" s="64">
        <f>IF($B23&lt;Analysis!$C$159,0,IF($B23=Analysis!$C$159,Analysis!$B$160,IF(($B23-Analysis!$C$159)&lt;LOOKUP(Analysis!$C$159,$B:$B,FZ:FZ),GD22,0)))</f>
        <v>2.9600000000000001E-2</v>
      </c>
      <c r="GE23" s="1">
        <f>IF($B23&lt;Analysis!$C$159,0,IF($B23=Analysis!$C$159,-GD23*FY23,GD22*GC22))</f>
        <v>-4913.6880324347476</v>
      </c>
      <c r="GF23" s="1">
        <f>IF($B23&lt;Analysis!$C$159,0,IF($B23=Analysis!$C$159,PMT(GD23,FZ23,FY23)*FZ23-GG23-GC23,IF(($B23-Analysis!$C$159+1)&lt;LOOKUP(Analysis!$C$159,$B:$B,FZ:FZ),IF(GF22-GE23&lt;0, GF22-GE23,0),0)))</f>
        <v>-23660.055985514198</v>
      </c>
      <c r="GG23" s="1">
        <f>IF($B23&lt;Analysis!$C$159,0,IF($B23=Analysis!$C$159,GB23+GE23,IF(GC22&lt;0,IF(GC22&gt;LOOKUP(Analysis!$C$159,$B:$B,GG:GG), GC22*(1+GD22),GG22),0)))</f>
        <v>-19195.968800000002</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31724.66278177849</v>
      </c>
      <c r="GQ23" s="1">
        <f t="shared" si="36"/>
        <v>-2288.4478757573124</v>
      </c>
      <c r="GR23" s="64">
        <f>IF($B23&lt;Analysis!$C$159,0,Analysis!$C$178)</f>
        <v>3.0000000000000001E-3</v>
      </c>
      <c r="GS23" s="1">
        <f t="shared" si="37"/>
        <v>-5721.1196893932811</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-1910.7161179515883</v>
      </c>
      <c r="HD23" s="1">
        <f t="shared" si="38"/>
        <v>-22180.283683102185</v>
      </c>
      <c r="HE23" s="1">
        <f>MIN(0,-(GN23+HD23)*Analysis!$C$28)-GE23*Analysis!$C$28</f>
        <v>716.82804229643102</v>
      </c>
      <c r="HF23" s="1">
        <f>-Analysis!$C$176*GP23/12</f>
        <v>-2643.7218984815408</v>
      </c>
      <c r="HG23" s="38"/>
      <c r="HH23" s="1">
        <f>IF($B23&lt;Analysis!$C$159,0,-$HI23*$FW23)</f>
        <v>-97259.034719685777</v>
      </c>
      <c r="HI23" s="64">
        <f>IF($B23&lt;Analysis!$C$159,0,IF($B23=Analysis!$C$159,Analysis!$C$31,HI22))</f>
        <v>0.1275</v>
      </c>
      <c r="HJ23" s="1">
        <f>IF($B23&lt;Analysis!$C$159,0,$FW23+HH23)</f>
        <v>665556.92386608501</v>
      </c>
      <c r="HK23" s="1">
        <f>IF($B23-Analysis!$C$159&gt;10,0,IF($FW23&gt;LOOKUP(Analysis!$C$159,$B:$B, FW:FW),$V23*(LOOKUP(Analysis!$C$159,$B:$B, FW:FW)-FW23),0))</f>
        <v>0</v>
      </c>
      <c r="HL23" s="1">
        <f t="shared" si="39"/>
        <v>665556.92386608501</v>
      </c>
      <c r="HM23" s="38"/>
      <c r="HN23" s="1">
        <f t="shared" si="40"/>
        <v>-142478.8205175972</v>
      </c>
      <c r="HO23" s="1">
        <f t="shared" si="8"/>
        <v>163192.58602300438</v>
      </c>
      <c r="HP23" s="1">
        <f t="shared" si="41"/>
        <v>20713.76550540718</v>
      </c>
      <c r="HQ23" s="1">
        <f>IF(HP23 &lt; 0,
    IF(HQ22 + HP23 &gt; 0,
        HQ22 + HP23, IF(HV22-ABS(HQ22 + HP23)*(1+$V23) &gt;= HQ22 + HP23,
        0, HQ22 + HP23)),
    MIN(HQ22 + HP23, Analysis!$C$7))+IF(HQ22&lt;0, HQ22*Analysis!$C$9,0)</f>
        <v>24000</v>
      </c>
      <c r="HR23" s="38"/>
      <c r="HS23" s="1">
        <f t="shared" si="54"/>
        <v>29027.781402124696</v>
      </c>
      <c r="HT23" s="1">
        <f>IF($B23=Analysis!$C$159,0,IF(HP23 &gt;= 0,
    MAX(0, HQ22 + HP23 - Analysis!$C$7),
    0))</f>
        <v>20713.76550540718</v>
      </c>
      <c r="HU23" s="1">
        <f>IF($B23=Analysis!$C$159,0,MAX(0, HU22 + HT23 - IF(HP23 &lt; 0, MIN(ABS(HP23), HU22 + HT23), 0)))</f>
        <v>487947.76181893254</v>
      </c>
      <c r="HV23" s="1">
        <f>IF($B23=Analysis!$C$159,0,IF(HP23 &lt; 0,
    IF(HP23 + HQ22 &lt; 0,
        MAX(0, HV22 - (ABS(HP23 + HQ22) * (1+$V22))),
        HV22 + HS23),
    HV22 + HT23 + HS23))</f>
        <v>733852.84612580983</v>
      </c>
      <c r="HW23" s="1">
        <f t="shared" si="58"/>
        <v>668995.38013987092</v>
      </c>
      <c r="HX23" s="36"/>
    </row>
    <row r="24" spans="1:232" x14ac:dyDescent="0.35">
      <c r="A24">
        <f t="shared" si="0"/>
        <v>57</v>
      </c>
      <c r="B24">
        <v>2047</v>
      </c>
      <c r="C24" s="1">
        <f>IF($B24&lt;Analysis!C$66,0,$AN24)+$AT24+$AW24+$BC24+$CF24+$CA24</f>
        <v>1036614.437068391</v>
      </c>
      <c r="D24" s="1">
        <f>IF($B24&lt;Analysis!C$66, 0, BV24)+AT24+AW24+BC24+CG24+CA24</f>
        <v>870150.53285291174</v>
      </c>
      <c r="E24" s="1">
        <f t="shared" si="1"/>
        <v>1258184.282270076</v>
      </c>
      <c r="F24" s="1">
        <f t="shared" si="9"/>
        <v>1115807.8462413133</v>
      </c>
      <c r="G24" s="1">
        <f>IF(AND($B24&gt;=Analysis!$C$100, $B24&lt;Analysis!$C$101),$CK24,0)+IF($B24&gt;=Analysis!$C$130,EB24,0)+CQ24+CT24+CZ24+EH24+EK24+EQ24+$FO24+$FT24</f>
        <v>1436724.2906020242</v>
      </c>
      <c r="H24" s="1">
        <f t="shared" si="10"/>
        <v>1263866.2877234777</v>
      </c>
      <c r="I24" s="1">
        <f>IF($B24&lt;Analysis!$C$159,0,$FW24)+$GC24+$GF24+$GL24+$HQ24+$HV24</f>
        <v>1436724.2906020242</v>
      </c>
      <c r="J24" s="1">
        <f t="shared" si="2"/>
        <v>1263866.2877234777</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47381.139921175694</v>
      </c>
      <c r="AI24" s="1">
        <f>IF(AE24 &gt;= 0,
    MAX(0, AF23 + AE24 - Analysis!$C$7),
    0)</f>
        <v>23135.905704730394</v>
      </c>
      <c r="AJ24" s="1">
        <f t="shared" si="44"/>
        <v>694368.41107097571</v>
      </c>
      <c r="AK24" s="1">
        <f t="shared" si="20"/>
        <v>1234184.282270076</v>
      </c>
      <c r="AL24" s="1">
        <f t="shared" si="5"/>
        <v>1091807.8462413133</v>
      </c>
      <c r="AM24" s="36"/>
      <c r="AN24" s="1">
        <f t="shared" si="45"/>
        <v>1305599.2487488573</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-26362.870314164284</v>
      </c>
      <c r="AT24" s="1">
        <f>IF($B24&lt;Analysis!$C$66,0,IF($B24=Analysis!$C$66,-AP24-AS24,MIN(0,AT23-AS24)))</f>
        <v>-245638.7001532586</v>
      </c>
      <c r="AU24" s="64">
        <f>IF($B24&lt;Analysis!$C$66,0,IF($B24=Analysis!$C$66,Analysis!$C$72,IF(($B24-Analysis!$C$66)&lt;LOOKUP(Analysis!$C$66,$B:$B,AQ:AQ),AU23,0)))</f>
        <v>2.9600000000000001E-2</v>
      </c>
      <c r="AV24" s="1">
        <f>IF($B24&lt;Analysis!$C$66,0,IF($B24=Analysis!$C$66,-AU24*AP24,AU23*AT23))</f>
        <v>-8051.246485835718</v>
      </c>
      <c r="AW24" s="1">
        <f>IF($B24&lt;Analysis!$C$66,0,IF($B24=Analysis!$C$66,PMT(AU24,AQ24,AP24)*AQ24-AX24-AT24,IF(($B24-Analysis!$C$66+1)&lt;LOOKUP(Analysis!$C$66,$B:$B,AQ:AQ),IF(AW23-AV24&lt;0, AW23-AV24,0),0)))</f>
        <v>-34365.989063121182</v>
      </c>
      <c r="AX24" s="1">
        <f>IF($B24&lt;Analysis!$C$66,0,IF($B24=Analysis!$C$66,AS24+AV24,IF(AT23&lt;0,IF(AT23&gt;LOOKUP(Analysis!$C$66,$B:$B,AX:AX), AT23*(1+AU23),AX23),0)))</f>
        <v>-34414.116800000003</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-3916.7977462465719</v>
      </c>
      <c r="BF24" s="64">
        <f>IF($B24&lt;Analysis!$C$66,0,Analysis!$C$78)</f>
        <v>3.0000000000000001E-3</v>
      </c>
      <c r="BG24" s="1">
        <f>IF($B24&lt;Analysis!$C$66,0,-BH24*AN24)</f>
        <v>-9791.9943656164287</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-166463.9042154793</v>
      </c>
      <c r="BS24" s="64">
        <f>IF($B24&lt;Analysis!C$66,0,Analysis!C$31)</f>
        <v>0.1275</v>
      </c>
      <c r="BT24" s="1">
        <f>IF($B24&lt;Analysis!$C$66,0,AN24+BR24)</f>
        <v>1139135.344533378</v>
      </c>
      <c r="BU24" s="1">
        <f>IF($B24-Analysis!$C$66&gt;3,0,IF($AN24&gt;LOOKUP(Analysis!$C$66,$B:$B, AN:AN),$V24*(LOOKUP(Analysis!$C$66,$B:$B, AN:AN)-AN24),0))</f>
        <v>0</v>
      </c>
      <c r="BV24" s="1">
        <f t="shared" si="23"/>
        <v>1139135.344533378</v>
      </c>
      <c r="BW24" s="42"/>
      <c r="BX24" s="1">
        <f>IF($B24&lt;Analysis!$C$66,$P24+$N24+$X24+$Z24,$P24+$N24+AS24+AV24+BB24+BE24+BG24+MAX(BI24,SUM(BJ24:BN24))+BP24)</f>
        <v>-126482.90891186301</v>
      </c>
      <c r="BY24" s="1">
        <f t="shared" si="24"/>
        <v>131467.92324122589</v>
      </c>
      <c r="BZ24" s="1">
        <f t="shared" si="46"/>
        <v>4985.0143293628789</v>
      </c>
      <c r="CA24" s="1">
        <f>IF(BZ24 &lt; 0,
    IF(CA23 + BZ24 &gt; 0,
        CA23 + BZ24, IF(CF23-ABS(CA23 + BZ24)*(1+$V24) &gt;= CA23 + BZ24,
        0, CA23 + BZ24)),
    MIN(CA23 + BZ24, Analysis!$C$7))+IF(CA23&lt;0, CA23*Analysis!$C$9,0)</f>
        <v>11019.877535913512</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-29972.017536495496</v>
      </c>
      <c r="CJ24" s="1">
        <f>IF(OR($B24&lt;Analysis!$C$100, $B24&gt;=Analysis!$C$130),0,Z24)</f>
        <v>-3960</v>
      </c>
      <c r="CK24" s="1">
        <f t="shared" si="26"/>
        <v>785251.72207358771</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-14705.036278285186</v>
      </c>
      <c r="CQ24" s="1">
        <f>IF(OR($B24&lt;Analysis!$C$100, $B24&gt;=Analysis!$C$101),0,IF($B24=Analysis!$C$100,-CM24-CP24,MIN(0,CQ23-CP24)))</f>
        <v>-137015.65702289104</v>
      </c>
      <c r="CR24" s="64">
        <f>IF(OR($B24&lt;Analysis!$C$100, $B24&gt;=Analysis!$C$101),0,IF($B24=Analysis!$C$100,Analysis!$C$102,IF(($B24-Analysis!$C$100)&lt;LOOKUP(Analysis!$C$100,$B:$B,CN:CN),CR23,0)))</f>
        <v>2.9600000000000001E-2</v>
      </c>
      <c r="CS24" s="1">
        <f>IF(OR($B24&lt;Analysis!$C$100, $B24&gt;=Analysis!$C$101),0,IF($B24=Analysis!$C$100,-CR24*CM24,CR23*CQ23))</f>
        <v>-4490.9325217148162</v>
      </c>
      <c r="CT24" s="1">
        <f>IF(OR($B24&lt;Analysis!$C$100, $B24&gt;=Analysis!$C$101),0,IF($B24=Analysis!$C$100,PMT(CR24,CN24,CM24)*CN24-CU24-CQ24,IF(($B24-Analysis!$C$100+1)&lt;LOOKUP(Analysis!$C$100,$B:$B,CN:CN),IF(CT23-CS24&lt;0, CT23-CS24,0),0)))</f>
        <v>-19169.123463799384</v>
      </c>
      <c r="CU24" s="1">
        <f>IF(OR($B24&lt;Analysis!$C$100, $B24&gt;=Analysis!$C$101),0,IF($B24=Analysis!$C$100,CP24+CS24,IF(CQ23&lt;0,IF(CQ23&gt;LOOKUP(Analysis!$C$100,$B:$B,CU:CU), CQ23*(1+CR23),CU23),0)))</f>
        <v>-19195.968800000002</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32541.270510654329</v>
      </c>
      <c r="DE24" s="1">
        <f t="shared" si="27"/>
        <v>-2355.7551662207634</v>
      </c>
      <c r="DF24" s="64">
        <f>IF(OR($B24&lt;Analysis!$C$100, $B24&gt;=Analysis!$C$101),0,Analysis!$C$118)</f>
        <v>3.0000000000000001E-3</v>
      </c>
      <c r="DG24" s="1">
        <f t="shared" si="28"/>
        <v>-5889.387915551908</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-1966.9136508325173</v>
      </c>
      <c r="DR24" s="1">
        <f t="shared" si="29"/>
        <v>-22472.05673260519</v>
      </c>
      <c r="DS24" s="1">
        <f>MIN(0,-(DB24+DR24)*Analysis!$C$28)-CS24*Analysis!$C$28</f>
        <v>326.77468947068132</v>
      </c>
      <c r="DT24" s="1">
        <f>-Analysis!$C$116*DD24/12</f>
        <v>-2711.7725425545273</v>
      </c>
      <c r="DU24" s="53"/>
      <c r="DV24" s="1">
        <f t="shared" si="30"/>
        <v>-100119.59456438244</v>
      </c>
      <c r="DW24" s="64">
        <f>IF(OR($B24&lt;Analysis!$C$100, $B24&gt;=Analysis!$C$101),0,IF($B24=Analysis!$C$100,Analysis!$C$31,DW23))</f>
        <v>0.1275</v>
      </c>
      <c r="DX24" s="1">
        <f>IF(OR($B24&lt;Analysis!$C$100, $B24&gt;=Analysis!$C$101),0,CK24+DV24)</f>
        <v>685132.12750920525</v>
      </c>
      <c r="DY24" s="1">
        <f>IF(OR($B24&lt;Analysis!$C$100, $B24&gt;=Analysis!$C$101),0,IF($B24-Analysis!$C$100&gt;3,0,IF(CK24&gt;LOOKUP(Analysis!$C$100,$B:$B, CK:CK),$V24*(LOOKUP(Analysis!$C$100,$B:$B, CK:CK)-CK24),0)))</f>
        <v>0</v>
      </c>
      <c r="DZ24" s="1">
        <f t="shared" si="49"/>
        <v>685132.12750920525</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IF($B24&lt;Analysis!$C$130,0,IF($B24=Analysis!$C$130,Analysis!$B$136,IF(($B24-Analysis!$C$130)&lt;LOOKUP(Analysis!$C$130,$B:$B,EE:EE),EI23,0)))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-144085.04092218453</v>
      </c>
      <c r="FM24" s="1">
        <f>$M24+$R24+DD24+IF(AND($B24&lt;&gt;Analysis!$C$130,$B24=Analysis!$C$101),DZ23+CQ23+CT23+CZ23,0)</f>
        <v>164009.1937518802</v>
      </c>
      <c r="FN24" s="1">
        <f t="shared" si="34"/>
        <v>19924.152829695668</v>
      </c>
      <c r="FO24" s="1">
        <f>IF(FN24 &lt; 0,
    IF(FO23 + FN24 &gt; 0,
        FO23 + FN24, IF(FT23-ABS(FO23 + FN24)*(1+$V24) &gt;= FO23 + FN24,
        0, FO23 + FN24)),
    MIN(FO23 + FN24, Analysis!$C$7))+IF(FO23&lt;0, FO23*Analysis!$C$9,0)</f>
        <v>24000</v>
      </c>
      <c r="FP24" s="53"/>
      <c r="FQ24" s="1">
        <f t="shared" si="51"/>
        <v>29880.350059621334</v>
      </c>
      <c r="FR24" s="1">
        <f>IF(OR($B24=Analysis!$C$100, $B24=Analysis!$C$130),0,IF(FN24 &gt;= 0,
    MAX(0, FO23 + FN24 - Analysis!$C$7),
    0))</f>
        <v>19924.152829695668</v>
      </c>
      <c r="FS24" s="1">
        <f>IF(OR($B24=Analysis!$C$100, $B24=Analysis!$C$130),0,MAX(0, FS23 + FR24 - IF(FN24 &lt; 0, MIN(ABS(FN24), FS23 + FR24), 0)))</f>
        <v>507871.91464862821</v>
      </c>
      <c r="FT24" s="1">
        <f>IF(OR($B24=Analysis!$C$100, $B24=Analysis!$C$130),0,IF(FN24 &lt; 0,
    IF(FN24 + FO23 &lt; 0,
        MAX(0, FT23 - (ABS(FN24 + FO23) * (1+$V23))),
        FT23 + FQ24),
    FT23 + FR24 + FQ24))</f>
        <v>783657.34901512682</v>
      </c>
      <c r="FU24" s="1">
        <f t="shared" si="57"/>
        <v>710918.94070096279</v>
      </c>
      <c r="FV24" s="36"/>
      <c r="FW24" s="1">
        <f t="shared" si="52"/>
        <v>785251.72207358771</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-14705.036278285186</v>
      </c>
      <c r="GC24" s="1">
        <f>IF($B24&lt;Analysis!$C$159,0,IF($B24=Analysis!$C$159,-FY24-GB24,MIN(0,GC23-GB24)))</f>
        <v>-137015.65702289104</v>
      </c>
      <c r="GD24" s="64">
        <f>IF($B24&lt;Analysis!$C$159,0,IF($B24=Analysis!$C$159,Analysis!$B$160,IF(($B24-Analysis!$C$159)&lt;LOOKUP(Analysis!$C$159,$B:$B,FZ:FZ),GD23,0)))</f>
        <v>2.9600000000000001E-2</v>
      </c>
      <c r="GE24" s="1">
        <f>IF($B24&lt;Analysis!$C$159,0,IF($B24=Analysis!$C$159,-GD24*FY24,GD23*GC23))</f>
        <v>-4490.9325217148162</v>
      </c>
      <c r="GF24" s="1">
        <f>IF($B24&lt;Analysis!$C$159,0,IF($B24=Analysis!$C$159,PMT(GD24,FZ24,FY24)*FZ24-GG24-GC24,IF(($B24-Analysis!$C$159+1)&lt;LOOKUP(Analysis!$C$159,$B:$B,FZ:FZ),IF(GF23-GE24&lt;0, GF23-GE24,0),0)))</f>
        <v>-19169.123463799384</v>
      </c>
      <c r="GG24" s="1">
        <f>IF($B24&lt;Analysis!$C$159,0,IF($B24=Analysis!$C$159,GB24+GE24,IF(GC23&lt;0,IF(GC23&gt;LOOKUP(Analysis!$C$159,$B:$B,GG:GG), GC23*(1+GD23),GG23),0)))</f>
        <v>-19195.968800000002</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32541.270510654329</v>
      </c>
      <c r="GQ24" s="1">
        <f t="shared" si="36"/>
        <v>-2355.7551662207634</v>
      </c>
      <c r="GR24" s="64">
        <f>IF($B24&lt;Analysis!$C$159,0,Analysis!$C$178)</f>
        <v>3.0000000000000001E-3</v>
      </c>
      <c r="GS24" s="1">
        <f t="shared" si="37"/>
        <v>-5889.387915551908</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-1966.9136508325173</v>
      </c>
      <c r="HD24" s="1">
        <f t="shared" si="38"/>
        <v>-22472.05673260519</v>
      </c>
      <c r="HE24" s="1">
        <f>MIN(0,-(GN24+HD24)*Analysis!$C$28)-GE24*Analysis!$C$28</f>
        <v>326.77468947068132</v>
      </c>
      <c r="HF24" s="1">
        <f>-Analysis!$C$176*GP24/12</f>
        <v>-2711.7725425545273</v>
      </c>
      <c r="HG24" s="38"/>
      <c r="HH24" s="1">
        <f>IF($B24&lt;Analysis!$C$159,0,-$HI24*$FW24)</f>
        <v>-100119.59456438244</v>
      </c>
      <c r="HI24" s="64">
        <f>IF($B24&lt;Analysis!$C$159,0,IF($B24=Analysis!$C$159,Analysis!$C$31,HI23))</f>
        <v>0.1275</v>
      </c>
      <c r="HJ24" s="1">
        <f>IF($B24&lt;Analysis!$C$159,0,$FW24+HH24)</f>
        <v>685132.12750920525</v>
      </c>
      <c r="HK24" s="1">
        <f>IF($B24-Analysis!$C$159&gt;10,0,IF($FW24&gt;LOOKUP(Analysis!$C$159,$B:$B, FW:FW),$V24*(LOOKUP(Analysis!$C$159,$B:$B, FW:FW)-FW24),0))</f>
        <v>0</v>
      </c>
      <c r="HL24" s="1">
        <f t="shared" si="39"/>
        <v>685132.12750920525</v>
      </c>
      <c r="HM24" s="38"/>
      <c r="HN24" s="1">
        <f t="shared" si="40"/>
        <v>-144085.04092218453</v>
      </c>
      <c r="HO24" s="1">
        <f t="shared" si="8"/>
        <v>164009.1937518802</v>
      </c>
      <c r="HP24" s="1">
        <f t="shared" si="41"/>
        <v>19924.152829695668</v>
      </c>
      <c r="HQ24" s="1">
        <f>IF(HP24 &lt; 0,
    IF(HQ23 + HP24 &gt; 0,
        HQ23 + HP24, IF(HV23-ABS(HQ23 + HP24)*(1+$V24) &gt;= HQ23 + HP24,
        0, HQ23 + HP24)),
    MIN(HQ23 + HP24, Analysis!$C$7))+IF(HQ23&lt;0, HQ23*Analysis!$C$9,0)</f>
        <v>24000</v>
      </c>
      <c r="HR24" s="38"/>
      <c r="HS24" s="1">
        <f t="shared" si="54"/>
        <v>29880.350059621334</v>
      </c>
      <c r="HT24" s="1">
        <f>IF($B24=Analysis!$C$159,0,IF(HP24 &gt;= 0,
    MAX(0, HQ23 + HP24 - Analysis!$C$7),
    0))</f>
        <v>19924.152829695668</v>
      </c>
      <c r="HU24" s="1">
        <f>IF($B24=Analysis!$C$159,0,MAX(0, HU23 + HT24 - IF(HP24 &lt; 0, MIN(ABS(HP24), HU23 + HT24), 0)))</f>
        <v>507871.91464862821</v>
      </c>
      <c r="HV24" s="1">
        <f>IF($B24=Analysis!$C$159,0,IF(HP24 &lt; 0,
    IF(HP24 + HQ23 &lt; 0,
        MAX(0, HV23 - (ABS(HP24 + HQ23) * (1+$V23))),
        HV23 + HS24),
    HV23 + HT24 + HS24))</f>
        <v>783657.34901512682</v>
      </c>
      <c r="HW24" s="1">
        <f t="shared" si="58"/>
        <v>710918.94070096279</v>
      </c>
      <c r="HX24" s="36"/>
    </row>
    <row r="25" spans="1:232" x14ac:dyDescent="0.35">
      <c r="A25">
        <f t="shared" si="0"/>
        <v>58</v>
      </c>
      <c r="B25">
        <v>2048</v>
      </c>
      <c r="C25" s="1">
        <f>IF($B25&lt;Analysis!C$66,0,$AN25)+$AT25+$AW25+$BC25+$CF25+$CA25</f>
        <v>1114010.3463341361</v>
      </c>
      <c r="D25" s="1">
        <f>IF($B25&lt;Analysis!C$66, 0, BV25)+AT25+AW25+BC25+CG25+CA25</f>
        <v>942650.44493584847</v>
      </c>
      <c r="E25" s="1">
        <f t="shared" si="1"/>
        <v>1328575.3021546253</v>
      </c>
      <c r="F25" s="1">
        <f t="shared" si="9"/>
        <v>1173502.8262425456</v>
      </c>
      <c r="G25" s="1">
        <f>IF(AND($B25&gt;=Analysis!$C$100, $B25&lt;Analysis!$C$101),$CK25,0)+IF($B25&gt;=Analysis!$C$130,EB25,0)+CQ25+CT25+CZ25+EH25+EK25+EQ25+$FO25+$FT25</f>
        <v>1528692.0110077199</v>
      </c>
      <c r="H25" s="1">
        <f t="shared" si="10"/>
        <v>1344827.8398025534</v>
      </c>
      <c r="I25" s="1">
        <f>IF($B25&lt;Analysis!$C$159,0,$FW25)+$GC25+$GF25+$GL25+$HQ25+$HV25</f>
        <v>1528692.0110077199</v>
      </c>
      <c r="J25" s="1">
        <f t="shared" si="2"/>
        <v>1344827.8398025534</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48136.644107363063</v>
      </c>
      <c r="AI25" s="1">
        <f>IF(AE25 &gt;= 0,
    MAX(0, AF24 + AE25 - Analysis!$C$7),
    0)</f>
        <v>22254.375777186404</v>
      </c>
      <c r="AJ25" s="1">
        <f t="shared" si="44"/>
        <v>716622.78684816207</v>
      </c>
      <c r="AK25" s="1">
        <f t="shared" si="20"/>
        <v>1304575.3021546253</v>
      </c>
      <c r="AL25" s="1">
        <f t="shared" si="5"/>
        <v>1149502.8262425456</v>
      </c>
      <c r="AM25" s="36"/>
      <c r="AN25" s="1">
        <f t="shared" si="45"/>
        <v>1343999.2266532355</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-27143.211275463549</v>
      </c>
      <c r="AT25" s="1">
        <f>IF($B25&lt;Analysis!$C$66,0,IF($B25=Analysis!$C$66,-AP25-AS25,MIN(0,AT24-AS25)))</f>
        <v>-218495.48887779505</v>
      </c>
      <c r="AU25" s="64">
        <f>IF($B25&lt;Analysis!$C$66,0,IF($B25=Analysis!$C$66,Analysis!$C$72,IF(($B25-Analysis!$C$66)&lt;LOOKUP(Analysis!$C$66,$B:$B,AQ:AQ),AU24,0)))</f>
        <v>2.9600000000000001E-2</v>
      </c>
      <c r="AV25" s="1">
        <f>IF($B25&lt;Analysis!$C$66,0,IF($B25=Analysis!$C$66,-AU25*AP25,AU24*AT24))</f>
        <v>-7270.9055245364552</v>
      </c>
      <c r="AW25" s="1">
        <f>IF($B25&lt;Analysis!$C$66,0,IF($B25=Analysis!$C$66,PMT(AU25,AQ25,AP25)*AQ25-AX25-AT25,IF(($B25-Analysis!$C$66+1)&lt;LOOKUP(Analysis!$C$66,$B:$B,AQ:AQ),IF(AW24-AV25&lt;0, AW24-AV25,0),0)))</f>
        <v>-27095.083538584728</v>
      </c>
      <c r="AX25" s="1">
        <f>IF($B25&lt;Analysis!$C$66,0,IF($B25=Analysis!$C$66,AS25+AV25,IF(AT24&lt;0,IF(AT24&gt;LOOKUP(Analysis!$C$66,$B:$B,AX:AX), AT24*(1+AU24),AX24),0)))</f>
        <v>-34414.116800000003</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-4031.9976799597066</v>
      </c>
      <c r="BF25" s="64">
        <f>IF($B25&lt;Analysis!$C$66,0,Analysis!$C$78)</f>
        <v>3.0000000000000001E-3</v>
      </c>
      <c r="BG25" s="1">
        <f>IF($B25&lt;Analysis!$C$66,0,-BH25*AN25)</f>
        <v>-10079.994199899265</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-171359.90139828753</v>
      </c>
      <c r="BS25" s="64">
        <f>IF($B25&lt;Analysis!C$66,0,Analysis!C$31)</f>
        <v>0.1275</v>
      </c>
      <c r="BT25" s="1">
        <f>IF($B25&lt;Analysis!$C$66,0,AN25+BR25)</f>
        <v>1172639.3252549479</v>
      </c>
      <c r="BU25" s="1">
        <f>IF($B25-Analysis!$C$66&gt;3,0,IF($AN25&gt;LOOKUP(Analysis!$C$66,$B:$B, AN:AN),$V25*(LOOKUP(Analysis!$C$66,$B:$B, AN:AN)-AN25),0))</f>
        <v>0</v>
      </c>
      <c r="BV25" s="1">
        <f t="shared" si="23"/>
        <v>1172639.3252549479</v>
      </c>
      <c r="BW25" s="42"/>
      <c r="BX25" s="1">
        <f>IF($B25&lt;Analysis!$C$66,$P25+$N25+$X25+$Z25,$P25+$N25+AS25+AV25+BB25+BE25+BG25+MAX(BI25,SUM(BJ25:BN25))+BP25)</f>
        <v>-126886.10867985897</v>
      </c>
      <c r="BY25" s="1">
        <f t="shared" si="24"/>
        <v>131467.92324122589</v>
      </c>
      <c r="BZ25" s="1">
        <f t="shared" si="46"/>
        <v>4581.8145613669185</v>
      </c>
      <c r="CA25" s="1">
        <f>IF(BZ25 &lt; 0,
    IF(CA24 + BZ25 &gt; 0,
        CA24 + BZ25, IF(CF24-ABS(CA24 + BZ25)*(1+$V25) &gt;= CA24 + BZ25,
        0, CA24 + BZ25)),
    MIN(CA24 + BZ25, Analysis!$C$7))+IF(CA24&lt;0, CA24*Analysis!$C$9,0)</f>
        <v>15601.692097280431</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-30853.547464039486</v>
      </c>
      <c r="CJ25" s="1">
        <f>IF(OR($B25&lt;Analysis!$C$100, $B25&gt;=Analysis!$C$130),0,Z25)</f>
        <v>-3960</v>
      </c>
      <c r="CK25" s="1">
        <f t="shared" si="26"/>
        <v>808347.36095810507</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-15140.305352122428</v>
      </c>
      <c r="CQ25" s="1">
        <f>IF(OR($B25&lt;Analysis!$C$100, $B25&gt;=Analysis!$C$101),0,IF($B25=Analysis!$C$100,-CM25-CP25,MIN(0,CQ24-CP25)))</f>
        <v>-121875.35167076861</v>
      </c>
      <c r="CR25" s="64">
        <f>IF(OR($B25&lt;Analysis!$C$100, $B25&gt;=Analysis!$C$101),0,IF($B25=Analysis!$C$100,Analysis!$C$102,IF(($B25-Analysis!$C$100)&lt;LOOKUP(Analysis!$C$100,$B:$B,CN:CN),CR24,0)))</f>
        <v>2.9600000000000001E-2</v>
      </c>
      <c r="CS25" s="1">
        <f>IF(OR($B25&lt;Analysis!$C$100, $B25&gt;=Analysis!$C$101),0,IF($B25=Analysis!$C$100,-CR25*CM25,CR24*CQ24))</f>
        <v>-4055.663447877575</v>
      </c>
      <c r="CT25" s="1">
        <f>IF(OR($B25&lt;Analysis!$C$100, $B25&gt;=Analysis!$C$101),0,IF($B25=Analysis!$C$100,PMT(CR25,CN25,CM25)*CN25-CU25-CQ25,IF(($B25-Analysis!$C$100+1)&lt;LOOKUP(Analysis!$C$100,$B:$B,CN:CN),IF(CT24-CS25&lt;0, CT24-CS25,0),0)))</f>
        <v>-15113.46001592181</v>
      </c>
      <c r="CU25" s="1">
        <f>IF(OR($B25&lt;Analysis!$C$100, $B25&gt;=Analysis!$C$101),0,IF($B25=Analysis!$C$100,CP25+CS25,IF(CQ24&lt;0,IF(CQ24&gt;LOOKUP(Analysis!$C$100,$B:$B,CU:CU), CQ24*(1+CR24),CU24),0)))</f>
        <v>-19195.968800000002</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33381.896113908871</v>
      </c>
      <c r="DE25" s="1">
        <f t="shared" si="27"/>
        <v>-2425.0420828743154</v>
      </c>
      <c r="DF25" s="64">
        <f>IF(OR($B25&lt;Analysis!$C$100, $B25&gt;=Analysis!$C$101),0,Analysis!$C$118)</f>
        <v>3.0000000000000001E-3</v>
      </c>
      <c r="DG25" s="1">
        <f t="shared" si="28"/>
        <v>-6062.6052071857875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-2024.7640523275916</v>
      </c>
      <c r="DR25" s="1">
        <f t="shared" si="29"/>
        <v>-22772.411342387695</v>
      </c>
      <c r="DS25" s="1">
        <f>MIN(0,-(DB25+DR25)*Analysis!$C$28)-CS25*Analysis!$C$28</f>
        <v>-74.786081584870544</v>
      </c>
      <c r="DT25" s="1">
        <f>-Analysis!$C$116*DD25/12</f>
        <v>-2781.8246761590726</v>
      </c>
      <c r="DU25" s="53"/>
      <c r="DV25" s="1">
        <f t="shared" si="30"/>
        <v>-103064.2885221584</v>
      </c>
      <c r="DW25" s="64">
        <f>IF(OR($B25&lt;Analysis!$C$100, $B25&gt;=Analysis!$C$101),0,IF($B25=Analysis!$C$100,Analysis!$C$31,DW24))</f>
        <v>0.1275</v>
      </c>
      <c r="DX25" s="1">
        <f>IF(OR($B25&lt;Analysis!$C$100, $B25&gt;=Analysis!$C$101),0,CK25+DV25)</f>
        <v>705283.07243594667</v>
      </c>
      <c r="DY25" s="1">
        <f>IF(OR($B25&lt;Analysis!$C$100, $B25&gt;=Analysis!$C$101),0,IF($B25-Analysis!$C$100&gt;3,0,IF(CK25&gt;LOOKUP(Analysis!$C$100,$B:$B, CK:CK),$V25*(LOOKUP(Analysis!$C$100,$B:$B, CK:CK)-CK25),0)))</f>
        <v>0</v>
      </c>
      <c r="DZ25" s="1">
        <f t="shared" si="49"/>
        <v>705283.07243594667</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IF($B25&lt;Analysis!$C$130,0,IF($B25=Analysis!$C$130,Analysis!$B$136,IF(($B25-Analysis!$C$130)&lt;LOOKUP(Analysis!$C$130,$B:$B,EE:EE),EI24,0)))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-145738.53836417114</v>
      </c>
      <c r="FM25" s="1">
        <f>$M25+$R25+DD25+IF(AND($B25&lt;&gt;Analysis!$C$130,$B25=Analysis!$C$101),DZ24+CQ24+CT24+CZ24,0)</f>
        <v>164849.81935513476</v>
      </c>
      <c r="FN25" s="1">
        <f t="shared" si="34"/>
        <v>19111.280990963627</v>
      </c>
      <c r="FO25" s="1">
        <f>IF(FN25 &lt; 0,
    IF(FO24 + FN25 &gt; 0,
        FO24 + FN25, IF(FT24-ABS(FO24 + FN25)*(1+$V25) &gt;= FO24 + FN25,
        0, FO24 + FN25)),
    MIN(FO24 + FN25, Analysis!$C$7))+IF(FO24&lt;0, FO24*Analysis!$C$9,0)</f>
        <v>24000</v>
      </c>
      <c r="FP25" s="53"/>
      <c r="FQ25" s="1">
        <f t="shared" si="51"/>
        <v>30564.83173021477</v>
      </c>
      <c r="FR25" s="1">
        <f>IF(OR($B25=Analysis!$C$100, $B25=Analysis!$C$130),0,IF(FN25 &gt;= 0,
    MAX(0, FO24 + FN25 - Analysis!$C$7),
    0))</f>
        <v>19111.280990963627</v>
      </c>
      <c r="FS25" s="1">
        <f>IF(OR($B25=Analysis!$C$100, $B25=Analysis!$C$130),0,MAX(0, FS24 + FR25 - IF(FN25 &lt; 0, MIN(ABS(FN25), FS24 + FR25), 0)))</f>
        <v>526983.1956395919</v>
      </c>
      <c r="FT25" s="1">
        <f>IF(OR($B25=Analysis!$C$100, $B25=Analysis!$C$130),0,IF(FN25 &lt; 0,
    IF(FN25 + FO24 &lt; 0,
        MAX(0, FT24 - (ABS(FN25 + FO24) * (1+$V24))),
        FT24 + FQ25),
    FT24 + FR25 + FQ25))</f>
        <v>833333.46173630527</v>
      </c>
      <c r="FU25" s="1">
        <f t="shared" si="57"/>
        <v>752533.57905329717</v>
      </c>
      <c r="FV25" s="36"/>
      <c r="FW25" s="1">
        <f t="shared" si="52"/>
        <v>808347.36095810507</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-15140.305352122428</v>
      </c>
      <c r="GC25" s="1">
        <f>IF($B25&lt;Analysis!$C$159,0,IF($B25=Analysis!$C$159,-FY25-GB25,MIN(0,GC24-GB25)))</f>
        <v>-121875.35167076861</v>
      </c>
      <c r="GD25" s="64">
        <f>IF($B25&lt;Analysis!$C$159,0,IF($B25=Analysis!$C$159,Analysis!$B$160,IF(($B25-Analysis!$C$159)&lt;LOOKUP(Analysis!$C$159,$B:$B,FZ:FZ),GD24,0)))</f>
        <v>2.9600000000000001E-2</v>
      </c>
      <c r="GE25" s="1">
        <f>IF($B25&lt;Analysis!$C$159,0,IF($B25=Analysis!$C$159,-GD25*FY25,GD24*GC24))</f>
        <v>-4055.663447877575</v>
      </c>
      <c r="GF25" s="1">
        <f>IF($B25&lt;Analysis!$C$159,0,IF($B25=Analysis!$C$159,PMT(GD25,FZ25,FY25)*FZ25-GG25-GC25,IF(($B25-Analysis!$C$159+1)&lt;LOOKUP(Analysis!$C$159,$B:$B,FZ:FZ),IF(GF24-GE25&lt;0, GF24-GE25,0),0)))</f>
        <v>-15113.46001592181</v>
      </c>
      <c r="GG25" s="1">
        <f>IF($B25&lt;Analysis!$C$159,0,IF($B25=Analysis!$C$159,GB25+GE25,IF(GC24&lt;0,IF(GC24&gt;LOOKUP(Analysis!$C$159,$B:$B,GG:GG), GC24*(1+GD24),GG24),0)))</f>
        <v>-19195.968800000002</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33381.896113908871</v>
      </c>
      <c r="GQ25" s="1">
        <f t="shared" si="36"/>
        <v>-2425.0420828743154</v>
      </c>
      <c r="GR25" s="64">
        <f>IF($B25&lt;Analysis!$C$159,0,Analysis!$C$178)</f>
        <v>3.0000000000000001E-3</v>
      </c>
      <c r="GS25" s="1">
        <f t="shared" si="37"/>
        <v>-6062.6052071857875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-2024.7640523275916</v>
      </c>
      <c r="HD25" s="1">
        <f t="shared" si="38"/>
        <v>-22772.411342387695</v>
      </c>
      <c r="HE25" s="1">
        <f>MIN(0,-(GN25+HD25)*Analysis!$C$28)-GE25*Analysis!$C$28</f>
        <v>-74.786081584870544</v>
      </c>
      <c r="HF25" s="1">
        <f>-Analysis!$C$176*GP25/12</f>
        <v>-2781.8246761590726</v>
      </c>
      <c r="HG25" s="38"/>
      <c r="HH25" s="1">
        <f>IF($B25&lt;Analysis!$C$159,0,-$HI25*$FW25)</f>
        <v>-103064.2885221584</v>
      </c>
      <c r="HI25" s="64">
        <f>IF($B25&lt;Analysis!$C$159,0,IF($B25=Analysis!$C$159,Analysis!$C$31,HI24))</f>
        <v>0.1275</v>
      </c>
      <c r="HJ25" s="1">
        <f>IF($B25&lt;Analysis!$C$159,0,$FW25+HH25)</f>
        <v>705283.07243594667</v>
      </c>
      <c r="HK25" s="1">
        <f>IF($B25-Analysis!$C$159&gt;10,0,IF($FW25&gt;LOOKUP(Analysis!$C$159,$B:$B, FW:FW),$V25*(LOOKUP(Analysis!$C$159,$B:$B, FW:FW)-FW25),0))</f>
        <v>0</v>
      </c>
      <c r="HL25" s="1">
        <f t="shared" si="39"/>
        <v>705283.07243594667</v>
      </c>
      <c r="HM25" s="38"/>
      <c r="HN25" s="1">
        <f t="shared" si="40"/>
        <v>-145738.53836417114</v>
      </c>
      <c r="HO25" s="1">
        <f t="shared" si="8"/>
        <v>164849.81935513476</v>
      </c>
      <c r="HP25" s="1">
        <f t="shared" si="41"/>
        <v>19111.280990963627</v>
      </c>
      <c r="HQ25" s="1">
        <f>IF(HP25 &lt; 0,
    IF(HQ24 + HP25 &gt; 0,
        HQ24 + HP25, IF(HV24-ABS(HQ24 + HP25)*(1+$V25) &gt;= HQ24 + HP25,
        0, HQ24 + HP25)),
    MIN(HQ24 + HP25, Analysis!$C$7))+IF(HQ24&lt;0, HQ24*Analysis!$C$9,0)</f>
        <v>24000</v>
      </c>
      <c r="HR25" s="38"/>
      <c r="HS25" s="1">
        <f t="shared" si="54"/>
        <v>30564.83173021477</v>
      </c>
      <c r="HT25" s="1">
        <f>IF($B25=Analysis!$C$159,0,IF(HP25 &gt;= 0,
    MAX(0, HQ24 + HP25 - Analysis!$C$7),
    0))</f>
        <v>19111.280990963627</v>
      </c>
      <c r="HU25" s="1">
        <f>IF($B25=Analysis!$C$159,0,MAX(0, HU24 + HT25 - IF(HP25 &lt; 0, MIN(ABS(HP25), HU24 + HT25), 0)))</f>
        <v>526983.1956395919</v>
      </c>
      <c r="HV25" s="1">
        <f>IF($B25=Analysis!$C$159,0,IF(HP25 &lt; 0,
    IF(HP25 + HQ24 &lt; 0,
        MAX(0, HV24 - (ABS(HP25 + HQ24) * (1+$V24))),
        HV24 + HS25),
    HV24 + HT25 + HS25))</f>
        <v>833333.46173630527</v>
      </c>
      <c r="HW25" s="1">
        <f t="shared" si="58"/>
        <v>752533.57905329717</v>
      </c>
      <c r="HX25" s="36"/>
    </row>
    <row r="26" spans="1:232" x14ac:dyDescent="0.35">
      <c r="A26">
        <f t="shared" si="0"/>
        <v>59</v>
      </c>
      <c r="B26">
        <v>2049</v>
      </c>
      <c r="C26" s="1">
        <f>IF($B26&lt;Analysis!C$66,0,$AN26)+$AT26+$AW26+$BC26+$CF26+$CA26</f>
        <v>1192120.6081300143</v>
      </c>
      <c r="D26" s="1">
        <f>IF($B26&lt;Analysis!C$66, 0, BV26)+AT26+AW26+BC26+CG26+CA26</f>
        <v>1015720.709631777</v>
      </c>
      <c r="E26" s="1">
        <f t="shared" si="1"/>
        <v>1398567.8969063496</v>
      </c>
      <c r="F26" s="1">
        <f t="shared" si="9"/>
        <v>1230665.1238825696</v>
      </c>
      <c r="G26" s="1">
        <f>IF(AND($B26&gt;=Analysis!$C$100, $B26&lt;Analysis!$C$101),$CK26,0)+IF($B26&gt;=Analysis!$C$130,EB26,0)+CQ26+CT26+CZ26+EH26+EK26+EQ26+$FO26+$FT26</f>
        <v>1621011.1346677272</v>
      </c>
      <c r="H26" s="1">
        <f t="shared" si="10"/>
        <v>1425919.9546474982</v>
      </c>
      <c r="I26" s="1">
        <f>IF($B26&lt;Analysis!$C$159,0,$FW26)+$GC26+$GF26+$GL26+$HQ26+$HV26</f>
        <v>1621011.1346677272</v>
      </c>
      <c r="J26" s="1">
        <f t="shared" si="2"/>
        <v>1425919.9546474982</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48645.676252892015</v>
      </c>
      <c r="AI26" s="1">
        <f>IF(AE26 &gt;= 0,
    MAX(0, AF25 + AE26 - Analysis!$C$7),
    0)</f>
        <v>21346.918498832296</v>
      </c>
      <c r="AJ26" s="1">
        <f t="shared" si="44"/>
        <v>737969.70534699433</v>
      </c>
      <c r="AK26" s="1">
        <f t="shared" si="20"/>
        <v>1374567.8969063496</v>
      </c>
      <c r="AL26" s="1">
        <f t="shared" si="5"/>
        <v>1206665.1238825696</v>
      </c>
      <c r="AM26" s="36"/>
      <c r="AN26" s="1">
        <f t="shared" si="45"/>
        <v>1383528.6156724484</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-27946.650329217271</v>
      </c>
      <c r="AT26" s="1">
        <f>IF($B26&lt;Analysis!$C$66,0,IF($B26=Analysis!$C$66,-AP26-AS26,MIN(0,AT25-AS26)))</f>
        <v>-190548.8385485778</v>
      </c>
      <c r="AU26" s="64">
        <f>IF($B26&lt;Analysis!$C$66,0,IF($B26=Analysis!$C$66,Analysis!$C$72,IF(($B26-Analysis!$C$66)&lt;LOOKUP(Analysis!$C$66,$B:$B,AQ:AQ),AU25,0)))</f>
        <v>2.9600000000000001E-2</v>
      </c>
      <c r="AV26" s="1">
        <f>IF($B26&lt;Analysis!$C$66,0,IF($B26=Analysis!$C$66,-AU26*AP26,AU25*AT25))</f>
        <v>-6467.4664707827342</v>
      </c>
      <c r="AW26" s="1">
        <f>IF($B26&lt;Analysis!$C$66,0,IF($B26=Analysis!$C$66,PMT(AU26,AQ26,AP26)*AQ26-AX26-AT26,IF(($B26-Analysis!$C$66+1)&lt;LOOKUP(Analysis!$C$66,$B:$B,AQ:AQ),IF(AW25-AV26&lt;0, AW25-AV26,0),0)))</f>
        <v>-20627.617067801992</v>
      </c>
      <c r="AX26" s="1">
        <f>IF($B26&lt;Analysis!$C$66,0,IF($B26=Analysis!$C$66,AS26+AV26,IF(AT25&lt;0,IF(AT25&gt;LOOKUP(Analysis!$C$66,$B:$B,AX:AX), AT25*(1+AU25),AX25),0)))</f>
        <v>-34414.116800000003</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-4150.5858470173453</v>
      </c>
      <c r="BF26" s="64">
        <f>IF($B26&lt;Analysis!$C$66,0,Analysis!$C$78)</f>
        <v>3.0000000000000001E-3</v>
      </c>
      <c r="BG26" s="1">
        <f>IF($B26&lt;Analysis!$C$66,0,-BH26*AN26)</f>
        <v>-10376.464617543363</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-176399.89849823716</v>
      </c>
      <c r="BS26" s="64">
        <f>IF($B26&lt;Analysis!C$66,0,Analysis!C$31)</f>
        <v>0.1275</v>
      </c>
      <c r="BT26" s="1">
        <f>IF($B26&lt;Analysis!$C$66,0,AN26+BR26)</f>
        <v>1207128.7171742113</v>
      </c>
      <c r="BU26" s="1">
        <f>IF($B26-Analysis!$C$66&gt;3,0,IF($AN26&gt;LOOKUP(Analysis!$C$66,$B:$B, AN:AN),$V26*(LOOKUP(Analysis!$C$66,$B:$B, AN:AN)-AN26),0))</f>
        <v>0</v>
      </c>
      <c r="BV26" s="1">
        <f t="shared" si="23"/>
        <v>1207128.7171742113</v>
      </c>
      <c r="BW26" s="42"/>
      <c r="BX26" s="1">
        <f>IF($B26&lt;Analysis!$C$66,$P26+$N26+$X26+$Z26,$P26+$N26+AS26+AV26+BB26+BE26+BG26+MAX(BI26,SUM(BJ26:BN26))+BP26)</f>
        <v>-127301.1672645607</v>
      </c>
      <c r="BY26" s="1">
        <f t="shared" si="24"/>
        <v>131467.92324122589</v>
      </c>
      <c r="BZ26" s="1">
        <f t="shared" si="46"/>
        <v>4166.755976665183</v>
      </c>
      <c r="CA26" s="1">
        <f>IF(BZ26 &lt; 0,
    IF(CA25 + BZ26 &gt; 0,
        CA25 + BZ26, IF(CF25-ABS(CA25 + BZ26)*(1+$V26) &gt;= CA25 + BZ26,
        0, CA25 + BZ26)),
    MIN(CA25 + BZ26, Analysis!$C$7))+IF(CA25&lt;0, CA25*Analysis!$C$9,0)</f>
        <v>19768.448073945612</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-31761.00474239359</v>
      </c>
      <c r="CJ26" s="1">
        <f>IF(OR($B26&lt;Analysis!$C$100, $B26&gt;=Analysis!$C$130),0,Z26)</f>
        <v>-3960</v>
      </c>
      <c r="CK26" s="1">
        <f t="shared" si="26"/>
        <v>832122.28333922592</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-15588.458390545251</v>
      </c>
      <c r="CQ26" s="1">
        <f>IF(OR($B26&lt;Analysis!$C$100, $B26&gt;=Analysis!$C$101),0,IF($B26=Analysis!$C$100,-CM26-CP26,MIN(0,CQ25-CP26)))</f>
        <v>-106286.89328022336</v>
      </c>
      <c r="CR26" s="64">
        <f>IF(OR($B26&lt;Analysis!$C$100, $B26&gt;=Analysis!$C$101),0,IF($B26=Analysis!$C$100,Analysis!$C$102,IF(($B26-Analysis!$C$100)&lt;LOOKUP(Analysis!$C$100,$B:$B,CN:CN),CR25,0)))</f>
        <v>2.9600000000000001E-2</v>
      </c>
      <c r="CS26" s="1">
        <f>IF(OR($B26&lt;Analysis!$C$100, $B26&gt;=Analysis!$C$101),0,IF($B26=Analysis!$C$100,-CR26*CM26,CR25*CQ25))</f>
        <v>-3607.510409454751</v>
      </c>
      <c r="CT26" s="1">
        <f>IF(OR($B26&lt;Analysis!$C$100, $B26&gt;=Analysis!$C$101),0,IF($B26=Analysis!$C$100,PMT(CR26,CN26,CM26)*CN26-CU26-CQ26,IF(($B26-Analysis!$C$100+1)&lt;LOOKUP(Analysis!$C$100,$B:$B,CN:CN),IF(CT25-CS26&lt;0, CT25-CS26,0),0)))</f>
        <v>-11505.949606467058</v>
      </c>
      <c r="CU26" s="1">
        <f>IF(OR($B26&lt;Analysis!$C$100, $B26&gt;=Analysis!$C$101),0,IF($B26=Analysis!$C$100,CP26+CS26,IF(CQ25&lt;0,IF(CQ25&gt;LOOKUP(Analysis!$C$100,$B:$B,CU:CU), CQ25*(1+CR25),CU25),0)))</f>
        <v>-19195.968800000002</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34247.245999612074</v>
      </c>
      <c r="DE26" s="1">
        <f t="shared" si="27"/>
        <v>-2496.3668500176777</v>
      </c>
      <c r="DF26" s="64">
        <f>IF(OR($B26&lt;Analysis!$C$100, $B26&gt;=Analysis!$C$101),0,Analysis!$C$118)</f>
        <v>3.0000000000000001E-3</v>
      </c>
      <c r="DG26" s="1">
        <f t="shared" si="28"/>
        <v>-6240.9171250441941</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-2084.3159362195797</v>
      </c>
      <c r="DR26" s="1">
        <f t="shared" si="29"/>
        <v>-23081.599911281453</v>
      </c>
      <c r="DS26" s="1">
        <f>MIN(0,-(DB26+DR26)*Analysis!$C$28)-CS26*Analysis!$C$28</f>
        <v>-488.193768067066</v>
      </c>
      <c r="DT26" s="1">
        <f>-Analysis!$C$116*DD26/12</f>
        <v>-2853.9371666343395</v>
      </c>
      <c r="DU26" s="53"/>
      <c r="DV26" s="1">
        <f t="shared" si="30"/>
        <v>-106095.59112575131</v>
      </c>
      <c r="DW26" s="64">
        <f>IF(OR($B26&lt;Analysis!$C$100, $B26&gt;=Analysis!$C$101),0,IF($B26=Analysis!$C$100,Analysis!$C$31,DW25))</f>
        <v>0.1275</v>
      </c>
      <c r="DX26" s="1">
        <f>IF(OR($B26&lt;Analysis!$C$100, $B26&gt;=Analysis!$C$101),0,CK26+DV26)</f>
        <v>726026.69221347466</v>
      </c>
      <c r="DY26" s="1">
        <f>IF(OR($B26&lt;Analysis!$C$100, $B26&gt;=Analysis!$C$101),0,IF($B26-Analysis!$C$100&gt;3,0,IF(CK26&gt;LOOKUP(Analysis!$C$100,$B:$B, CK:CK),$V26*(LOOKUP(Analysis!$C$100,$B:$B, CK:CK)-CK26),0)))</f>
        <v>0</v>
      </c>
      <c r="DZ26" s="1">
        <f t="shared" si="49"/>
        <v>726026.69221347466</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IF($B26&lt;Analysis!$C$130,0,IF($B26=Analysis!$C$130,Analysis!$B$136,IF(($B26-Analysis!$C$130)&lt;LOOKUP(Analysis!$C$130,$B:$B,EE:EE),EI25,0)))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-147440.70438837644</v>
      </c>
      <c r="FM26" s="1">
        <f>$M26+$R26+DD26+IF(AND($B26&lt;&gt;Analysis!$C$130,$B26=Analysis!$C$101),DZ25+CQ25+CT25+CZ25,0)</f>
        <v>165715.16924083797</v>
      </c>
      <c r="FN26" s="1">
        <f t="shared" si="34"/>
        <v>18274.464852461533</v>
      </c>
      <c r="FO26" s="1">
        <f>IF(FN26 &lt; 0,
    IF(FO25 + FN26 &gt; 0,
        FO25 + FN26, IF(FT25-ABS(FO25 + FN26)*(1+$V26) &gt;= FO25 + FN26,
        0, FO25 + FN26)),
    MIN(FO25 + FN26, Analysis!$C$7))+IF(FO25&lt;0, FO25*Analysis!$C$9,0)</f>
        <v>24000</v>
      </c>
      <c r="FP26" s="53"/>
      <c r="FQ26" s="1">
        <f t="shared" si="51"/>
        <v>31073.767626425059</v>
      </c>
      <c r="FR26" s="1">
        <f>IF(OR($B26=Analysis!$C$100, $B26=Analysis!$C$130),0,IF(FN26 &gt;= 0,
    MAX(0, FO25 + FN26 - Analysis!$C$7),
    0))</f>
        <v>18274.464852461533</v>
      </c>
      <c r="FS26" s="1">
        <f>IF(OR($B26=Analysis!$C$100, $B26=Analysis!$C$130),0,MAX(0, FS25 + FR26 - IF(FN26 &lt; 0, MIN(ABS(FN26), FS25 + FR26), 0)))</f>
        <v>545257.66049205349</v>
      </c>
      <c r="FT26" s="1">
        <f>IF(OR($B26=Analysis!$C$100, $B26=Analysis!$C$130),0,IF(FN26 &lt; 0,
    IF(FN26 + FO25 &lt; 0,
        MAX(0, FT25 - (ABS(FN26 + FO25) * (1+$V25))),
        FT25 + FQ26),
    FT25 + FR26 + FQ26))</f>
        <v>882681.69421519176</v>
      </c>
      <c r="FU26" s="1">
        <f t="shared" si="57"/>
        <v>793686.10532071406</v>
      </c>
      <c r="FV26" s="36"/>
      <c r="FW26" s="1">
        <f t="shared" si="52"/>
        <v>832122.28333922592</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-15588.458390545251</v>
      </c>
      <c r="GC26" s="1">
        <f>IF($B26&lt;Analysis!$C$159,0,IF($B26=Analysis!$C$159,-FY26-GB26,MIN(0,GC25-GB26)))</f>
        <v>-106286.89328022336</v>
      </c>
      <c r="GD26" s="64">
        <f>IF($B26&lt;Analysis!$C$159,0,IF($B26=Analysis!$C$159,Analysis!$B$160,IF(($B26-Analysis!$C$159)&lt;LOOKUP(Analysis!$C$159,$B:$B,FZ:FZ),GD25,0)))</f>
        <v>2.9600000000000001E-2</v>
      </c>
      <c r="GE26" s="1">
        <f>IF($B26&lt;Analysis!$C$159,0,IF($B26=Analysis!$C$159,-GD26*FY26,GD25*GC25))</f>
        <v>-3607.510409454751</v>
      </c>
      <c r="GF26" s="1">
        <f>IF($B26&lt;Analysis!$C$159,0,IF($B26=Analysis!$C$159,PMT(GD26,FZ26,FY26)*FZ26-GG26-GC26,IF(($B26-Analysis!$C$159+1)&lt;LOOKUP(Analysis!$C$159,$B:$B,FZ:FZ),IF(GF25-GE26&lt;0, GF25-GE26,0),0)))</f>
        <v>-11505.949606467058</v>
      </c>
      <c r="GG26" s="1">
        <f>IF($B26&lt;Analysis!$C$159,0,IF($B26=Analysis!$C$159,GB26+GE26,IF(GC25&lt;0,IF(GC25&gt;LOOKUP(Analysis!$C$159,$B:$B,GG:GG), GC25*(1+GD25),GG25),0)))</f>
        <v>-19195.968800000002</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34247.245999612074</v>
      </c>
      <c r="GQ26" s="1">
        <f t="shared" si="36"/>
        <v>-2496.3668500176777</v>
      </c>
      <c r="GR26" s="64">
        <f>IF($B26&lt;Analysis!$C$159,0,Analysis!$C$178)</f>
        <v>3.0000000000000001E-3</v>
      </c>
      <c r="GS26" s="1">
        <f t="shared" si="37"/>
        <v>-6240.9171250441941</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-2084.3159362195797</v>
      </c>
      <c r="HD26" s="1">
        <f t="shared" si="38"/>
        <v>-23081.599911281453</v>
      </c>
      <c r="HE26" s="1">
        <f>MIN(0,-(GN26+HD26)*Analysis!$C$28)-GE26*Analysis!$C$28</f>
        <v>-488.193768067066</v>
      </c>
      <c r="HF26" s="1">
        <f>-Analysis!$C$176*GP26/12</f>
        <v>-2853.9371666343395</v>
      </c>
      <c r="HG26" s="38"/>
      <c r="HH26" s="1">
        <f>IF($B26&lt;Analysis!$C$159,0,-$HI26*$FW26)</f>
        <v>-106095.59112575131</v>
      </c>
      <c r="HI26" s="64">
        <f>IF($B26&lt;Analysis!$C$159,0,IF($B26=Analysis!$C$159,Analysis!$C$31,HI25))</f>
        <v>0.1275</v>
      </c>
      <c r="HJ26" s="1">
        <f>IF($B26&lt;Analysis!$C$159,0,$FW26+HH26)</f>
        <v>726026.69221347466</v>
      </c>
      <c r="HK26" s="1">
        <f>IF($B26-Analysis!$C$159&gt;10,0,IF($FW26&gt;LOOKUP(Analysis!$C$159,$B:$B, FW:FW),$V26*(LOOKUP(Analysis!$C$159,$B:$B, FW:FW)-FW26),0))</f>
        <v>0</v>
      </c>
      <c r="HL26" s="1">
        <f t="shared" si="39"/>
        <v>726026.69221347466</v>
      </c>
      <c r="HM26" s="38"/>
      <c r="HN26" s="1">
        <f t="shared" si="40"/>
        <v>-147440.70438837644</v>
      </c>
      <c r="HO26" s="1">
        <f t="shared" si="8"/>
        <v>165715.16924083797</v>
      </c>
      <c r="HP26" s="1">
        <f t="shared" si="41"/>
        <v>18274.464852461533</v>
      </c>
      <c r="HQ26" s="1">
        <f>IF(HP26 &lt; 0,
    IF(HQ25 + HP26 &gt; 0,
        HQ25 + HP26, IF(HV25-ABS(HQ25 + HP26)*(1+$V26) &gt;= HQ25 + HP26,
        0, HQ25 + HP26)),
    MIN(HQ25 + HP26, Analysis!$C$7))+IF(HQ25&lt;0, HQ25*Analysis!$C$9,0)</f>
        <v>24000</v>
      </c>
      <c r="HR26" s="38"/>
      <c r="HS26" s="1">
        <f t="shared" si="54"/>
        <v>31073.767626425059</v>
      </c>
      <c r="HT26" s="1">
        <f>IF($B26=Analysis!$C$159,0,IF(HP26 &gt;= 0,
    MAX(0, HQ25 + HP26 - Analysis!$C$7),
    0))</f>
        <v>18274.464852461533</v>
      </c>
      <c r="HU26" s="1">
        <f>IF($B26=Analysis!$C$159,0,MAX(0, HU25 + HT26 - IF(HP26 &lt; 0, MIN(ABS(HP26), HU25 + HT26), 0)))</f>
        <v>545257.66049205349</v>
      </c>
      <c r="HV26" s="1">
        <f>IF($B26=Analysis!$C$159,0,IF(HP26 &lt; 0,
    IF(HP26 + HQ25 &lt; 0,
        MAX(0, HV25 - (ABS(HP26 + HQ25) * (1+$V25))),
        HV25 + HS26),
    HV25 + HT26 + HS26))</f>
        <v>882681.69421519176</v>
      </c>
      <c r="HW26" s="1">
        <f t="shared" si="58"/>
        <v>793686.10532071406</v>
      </c>
      <c r="HX26" s="36"/>
    </row>
    <row r="27" spans="1:232" x14ac:dyDescent="0.35">
      <c r="A27">
        <f t="shared" si="0"/>
        <v>60</v>
      </c>
      <c r="B27">
        <v>2050</v>
      </c>
      <c r="C27" s="1">
        <f>IF($B27&lt;Analysis!C$66,0,$AN27)+$AT27+$AW27+$BC27+$CF27+$CA27</f>
        <v>1270966.2328245586</v>
      </c>
      <c r="D27" s="1">
        <f>IF($B27&lt;Analysis!C$66, 0, BV27)+AT27+AW27+BC27+CG27+CA27</f>
        <v>1089378.1020175496</v>
      </c>
      <c r="E27" s="1">
        <f t="shared" si="1"/>
        <v>1467879.8622985028</v>
      </c>
      <c r="F27" s="1">
        <f t="shared" si="9"/>
        <v>1287079.9268330564</v>
      </c>
      <c r="G27" s="1">
        <f>IF(AND($B27&gt;=Analysis!$C$100, $B27&lt;Analysis!$C$101),$CK27,0)+IF($B27&gt;=Analysis!$C$130,EB27,0)+CQ27+CT27+CZ27+EH27+EK27+EQ27+$FO27+$FT27</f>
        <v>1713495.0087021133</v>
      </c>
      <c r="H27" s="1">
        <f t="shared" si="10"/>
        <v>1507001.4298673016</v>
      </c>
      <c r="I27" s="1">
        <f>IF($B27&lt;Analysis!$C$159,0,$FW27)+$GC27+$GF27+$GL27+$HQ27+$HV27</f>
        <v>1713495.0087021133</v>
      </c>
      <c r="J27" s="1">
        <f t="shared" si="2"/>
        <v>1507001.4298673016</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48899.194091626669</v>
      </c>
      <c r="AI27" s="1">
        <f>IF(AE27 &gt;= 0,
    MAX(0, AF26 + AE27 - Analysis!$C$7),
    0)</f>
        <v>20412.771300526598</v>
      </c>
      <c r="AJ27" s="1">
        <f t="shared" si="44"/>
        <v>758382.4766475209</v>
      </c>
      <c r="AK27" s="1">
        <f t="shared" si="20"/>
        <v>1443879.8622985028</v>
      </c>
      <c r="AL27" s="1">
        <f t="shared" si="5"/>
        <v>1263079.9268330564</v>
      </c>
      <c r="AM27" s="36"/>
      <c r="AN27" s="1">
        <f t="shared" si="45"/>
        <v>1424220.6337804617</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-28773.871178962101</v>
      </c>
      <c r="AT27" s="1">
        <f>IF($B27&lt;Analysis!$C$66,0,IF($B27=Analysis!$C$66,-AP27-AS27,MIN(0,AT26-AS27)))</f>
        <v>-161774.96736961568</v>
      </c>
      <c r="AU27" s="64">
        <f>IF($B27&lt;Analysis!$C$66,0,IF($B27=Analysis!$C$66,Analysis!$C$72,IF(($B27-Analysis!$C$66)&lt;LOOKUP(Analysis!$C$66,$B:$B,AQ:AQ),AU26,0)))</f>
        <v>2.9600000000000001E-2</v>
      </c>
      <c r="AV27" s="1">
        <f>IF($B27&lt;Analysis!$C$66,0,IF($B27=Analysis!$C$66,-AU27*AP27,AU26*AT26))</f>
        <v>-5640.2456210379032</v>
      </c>
      <c r="AW27" s="1">
        <f>IF($B27&lt;Analysis!$C$66,0,IF($B27=Analysis!$C$66,PMT(AU27,AQ27,AP27)*AQ27-AX27-AT27,IF(($B27-Analysis!$C$66+1)&lt;LOOKUP(Analysis!$C$66,$B:$B,AQ:AQ),IF(AW26-AV27&lt;0, AW26-AV27,0),0)))</f>
        <v>-14987.371446764089</v>
      </c>
      <c r="AX27" s="1">
        <f>IF($B27&lt;Analysis!$C$66,0,IF($B27=Analysis!$C$66,AS27+AV27,IF(AT26&lt;0,IF(AT26&gt;LOOKUP(Analysis!$C$66,$B:$B,AX:AX), AT26*(1+AU26),AX26),0)))</f>
        <v>-34414.116800000003</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-4272.6619013413856</v>
      </c>
      <c r="BF27" s="64">
        <f>IF($B27&lt;Analysis!$C$66,0,Analysis!$C$78)</f>
        <v>3.0000000000000001E-3</v>
      </c>
      <c r="BG27" s="1">
        <f>IF($B27&lt;Analysis!$C$66,0,-BH27*AN27)</f>
        <v>-10681.654753353463</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-181588.13080700889</v>
      </c>
      <c r="BS27" s="64">
        <f>IF($B27&lt;Analysis!C$66,0,Analysis!C$31)</f>
        <v>0.1275</v>
      </c>
      <c r="BT27" s="1">
        <f>IF($B27&lt;Analysis!$C$66,0,AN27+BR27)</f>
        <v>1242632.5029734529</v>
      </c>
      <c r="BU27" s="1">
        <f>IF($B27-Analysis!$C$66&gt;3,0,IF($AN27&gt;LOOKUP(Analysis!$C$66,$B:$B, AN:AN),$V27*(LOOKUP(Analysis!$C$66,$B:$B, AN:AN)-AN27),0))</f>
        <v>0</v>
      </c>
      <c r="BV27" s="1">
        <f t="shared" si="23"/>
        <v>1242632.5029734529</v>
      </c>
      <c r="BW27" s="42"/>
      <c r="BX27" s="1">
        <f>IF($B27&lt;Analysis!$C$66,$P27+$N27+$X27+$Z27,$P27+$N27+AS27+AV27+BB27+BE27+BG27+MAX(BI27,SUM(BJ27:BN27))+BP27)</f>
        <v>-127728.43345469485</v>
      </c>
      <c r="BY27" s="1">
        <f t="shared" si="24"/>
        <v>131467.92324122589</v>
      </c>
      <c r="BZ27" s="1">
        <f t="shared" si="46"/>
        <v>3739.489786531034</v>
      </c>
      <c r="CA27" s="1">
        <f>IF(BZ27 &lt; 0,
    IF(CA26 + BZ27 &gt; 0,
        CA26 + BZ27, IF(CF26-ABS(CA26 + BZ27)*(1+$V27) &gt;= CA26 + BZ27,
        0, CA26 + BZ27)),
    MIN(CA26 + BZ27, Analysis!$C$7))+IF(CA26&lt;0, CA26*Analysis!$C$9,0)</f>
        <v>23507.937860476646</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-32695.151940699288</v>
      </c>
      <c r="CJ27" s="1">
        <f>IF(OR($B27&lt;Analysis!$C$100, $B27&gt;=Analysis!$C$130),0,Z27)</f>
        <v>-3960</v>
      </c>
      <c r="CK27" s="1">
        <f t="shared" si="26"/>
        <v>856596.46814332088</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-16049.876758905391</v>
      </c>
      <c r="CQ27" s="1">
        <f>IF(OR($B27&lt;Analysis!$C$100, $B27&gt;=Analysis!$C$101),0,IF($B27=Analysis!$C$100,-CM27-CP27,MIN(0,CQ26-CP27)))</f>
        <v>-90237.016521317972</v>
      </c>
      <c r="CR27" s="64">
        <f>IF(OR($B27&lt;Analysis!$C$100, $B27&gt;=Analysis!$C$101),0,IF($B27=Analysis!$C$100,Analysis!$C$102,IF(($B27-Analysis!$C$100)&lt;LOOKUP(Analysis!$C$100,$B:$B,CN:CN),CR26,0)))</f>
        <v>2.9600000000000001E-2</v>
      </c>
      <c r="CS27" s="1">
        <f>IF(OR($B27&lt;Analysis!$C$100, $B27&gt;=Analysis!$C$101),0,IF($B27=Analysis!$C$100,-CR27*CM27,CR26*CQ26))</f>
        <v>-3146.0920410946114</v>
      </c>
      <c r="CT27" s="1">
        <f>IF(OR($B27&lt;Analysis!$C$100, $B27&gt;=Analysis!$C$101),0,IF($B27=Analysis!$C$100,PMT(CR27,CN27,CM27)*CN27-CU27-CQ27,IF(($B27-Analysis!$C$100+1)&lt;LOOKUP(Analysis!$C$100,$B:$B,CN:CN),IF(CT26-CS27&lt;0, CT26-CS27,0),0)))</f>
        <v>-8359.8575653724474</v>
      </c>
      <c r="CU27" s="1">
        <f>IF(OR($B27&lt;Analysis!$C$100, $B27&gt;=Analysis!$C$101),0,IF($B27=Analysis!$C$100,CP27+CS27,IF(CQ26&lt;0,IF(CQ26&gt;LOOKUP(Analysis!$C$100,$B:$B,CU:CU), CQ26*(1+CR26),CU26),0)))</f>
        <v>-19195.968800000002</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35138.047352541849</v>
      </c>
      <c r="DE27" s="1">
        <f t="shared" si="27"/>
        <v>-2569.7894044299628</v>
      </c>
      <c r="DF27" s="64">
        <f>IF(OR($B27&lt;Analysis!$C$100, $B27&gt;=Analysis!$C$101),0,Analysis!$C$118)</f>
        <v>3.0000000000000001E-3</v>
      </c>
      <c r="DG27" s="1">
        <f t="shared" si="28"/>
        <v>-6424.4735110749061</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-2145.6193461083913</v>
      </c>
      <c r="DR27" s="1">
        <f t="shared" si="29"/>
        <v>-23399.88226161326</v>
      </c>
      <c r="DS27" s="1">
        <f>MIN(0,-(DB27+DR27)*Analysis!$C$28)-CS27*Analysis!$C$28</f>
        <v>-913.7978832785177</v>
      </c>
      <c r="DT27" s="1">
        <f>-Analysis!$C$116*DD27/12</f>
        <v>-2928.1706127118209</v>
      </c>
      <c r="DU27" s="53"/>
      <c r="DV27" s="1">
        <f t="shared" si="30"/>
        <v>-109216.04968827342</v>
      </c>
      <c r="DW27" s="64">
        <f>IF(OR($B27&lt;Analysis!$C$100, $B27&gt;=Analysis!$C$101),0,IF($B27=Analysis!$C$100,Analysis!$C$31,DW26))</f>
        <v>0.1275</v>
      </c>
      <c r="DX27" s="1">
        <f>IF(OR($B27&lt;Analysis!$C$100, $B27&gt;=Analysis!$C$101),0,CK27+DV27)</f>
        <v>747380.41845504742</v>
      </c>
      <c r="DY27" s="1">
        <f>IF(OR($B27&lt;Analysis!$C$100, $B27&gt;=Analysis!$C$101),0,IF($B27-Analysis!$C$100&gt;3,0,IF(CK27&gt;LOOKUP(Analysis!$C$100,$B:$B, CK:CK),$V27*(LOOKUP(Analysis!$C$100,$B:$B, CK:CK)-CK27),0)))</f>
        <v>0</v>
      </c>
      <c r="DZ27" s="1">
        <f t="shared" si="49"/>
        <v>747380.41845504742</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IF($B27&lt;Analysis!$C$130,0,IF($B27=Analysis!$C$130,Analysis!$B$136,IF(($B27-Analysis!$C$130)&lt;LOOKUP(Analysis!$C$130,$B:$B,EE:EE),EI26,0)))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-149192.97149830288</v>
      </c>
      <c r="FM27" s="1">
        <f>$M27+$R27+DD27+IF(AND($B27&lt;&gt;Analysis!$C$130,$B27=Analysis!$C$101),DZ26+CQ26+CT26+CZ26,0)</f>
        <v>166605.97059376774</v>
      </c>
      <c r="FN27" s="1">
        <f t="shared" si="34"/>
        <v>17412.999095464853</v>
      </c>
      <c r="FO27" s="1">
        <f>IF(FN27 &lt; 0,
    IF(FO26 + FN27 &gt; 0,
        FO26 + FN27, IF(FT26-ABS(FO26 + FN27)*(1+$V27) &gt;= FO26 + FN27,
        0, FO26 + FN27)),
    MIN(FO26 + FN27, Analysis!$C$7))+IF(FO26&lt;0, FO26*Analysis!$C$9,0)</f>
        <v>24000</v>
      </c>
      <c r="FP27" s="53"/>
      <c r="FQ27" s="1">
        <f t="shared" si="51"/>
        <v>31400.721334826296</v>
      </c>
      <c r="FR27" s="1">
        <f>IF(OR($B27=Analysis!$C$100, $B27=Analysis!$C$130),0,IF(FN27 &gt;= 0,
    MAX(0, FO26 + FN27 - Analysis!$C$7),
    0))</f>
        <v>17412.999095464853</v>
      </c>
      <c r="FS27" s="1">
        <f>IF(OR($B27=Analysis!$C$100, $B27=Analysis!$C$130),0,MAX(0, FS26 + FR27 - IF(FN27 &lt; 0, MIN(ABS(FN27), FS26 + FR27), 0)))</f>
        <v>562670.65958751831</v>
      </c>
      <c r="FT27" s="1">
        <f>IF(OR($B27=Analysis!$C$100, $B27=Analysis!$C$130),0,IF(FN27 &lt; 0,
    IF(FN27 + FO26 &lt; 0,
        MAX(0, FT26 - (ABS(FN27 + FO26) * (1+$V26))),
        FT26 + FQ27),
    FT26 + FR27 + FQ27))</f>
        <v>931495.4146454829</v>
      </c>
      <c r="FU27" s="1">
        <f t="shared" si="57"/>
        <v>834217.88549894479</v>
      </c>
      <c r="FV27" s="36"/>
      <c r="FW27" s="1">
        <f t="shared" si="52"/>
        <v>856596.46814332088</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-16049.876758905391</v>
      </c>
      <c r="GC27" s="1">
        <f>IF($B27&lt;Analysis!$C$159,0,IF($B27=Analysis!$C$159,-FY27-GB27,MIN(0,GC26-GB27)))</f>
        <v>-90237.016521317972</v>
      </c>
      <c r="GD27" s="64">
        <f>IF($B27&lt;Analysis!$C$159,0,IF($B27=Analysis!$C$159,Analysis!$B$160,IF(($B27-Analysis!$C$159)&lt;LOOKUP(Analysis!$C$159,$B:$B,FZ:FZ),GD26,0)))</f>
        <v>2.9600000000000001E-2</v>
      </c>
      <c r="GE27" s="1">
        <f>IF($B27&lt;Analysis!$C$159,0,IF($B27=Analysis!$C$159,-GD27*FY27,GD26*GC26))</f>
        <v>-3146.0920410946114</v>
      </c>
      <c r="GF27" s="1">
        <f>IF($B27&lt;Analysis!$C$159,0,IF($B27=Analysis!$C$159,PMT(GD27,FZ27,FY27)*FZ27-GG27-GC27,IF(($B27-Analysis!$C$159+1)&lt;LOOKUP(Analysis!$C$159,$B:$B,FZ:FZ),IF(GF26-GE27&lt;0, GF26-GE27,0),0)))</f>
        <v>-8359.8575653724474</v>
      </c>
      <c r="GG27" s="1">
        <f>IF($B27&lt;Analysis!$C$159,0,IF($B27=Analysis!$C$159,GB27+GE27,IF(GC26&lt;0,IF(GC26&gt;LOOKUP(Analysis!$C$159,$B:$B,GG:GG), GC26*(1+GD26),GG26),0)))</f>
        <v>-19195.968800000002</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35138.047352541849</v>
      </c>
      <c r="GQ27" s="1">
        <f t="shared" si="36"/>
        <v>-2569.7894044299628</v>
      </c>
      <c r="GR27" s="64">
        <f>IF($B27&lt;Analysis!$C$159,0,Analysis!$C$178)</f>
        <v>3.0000000000000001E-3</v>
      </c>
      <c r="GS27" s="1">
        <f t="shared" si="37"/>
        <v>-6424.4735110749061</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-2145.6193461083913</v>
      </c>
      <c r="HD27" s="1">
        <f t="shared" si="38"/>
        <v>-23399.88226161326</v>
      </c>
      <c r="HE27" s="1">
        <f>MIN(0,-(GN27+HD27)*Analysis!$C$28)-GE27*Analysis!$C$28</f>
        <v>-913.7978832785177</v>
      </c>
      <c r="HF27" s="1">
        <f>-Analysis!$C$176*GP27/12</f>
        <v>-2928.1706127118209</v>
      </c>
      <c r="HG27" s="38"/>
      <c r="HH27" s="1">
        <f>IF($B27&lt;Analysis!$C$159,0,-$HI27*$FW27)</f>
        <v>-109216.04968827342</v>
      </c>
      <c r="HI27" s="64">
        <f>IF($B27&lt;Analysis!$C$159,0,IF($B27=Analysis!$C$159,Analysis!$C$31,HI26))</f>
        <v>0.1275</v>
      </c>
      <c r="HJ27" s="1">
        <f>IF($B27&lt;Analysis!$C$159,0,$FW27+HH27)</f>
        <v>747380.41845504742</v>
      </c>
      <c r="HK27" s="1">
        <f>IF($B27-Analysis!$C$159&gt;10,0,IF($FW27&gt;LOOKUP(Analysis!$C$159,$B:$B, FW:FW),$V27*(LOOKUP(Analysis!$C$159,$B:$B, FW:FW)-FW27),0))</f>
        <v>0</v>
      </c>
      <c r="HL27" s="1">
        <f t="shared" si="39"/>
        <v>747380.41845504742</v>
      </c>
      <c r="HM27" s="38"/>
      <c r="HN27" s="1">
        <f t="shared" si="40"/>
        <v>-149192.97149830288</v>
      </c>
      <c r="HO27" s="1">
        <f t="shared" si="8"/>
        <v>166605.97059376774</v>
      </c>
      <c r="HP27" s="1">
        <f t="shared" si="41"/>
        <v>17412.999095464853</v>
      </c>
      <c r="HQ27" s="1">
        <f>IF(HP27 &lt; 0,
    IF(HQ26 + HP27 &gt; 0,
        HQ26 + HP27, IF(HV26-ABS(HQ26 + HP27)*(1+$V27) &gt;= HQ26 + HP27,
        0, HQ26 + HP27)),
    MIN(HQ26 + HP27, Analysis!$C$7))+IF(HQ26&lt;0, HQ26*Analysis!$C$9,0)</f>
        <v>24000</v>
      </c>
      <c r="HR27" s="38"/>
      <c r="HS27" s="1">
        <f t="shared" si="54"/>
        <v>31400.721334826296</v>
      </c>
      <c r="HT27" s="1">
        <f>IF($B27=Analysis!$C$159,0,IF(HP27 &gt;= 0,
    MAX(0, HQ26 + HP27 - Analysis!$C$7),
    0))</f>
        <v>17412.999095464853</v>
      </c>
      <c r="HU27" s="1">
        <f>IF($B27=Analysis!$C$159,0,MAX(0, HU26 + HT27 - IF(HP27 &lt; 0, MIN(ABS(HP27), HU26 + HT27), 0)))</f>
        <v>562670.65958751831</v>
      </c>
      <c r="HV27" s="1">
        <f>IF($B27=Analysis!$C$159,0,IF(HP27 &lt; 0,
    IF(HP27 + HQ26 &lt; 0,
        MAX(0, HV26 - (ABS(HP27 + HQ26) * (1+$V26))),
        HV26 + HS27),
    HV26 + HT27 + HS27))</f>
        <v>931495.4146454829</v>
      </c>
      <c r="HW27" s="1">
        <f t="shared" si="58"/>
        <v>834217.88549894479</v>
      </c>
      <c r="HX27" s="36"/>
    </row>
    <row r="28" spans="1:232" x14ac:dyDescent="0.35">
      <c r="A28">
        <f t="shared" si="0"/>
        <v>61</v>
      </c>
      <c r="B28">
        <v>2051</v>
      </c>
      <c r="C28" s="1">
        <f>IF($B28&lt;Analysis!C$66,0,$AN28)+$AT28+$AW28+$BC28+$CF28+$CA28</f>
        <v>1363768.8487383181</v>
      </c>
      <c r="D28" s="1">
        <f>IF($B28&lt;Analysis!C$66, 0, BV28)+AT28+AW28+BC28+CG28+CA28</f>
        <v>1176839.8905546325</v>
      </c>
      <c r="E28" s="1">
        <f t="shared" si="1"/>
        <v>1549420.702730926</v>
      </c>
      <c r="F28" s="1">
        <f t="shared" si="9"/>
        <v>1355726.1111988723</v>
      </c>
      <c r="G28" s="1">
        <f>IF(AND($B28&gt;=Analysis!$C$100, $B28&lt;Analysis!$C$101),$CK28,0)+IF($B28&gt;=Analysis!$C$130,EB28,0)+CQ28+CT28+CZ28+EH28+EK28+EQ28+$FO28+$FT28</f>
        <v>1819151.531451086</v>
      </c>
      <c r="H28" s="1">
        <f t="shared" si="10"/>
        <v>1601126.9399617822</v>
      </c>
      <c r="I28" s="1">
        <f>IF($B28&lt;Analysis!$C$159,0,$FW28)+$GC28+$GF28+$GL28+$HQ28+$HV28</f>
        <v>1819151.531451086</v>
      </c>
      <c r="J28" s="1">
        <f t="shared" si="2"/>
        <v>1601126.9399617822</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48889.691247799397</v>
      </c>
      <c r="AI28" s="1">
        <f>IF(AE28 &gt;= 0,
    MAX(0, AF27 + AE28 - Analysis!$C$7),
    0)</f>
        <v>32651.149184623675</v>
      </c>
      <c r="AJ28" s="1">
        <f t="shared" si="44"/>
        <v>791033.62583214464</v>
      </c>
      <c r="AK28" s="1">
        <f t="shared" si="20"/>
        <v>1525420.702730926</v>
      </c>
      <c r="AL28" s="1">
        <f t="shared" si="5"/>
        <v>1331726.1111988723</v>
      </c>
      <c r="AM28" s="36"/>
      <c r="AN28" s="1">
        <f t="shared" si="45"/>
        <v>1466109.4759504755</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-29625.57776585938</v>
      </c>
      <c r="AT28" s="1">
        <f>IF($B28&lt;Analysis!$C$66,0,IF($B28=Analysis!$C$66,-AP28-AS28,MIN(0,AT27-AS28)))</f>
        <v>-132149.38960375631</v>
      </c>
      <c r="AU28" s="64">
        <f>IF($B28&lt;Analysis!$C$66,0,IF($B28=Analysis!$C$66,Analysis!$C$72,IF(($B28-Analysis!$C$66)&lt;LOOKUP(Analysis!$C$66,$B:$B,AQ:AQ),AU27,0)))</f>
        <v>2.9600000000000001E-2</v>
      </c>
      <c r="AV28" s="1">
        <f>IF($B28&lt;Analysis!$C$66,0,IF($B28=Analysis!$C$66,-AU28*AP28,AU27*AT27))</f>
        <v>-4788.5390341406246</v>
      </c>
      <c r="AW28" s="1">
        <f>IF($B28&lt;Analysis!$C$66,0,IF($B28=Analysis!$C$66,PMT(AU28,AQ28,AP28)*AQ28-AX28-AT28,IF(($B28-Analysis!$C$66+1)&lt;LOOKUP(Analysis!$C$66,$B:$B,AQ:AQ),IF(AW27-AV28&lt;0, AW27-AV28,0),0)))</f>
        <v>-10198.832412623466</v>
      </c>
      <c r="AX28" s="1">
        <f>IF($B28&lt;Analysis!$C$66,0,IF($B28=Analysis!$C$66,AS28+AV28,IF(AT27&lt;0,IF(AT27&gt;LOOKUP(Analysis!$C$66,$B:$B,AX:AX), AT27*(1+AU27),AX27),0)))</f>
        <v>-34414.116800000003</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-4398.3284278514266</v>
      </c>
      <c r="BF28" s="64">
        <f>IF($B28&lt;Analysis!$C$66,0,Analysis!$C$78)</f>
        <v>3.0000000000000001E-3</v>
      </c>
      <c r="BG28" s="1">
        <f>IF($B28&lt;Analysis!$C$66,0,-BH28*AN28)</f>
        <v>-10995.821069628566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-186928.95818368564</v>
      </c>
      <c r="BS28" s="64">
        <f>IF($B28&lt;Analysis!C$66,0,Analysis!C$31)</f>
        <v>0.1275</v>
      </c>
      <c r="BT28" s="1">
        <f>IF($B28&lt;Analysis!$C$66,0,AN28+BR28)</f>
        <v>1279180.51776679</v>
      </c>
      <c r="BU28" s="1">
        <f>IF($B28-Analysis!$C$66&gt;3,0,IF($AN28&gt;LOOKUP(Analysis!$C$66,$B:$B, AN:AN),$V28*(LOOKUP(Analysis!$C$66,$B:$B, AN:AN)-AN28),0))</f>
        <v>0</v>
      </c>
      <c r="BV28" s="1">
        <f t="shared" si="23"/>
        <v>1279180.51776679</v>
      </c>
      <c r="BW28" s="42"/>
      <c r="BX28" s="1">
        <f>IF($B28&lt;Analysis!$C$66,$P28+$N28+$X28+$Z28,$P28+$N28+AS28+AV28+BB28+BE28+BG28+MAX(BI28,SUM(BJ28:BN28))+BP28)</f>
        <v>-114968.26629748</v>
      </c>
      <c r="BY28" s="1">
        <f t="shared" si="24"/>
        <v>131467.92324122589</v>
      </c>
      <c r="BZ28" s="1">
        <f t="shared" si="46"/>
        <v>16499.656943745882</v>
      </c>
      <c r="CA28" s="1">
        <f>IF(BZ28 &lt; 0,
    IF(CA27 + BZ28 &gt; 0,
        CA27 + BZ28, IF(CF27-ABS(CA27 + BZ28)*(1+$V28) &gt;= CA27 + BZ28,
        0, CA27 + BZ28)),
    MIN(CA27 + BZ28, Analysis!$C$7))+IF(CA27&lt;0, CA27*Analysis!$C$9,0)</f>
        <v>24000</v>
      </c>
      <c r="CB28" s="42"/>
      <c r="CC28" s="1">
        <f t="shared" si="47"/>
        <v>0</v>
      </c>
      <c r="CD28" s="1">
        <f>IF(BZ28 &gt;= 0,
    MAX(0, CA27 + BZ28 - Analysis!$C$7),
    0)</f>
        <v>16007.594804222528</v>
      </c>
      <c r="CE28" s="1">
        <f>IF($B28=Analysis!$C$66,0,MAX(0, CE27 + CD28 - IF(BZ28 &lt; 0, MIN(ABS(BZ28), CE27 + CD28), 0)))</f>
        <v>16007.594804222528</v>
      </c>
      <c r="CF28" s="1">
        <f>IF($B28=Analysis!$C$66,0,IF(BZ28 &lt; 0,
    IF(BZ28 + CA27 &lt; 0,
        MAX(0, CF27 - (ABS(BZ28 + CA27) * (1+$V27))),
        CF27 + CC28),
    CF27 + CD28 + CC28))</f>
        <v>16007.594804222528</v>
      </c>
      <c r="CG28" s="1">
        <f t="shared" si="25"/>
        <v>16007.594804222528</v>
      </c>
      <c r="CH28" s="36"/>
      <c r="CI28" s="1">
        <f>IF(OR($B28&lt;Analysis!$C$100, $B28&gt;=Analysis!$C$130),0,X28)</f>
        <v>-33656.774056602211</v>
      </c>
      <c r="CJ28" s="1">
        <f>IF(OR($B28&lt;Analysis!$C$100, $B28&gt;=Analysis!$C$130),0,Z28)</f>
        <v>-3960</v>
      </c>
      <c r="CK28" s="1">
        <f t="shared" si="26"/>
        <v>881790.48191224213</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-16524.953110968989</v>
      </c>
      <c r="CQ28" s="1">
        <f>IF(OR($B28&lt;Analysis!$C$100, $B28&gt;=Analysis!$C$101),0,IF($B28=Analysis!$C$100,-CM28-CP28,MIN(0,CQ27-CP28)))</f>
        <v>-73712.063410348987</v>
      </c>
      <c r="CR28" s="64">
        <f>IF(OR($B28&lt;Analysis!$C$100, $B28&gt;=Analysis!$C$101),0,IF($B28=Analysis!$C$100,Analysis!$C$102,IF(($B28-Analysis!$C$100)&lt;LOOKUP(Analysis!$C$100,$B:$B,CN:CN),CR27,0)))</f>
        <v>2.9600000000000001E-2</v>
      </c>
      <c r="CS28" s="1">
        <f>IF(OR($B28&lt;Analysis!$C$100, $B28&gt;=Analysis!$C$101),0,IF($B28=Analysis!$C$100,-CR28*CM28,CR27*CQ27))</f>
        <v>-2671.0156890310122</v>
      </c>
      <c r="CT28" s="1">
        <f>IF(OR($B28&lt;Analysis!$C$100, $B28&gt;=Analysis!$C$101),0,IF($B28=Analysis!$C$100,PMT(CR28,CN28,CM28)*CN28-CU28-CQ28,IF(($B28-Analysis!$C$100+1)&lt;LOOKUP(Analysis!$C$100,$B:$B,CN:CN),IF(CT27-CS28&lt;0, CT27-CS28,0),0)))</f>
        <v>-5688.8418763414356</v>
      </c>
      <c r="CU28" s="1">
        <f>IF(OR($B28&lt;Analysis!$C$100, $B28&gt;=Analysis!$C$101),0,IF($B28=Analysis!$C$100,CP28+CS28,IF(CQ27&lt;0,IF(CQ27&gt;LOOKUP(Analysis!$C$100,$B:$B,CU:CU), CQ27*(1+CR27),CU27),0)))</f>
        <v>-19195.968800000002</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36055.048745263666</v>
      </c>
      <c r="DE28" s="1">
        <f t="shared" si="27"/>
        <v>-2645.3714457367264</v>
      </c>
      <c r="DF28" s="64">
        <f>IF(OR($B28&lt;Analysis!$C$100, $B28&gt;=Analysis!$C$101),0,Analysis!$C$118)</f>
        <v>3.0000000000000001E-3</v>
      </c>
      <c r="DG28" s="1">
        <f t="shared" si="28"/>
        <v>-6613.4286143418158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-2208.7257974645204</v>
      </c>
      <c r="DR28" s="1">
        <f t="shared" si="29"/>
        <v>-23727.525857543063</v>
      </c>
      <c r="DS28" s="1">
        <f>MIN(0,-(DB28+DR28)*Analysis!$C$28)-CS28*Analysis!$C$28</f>
        <v>-1351.958252133415</v>
      </c>
      <c r="DT28" s="1">
        <f>-Analysis!$C$116*DD28/12</f>
        <v>-3004.5873954386389</v>
      </c>
      <c r="DU28" s="53"/>
      <c r="DV28" s="1">
        <f t="shared" si="30"/>
        <v>-112428.28644381088</v>
      </c>
      <c r="DW28" s="64">
        <f>IF(OR($B28&lt;Analysis!$C$100, $B28&gt;=Analysis!$C$101),0,IF($B28=Analysis!$C$100,Analysis!$C$31,DW27))</f>
        <v>0.1275</v>
      </c>
      <c r="DX28" s="1">
        <f>IF(OR($B28&lt;Analysis!$C$100, $B28&gt;=Analysis!$C$101),0,CK28+DV28)</f>
        <v>769362.19546843122</v>
      </c>
      <c r="DY28" s="1">
        <f>IF(OR($B28&lt;Analysis!$C$100, $B28&gt;=Analysis!$C$101),0,IF($B28-Analysis!$C$100&gt;3,0,IF(CK28&gt;LOOKUP(Analysis!$C$100,$B:$B, CK:CK),$V28*(LOOKUP(Analysis!$C$100,$B:$B, CK:CK)-CK28),0)))</f>
        <v>0</v>
      </c>
      <c r="DZ28" s="1">
        <f t="shared" si="49"/>
        <v>769362.19546843122</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IF($B28&lt;Analysis!$C$130,0,IF($B28=Analysis!$C$130,Analysis!$B$136,IF(($B28-Analysis!$C$130)&lt;LOOKUP(Analysis!$C$130,$B:$B,EE:EE),EI27,0)))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-137796.81436171732</v>
      </c>
      <c r="FM28" s="1">
        <f>$M28+$R28+DD28+IF(AND($B28&lt;&gt;Analysis!$C$130,$B28=Analysis!$C$101),DZ27+CQ27+CT27+CZ27,0)</f>
        <v>167522.97198648955</v>
      </c>
      <c r="FN28" s="1">
        <f t="shared" si="34"/>
        <v>29726.157624772226</v>
      </c>
      <c r="FO28" s="1">
        <f>IF(FN28 &lt; 0,
    IF(FO27 + FN28 &gt; 0,
        FO27 + FN28, IF(FT27-ABS(FO27 + FN28)*(1+$V28) &gt;= FO27 + FN28,
        0, FO27 + FN28)),
    MIN(FO27 + FN28, Analysis!$C$7))+IF(FO27&lt;0, FO27*Analysis!$C$9,0)</f>
        <v>24000</v>
      </c>
      <c r="FP28" s="53"/>
      <c r="FQ28" s="1">
        <f t="shared" si="51"/>
        <v>31540.382555279135</v>
      </c>
      <c r="FR28" s="1">
        <f>IF(OR($B28=Analysis!$C$100, $B28=Analysis!$C$130),0,IF(FN28 &gt;= 0,
    MAX(0, FO27 + FN28 - Analysis!$C$7),
    0))</f>
        <v>29726.157624772226</v>
      </c>
      <c r="FS28" s="1">
        <f>IF(OR($B28=Analysis!$C$100, $B28=Analysis!$C$130),0,MAX(0, FS27 + FR28 - IF(FN28 &lt; 0, MIN(ABS(FN28), FS27 + FR28), 0)))</f>
        <v>592396.8172122906</v>
      </c>
      <c r="FT28" s="1">
        <f>IF(OR($B28=Analysis!$C$100, $B28=Analysis!$C$130),0,IF(FN28 &lt; 0,
    IF(FN28 + FO27 &lt; 0,
        MAX(0, FT27 - (ABS(FN28 + FO27) * (1+$V27))),
        FT27 + FQ28),
    FT27 + FR28 + FQ28))</f>
        <v>992761.95482553425</v>
      </c>
      <c r="FU28" s="1">
        <f t="shared" si="57"/>
        <v>887165.64978004131</v>
      </c>
      <c r="FV28" s="36"/>
      <c r="FW28" s="1">
        <f t="shared" si="52"/>
        <v>881790.48191224213</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-16524.953110968989</v>
      </c>
      <c r="GC28" s="1">
        <f>IF($B28&lt;Analysis!$C$159,0,IF($B28=Analysis!$C$159,-FY28-GB28,MIN(0,GC27-GB28)))</f>
        <v>-73712.063410348987</v>
      </c>
      <c r="GD28" s="64">
        <f>IF($B28&lt;Analysis!$C$159,0,IF($B28=Analysis!$C$159,Analysis!$B$160,IF(($B28-Analysis!$C$159)&lt;LOOKUP(Analysis!$C$159,$B:$B,FZ:FZ),GD27,0)))</f>
        <v>2.9600000000000001E-2</v>
      </c>
      <c r="GE28" s="1">
        <f>IF($B28&lt;Analysis!$C$159,0,IF($B28=Analysis!$C$159,-GD28*FY28,GD27*GC27))</f>
        <v>-2671.0156890310122</v>
      </c>
      <c r="GF28" s="1">
        <f>IF($B28&lt;Analysis!$C$159,0,IF($B28=Analysis!$C$159,PMT(GD28,FZ28,FY28)*FZ28-GG28-GC28,IF(($B28-Analysis!$C$159+1)&lt;LOOKUP(Analysis!$C$159,$B:$B,FZ:FZ),IF(GF27-GE28&lt;0, GF27-GE28,0),0)))</f>
        <v>-5688.8418763414356</v>
      </c>
      <c r="GG28" s="1">
        <f>IF($B28&lt;Analysis!$C$159,0,IF($B28=Analysis!$C$159,GB28+GE28,IF(GC27&lt;0,IF(GC27&gt;LOOKUP(Analysis!$C$159,$B:$B,GG:GG), GC27*(1+GD27),GG27),0)))</f>
        <v>-19195.968800000002</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36055.048745263666</v>
      </c>
      <c r="GQ28" s="1">
        <f t="shared" si="36"/>
        <v>-2645.3714457367264</v>
      </c>
      <c r="GR28" s="64">
        <f>IF($B28&lt;Analysis!$C$159,0,Analysis!$C$178)</f>
        <v>3.0000000000000001E-3</v>
      </c>
      <c r="GS28" s="1">
        <f t="shared" si="37"/>
        <v>-6613.4286143418158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-2208.7257974645204</v>
      </c>
      <c r="HD28" s="1">
        <f t="shared" si="38"/>
        <v>-23727.525857543063</v>
      </c>
      <c r="HE28" s="1">
        <f>MIN(0,-(GN28+HD28)*Analysis!$C$28)-GE28*Analysis!$C$28</f>
        <v>-1351.958252133415</v>
      </c>
      <c r="HF28" s="1">
        <f>-Analysis!$C$176*GP28/12</f>
        <v>-3004.5873954386389</v>
      </c>
      <c r="HG28" s="38"/>
      <c r="HH28" s="1">
        <f>IF($B28&lt;Analysis!$C$159,0,-$HI28*$FW28)</f>
        <v>-112428.28644381088</v>
      </c>
      <c r="HI28" s="64">
        <f>IF($B28&lt;Analysis!$C$159,0,IF($B28=Analysis!$C$159,Analysis!$C$31,HI27))</f>
        <v>0.1275</v>
      </c>
      <c r="HJ28" s="1">
        <f>IF($B28&lt;Analysis!$C$159,0,$FW28+HH28)</f>
        <v>769362.19546843122</v>
      </c>
      <c r="HK28" s="1">
        <f>IF($B28-Analysis!$C$159&gt;10,0,IF($FW28&gt;LOOKUP(Analysis!$C$159,$B:$B, FW:FW),$V28*(LOOKUP(Analysis!$C$159,$B:$B, FW:FW)-FW28),0))</f>
        <v>0</v>
      </c>
      <c r="HL28" s="1">
        <f t="shared" si="39"/>
        <v>769362.19546843122</v>
      </c>
      <c r="HM28" s="38"/>
      <c r="HN28" s="1">
        <f t="shared" si="40"/>
        <v>-137796.81436171732</v>
      </c>
      <c r="HO28" s="1">
        <f t="shared" si="8"/>
        <v>167522.97198648955</v>
      </c>
      <c r="HP28" s="1">
        <f t="shared" si="41"/>
        <v>29726.157624772226</v>
      </c>
      <c r="HQ28" s="1">
        <f>IF(HP28 &lt; 0,
    IF(HQ27 + HP28 &gt; 0,
        HQ27 + HP28, IF(HV27-ABS(HQ27 + HP28)*(1+$V28) &gt;= HQ27 + HP28,
        0, HQ27 + HP28)),
    MIN(HQ27 + HP28, Analysis!$C$7))+IF(HQ27&lt;0, HQ27*Analysis!$C$9,0)</f>
        <v>24000</v>
      </c>
      <c r="HR28" s="38"/>
      <c r="HS28" s="1">
        <f t="shared" si="54"/>
        <v>31540.382555279135</v>
      </c>
      <c r="HT28" s="1">
        <f>IF($B28=Analysis!$C$159,0,IF(HP28 &gt;= 0,
    MAX(0, HQ27 + HP28 - Analysis!$C$7),
    0))</f>
        <v>29726.157624772226</v>
      </c>
      <c r="HU28" s="1">
        <f>IF($B28=Analysis!$C$159,0,MAX(0, HU27 + HT28 - IF(HP28 &lt; 0, MIN(ABS(HP28), HU27 + HT28), 0)))</f>
        <v>592396.8172122906</v>
      </c>
      <c r="HV28" s="1">
        <f>IF($B28=Analysis!$C$159,0,IF(HP28 &lt; 0,
    IF(HP28 + HQ27 &lt; 0,
        MAX(0, HV27 - (ABS(HP28 + HQ27) * (1+$V27))),
        HV27 + HS28),
    HV27 + HT28 + HS28))</f>
        <v>992761.95482553425</v>
      </c>
      <c r="HW28" s="1">
        <f t="shared" si="58"/>
        <v>887165.64978004131</v>
      </c>
      <c r="HX28" s="36"/>
    </row>
    <row r="29" spans="1:232" x14ac:dyDescent="0.35">
      <c r="A29">
        <f t="shared" si="0"/>
        <v>62</v>
      </c>
      <c r="B29">
        <v>2052</v>
      </c>
      <c r="C29" s="1">
        <f>IF($B29&lt;Analysis!C$66,0,$AN29)+$AT29+$AW29+$BC29+$CF29+$CA29</f>
        <v>1457865.2949911112</v>
      </c>
      <c r="D29" s="1">
        <f>IF($B29&lt;Analysis!C$66, 0, BV29)+AT29+AW29+BC29+CG29+CA29</f>
        <v>1265302.7072028199</v>
      </c>
      <c r="E29" s="1">
        <f t="shared" si="1"/>
        <v>1630117.5994139973</v>
      </c>
      <c r="F29" s="1">
        <f t="shared" si="9"/>
        <v>1423489.8545040097</v>
      </c>
      <c r="G29" s="1">
        <f>IF(AND($B29&gt;=Analysis!$C$100, $B29&lt;Analysis!$C$101),$CK29,0)+IF($B29&gt;=Analysis!$C$130,EB29,0)+CQ29+CT29+CZ29+EH29+EK29+EQ29+$FO29+$FT29</f>
        <v>1925008.6939182992</v>
      </c>
      <c r="H29" s="1">
        <f t="shared" si="10"/>
        <v>1695260.3379227873</v>
      </c>
      <c r="I29" s="1">
        <f>IF($B29&lt;Analysis!$C$159,0,$FW29)+$GC29+$GF29+$GL29+$HQ29+$HV29</f>
        <v>1925008.6939182992</v>
      </c>
      <c r="J29" s="1">
        <f t="shared" si="2"/>
        <v>1695260.3379227873</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49035.652617759646</v>
      </c>
      <c r="AI29" s="1">
        <f>IF(AE29 &gt;= 0,
    MAX(0, AF28 + AE29 - Analysis!$C$7),
    0)</f>
        <v>31661.244065311839</v>
      </c>
      <c r="AJ29" s="1">
        <f t="shared" si="44"/>
        <v>822694.86989745649</v>
      </c>
      <c r="AK29" s="1">
        <f t="shared" si="20"/>
        <v>1606117.5994139973</v>
      </c>
      <c r="AL29" s="1">
        <f t="shared" si="5"/>
        <v>1399489.8545040097</v>
      </c>
      <c r="AM29" s="36"/>
      <c r="AN29" s="1">
        <f t="shared" si="45"/>
        <v>1509230.3428901955</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-30502.494867728816</v>
      </c>
      <c r="AT29" s="1">
        <f>IF($B29&lt;Analysis!$C$66,0,IF($B29=Analysis!$C$66,-AP29-AS29,MIN(0,AT28-AS29)))</f>
        <v>-101646.89473602749</v>
      </c>
      <c r="AU29" s="64">
        <f>IF($B29&lt;Analysis!$C$66,0,IF($B29=Analysis!$C$66,Analysis!$C$72,IF(($B29-Analysis!$C$66)&lt;LOOKUP(Analysis!$C$66,$B:$B,AQ:AQ),AU28,0)))</f>
        <v>2.9600000000000001E-2</v>
      </c>
      <c r="AV29" s="1">
        <f>IF($B29&lt;Analysis!$C$66,0,IF($B29=Analysis!$C$66,-AU29*AP29,AU28*AT28))</f>
        <v>-3911.6219322711868</v>
      </c>
      <c r="AW29" s="1">
        <f>IF($B29&lt;Analysis!$C$66,0,IF($B29=Analysis!$C$66,PMT(AU29,AQ29,AP29)*AQ29-AX29-AT29,IF(($B29-Analysis!$C$66+1)&lt;LOOKUP(Analysis!$C$66,$B:$B,AQ:AQ),IF(AW28-AV29&lt;0, AW28-AV29,0),0)))</f>
        <v>-6287.2104803522789</v>
      </c>
      <c r="AX29" s="1">
        <f>IF($B29&lt;Analysis!$C$66,0,IF($B29=Analysis!$C$66,AS29+AV29,IF(AT28&lt;0,IF(AT28&gt;LOOKUP(Analysis!$C$66,$B:$B,AX:AX), AT28*(1+AU28),AX28),0)))</f>
        <v>-34414.116800000003</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-4527.691028670587</v>
      </c>
      <c r="BF29" s="64">
        <f>IF($B29&lt;Analysis!$C$66,0,Analysis!$C$78)</f>
        <v>3.0000000000000001E-3</v>
      </c>
      <c r="BG29" s="1">
        <f>IF($B29&lt;Analysis!$C$66,0,-BH29*AN29)</f>
        <v>-11319.227571676467</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-192426.86871849993</v>
      </c>
      <c r="BS29" s="64">
        <f>IF($B29&lt;Analysis!C$66,0,Analysis!C$31)</f>
        <v>0.1275</v>
      </c>
      <c r="BT29" s="1">
        <f>IF($B29&lt;Analysis!$C$66,0,AN29+BR29)</f>
        <v>1316803.4741716955</v>
      </c>
      <c r="BU29" s="1">
        <f>IF($B29-Analysis!$C$66&gt;3,0,IF($AN29&gt;LOOKUP(Analysis!$C$66,$B:$B, AN:AN),$V29*(LOOKUP(Analysis!$C$66,$B:$B, AN:AN)-AN29),0))</f>
        <v>0</v>
      </c>
      <c r="BV29" s="1">
        <f t="shared" si="23"/>
        <v>1316803.4741716955</v>
      </c>
      <c r="BW29" s="42"/>
      <c r="BX29" s="1">
        <f>IF($B29&lt;Analysis!$C$66,$P29+$N29+$X29+$Z29,$P29+$N29+AS29+AV29+BB29+BE29+BG29+MAX(BI29,SUM(BJ29:BN29))+BP29)</f>
        <v>-115421.03540034706</v>
      </c>
      <c r="BY29" s="1">
        <f t="shared" si="24"/>
        <v>131467.92324122589</v>
      </c>
      <c r="BZ29" s="1">
        <f t="shared" si="46"/>
        <v>16046.88784087883</v>
      </c>
      <c r="CA29" s="1">
        <f>IF(BZ29 &lt; 0,
    IF(CA28 + BZ29 &gt; 0,
        CA28 + BZ29, IF(CF28-ABS(CA28 + BZ29)*(1+$V29) &gt;= CA28 + BZ29,
        0, CA28 + BZ29)),
    MIN(CA28 + BZ29, Analysis!$C$7))+IF(CA28&lt;0, CA28*Analysis!$C$9,0)</f>
        <v>24000</v>
      </c>
      <c r="CB29" s="42"/>
      <c r="CC29" s="1">
        <f t="shared" si="47"/>
        <v>514.57467219400178</v>
      </c>
      <c r="CD29" s="1">
        <f>IF(BZ29 &gt;= 0,
    MAX(0, CA28 + BZ29 - Analysis!$C$7),
    0)</f>
        <v>16046.88784087883</v>
      </c>
      <c r="CE29" s="1">
        <f>IF($B29=Analysis!$C$66,0,MAX(0, CE28 + CD29 - IF(BZ29 &lt; 0, MIN(ABS(BZ29), CE28 + CD29), 0)))</f>
        <v>32054.482645101358</v>
      </c>
      <c r="CF29" s="1">
        <f>IF($B29=Analysis!$C$66,0,IF(BZ29 &lt; 0,
    IF(BZ29 + CA28 &lt; 0,
        MAX(0, CF28 - (ABS(BZ29 + CA28) * (1+$V28))),
        CF28 + CC29),
    CF28 + CD29 + CC29))</f>
        <v>32569.057317295359</v>
      </c>
      <c r="CG29" s="1">
        <f t="shared" si="25"/>
        <v>32433.338247504191</v>
      </c>
      <c r="CH29" s="36"/>
      <c r="CI29" s="1">
        <f>IF(OR($B29&lt;Analysis!$C$100, $B29&gt;=Analysis!$C$130),0,X29)</f>
        <v>-34646.679175914047</v>
      </c>
      <c r="CJ29" s="1">
        <f>IF(OR($B29&lt;Analysis!$C$100, $B29&gt;=Analysis!$C$130),0,Z29)</f>
        <v>-3960</v>
      </c>
      <c r="CK29" s="1">
        <f t="shared" si="26"/>
        <v>907725.49608613166</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-17014.091723053672</v>
      </c>
      <c r="CQ29" s="1">
        <f>IF(OR($B29&lt;Analysis!$C$100, $B29&gt;=Analysis!$C$101),0,IF($B29=Analysis!$C$100,-CM29-CP29,MIN(0,CQ28-CP29)))</f>
        <v>-56697.971687295314</v>
      </c>
      <c r="CR29" s="64">
        <f>IF(OR($B29&lt;Analysis!$C$100, $B29&gt;=Analysis!$C$101),0,IF($B29=Analysis!$C$100,Analysis!$C$102,IF(($B29-Analysis!$C$100)&lt;LOOKUP(Analysis!$C$100,$B:$B,CN:CN),CR28,0)))</f>
        <v>2.9600000000000001E-2</v>
      </c>
      <c r="CS29" s="1">
        <f>IF(OR($B29&lt;Analysis!$C$100, $B29&gt;=Analysis!$C$101),0,IF($B29=Analysis!$C$100,-CR29*CM29,CR28*CQ28))</f>
        <v>-2181.8770769463299</v>
      </c>
      <c r="CT29" s="1">
        <f>IF(OR($B29&lt;Analysis!$C$100, $B29&gt;=Analysis!$C$101),0,IF($B29=Analysis!$C$100,PMT(CR29,CN29,CM29)*CN29-CU29-CQ29,IF(($B29-Analysis!$C$100+1)&lt;LOOKUP(Analysis!$C$100,$B:$B,CN:CN),IF(CT28-CS29&lt;0, CT28-CS29,0),0)))</f>
        <v>-3506.9647993951057</v>
      </c>
      <c r="CU29" s="1">
        <f>IF(OR($B29&lt;Analysis!$C$100, $B29&gt;=Analysis!$C$101),0,IF($B29=Analysis!$C$100,CP29+CS29,IF(CQ28&lt;0,IF(CQ28&gt;LOOKUP(Analysis!$C$100,$B:$B,CU:CU), CQ28*(1+CR28),CU28),0)))</f>
        <v>-19195.968800000002</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36999.020767183189</v>
      </c>
      <c r="DE29" s="1">
        <f t="shared" si="27"/>
        <v>-2723.1764882583952</v>
      </c>
      <c r="DF29" s="64">
        <f>IF(OR($B29&lt;Analysis!$C$100, $B29&gt;=Analysis!$C$101),0,Analysis!$C$118)</f>
        <v>3.0000000000000001E-3</v>
      </c>
      <c r="DG29" s="1">
        <f t="shared" si="28"/>
        <v>-6807.9412206459874</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-2273.6883209193597</v>
      </c>
      <c r="DR29" s="1">
        <f t="shared" si="29"/>
        <v>-24064.806029823743</v>
      </c>
      <c r="DS29" s="1">
        <f>MIN(0,-(DB29+DR29)*Analysis!$C$28)-CS29*Analysis!$C$28</f>
        <v>-1803.0453153817575</v>
      </c>
      <c r="DT29" s="1">
        <f>-Analysis!$C$116*DD29/12</f>
        <v>-3083.2517305985989</v>
      </c>
      <c r="DU29" s="53"/>
      <c r="DV29" s="1">
        <f t="shared" si="30"/>
        <v>-115735.0007509818</v>
      </c>
      <c r="DW29" s="64">
        <f>IF(OR($B29&lt;Analysis!$C$100, $B29&gt;=Analysis!$C$101),0,IF($B29=Analysis!$C$100,Analysis!$C$31,DW28))</f>
        <v>0.1275</v>
      </c>
      <c r="DX29" s="1">
        <f>IF(OR($B29&lt;Analysis!$C$100, $B29&gt;=Analysis!$C$101),0,CK29+DV29)</f>
        <v>791990.49533514981</v>
      </c>
      <c r="DY29" s="1">
        <f>IF(OR($B29&lt;Analysis!$C$100, $B29&gt;=Analysis!$C$101),0,IF($B29-Analysis!$C$100&gt;3,0,IF(CK29&gt;LOOKUP(Analysis!$C$100,$B:$B, CK:CK),$V29*(LOOKUP(Analysis!$C$100,$B:$B, CK:CK)-CK29),0)))</f>
        <v>0</v>
      </c>
      <c r="DZ29" s="1">
        <f t="shared" si="49"/>
        <v>791990.49533514981</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IF($B29&lt;Analysis!$C$130,0,IF($B29=Analysis!$C$130,Analysis!$B$136,IF(($B29-Analysis!$C$130)&lt;LOOKUP(Analysis!$C$130,$B:$B,EE:EE),EI28,0)))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-139653.75105171814</v>
      </c>
      <c r="FM29" s="1">
        <f>$M29+$R29+DD29+IF(AND($B29&lt;&gt;Analysis!$C$130,$B29=Analysis!$C$101),DZ28+CQ28+CT28+CZ28,0)</f>
        <v>168466.94400840907</v>
      </c>
      <c r="FN29" s="1">
        <f t="shared" si="34"/>
        <v>28813.192956690938</v>
      </c>
      <c r="FO29" s="1">
        <f>IF(FN29 &lt; 0,
    IF(FO28 + FN29 &gt; 0,
        FO28 + FN29, IF(FT28-ABS(FO28 + FN29)*(1+$V29) &gt;= FO28 + FN29,
        0, FO28 + FN29)),
    MIN(FO28 + FN29, Analysis!$C$7))+IF(FO28&lt;0, FO28*Analysis!$C$9,0)</f>
        <v>24000</v>
      </c>
      <c r="FP29" s="53"/>
      <c r="FQ29" s="1">
        <f t="shared" si="51"/>
        <v>31912.986536632739</v>
      </c>
      <c r="FR29" s="1">
        <f>IF(OR($B29=Analysis!$C$100, $B29=Analysis!$C$130),0,IF(FN29 &gt;= 0,
    MAX(0, FO28 + FN29 - Analysis!$C$7),
    0))</f>
        <v>28813.192956690938</v>
      </c>
      <c r="FS29" s="1">
        <f>IF(OR($B29=Analysis!$C$100, $B29=Analysis!$C$130),0,MAX(0, FS28 + FR29 - IF(FN29 &lt; 0, MIN(ABS(FN29), FS28 + FR29), 0)))</f>
        <v>621210.01016898151</v>
      </c>
      <c r="FT29" s="1">
        <f>IF(OR($B29=Analysis!$C$100, $B29=Analysis!$C$130),0,IF(FN29 &lt; 0,
    IF(FN29 + FO28 &lt; 0,
        MAX(0, FT28 - (ABS(FN29 + FO28) * (1+$V28))),
        FT28 + FQ29),
    FT28 + FR29 + FQ29))</f>
        <v>1053488.1343188579</v>
      </c>
      <c r="FU29" s="1">
        <f t="shared" si="57"/>
        <v>939474.77907432802</v>
      </c>
      <c r="FV29" s="36"/>
      <c r="FW29" s="1">
        <f t="shared" si="52"/>
        <v>907725.49608613166</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-17014.091723053672</v>
      </c>
      <c r="GC29" s="1">
        <f>IF($B29&lt;Analysis!$C$159,0,IF($B29=Analysis!$C$159,-FY29-GB29,MIN(0,GC28-GB29)))</f>
        <v>-56697.971687295314</v>
      </c>
      <c r="GD29" s="64">
        <f>IF($B29&lt;Analysis!$C$159,0,IF($B29=Analysis!$C$159,Analysis!$B$160,IF(($B29-Analysis!$C$159)&lt;LOOKUP(Analysis!$C$159,$B:$B,FZ:FZ),GD28,0)))</f>
        <v>2.9600000000000001E-2</v>
      </c>
      <c r="GE29" s="1">
        <f>IF($B29&lt;Analysis!$C$159,0,IF($B29=Analysis!$C$159,-GD29*FY29,GD28*GC28))</f>
        <v>-2181.8770769463299</v>
      </c>
      <c r="GF29" s="1">
        <f>IF($B29&lt;Analysis!$C$159,0,IF($B29=Analysis!$C$159,PMT(GD29,FZ29,FY29)*FZ29-GG29-GC29,IF(($B29-Analysis!$C$159+1)&lt;LOOKUP(Analysis!$C$159,$B:$B,FZ:FZ),IF(GF28-GE29&lt;0, GF28-GE29,0),0)))</f>
        <v>-3506.9647993951057</v>
      </c>
      <c r="GG29" s="1">
        <f>IF($B29&lt;Analysis!$C$159,0,IF($B29=Analysis!$C$159,GB29+GE29,IF(GC28&lt;0,IF(GC28&gt;LOOKUP(Analysis!$C$159,$B:$B,GG:GG), GC28*(1+GD28),GG28),0)))</f>
        <v>-19195.968800000002</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36999.020767183189</v>
      </c>
      <c r="GQ29" s="1">
        <f t="shared" si="36"/>
        <v>-2723.1764882583952</v>
      </c>
      <c r="GR29" s="64">
        <f>IF($B29&lt;Analysis!$C$159,0,Analysis!$C$178)</f>
        <v>3.0000000000000001E-3</v>
      </c>
      <c r="GS29" s="1">
        <f t="shared" si="37"/>
        <v>-6807.9412206459874</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-2273.6883209193597</v>
      </c>
      <c r="HD29" s="1">
        <f t="shared" si="38"/>
        <v>-24064.806029823743</v>
      </c>
      <c r="HE29" s="1">
        <f>MIN(0,-(GN29+HD29)*Analysis!$C$28)-GE29*Analysis!$C$28</f>
        <v>-1803.0453153817575</v>
      </c>
      <c r="HF29" s="1">
        <f>-Analysis!$C$176*GP29/12</f>
        <v>-3083.2517305985989</v>
      </c>
      <c r="HG29" s="38"/>
      <c r="HH29" s="1">
        <f>IF($B29&lt;Analysis!$C$159,0,-$HI29*$FW29)</f>
        <v>-115735.0007509818</v>
      </c>
      <c r="HI29" s="64">
        <f>IF($B29&lt;Analysis!$C$159,0,IF($B29=Analysis!$C$159,Analysis!$C$31,HI28))</f>
        <v>0.1275</v>
      </c>
      <c r="HJ29" s="1">
        <f>IF($B29&lt;Analysis!$C$159,0,$FW29+HH29)</f>
        <v>791990.49533514981</v>
      </c>
      <c r="HK29" s="1">
        <f>IF($B29-Analysis!$C$159&gt;10,0,IF($FW29&gt;LOOKUP(Analysis!$C$159,$B:$B, FW:FW),$V29*(LOOKUP(Analysis!$C$159,$B:$B, FW:FW)-FW29),0))</f>
        <v>0</v>
      </c>
      <c r="HL29" s="1">
        <f t="shared" si="39"/>
        <v>791990.49533514981</v>
      </c>
      <c r="HM29" s="38"/>
      <c r="HN29" s="1">
        <f t="shared" si="40"/>
        <v>-139653.75105171814</v>
      </c>
      <c r="HO29" s="1">
        <f t="shared" si="8"/>
        <v>168466.94400840907</v>
      </c>
      <c r="HP29" s="1">
        <f t="shared" si="41"/>
        <v>28813.192956690938</v>
      </c>
      <c r="HQ29" s="1">
        <f>IF(HP29 &lt; 0,
    IF(HQ28 + HP29 &gt; 0,
        HQ28 + HP29, IF(HV28-ABS(HQ28 + HP29)*(1+$V29) &gt;= HQ28 + HP29,
        0, HQ28 + HP29)),
    MIN(HQ28 + HP29, Analysis!$C$7))+IF(HQ28&lt;0, HQ28*Analysis!$C$9,0)</f>
        <v>24000</v>
      </c>
      <c r="HR29" s="38"/>
      <c r="HS29" s="1">
        <f t="shared" si="54"/>
        <v>31912.986536632739</v>
      </c>
      <c r="HT29" s="1">
        <f>IF($B29=Analysis!$C$159,0,IF(HP29 &gt;= 0,
    MAX(0, HQ28 + HP29 - Analysis!$C$7),
    0))</f>
        <v>28813.192956690938</v>
      </c>
      <c r="HU29" s="1">
        <f>IF($B29=Analysis!$C$159,0,MAX(0, HU28 + HT29 - IF(HP29 &lt; 0, MIN(ABS(HP29), HU28 + HT29), 0)))</f>
        <v>621210.01016898151</v>
      </c>
      <c r="HV29" s="1">
        <f>IF($B29=Analysis!$C$159,0,IF(HP29 &lt; 0,
    IF(HP29 + HQ28 &lt; 0,
        MAX(0, HV28 - (ABS(HP29 + HQ28) * (1+$V28))),
        HV28 + HS29),
    HV28 + HT29 + HS29))</f>
        <v>1053488.1343188579</v>
      </c>
      <c r="HW29" s="1">
        <f t="shared" si="58"/>
        <v>939474.77907432802</v>
      </c>
      <c r="HX29" s="36"/>
    </row>
    <row r="30" spans="1:232" x14ac:dyDescent="0.35">
      <c r="A30">
        <f t="shared" si="0"/>
        <v>63</v>
      </c>
      <c r="B30">
        <v>2053</v>
      </c>
      <c r="C30" s="1">
        <f>IF($B30&lt;Analysis!C$66,0,$AN30)+$AT30+$AW30+$BC30+$CF30+$CA30</f>
        <v>1566440.462639661</v>
      </c>
      <c r="D30" s="1">
        <f>IF($B30&lt;Analysis!C$66, 0, BV30)+AT30+AW30+BC30+CG30+CA30</f>
        <v>1367956.8528709775</v>
      </c>
      <c r="E30" s="1">
        <f t="shared" si="1"/>
        <v>1722836.1865288515</v>
      </c>
      <c r="F30" s="1">
        <f t="shared" si="9"/>
        <v>1503317.3008709399</v>
      </c>
      <c r="G30" s="1">
        <f>IF(AND($B30&gt;=Analysis!$C$100, $B30&lt;Analysis!$C$101),$CK30,0)+IF($B30&gt;=Analysis!$C$130,EB30,0)+CQ30+CT30+CZ30+EH30+EK30+EQ30+$FO30+$FT30</f>
        <v>2044034.8969071379</v>
      </c>
      <c r="H30" s="1">
        <f t="shared" si="10"/>
        <v>1802426.9853424388</v>
      </c>
      <c r="I30" s="1">
        <f>IF($B30&lt;Analysis!$C$159,0,$FW30)+$GC30+$GF30+$GL30+$HQ30+$HV30</f>
        <v>2044034.8969071379</v>
      </c>
      <c r="J30" s="1">
        <f t="shared" si="2"/>
        <v>1802426.9853424388</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48876.363025304643</v>
      </c>
      <c r="AI30" s="1">
        <f>IF(AE30 &gt;= 0,
    MAX(0, AF29 + AE30 - Analysis!$C$7),
    0)</f>
        <v>43842.224089549651</v>
      </c>
      <c r="AJ30" s="1">
        <f t="shared" si="44"/>
        <v>866537.09398700611</v>
      </c>
      <c r="AK30" s="1">
        <f t="shared" si="20"/>
        <v>1698836.1865288515</v>
      </c>
      <c r="AL30" s="1">
        <f t="shared" si="5"/>
        <v>1479317.3008709399</v>
      </c>
      <c r="AM30" s="36"/>
      <c r="AN30" s="1">
        <f t="shared" si="45"/>
        <v>1553619.4706222604</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-31405.368715813591</v>
      </c>
      <c r="AT30" s="1">
        <f>IF($B30&lt;Analysis!$C$66,0,IF($B30=Analysis!$C$66,-AP30-AS30,MIN(0,AT29-AS30)))</f>
        <v>-70241.526020213903</v>
      </c>
      <c r="AU30" s="64">
        <f>IF($B30&lt;Analysis!$C$66,0,IF($B30=Analysis!$C$66,Analysis!$C$72,IF(($B30-Analysis!$C$66)&lt;LOOKUP(Analysis!$C$66,$B:$B,AQ:AQ),AU29,0)))</f>
        <v>2.9600000000000001E-2</v>
      </c>
      <c r="AV30" s="1">
        <f>IF($B30&lt;Analysis!$C$66,0,IF($B30=Analysis!$C$66,-AU30*AP30,AU29*AT29))</f>
        <v>-3008.748084186414</v>
      </c>
      <c r="AW30" s="1">
        <f>IF($B30&lt;Analysis!$C$66,0,IF($B30=Analysis!$C$66,PMT(AU30,AQ30,AP30)*AQ30-AX30-AT30,IF(($B30-Analysis!$C$66+1)&lt;LOOKUP(Analysis!$C$66,$B:$B,AQ:AQ),IF(AW29-AV30&lt;0, AW29-AV30,0),0)))</f>
        <v>-3278.4623961658649</v>
      </c>
      <c r="AX30" s="1">
        <f>IF($B30&lt;Analysis!$C$66,0,IF($B30=Analysis!$C$66,AS30+AV30,IF(AT29&lt;0,IF(AT29&gt;LOOKUP(Analysis!$C$66,$B:$B,AX:AX), AT29*(1+AU29),AX29),0)))</f>
        <v>-34414.116800000003</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-4660.8584118667814</v>
      </c>
      <c r="BF30" s="64">
        <f>IF($B30&lt;Analysis!$C$66,0,Analysis!$C$78)</f>
        <v>3.0000000000000001E-3</v>
      </c>
      <c r="BG30" s="1">
        <f>IF($B30&lt;Analysis!$C$66,0,-BH30*AN30)</f>
        <v>-11652.146029666952</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-198086.4825043382</v>
      </c>
      <c r="BS30" s="64">
        <f>IF($B30&lt;Analysis!C$66,0,Analysis!C$31)</f>
        <v>0.1275</v>
      </c>
      <c r="BT30" s="1">
        <f>IF($B30&lt;Analysis!$C$66,0,AN30+BR30)</f>
        <v>1355532.9881179221</v>
      </c>
      <c r="BU30" s="1">
        <f>IF($B30-Analysis!$C$66&gt;3,0,IF($AN30&gt;LOOKUP(Analysis!$C$66,$B:$B, AN:AN),$V30*(LOOKUP(Analysis!$C$66,$B:$B, AN:AN)-AN30),0))</f>
        <v>0</v>
      </c>
      <c r="BV30" s="1">
        <f t="shared" si="23"/>
        <v>1355532.9881179221</v>
      </c>
      <c r="BW30" s="42"/>
      <c r="BX30" s="1">
        <f>IF($B30&lt;Analysis!$C$66,$P30+$N30+$X30+$Z30,$P30+$N30+AS30+AV30+BB30+BE30+BG30+MAX(BI30,SUM(BJ30:BN30))+BP30)</f>
        <v>-102687.12124153374</v>
      </c>
      <c r="BY30" s="1">
        <f t="shared" si="24"/>
        <v>131467.92324122589</v>
      </c>
      <c r="BZ30" s="1">
        <f t="shared" si="46"/>
        <v>28780.80199969215</v>
      </c>
      <c r="CA30" s="1">
        <f>IF(BZ30 &lt; 0,
    IF(CA29 + BZ30 &gt; 0,
        CA29 + BZ30, IF(CF29-ABS(CA29 + BZ30)*(1+$V30) &gt;= CA29 + BZ30,
        0, CA29 + BZ30)),
    MIN(CA29 + BZ30, Analysis!$C$7))+IF(CA29&lt;0, CA29*Analysis!$C$9,0)</f>
        <v>24000</v>
      </c>
      <c r="CB30" s="42"/>
      <c r="CC30" s="1">
        <f t="shared" si="47"/>
        <v>991.12111679299346</v>
      </c>
      <c r="CD30" s="1">
        <f>IF(BZ30 &gt;= 0,
    MAX(0, CA29 + BZ30 - Analysis!$C$7),
    0)</f>
        <v>28780.80199969215</v>
      </c>
      <c r="CE30" s="1">
        <f>IF($B30=Analysis!$C$66,0,MAX(0, CE29 + CD30 - IF(BZ30 &lt; 0, MIN(ABS(BZ30), CE29 + CD30), 0)))</f>
        <v>60835.284644793508</v>
      </c>
      <c r="CF30" s="1">
        <f>IF($B30=Analysis!$C$66,0,IF(BZ30 &lt; 0,
    IF(BZ30 + CA29 &lt; 0,
        MAX(0, CF29 - (ABS(BZ30 + CA29) * (1+$V29))),
        CF29 + CC30),
    CF29 + CD30 + CC30))</f>
        <v>62340.980433780504</v>
      </c>
      <c r="CG30" s="1">
        <f t="shared" si="25"/>
        <v>61943.853169435184</v>
      </c>
      <c r="CH30" s="36"/>
      <c r="CI30" s="1">
        <f>IF(OR($B30&lt;Analysis!$C$100, $B30&gt;=Analysis!$C$130),0,X30)</f>
        <v>-35665.699151676228</v>
      </c>
      <c r="CJ30" s="1">
        <f>IF(OR($B30&lt;Analysis!$C$100, $B30&gt;=Analysis!$C$130),0,Z30)</f>
        <v>-3960</v>
      </c>
      <c r="CK30" s="1">
        <f t="shared" si="26"/>
        <v>934423.30479454738</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-17517.70883805606</v>
      </c>
      <c r="CQ30" s="1">
        <f>IF(OR($B30&lt;Analysis!$C$100, $B30&gt;=Analysis!$C$101),0,IF($B30=Analysis!$C$100,-CM30-CP30,MIN(0,CQ29-CP30)))</f>
        <v>-39180.262849239254</v>
      </c>
      <c r="CR30" s="64">
        <f>IF(OR($B30&lt;Analysis!$C$100, $B30&gt;=Analysis!$C$101),0,IF($B30=Analysis!$C$100,Analysis!$C$102,IF(($B30-Analysis!$C$100)&lt;LOOKUP(Analysis!$C$100,$B:$B,CN:CN),CR29,0)))</f>
        <v>2.9600000000000001E-2</v>
      </c>
      <c r="CS30" s="1">
        <f>IF(OR($B30&lt;Analysis!$C$100, $B30&gt;=Analysis!$C$101),0,IF($B30=Analysis!$C$100,-CR30*CM30,CR29*CQ29))</f>
        <v>-1678.2599619439413</v>
      </c>
      <c r="CT30" s="1">
        <f>IF(OR($B30&lt;Analysis!$C$100, $B30&gt;=Analysis!$C$101),0,IF($B30=Analysis!$C$100,PMT(CR30,CN30,CM30)*CN30-CU30-CQ30,IF(($B30-Analysis!$C$100+1)&lt;LOOKUP(Analysis!$C$100,$B:$B,CN:CN),IF(CT29-CS30&lt;0, CT29-CS30,0),0)))</f>
        <v>-1828.7048374511644</v>
      </c>
      <c r="CU30" s="1">
        <f>IF(OR($B30&lt;Analysis!$C$100, $B30&gt;=Analysis!$C$101),0,IF($B30=Analysis!$C$100,CP30+CS30,IF(CQ29&lt;0,IF(CQ29&gt;LOOKUP(Analysis!$C$100,$B:$B,CU:CU), CQ29*(1+CR29),CU29),0)))</f>
        <v>-19195.968800000002</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37970.756672100346</v>
      </c>
      <c r="DE30" s="1">
        <f t="shared" si="27"/>
        <v>-2803.2699143836421</v>
      </c>
      <c r="DF30" s="64">
        <f>IF(OR($B30&lt;Analysis!$C$100, $B30&gt;=Analysis!$C$101),0,Analysis!$C$118)</f>
        <v>3.0000000000000001E-3</v>
      </c>
      <c r="DG30" s="1">
        <f t="shared" si="28"/>
        <v>-7008.1747859591051</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-2340.561506828753</v>
      </c>
      <c r="DR30" s="1">
        <f t="shared" si="29"/>
        <v>-24412.0062071715</v>
      </c>
      <c r="DS30" s="1">
        <f>MIN(0,-(DB30+DR30)*Analysis!$C$28)-CS30*Analysis!$C$28</f>
        <v>-2267.4404428092203</v>
      </c>
      <c r="DT30" s="1">
        <f>-Analysis!$C$116*DD30/12</f>
        <v>-3164.2297226750288</v>
      </c>
      <c r="DU30" s="53"/>
      <c r="DV30" s="1">
        <f t="shared" si="30"/>
        <v>-119138.97136130479</v>
      </c>
      <c r="DW30" s="64">
        <f>IF(OR($B30&lt;Analysis!$C$100, $B30&gt;=Analysis!$C$101),0,IF($B30=Analysis!$C$100,Analysis!$C$31,DW29))</f>
        <v>0.1275</v>
      </c>
      <c r="DX30" s="1">
        <f>IF(OR($B30&lt;Analysis!$C$100, $B30&gt;=Analysis!$C$101),0,CK30+DV30)</f>
        <v>815284.33343324263</v>
      </c>
      <c r="DY30" s="1">
        <f>IF(OR($B30&lt;Analysis!$C$100, $B30&gt;=Analysis!$C$101),0,IF($B30-Analysis!$C$100&gt;3,0,IF(CK30&gt;LOOKUP(Analysis!$C$100,$B:$B, CK:CK),$V30*(LOOKUP(Analysis!$C$100,$B:$B, CK:CK)-CK30),0)))</f>
        <v>0</v>
      </c>
      <c r="DZ30" s="1">
        <f t="shared" si="49"/>
        <v>815284.33343324263</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IF($B30&lt;Analysis!$C$130,0,IF($B30=Analysis!$C$130,Analysis!$B$136,IF(($B30-Analysis!$C$130)&lt;LOOKUP(Analysis!$C$130,$B:$B,EE:EE),EI29,0)))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-128365.34432433199</v>
      </c>
      <c r="FM30" s="1">
        <f>$M30+$R30+DD30+IF(AND($B30&lt;&gt;Analysis!$C$130,$B30=Analysis!$C$101),DZ29+CQ29+CT29+CZ29,0)</f>
        <v>169438.67991332622</v>
      </c>
      <c r="FN30" s="1">
        <f t="shared" si="34"/>
        <v>41073.335588994232</v>
      </c>
      <c r="FO30" s="1">
        <f>IF(FN30 &lt; 0,
    IF(FO29 + FN30 &gt; 0,
        FO29 + FN30, IF(FT29-ABS(FO29 + FN30)*(1+$V30) &gt;= FO29 + FN30,
        0, FO29 + FN30)),
    MIN(FO29 + FN30, Analysis!$C$7))+IF(FO29&lt;0, FO29*Analysis!$C$9,0)</f>
        <v>24000</v>
      </c>
      <c r="FP30" s="53"/>
      <c r="FQ30" s="1">
        <f t="shared" si="51"/>
        <v>32059.089891428943</v>
      </c>
      <c r="FR30" s="1">
        <f>IF(OR($B30=Analysis!$C$100, $B30=Analysis!$C$130),0,IF(FN30 &gt;= 0,
    MAX(0, FO29 + FN30 - Analysis!$C$7),
    0))</f>
        <v>41073.335588994232</v>
      </c>
      <c r="FS30" s="1">
        <f>IF(OR($B30=Analysis!$C$100, $B30=Analysis!$C$130),0,MAX(0, FS29 + FR30 - IF(FN30 &lt; 0, MIN(ABS(FN30), FS29 + FR30), 0)))</f>
        <v>662283.34575797571</v>
      </c>
      <c r="FT30" s="1">
        <f>IF(OR($B30=Analysis!$C$100, $B30=Analysis!$C$130),0,IF(FN30 &lt; 0,
    IF(FN30 + FO29 &lt; 0,
        MAX(0, FT29 - (ABS(FN30 + FO29) * (1+$V29))),
        FT29 + FQ30),
    FT29 + FR30 + FQ30))</f>
        <v>1126620.5597992809</v>
      </c>
      <c r="FU30" s="1">
        <f t="shared" si="57"/>
        <v>1004151.6195958867</v>
      </c>
      <c r="FV30" s="36"/>
      <c r="FW30" s="1">
        <f t="shared" si="52"/>
        <v>934423.30479454738</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-17517.70883805606</v>
      </c>
      <c r="GC30" s="1">
        <f>IF($B30&lt;Analysis!$C$159,0,IF($B30=Analysis!$C$159,-FY30-GB30,MIN(0,GC29-GB30)))</f>
        <v>-39180.262849239254</v>
      </c>
      <c r="GD30" s="64">
        <f>IF($B30&lt;Analysis!$C$159,0,IF($B30=Analysis!$C$159,Analysis!$B$160,IF(($B30-Analysis!$C$159)&lt;LOOKUP(Analysis!$C$159,$B:$B,FZ:FZ),GD29,0)))</f>
        <v>2.9600000000000001E-2</v>
      </c>
      <c r="GE30" s="1">
        <f>IF($B30&lt;Analysis!$C$159,0,IF($B30=Analysis!$C$159,-GD30*FY30,GD29*GC29))</f>
        <v>-1678.2599619439413</v>
      </c>
      <c r="GF30" s="1">
        <f>IF($B30&lt;Analysis!$C$159,0,IF($B30=Analysis!$C$159,PMT(GD30,FZ30,FY30)*FZ30-GG30-GC30,IF(($B30-Analysis!$C$159+1)&lt;LOOKUP(Analysis!$C$159,$B:$B,FZ:FZ),IF(GF29-GE30&lt;0, GF29-GE30,0),0)))</f>
        <v>-1828.7048374511644</v>
      </c>
      <c r="GG30" s="1">
        <f>IF($B30&lt;Analysis!$C$159,0,IF($B30=Analysis!$C$159,GB30+GE30,IF(GC29&lt;0,IF(GC29&gt;LOOKUP(Analysis!$C$159,$B:$B,GG:GG), GC29*(1+GD29),GG29),0)))</f>
        <v>-19195.968800000002</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37970.756672100346</v>
      </c>
      <c r="GQ30" s="1">
        <f t="shared" si="36"/>
        <v>-2803.2699143836421</v>
      </c>
      <c r="GR30" s="64">
        <f>IF($B30&lt;Analysis!$C$159,0,Analysis!$C$178)</f>
        <v>3.0000000000000001E-3</v>
      </c>
      <c r="GS30" s="1">
        <f t="shared" si="37"/>
        <v>-7008.1747859591051</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-2340.561506828753</v>
      </c>
      <c r="HD30" s="1">
        <f t="shared" si="38"/>
        <v>-24412.0062071715</v>
      </c>
      <c r="HE30" s="1">
        <f>MIN(0,-(GN30+HD30)*Analysis!$C$28)-GE30*Analysis!$C$28</f>
        <v>-2267.4404428092203</v>
      </c>
      <c r="HF30" s="1">
        <f>-Analysis!$C$176*GP30/12</f>
        <v>-3164.2297226750288</v>
      </c>
      <c r="HG30" s="38"/>
      <c r="HH30" s="1">
        <f>IF($B30&lt;Analysis!$C$159,0,-$HI30*$FW30)</f>
        <v>-119138.97136130479</v>
      </c>
      <c r="HI30" s="64">
        <f>IF($B30&lt;Analysis!$C$159,0,IF($B30=Analysis!$C$159,Analysis!$C$31,HI29))</f>
        <v>0.1275</v>
      </c>
      <c r="HJ30" s="1">
        <f>IF($B30&lt;Analysis!$C$159,0,$FW30+HH30)</f>
        <v>815284.33343324263</v>
      </c>
      <c r="HK30" s="1">
        <f>IF($B30-Analysis!$C$159&gt;10,0,IF($FW30&gt;LOOKUP(Analysis!$C$159,$B:$B, FW:FW),$V30*(LOOKUP(Analysis!$C$159,$B:$B, FW:FW)-FW30),0))</f>
        <v>0</v>
      </c>
      <c r="HL30" s="1">
        <f t="shared" si="39"/>
        <v>815284.33343324263</v>
      </c>
      <c r="HM30" s="38"/>
      <c r="HN30" s="1">
        <f t="shared" si="40"/>
        <v>-128365.34432433199</v>
      </c>
      <c r="HO30" s="1">
        <f t="shared" si="8"/>
        <v>169438.67991332622</v>
      </c>
      <c r="HP30" s="1">
        <f t="shared" si="41"/>
        <v>41073.335588994232</v>
      </c>
      <c r="HQ30" s="1">
        <f>IF(HP30 &lt; 0,
    IF(HQ29 + HP30 &gt; 0,
        HQ29 + HP30, IF(HV29-ABS(HQ29 + HP30)*(1+$V30) &gt;= HQ29 + HP30,
        0, HQ29 + HP30)),
    MIN(HQ29 + HP30, Analysis!$C$7))+IF(HQ29&lt;0, HQ29*Analysis!$C$9,0)</f>
        <v>24000</v>
      </c>
      <c r="HR30" s="38"/>
      <c r="HS30" s="1">
        <f t="shared" si="54"/>
        <v>32059.089891428943</v>
      </c>
      <c r="HT30" s="1">
        <f>IF($B30=Analysis!$C$159,0,IF(HP30 &gt;= 0,
    MAX(0, HQ29 + HP30 - Analysis!$C$7),
    0))</f>
        <v>41073.335588994232</v>
      </c>
      <c r="HU30" s="1">
        <f>IF($B30=Analysis!$C$159,0,MAX(0, HU29 + HT30 - IF(HP30 &lt; 0, MIN(ABS(HP30), HU29 + HT30), 0)))</f>
        <v>662283.34575797571</v>
      </c>
      <c r="HV30" s="1">
        <f>IF($B30=Analysis!$C$159,0,IF(HP30 &lt; 0,
    IF(HP30 + HQ29 &lt; 0,
        MAX(0, HV29 - (ABS(HP30 + HQ29) * (1+$V29))),
        HV29 + HS30),
    HV29 + HT30 + HS30))</f>
        <v>1126620.5597992809</v>
      </c>
      <c r="HW30" s="1">
        <f t="shared" si="58"/>
        <v>1004151.6195958867</v>
      </c>
      <c r="HX30" s="36"/>
    </row>
    <row r="31" spans="1:232" x14ac:dyDescent="0.35">
      <c r="A31">
        <f t="shared" si="0"/>
        <v>64</v>
      </c>
      <c r="B31">
        <v>2054</v>
      </c>
      <c r="C31" s="1">
        <f>IF($B31&lt;Analysis!C$66,0,$AN31)+$AT31+$AW31+$BC31+$CF31+$CA31</f>
        <v>1676640.5288519717</v>
      </c>
      <c r="D31" s="1">
        <f>IF($B31&lt;Analysis!C$66, 0, BV31)+AT31+AW31+BC31+CG31+CA31</f>
        <v>1471858.6672752933</v>
      </c>
      <c r="E31" s="1">
        <f t="shared" si="1"/>
        <v>1814415.0457534187</v>
      </c>
      <c r="F31" s="1">
        <f t="shared" si="9"/>
        <v>1582028.9511624328</v>
      </c>
      <c r="G31" s="1">
        <f>IF(AND($B31&gt;=Analysis!$C$100, $B31&lt;Analysis!$C$101),$CK31,0)+IF($B31&gt;=Analysis!$C$130,EB31,0)+CQ31+CT31+CZ31+EH31+EK31+EQ31+$FO31+$FT31</f>
        <v>2163172.9578813203</v>
      </c>
      <c r="H31" s="1">
        <f t="shared" si="10"/>
        <v>1909527.7864811271</v>
      </c>
      <c r="I31" s="1">
        <f>IF($B31&lt;Analysis!$C$159,0,$FW31)+$GC31+$GF31+$GL31+$HQ31+$HV31</f>
        <v>2163172.9578813203</v>
      </c>
      <c r="J31" s="1">
        <f t="shared" si="2"/>
        <v>1909527.7864811271</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48785.626286537488</v>
      </c>
      <c r="AI31" s="1">
        <f>IF(AE31 &gt;= 0,
    MAX(0, AF30 + AE31 - Analysis!$C$7),
    0)</f>
        <v>42793.232938029774</v>
      </c>
      <c r="AJ31" s="1">
        <f t="shared" si="44"/>
        <v>909330.32692503592</v>
      </c>
      <c r="AK31" s="1">
        <f t="shared" si="20"/>
        <v>1790415.0457534187</v>
      </c>
      <c r="AL31" s="1">
        <f t="shared" si="5"/>
        <v>1558028.9511624328</v>
      </c>
      <c r="AM31" s="36"/>
      <c r="AN31" s="1">
        <f t="shared" si="45"/>
        <v>1599314.1609346799</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-32334.967629801671</v>
      </c>
      <c r="AT31" s="1">
        <f>IF($B31&lt;Analysis!$C$66,0,IF($B31=Analysis!$C$66,-AP31-AS31,MIN(0,AT30-AS31)))</f>
        <v>-37906.558390412232</v>
      </c>
      <c r="AU31" s="64">
        <f>IF($B31&lt;Analysis!$C$66,0,IF($B31=Analysis!$C$66,Analysis!$C$72,IF(($B31-Analysis!$C$66)&lt;LOOKUP(Analysis!$C$66,$B:$B,AQ:AQ),AU30,0)))</f>
        <v>2.9600000000000001E-2</v>
      </c>
      <c r="AV31" s="1">
        <f>IF($B31&lt;Analysis!$C$66,0,IF($B31=Analysis!$C$66,-AU31*AP31,AU30*AT30))</f>
        <v>-2079.1491701983318</v>
      </c>
      <c r="AW31" s="1">
        <f>IF($B31&lt;Analysis!$C$66,0,IF($B31=Analysis!$C$66,PMT(AU31,AQ31,AP31)*AQ31-AX31-AT31,IF(($B31-Analysis!$C$66+1)&lt;LOOKUP(Analysis!$C$66,$B:$B,AQ:AQ),IF(AW30-AV31&lt;0, AW30-AV31,0),0)))</f>
        <v>-1199.3132259675331</v>
      </c>
      <c r="AX31" s="1">
        <f>IF($B31&lt;Analysis!$C$66,0,IF($B31=Analysis!$C$66,AS31+AV31,IF(AT30&lt;0,IF(AT30&gt;LOOKUP(Analysis!$C$66,$B:$B,AX:AX), AT30*(1+AU30),AX30),0)))</f>
        <v>-34414.116800000003</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-4797.9424828040401</v>
      </c>
      <c r="BF31" s="64">
        <f>IF($B31&lt;Analysis!$C$66,0,Analysis!$C$78)</f>
        <v>3.0000000000000001E-3</v>
      </c>
      <c r="BG31" s="1">
        <f>IF($B31&lt;Analysis!$C$66,0,-BH31*AN31)</f>
        <v>-11994.8562070101</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-203912.5555191717</v>
      </c>
      <c r="BS31" s="64">
        <f>IF($B31&lt;Analysis!C$66,0,Analysis!C$31)</f>
        <v>0.1275</v>
      </c>
      <c r="BT31" s="1">
        <f>IF($B31&lt;Analysis!$C$66,0,AN31+BR31)</f>
        <v>1395401.6054155082</v>
      </c>
      <c r="BU31" s="1">
        <f>IF($B31-Analysis!$C$66&gt;3,0,IF($AN31&gt;LOOKUP(Analysis!$C$66,$B:$B, AN:AN),$V31*(LOOKUP(Analysis!$C$66,$B:$B, AN:AN)-AN31),0))</f>
        <v>0</v>
      </c>
      <c r="BV31" s="1">
        <f t="shared" si="23"/>
        <v>1395401.6054155082</v>
      </c>
      <c r="BW31" s="42"/>
      <c r="BX31" s="1">
        <f>IF($B31&lt;Analysis!$C$66,$P31+$N31+$X31+$Z31,$P31+$N31+AS31+AV31+BB31+BE31+BG31+MAX(BI31,SUM(BJ31:BN31))+BP31)</f>
        <v>-103166.91548981414</v>
      </c>
      <c r="BY31" s="1">
        <f t="shared" si="24"/>
        <v>131467.92324122589</v>
      </c>
      <c r="BZ31" s="1">
        <f t="shared" si="46"/>
        <v>28301.007751411744</v>
      </c>
      <c r="CA31" s="1">
        <f>IF(BZ31 &lt; 0,
    IF(CA30 + BZ31 &gt; 0,
        CA30 + BZ31, IF(CF30-ABS(CA30 + BZ31)*(1+$V31) &gt;= CA30 + BZ31,
        0, CA30 + BZ31)),
    MIN(CA30 + BZ31, Analysis!$C$7))+IF(CA30&lt;0, CA30*Analysis!$C$9,0)</f>
        <v>24000</v>
      </c>
      <c r="CB31" s="42"/>
      <c r="CC31" s="1">
        <f t="shared" si="47"/>
        <v>1790.2513484793315</v>
      </c>
      <c r="CD31" s="1">
        <f>IF(BZ31 &gt;= 0,
    MAX(0, CA30 + BZ31 - Analysis!$C$7),
    0)</f>
        <v>28301.007751411744</v>
      </c>
      <c r="CE31" s="1">
        <f>IF($B31=Analysis!$C$66,0,MAX(0, CE30 + CD31 - IF(BZ31 &lt; 0, MIN(ABS(BZ31), CE30 + CD31), 0)))</f>
        <v>89136.292396205245</v>
      </c>
      <c r="CF31" s="1">
        <f>IF($B31=Analysis!$C$66,0,IF(BZ31 &lt; 0,
    IF(BZ31 + CA30 &lt; 0,
        MAX(0, CF30 - (ABS(BZ31 + CA30) * (1+$V30))),
        CF30 + CC31),
    CF30 + CD31 + CC31))</f>
        <v>92432.239533671585</v>
      </c>
      <c r="CG31" s="1">
        <f t="shared" si="25"/>
        <v>91562.933476164835</v>
      </c>
      <c r="CH31" s="36"/>
      <c r="CI31" s="1">
        <f>IF(OR($B31&lt;Analysis!$C$100, $B31&gt;=Analysis!$C$130),0,X31)</f>
        <v>-36714.690303196119</v>
      </c>
      <c r="CJ31" s="1">
        <f>IF(OR($B31&lt;Analysis!$C$100, $B31&gt;=Analysis!$C$130),0,Z31)</f>
        <v>-3960</v>
      </c>
      <c r="CK31" s="1">
        <f t="shared" si="26"/>
        <v>961906.34317085776</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-18036.233019662519</v>
      </c>
      <c r="CQ31" s="1">
        <f>IF(OR($B31&lt;Analysis!$C$100, $B31&gt;=Analysis!$C$101),0,IF($B31=Analysis!$C$100,-CM31-CP31,MIN(0,CQ30-CP31)))</f>
        <v>-21144.029829576735</v>
      </c>
      <c r="CR31" s="64">
        <f>IF(OR($B31&lt;Analysis!$C$100, $B31&gt;=Analysis!$C$101),0,IF($B31=Analysis!$C$100,Analysis!$C$102,IF(($B31-Analysis!$C$100)&lt;LOOKUP(Analysis!$C$100,$B:$B,CN:CN),CR30,0)))</f>
        <v>2.9600000000000001E-2</v>
      </c>
      <c r="CS31" s="1">
        <f>IF(OR($B31&lt;Analysis!$C$100, $B31&gt;=Analysis!$C$101),0,IF($B31=Analysis!$C$100,-CR31*CM31,CR30*CQ30))</f>
        <v>-1159.7357803374821</v>
      </c>
      <c r="CT31" s="1">
        <f>IF(OR($B31&lt;Analysis!$C$100, $B31&gt;=Analysis!$C$101),0,IF($B31=Analysis!$C$100,PMT(CR31,CN31,CM31)*CN31-CU31-CQ31,IF(($B31-Analysis!$C$100+1)&lt;LOOKUP(Analysis!$C$100,$B:$B,CN:CN),IF(CT30-CS31&lt;0, CT30-CS31,0),0)))</f>
        <v>-668.96905711368231</v>
      </c>
      <c r="CU31" s="1">
        <f>IF(OR($B31&lt;Analysis!$C$100, $B31&gt;=Analysis!$C$101),0,IF($B31=Analysis!$C$100,CP31+CS31,IF(CQ30&lt;0,IF(CQ30&gt;LOOKUP(Analysis!$C$100,$B:$B,CU:CU), CQ30*(1+CR30),CU30),0)))</f>
        <v>-19195.968800000002</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38971.073044809193</v>
      </c>
      <c r="DE31" s="1">
        <f t="shared" si="27"/>
        <v>-2885.7190295125733</v>
      </c>
      <c r="DF31" s="64">
        <f>IF(OR($B31&lt;Analysis!$C$100, $B31&gt;=Analysis!$C$101),0,Analysis!$C$118)</f>
        <v>3.0000000000000001E-3</v>
      </c>
      <c r="DG31" s="1">
        <f t="shared" si="28"/>
        <v>-7214.2975737814331</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-2409.4015511472458</v>
      </c>
      <c r="DR31" s="1">
        <f t="shared" si="29"/>
        <v>-24769.418154441253</v>
      </c>
      <c r="DS31" s="1">
        <f>MIN(0,-(DB31+DR31)*Analysis!$C$28)-CS31*Analysis!$C$28</f>
        <v>-2745.5362556774708</v>
      </c>
      <c r="DT31" s="1">
        <f>-Analysis!$C$116*DD31/12</f>
        <v>-3247.5894204007659</v>
      </c>
      <c r="DU31" s="53"/>
      <c r="DV31" s="1">
        <f t="shared" si="30"/>
        <v>-122643.05875428437</v>
      </c>
      <c r="DW31" s="64">
        <f>IF(OR($B31&lt;Analysis!$C$100, $B31&gt;=Analysis!$C$101),0,IF($B31=Analysis!$C$100,Analysis!$C$31,DW30))</f>
        <v>0.1275</v>
      </c>
      <c r="DX31" s="1">
        <f>IF(OR($B31&lt;Analysis!$C$100, $B31&gt;=Analysis!$C$101),0,CK31+DV31)</f>
        <v>839263.28441657335</v>
      </c>
      <c r="DY31" s="1">
        <f>IF(OR($B31&lt;Analysis!$C$100, $B31&gt;=Analysis!$C$101),0,IF($B31-Analysis!$C$100&gt;3,0,IF(CK31&gt;LOOKUP(Analysis!$C$100,$B:$B, CK:CK),$V31*(LOOKUP(Analysis!$C$100,$B:$B, CK:CK)-CK31),0)))</f>
        <v>0</v>
      </c>
      <c r="DZ31" s="1">
        <f t="shared" si="49"/>
        <v>839263.28441657335</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IF($B31&lt;Analysis!$C$130,0,IF($B31=Analysis!$C$130,Analysis!$B$136,IF(($B31-Analysis!$C$130)&lt;LOOKUP(Analysis!$C$130,$B:$B,EE:EE),EI30,0)))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-130333.2029337156</v>
      </c>
      <c r="FM31" s="1">
        <f>$M31+$R31+DD31+IF(AND($B31&lt;&gt;Analysis!$C$130,$B31=Analysis!$C$101),DZ30+CQ30+CT30+CZ30,0)</f>
        <v>170438.99628603508</v>
      </c>
      <c r="FN31" s="1">
        <f t="shared" si="34"/>
        <v>40105.793352319481</v>
      </c>
      <c r="FO31" s="1">
        <f>IF(FN31 &lt; 0,
    IF(FO30 + FN31 &gt; 0,
        FO30 + FN31, IF(FT30-ABS(FO30 + FN31)*(1+$V31) &gt;= FO30 + FN31,
        0, FO30 + FN31)),
    MIN(FO30 + FN31, Analysis!$C$7))+IF(FO30&lt;0, FO30*Analysis!$C$9,0)</f>
        <v>24000</v>
      </c>
      <c r="FP31" s="53"/>
      <c r="FQ31" s="1">
        <f t="shared" si="51"/>
        <v>32353.260445552642</v>
      </c>
      <c r="FR31" s="1">
        <f>IF(OR($B31=Analysis!$C$100, $B31=Analysis!$C$130),0,IF(FN31 &gt;= 0,
    MAX(0, FO30 + FN31 - Analysis!$C$7),
    0))</f>
        <v>40105.793352319481</v>
      </c>
      <c r="FS31" s="1">
        <f>IF(OR($B31=Analysis!$C$100, $B31=Analysis!$C$130),0,MAX(0, FS30 + FR31 - IF(FN31 &lt; 0, MIN(ABS(FN31), FS30 + FR31), 0)))</f>
        <v>702389.13911029522</v>
      </c>
      <c r="FT31" s="1">
        <f>IF(OR($B31=Analysis!$C$100, $B31=Analysis!$C$130),0,IF(FN31 &lt; 0,
    IF(FN31 + FO30 &lt; 0,
        MAX(0, FT30 - (ABS(FN31 + FO30) * (1+$V30))),
        FT30 + FQ31),
    FT30 + FR31 + FQ31))</f>
        <v>1199079.613597153</v>
      </c>
      <c r="FU31" s="1">
        <f t="shared" si="57"/>
        <v>1068077.5009512443</v>
      </c>
      <c r="FV31" s="36"/>
      <c r="FW31" s="1">
        <f t="shared" si="52"/>
        <v>961906.34317085776</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-18036.233019662519</v>
      </c>
      <c r="GC31" s="1">
        <f>IF($B31&lt;Analysis!$C$159,0,IF($B31=Analysis!$C$159,-FY31-GB31,MIN(0,GC30-GB31)))</f>
        <v>-21144.029829576735</v>
      </c>
      <c r="GD31" s="64">
        <f>IF($B31&lt;Analysis!$C$159,0,IF($B31=Analysis!$C$159,Analysis!$B$160,IF(($B31-Analysis!$C$159)&lt;LOOKUP(Analysis!$C$159,$B:$B,FZ:FZ),GD30,0)))</f>
        <v>2.9600000000000001E-2</v>
      </c>
      <c r="GE31" s="1">
        <f>IF($B31&lt;Analysis!$C$159,0,IF($B31=Analysis!$C$159,-GD31*FY31,GD30*GC30))</f>
        <v>-1159.7357803374821</v>
      </c>
      <c r="GF31" s="1">
        <f>IF($B31&lt;Analysis!$C$159,0,IF($B31=Analysis!$C$159,PMT(GD31,FZ31,FY31)*FZ31-GG31-GC31,IF(($B31-Analysis!$C$159+1)&lt;LOOKUP(Analysis!$C$159,$B:$B,FZ:FZ),IF(GF30-GE31&lt;0, GF30-GE31,0),0)))</f>
        <v>-668.96905711368231</v>
      </c>
      <c r="GG31" s="1">
        <f>IF($B31&lt;Analysis!$C$159,0,IF($B31=Analysis!$C$159,GB31+GE31,IF(GC30&lt;0,IF(GC30&gt;LOOKUP(Analysis!$C$159,$B:$B,GG:GG), GC30*(1+GD30),GG30),0)))</f>
        <v>-19195.968800000002</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38971.073044809193</v>
      </c>
      <c r="GQ31" s="1">
        <f t="shared" si="36"/>
        <v>-2885.7190295125733</v>
      </c>
      <c r="GR31" s="64">
        <f>IF($B31&lt;Analysis!$C$159,0,Analysis!$C$178)</f>
        <v>3.0000000000000001E-3</v>
      </c>
      <c r="GS31" s="1">
        <f t="shared" si="37"/>
        <v>-7214.2975737814331</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-2409.4015511472458</v>
      </c>
      <c r="HD31" s="1">
        <f t="shared" si="38"/>
        <v>-24769.418154441253</v>
      </c>
      <c r="HE31" s="1">
        <f>MIN(0,-(GN31+HD31)*Analysis!$C$28)-GE31*Analysis!$C$28</f>
        <v>-2745.5362556774708</v>
      </c>
      <c r="HF31" s="1">
        <f>-Analysis!$C$176*GP31/12</f>
        <v>-3247.5894204007659</v>
      </c>
      <c r="HG31" s="38"/>
      <c r="HH31" s="1">
        <f>IF($B31&lt;Analysis!$C$159,0,-$HI31*$FW31)</f>
        <v>-122643.05875428437</v>
      </c>
      <c r="HI31" s="64">
        <f>IF($B31&lt;Analysis!$C$159,0,IF($B31=Analysis!$C$159,Analysis!$C$31,HI30))</f>
        <v>0.1275</v>
      </c>
      <c r="HJ31" s="1">
        <f>IF($B31&lt;Analysis!$C$159,0,$FW31+HH31)</f>
        <v>839263.28441657335</v>
      </c>
      <c r="HK31" s="1">
        <f>IF($B31-Analysis!$C$159&gt;10,0,IF($FW31&gt;LOOKUP(Analysis!$C$159,$B:$B, FW:FW),$V31*(LOOKUP(Analysis!$C$159,$B:$B, FW:FW)-FW31),0))</f>
        <v>0</v>
      </c>
      <c r="HL31" s="1">
        <f t="shared" si="39"/>
        <v>839263.28441657335</v>
      </c>
      <c r="HM31" s="38"/>
      <c r="HN31" s="1">
        <f t="shared" si="40"/>
        <v>-130333.2029337156</v>
      </c>
      <c r="HO31" s="1">
        <f t="shared" si="8"/>
        <v>170438.99628603508</v>
      </c>
      <c r="HP31" s="1">
        <f t="shared" si="41"/>
        <v>40105.793352319481</v>
      </c>
      <c r="HQ31" s="1">
        <f>IF(HP31 &lt; 0,
    IF(HQ30 + HP31 &gt; 0,
        HQ30 + HP31, IF(HV30-ABS(HQ30 + HP31)*(1+$V31) &gt;= HQ30 + HP31,
        0, HQ30 + HP31)),
    MIN(HQ30 + HP31, Analysis!$C$7))+IF(HQ30&lt;0, HQ30*Analysis!$C$9,0)</f>
        <v>24000</v>
      </c>
      <c r="HR31" s="38"/>
      <c r="HS31" s="1">
        <f t="shared" si="54"/>
        <v>32353.260445552642</v>
      </c>
      <c r="HT31" s="1">
        <f>IF($B31=Analysis!$C$159,0,IF(HP31 &gt;= 0,
    MAX(0, HQ30 + HP31 - Analysis!$C$7),
    0))</f>
        <v>40105.793352319481</v>
      </c>
      <c r="HU31" s="1">
        <f>IF($B31=Analysis!$C$159,0,MAX(0, HU30 + HT31 - IF(HP31 &lt; 0, MIN(ABS(HP31), HU30 + HT31), 0)))</f>
        <v>702389.13911029522</v>
      </c>
      <c r="HV31" s="1">
        <f>IF($B31=Analysis!$C$159,0,IF(HP31 &lt; 0,
    IF(HP31 + HQ30 &lt; 0,
        MAX(0, HV30 - (ABS(HP31 + HQ30) * (1+$V30))),
        HV30 + HS31),
    HV30 + HT31 + HS31))</f>
        <v>1199079.613597153</v>
      </c>
      <c r="HW31" s="1">
        <f t="shared" si="58"/>
        <v>1068077.5009512443</v>
      </c>
      <c r="HX31" s="36"/>
    </row>
    <row r="32" spans="1:232" x14ac:dyDescent="0.35">
      <c r="A32">
        <f t="shared" si="0"/>
        <v>65</v>
      </c>
      <c r="B32">
        <v>2055</v>
      </c>
      <c r="C32" s="1">
        <f>IF($B32&lt;Analysis!C$66,0,$AN32)+$AT32+$AW32+$BC32+$CF32+$CA32</f>
        <v>1788396.3287330072</v>
      </c>
      <c r="D32" s="1">
        <f>IF($B32&lt;Analysis!C$66, 0, BV32)+AT32+AW32+BC32+CG32+CA32</f>
        <v>1576958.7376785204</v>
      </c>
      <c r="E32" s="1">
        <f t="shared" si="1"/>
        <v>1904474.6562625396</v>
      </c>
      <c r="F32" s="1">
        <f t="shared" si="9"/>
        <v>1659337.2457763704</v>
      </c>
      <c r="G32" s="1">
        <f>IF(AND($B32&gt;=Analysis!$C$100, $B32&lt;Analysis!$C$101),$CK32,0)+IF($B32&gt;=Analysis!$C$130,EB32,0)+CQ32+CT32+CZ32+EH32+EK32+EQ32+$FO32+$FT32</f>
        <v>2282148.5487917652</v>
      </c>
      <c r="H32" s="1">
        <f t="shared" si="10"/>
        <v>2016356.3970317077</v>
      </c>
      <c r="I32" s="1">
        <f>IF($B32&lt;Analysis!$C$159,0,$FW32)+$GC32+$GF32+$GL32+$HQ32+$HV32</f>
        <v>2282148.5487917652</v>
      </c>
      <c r="J32" s="1">
        <f t="shared" si="2"/>
        <v>2016356.3970317077</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48346.221403537987</v>
      </c>
      <c r="AI32" s="1">
        <f>IF(AE32 &gt;= 0,
    MAX(0, AF31 + AE32 - Analysis!$C$7),
    0)</f>
        <v>41713.389105582813</v>
      </c>
      <c r="AJ32" s="1">
        <f t="shared" si="44"/>
        <v>951043.71603061876</v>
      </c>
      <c r="AK32" s="1">
        <f t="shared" si="20"/>
        <v>1880474.6562625396</v>
      </c>
      <c r="AL32" s="1">
        <f t="shared" si="5"/>
        <v>1635337.2457763704</v>
      </c>
      <c r="AM32" s="36"/>
      <c r="AN32" s="1">
        <f t="shared" si="45"/>
        <v>1646352.8127268765</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-33292.082671643802</v>
      </c>
      <c r="AT32" s="1">
        <f>IF($B32&lt;Analysis!$C$66,0,IF($B32=Analysis!$C$66,-AP32-AS32,MIN(0,AT31-AS32)))</f>
        <v>-4614.4757187684299</v>
      </c>
      <c r="AU32" s="64">
        <f>IF($B32&lt;Analysis!$C$66,0,IF($B32=Analysis!$C$66,Analysis!$C$72,IF(($B32-Analysis!$C$66)&lt;LOOKUP(Analysis!$C$66,$B:$B,AQ:AQ),AU31,0)))</f>
        <v>2.9600000000000001E-2</v>
      </c>
      <c r="AV32" s="1">
        <f>IF($B32&lt;Analysis!$C$66,0,IF($B32=Analysis!$C$66,-AU32*AP32,AU31*AT31))</f>
        <v>-1122.034128356202</v>
      </c>
      <c r="AW32" s="1">
        <f>IF($B32&lt;Analysis!$C$66,0,IF($B32=Analysis!$C$66,PMT(AU32,AQ32,AP32)*AQ32-AX32-AT32,IF(($B32-Analysis!$C$66+1)&lt;LOOKUP(Analysis!$C$66,$B:$B,AQ:AQ),IF(AW31-AV32&lt;0, AW31-AV32,0),0)))</f>
        <v>-77.279097611331053</v>
      </c>
      <c r="AX32" s="1">
        <f>IF($B32&lt;Analysis!$C$66,0,IF($B32=Analysis!$C$66,AS32+AV32,IF(AT31&lt;0,IF(AT31&gt;LOOKUP(Analysis!$C$66,$B:$B,AX:AX), AT31*(1+AU31),AX31),0)))</f>
        <v>-34414.116800000003</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-4939.0584381806293</v>
      </c>
      <c r="BF32" s="64">
        <f>IF($B32&lt;Analysis!$C$66,0,Analysis!$C$78)</f>
        <v>3.0000000000000001E-3</v>
      </c>
      <c r="BG32" s="1">
        <f>IF($B32&lt;Analysis!$C$66,0,-BH32*AN32)</f>
        <v>-12347.646095451573</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-209909.98362267675</v>
      </c>
      <c r="BS32" s="64">
        <f>IF($B32&lt;Analysis!C$66,0,Analysis!C$31)</f>
        <v>0.1275</v>
      </c>
      <c r="BT32" s="1">
        <f>IF($B32&lt;Analysis!$C$66,0,AN32+BR32)</f>
        <v>1436442.8291041998</v>
      </c>
      <c r="BU32" s="1">
        <f>IF($B32-Analysis!$C$66&gt;3,0,IF($AN32&gt;LOOKUP(Analysis!$C$66,$B:$B, AN:AN),$V32*(LOOKUP(Analysis!$C$66,$B:$B, AN:AN)-AN32),0))</f>
        <v>0</v>
      </c>
      <c r="BV32" s="1">
        <f t="shared" si="23"/>
        <v>1436442.8291041998</v>
      </c>
      <c r="BW32" s="42"/>
      <c r="BX32" s="1">
        <f>IF($B32&lt;Analysis!$C$66,$P32+$N32+$X32+$Z32,$P32+$N32+AS32+AV32+BB32+BE32+BG32+MAX(BI32,SUM(BJ32:BN32))+BP32)</f>
        <v>-103660.82133363221</v>
      </c>
      <c r="BY32" s="1">
        <f t="shared" si="24"/>
        <v>131467.92324122589</v>
      </c>
      <c r="BZ32" s="1">
        <f t="shared" si="46"/>
        <v>27807.101907593678</v>
      </c>
      <c r="CA32" s="1">
        <f>IF(BZ32 &lt; 0,
    IF(CA31 + BZ32 &gt; 0,
        CA31 + BZ32, IF(CF31-ABS(CA31 + BZ32)*(1+$V32) &gt;= CA31 + BZ32,
        0, CA31 + BZ32)),
    MIN(CA31 + BZ32, Analysis!$C$7))+IF(CA31&lt;0, CA31*Analysis!$C$9,0)</f>
        <v>24000</v>
      </c>
      <c r="CB32" s="42"/>
      <c r="CC32" s="1">
        <f t="shared" si="47"/>
        <v>2495.9293812453766</v>
      </c>
      <c r="CD32" s="1">
        <f>IF(BZ32 &gt;= 0,
    MAX(0, CA31 + BZ32 - Analysis!$C$7),
    0)</f>
        <v>27807.101907593678</v>
      </c>
      <c r="CE32" s="1">
        <f>IF($B32=Analysis!$C$66,0,MAX(0, CE31 + CD32 - IF(BZ32 &lt; 0, MIN(ABS(BZ32), CE31 + CD32), 0)))</f>
        <v>116943.39430379892</v>
      </c>
      <c r="CF32" s="1">
        <f>IF($B32=Analysis!$C$66,0,IF(BZ32 &lt; 0,
    IF(BZ32 + CA31 &lt; 0,
        MAX(0, CF31 - (ABS(BZ32 + CA31) * (1+$V31))),
        CF31 + CC32),
    CF31 + CD32 + CC32))</f>
        <v>122735.27082251065</v>
      </c>
      <c r="CG32" s="1">
        <f t="shared" si="25"/>
        <v>121207.66339070043</v>
      </c>
      <c r="CH32" s="36"/>
      <c r="CI32" s="1">
        <f>IF(OR($B32&lt;Analysis!$C$100, $B32&gt;=Analysis!$C$130),0,X32)</f>
        <v>-37794.534135643065</v>
      </c>
      <c r="CJ32" s="1">
        <f>IF(OR($B32&lt;Analysis!$C$100, $B32&gt;=Analysis!$C$130),0,Z32)</f>
        <v>-3960</v>
      </c>
      <c r="CK32" s="1">
        <f t="shared" si="26"/>
        <v>990197.70620529482</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-18570.105517044532</v>
      </c>
      <c r="CQ32" s="1">
        <f>IF(OR($B32&lt;Analysis!$C$100, $B32&gt;=Analysis!$C$101),0,IF($B32=Analysis!$C$100,-CM32-CP32,MIN(0,CQ31-CP32)))</f>
        <v>-2573.9243125322027</v>
      </c>
      <c r="CR32" s="64">
        <f>IF(OR($B32&lt;Analysis!$C$100, $B32&gt;=Analysis!$C$101),0,IF($B32=Analysis!$C$100,Analysis!$C$102,IF(($B32-Analysis!$C$100)&lt;LOOKUP(Analysis!$C$100,$B:$B,CN:CN),CR31,0)))</f>
        <v>2.9600000000000001E-2</v>
      </c>
      <c r="CS32" s="1">
        <f>IF(OR($B32&lt;Analysis!$C$100, $B32&gt;=Analysis!$C$101),0,IF($B32=Analysis!$C$100,-CR32*CM32,CR31*CQ31))</f>
        <v>-625.86328295547139</v>
      </c>
      <c r="CT32" s="1">
        <f>IF(OR($B32&lt;Analysis!$C$100, $B32&gt;=Analysis!$C$101),0,IF($B32=Analysis!$C$100,PMT(CR32,CN32,CM32)*CN32-CU32-CQ32,IF(($B32-Analysis!$C$100+1)&lt;LOOKUP(Analysis!$C$100,$B:$B,CN:CN),IF(CT31-CS32&lt;0, CT31-CS32,0),0)))</f>
        <v>-43.10577415821092</v>
      </c>
      <c r="CU32" s="1">
        <f>IF(OR($B32&lt;Analysis!$C$100, $B32&gt;=Analysis!$C$101),0,IF($B32=Analysis!$C$100,CP32+CS32,IF(CQ31&lt;0,IF(CQ31&gt;LOOKUP(Analysis!$C$100,$B:$B,CU:CU), CQ31*(1+CR31),CU31),0)))</f>
        <v>-19195.968800000002</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40000.810487303577</v>
      </c>
      <c r="DE32" s="1">
        <f t="shared" si="27"/>
        <v>-2970.5931186158846</v>
      </c>
      <c r="DF32" s="64">
        <f>IF(OR($B32&lt;Analysis!$C$100, $B32&gt;=Analysis!$C$101),0,Analysis!$C$118)</f>
        <v>3.0000000000000001E-3</v>
      </c>
      <c r="DG32" s="1">
        <f t="shared" si="28"/>
        <v>-7426.4827965397108</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-2480.266302651577</v>
      </c>
      <c r="DR32" s="1">
        <f t="shared" si="29"/>
        <v>-25137.342217807174</v>
      </c>
      <c r="DS32" s="1">
        <f>MIN(0,-(DB32+DR32)*Analysis!$C$28)-CS32*Analysis!$C$28</f>
        <v>-3237.7369586775876</v>
      </c>
      <c r="DT32" s="1">
        <f>-Analysis!$C$116*DD32/12</f>
        <v>-3333.4008739419646</v>
      </c>
      <c r="DU32" s="53"/>
      <c r="DV32" s="1">
        <f t="shared" si="30"/>
        <v>-126250.20754117508</v>
      </c>
      <c r="DW32" s="64">
        <f>IF(OR($B32&lt;Analysis!$C$100, $B32&gt;=Analysis!$C$101),0,IF($B32=Analysis!$C$100,Analysis!$C$31,DW31))</f>
        <v>0.1275</v>
      </c>
      <c r="DX32" s="1">
        <f>IF(OR($B32&lt;Analysis!$C$100, $B32&gt;=Analysis!$C$101),0,CK32+DV32)</f>
        <v>863947.49866411975</v>
      </c>
      <c r="DY32" s="1">
        <f>IF(OR($B32&lt;Analysis!$C$100, $B32&gt;=Analysis!$C$101),0,IF($B32-Analysis!$C$100&gt;3,0,IF(CK32&gt;LOOKUP(Analysis!$C$100,$B:$B, CK:CK),$V32*(LOOKUP(Analysis!$C$100,$B:$B, CK:CK)-CK32),0)))</f>
        <v>0</v>
      </c>
      <c r="DZ32" s="1">
        <f t="shared" si="49"/>
        <v>863947.49866411975</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IF($B32&lt;Analysis!$C$130,0,IF($B32=Analysis!$C$130,Analysis!$B$136,IF(($B32-Analysis!$C$130)&lt;LOOKUP(Analysis!$C$130,$B:$B,EE:EE),EI31,0)))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-132358.98298606981</v>
      </c>
      <c r="FM32" s="1">
        <f>$M32+$R32+DD32+IF(AND($B32&lt;&gt;Analysis!$C$130,$B32=Analysis!$C$101),DZ31+CQ31+CT31+CZ31,0)</f>
        <v>171468.73372852948</v>
      </c>
      <c r="FN32" s="1">
        <f t="shared" si="34"/>
        <v>39109.75074245967</v>
      </c>
      <c r="FO32" s="1">
        <f>IF(FN32 &lt; 0,
    IF(FO31 + FN32 &gt; 0,
        FO31 + FN32, IF(FT31-ABS(FO31 + FN32)*(1+$V32) &gt;= FO31 + FN32,
        0, FO31 + FN32)),
    MIN(FO31 + FN32, Analysis!$C$7))+IF(FO31&lt;0, FO31*Analysis!$C$9,0)</f>
        <v>24000</v>
      </c>
      <c r="FP32" s="53"/>
      <c r="FQ32" s="1">
        <f t="shared" si="51"/>
        <v>32378.508333547969</v>
      </c>
      <c r="FR32" s="1">
        <f>IF(OR($B32=Analysis!$C$100, $B32=Analysis!$C$130),0,IF(FN32 &gt;= 0,
    MAX(0, FO31 + FN32 - Analysis!$C$7),
    0))</f>
        <v>39109.75074245967</v>
      </c>
      <c r="FS32" s="1">
        <f>IF(OR($B32=Analysis!$C$100, $B32=Analysis!$C$130),0,MAX(0, FS31 + FR32 - IF(FN32 &lt; 0, MIN(ABS(FN32), FS31 + FR32), 0)))</f>
        <v>741498.88985275489</v>
      </c>
      <c r="FT32" s="1">
        <f>IF(OR($B32=Analysis!$C$100, $B32=Analysis!$C$130),0,IF(FN32 &lt; 0,
    IF(FN32 + FO31 &lt; 0,
        MAX(0, FT31 - (ABS(FN32 + FO31) * (1+$V31))),
        FT31 + FQ32),
    FT31 + FR32 + FQ32))</f>
        <v>1270567.8726731606</v>
      </c>
      <c r="FU32" s="1">
        <f t="shared" si="57"/>
        <v>1131025.9284542785</v>
      </c>
      <c r="FV32" s="36"/>
      <c r="FW32" s="1">
        <f t="shared" si="52"/>
        <v>990197.70620529482</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-18570.105517044532</v>
      </c>
      <c r="GC32" s="1">
        <f>IF($B32&lt;Analysis!$C$159,0,IF($B32=Analysis!$C$159,-FY32-GB32,MIN(0,GC31-GB32)))</f>
        <v>-2573.9243125322027</v>
      </c>
      <c r="GD32" s="64">
        <f>IF($B32&lt;Analysis!$C$159,0,IF($B32=Analysis!$C$159,Analysis!$B$160,IF(($B32-Analysis!$C$159)&lt;LOOKUP(Analysis!$C$159,$B:$B,FZ:FZ),GD31,0)))</f>
        <v>2.9600000000000001E-2</v>
      </c>
      <c r="GE32" s="1">
        <f>IF($B32&lt;Analysis!$C$159,0,IF($B32=Analysis!$C$159,-GD32*FY32,GD31*GC31))</f>
        <v>-625.86328295547139</v>
      </c>
      <c r="GF32" s="1">
        <f>IF($B32&lt;Analysis!$C$159,0,IF($B32=Analysis!$C$159,PMT(GD32,FZ32,FY32)*FZ32-GG32-GC32,IF(($B32-Analysis!$C$159+1)&lt;LOOKUP(Analysis!$C$159,$B:$B,FZ:FZ),IF(GF31-GE32&lt;0, GF31-GE32,0),0)))</f>
        <v>-43.10577415821092</v>
      </c>
      <c r="GG32" s="1">
        <f>IF($B32&lt;Analysis!$C$159,0,IF($B32=Analysis!$C$159,GB32+GE32,IF(GC31&lt;0,IF(GC31&gt;LOOKUP(Analysis!$C$159,$B:$B,GG:GG), GC31*(1+GD31),GG31),0)))</f>
        <v>-19195.968800000002</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40000.810487303577</v>
      </c>
      <c r="GQ32" s="1">
        <f t="shared" si="36"/>
        <v>-2970.5931186158846</v>
      </c>
      <c r="GR32" s="64">
        <f>IF($B32&lt;Analysis!$C$159,0,Analysis!$C$178)</f>
        <v>3.0000000000000001E-3</v>
      </c>
      <c r="GS32" s="1">
        <f t="shared" si="37"/>
        <v>-7426.4827965397108</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-2480.266302651577</v>
      </c>
      <c r="HD32" s="1">
        <f t="shared" si="38"/>
        <v>-25137.342217807174</v>
      </c>
      <c r="HE32" s="1">
        <f>MIN(0,-(GN32+HD32)*Analysis!$C$28)-GE32*Analysis!$C$28</f>
        <v>-3237.7369586775876</v>
      </c>
      <c r="HF32" s="1">
        <f>-Analysis!$C$176*GP32/12</f>
        <v>-3333.4008739419646</v>
      </c>
      <c r="HG32" s="38"/>
      <c r="HH32" s="1">
        <f>IF($B32&lt;Analysis!$C$159,0,-$HI32*$FW32)</f>
        <v>-126250.20754117508</v>
      </c>
      <c r="HI32" s="64">
        <f>IF($B32&lt;Analysis!$C$159,0,IF($B32=Analysis!$C$159,Analysis!$C$31,HI31))</f>
        <v>0.1275</v>
      </c>
      <c r="HJ32" s="1">
        <f>IF($B32&lt;Analysis!$C$159,0,$FW32+HH32)</f>
        <v>863947.49866411975</v>
      </c>
      <c r="HK32" s="1">
        <f>IF($B32-Analysis!$C$159&gt;10,0,IF($FW32&gt;LOOKUP(Analysis!$C$159,$B:$B, FW:FW),$V32*(LOOKUP(Analysis!$C$159,$B:$B, FW:FW)-FW32),0))</f>
        <v>0</v>
      </c>
      <c r="HL32" s="1">
        <f t="shared" si="39"/>
        <v>863947.49866411975</v>
      </c>
      <c r="HM32" s="38"/>
      <c r="HN32" s="1">
        <f t="shared" si="40"/>
        <v>-132358.98298606981</v>
      </c>
      <c r="HO32" s="1">
        <f t="shared" si="8"/>
        <v>171468.73372852948</v>
      </c>
      <c r="HP32" s="1">
        <f t="shared" si="41"/>
        <v>39109.75074245967</v>
      </c>
      <c r="HQ32" s="1">
        <f>IF(HP32 &lt; 0,
    IF(HQ31 + HP32 &gt; 0,
        HQ31 + HP32, IF(HV31-ABS(HQ31 + HP32)*(1+$V32) &gt;= HQ31 + HP32,
        0, HQ31 + HP32)),
    MIN(HQ31 + HP32, Analysis!$C$7))+IF(HQ31&lt;0, HQ31*Analysis!$C$9,0)</f>
        <v>24000</v>
      </c>
      <c r="HR32" s="38"/>
      <c r="HS32" s="1">
        <f t="shared" si="54"/>
        <v>32378.508333547969</v>
      </c>
      <c r="HT32" s="1">
        <f>IF($B32=Analysis!$C$159,0,IF(HP32 &gt;= 0,
    MAX(0, HQ31 + HP32 - Analysis!$C$7),
    0))</f>
        <v>39109.75074245967</v>
      </c>
      <c r="HU32" s="1">
        <f>IF($B32=Analysis!$C$159,0,MAX(0, HU31 + HT32 - IF(HP32 &lt; 0, MIN(ABS(HP32), HU31 + HT32), 0)))</f>
        <v>741498.88985275489</v>
      </c>
      <c r="HV32" s="1">
        <f>IF($B32=Analysis!$C$159,0,IF(HP32 &lt; 0,
    IF(HP32 + HQ31 &lt; 0,
        MAX(0, HV31 - (ABS(HP32 + HQ31) * (1+$V31))),
        HV31 + HS32),
    HV31 + HT32 + HS32))</f>
        <v>1270567.8726731606</v>
      </c>
      <c r="HW32" s="1">
        <f t="shared" si="58"/>
        <v>1131025.9284542785</v>
      </c>
      <c r="HX32" s="36"/>
    </row>
    <row r="33" spans="1:232" x14ac:dyDescent="0.35">
      <c r="A33">
        <f t="shared" si="0"/>
        <v>66</v>
      </c>
      <c r="B33">
        <v>2056</v>
      </c>
      <c r="C33" s="1">
        <f>IF($B33&lt;Analysis!C$66,0,$AN33)+$AT33+$AW33+$BC33+$CF33+$CA33</f>
        <v>1901575.739908519</v>
      </c>
      <c r="D33" s="1">
        <f>IF($B33&lt;Analysis!C$66, 0, BV33)+AT33+AW33+BC33+CG33+CA33</f>
        <v>1683145.7004587152</v>
      </c>
      <c r="E33" s="1">
        <f t="shared" si="1"/>
        <v>1992630.8537387501</v>
      </c>
      <c r="F33" s="1">
        <f t="shared" si="9"/>
        <v>1734950.9670042903</v>
      </c>
      <c r="G33" s="1">
        <f>IF(AND($B33&gt;=Analysis!$C$100, $B33&lt;Analysis!$C$101),$CK33,0)+IF($B33&gt;=Analysis!$C$130,EB33,0)+CQ33+CT33+CZ33+EH33+EK33+EQ33+$FO33+$FT33</f>
        <v>2400650.0406091446</v>
      </c>
      <c r="H33" s="1">
        <f t="shared" si="10"/>
        <v>2122670.1554858377</v>
      </c>
      <c r="I33" s="1">
        <f>IF($B33&lt;Analysis!$C$159,0,$FW33)+$GC33+$GF33+$GL33+$HQ33+$HV33</f>
        <v>2400650.0406091446</v>
      </c>
      <c r="J33" s="1">
        <f t="shared" si="2"/>
        <v>2122670.1554858377</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47554.412315793605</v>
      </c>
      <c r="AI33" s="1">
        <f>IF(AE33 &gt;= 0,
    MAX(0, AF32 + AE33 - Analysis!$C$7),
    0)</f>
        <v>40601.785160416854</v>
      </c>
      <c r="AJ33" s="1">
        <f t="shared" si="44"/>
        <v>991645.50119103561</v>
      </c>
      <c r="AK33" s="1">
        <f t="shared" si="20"/>
        <v>1968630.8537387501</v>
      </c>
      <c r="AL33" s="1">
        <f t="shared" si="5"/>
        <v>1710950.9670042903</v>
      </c>
      <c r="AM33" s="36"/>
      <c r="AN33" s="1">
        <f t="shared" si="45"/>
        <v>1694774.9542776672</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-4614.4757187684299</v>
      </c>
      <c r="AT33" s="1">
        <f>IF($B33&lt;Analysis!$C$66,0,IF($B33=Analysis!$C$66,-AP33-AS33,MIN(0,AT32-AS33)))</f>
        <v>0</v>
      </c>
      <c r="AU33" s="64">
        <f>IF($B33&lt;Analysis!$C$66,0,IF($B33=Analysis!$C$66,Analysis!$C$72,IF(($B33-Analysis!$C$66)&lt;LOOKUP(Analysis!$C$66,$B:$B,AQ:AQ),AU32,0)))</f>
        <v>2.9600000000000001E-2</v>
      </c>
      <c r="AV33" s="1">
        <f>IF($B33&lt;Analysis!$C$66,0,IF($B33=Analysis!$C$66,-AU33*AP33,AU32*AT32))</f>
        <v>-136.58848127554552</v>
      </c>
      <c r="AW33" s="1">
        <f>IF($B33&lt;Analysis!$C$66,0,IF($B33=Analysis!$C$66,PMT(AU33,AQ33,AP33)*AQ33-AX33-AT33,IF(($B33-Analysis!$C$66+1)&lt;LOOKUP(Analysis!$C$66,$B:$B,AQ:AQ),IF(AW32-AV33&lt;0, AW32-AV33,0),0)))</f>
        <v>0</v>
      </c>
      <c r="AX33" s="1">
        <f>IF($B33&lt;Analysis!$C$66,0,IF($B33=Analysis!$C$66,AS33+AV33,IF(AT32&lt;0,IF(AT32&gt;LOOKUP(Analysis!$C$66,$B:$B,AX:AX), AT32*(1+AU32),AX32),0)))</f>
        <v>-4751.0642000439757</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-5084.324862833002</v>
      </c>
      <c r="BF33" s="64">
        <f>IF($B33&lt;Analysis!$C$66,0,Analysis!$C$78)</f>
        <v>3.0000000000000001E-3</v>
      </c>
      <c r="BG33" s="1">
        <f>IF($B33&lt;Analysis!$C$66,0,-BH33*AN33)</f>
        <v>-12710.812157082504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-216083.80667040258</v>
      </c>
      <c r="BS33" s="64">
        <f>IF($B33&lt;Analysis!C$66,0,Analysis!C$31)</f>
        <v>0.1275</v>
      </c>
      <c r="BT33" s="1">
        <f>IF($B33&lt;Analysis!$C$66,0,AN33+BR33)</f>
        <v>1478691.1476072646</v>
      </c>
      <c r="BU33" s="1">
        <f>IF($B33-Analysis!$C$66&gt;3,0,IF($AN33&gt;LOOKUP(Analysis!$C$66,$B:$B, AN:AN),$V33*(LOOKUP(Analysis!$C$66,$B:$B, AN:AN)-AN33),0))</f>
        <v>0</v>
      </c>
      <c r="BV33" s="1">
        <f t="shared" si="23"/>
        <v>1478691.1476072646</v>
      </c>
      <c r="BW33" s="42"/>
      <c r="BX33" s="1">
        <f>IF($B33&lt;Analysis!$C$66,$P33+$N33+$X33+$Z33,$P33+$N33+AS33+AV33+BB33+BE33+BG33+MAX(BI33,SUM(BJ33:BN33))+BP33)</f>
        <v>-74506.20121995949</v>
      </c>
      <c r="BY33" s="1">
        <f t="shared" si="24"/>
        <v>131467.92324122589</v>
      </c>
      <c r="BZ33" s="1">
        <f t="shared" si="46"/>
        <v>56961.722021266396</v>
      </c>
      <c r="CA33" s="1">
        <f>IF(BZ33 &lt; 0,
    IF(CA32 + BZ33 &gt; 0,
        CA32 + BZ33, IF(CF32-ABS(CA32 + BZ33)*(1+$V33) &gt;= CA32 + BZ33,
        0, CA32 + BZ33)),
    MIN(CA32 + BZ33, Analysis!$C$7))+IF(CA32&lt;0, CA32*Analysis!$C$9,0)</f>
        <v>24000</v>
      </c>
      <c r="CB33" s="42"/>
      <c r="CC33" s="1">
        <f t="shared" si="47"/>
        <v>3103.792787074603</v>
      </c>
      <c r="CD33" s="1">
        <f>IF(BZ33 &gt;= 0,
    MAX(0, CA32 + BZ33 - Analysis!$C$7),
    0)</f>
        <v>56961.722021266396</v>
      </c>
      <c r="CE33" s="1">
        <f>IF($B33=Analysis!$C$66,0,MAX(0, CE32 + CD33 - IF(BZ33 &lt; 0, MIN(ABS(BZ33), CE32 + CD33), 0)))</f>
        <v>173905.11632506532</v>
      </c>
      <c r="CF33" s="1">
        <f>IF($B33=Analysis!$C$66,0,IF(BZ33 &lt; 0,
    IF(BZ33 + CA32 &lt; 0,
        MAX(0, CF32 - (ABS(BZ33 + CA32) * (1+$V32))),
        CF32 + CC33),
    CF32 + CD33 + CC33))</f>
        <v>182800.78563085166</v>
      </c>
      <c r="CG33" s="1">
        <f t="shared" si="25"/>
        <v>180454.55285145051</v>
      </c>
      <c r="CH33" s="36"/>
      <c r="CI33" s="1">
        <f>IF(OR($B33&lt;Analysis!$C$100, $B33&gt;=Analysis!$C$130),0,X33)</f>
        <v>-38906.13808080904</v>
      </c>
      <c r="CJ33" s="1">
        <f>IF(OR($B33&lt;Analysis!$C$100, $B33&gt;=Analysis!$C$130),0,Z33)</f>
        <v>-3960</v>
      </c>
      <c r="CK33" s="1">
        <f t="shared" si="26"/>
        <v>1019321.1681525095</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-2573.9243125322027</v>
      </c>
      <c r="CQ33" s="1">
        <f>IF(OR($B33&lt;Analysis!$C$100, $B33&gt;=Analysis!$C$101),0,IF($B33=Analysis!$C$100,-CM33-CP33,MIN(0,CQ32-CP33)))</f>
        <v>0</v>
      </c>
      <c r="CR33" s="64">
        <f>IF(OR($B33&lt;Analysis!$C$100, $B33&gt;=Analysis!$C$101),0,IF($B33=Analysis!$C$100,Analysis!$C$102,IF(($B33-Analysis!$C$100)&lt;LOOKUP(Analysis!$C$100,$B:$B,CN:CN),CR32,0)))</f>
        <v>2.9600000000000001E-2</v>
      </c>
      <c r="CS33" s="1">
        <f>IF(OR($B33&lt;Analysis!$C$100, $B33&gt;=Analysis!$C$101),0,IF($B33=Analysis!$C$100,-CR33*CM33,CR32*CQ32))</f>
        <v>-76.18815965095321</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-2650.1124721831561</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41060.834325165451</v>
      </c>
      <c r="DE33" s="1">
        <f t="shared" si="27"/>
        <v>-3057.9635044575284</v>
      </c>
      <c r="DF33" s="64">
        <f>IF(OR($B33&lt;Analysis!$C$100, $B33&gt;=Analysis!$C$101),0,Analysis!$C$118)</f>
        <v>3.0000000000000001E-3</v>
      </c>
      <c r="DG33" s="1">
        <f t="shared" si="28"/>
        <v>-7644.9087611438208</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-2553.2153115530941</v>
      </c>
      <c r="DR33" s="1">
        <f t="shared" si="29"/>
        <v>-25516.087577154442</v>
      </c>
      <c r="DS33" s="1">
        <f>MIN(0,-(DB33+DR33)*Analysis!$C$28)-CS33*Analysis!$C$28</f>
        <v>-3744.4586816772107</v>
      </c>
      <c r="DT33" s="1">
        <f>-Analysis!$C$116*DD33/12</f>
        <v>-3421.7361937637875</v>
      </c>
      <c r="DU33" s="53"/>
      <c r="DV33" s="1">
        <f t="shared" si="30"/>
        <v>-129963.44893944496</v>
      </c>
      <c r="DW33" s="64">
        <f>IF(OR($B33&lt;Analysis!$C$100, $B33&gt;=Analysis!$C$101),0,IF($B33=Analysis!$C$100,Analysis!$C$31,DW32))</f>
        <v>0.1275</v>
      </c>
      <c r="DX33" s="1">
        <f>IF(OR($B33&lt;Analysis!$C$100, $B33&gt;=Analysis!$C$101),0,CK33+DV33)</f>
        <v>889357.71921306453</v>
      </c>
      <c r="DY33" s="1">
        <f>IF(OR($B33&lt;Analysis!$C$100, $B33&gt;=Analysis!$C$101),0,IF($B33-Analysis!$C$100&gt;3,0,IF(CK33&gt;LOOKUP(Analysis!$C$100,$B:$B, CK:CK),$V33*(LOOKUP(Analysis!$C$100,$B:$B, CK:CK)-CK33),0)))</f>
        <v>0</v>
      </c>
      <c r="DZ33" s="1">
        <f t="shared" si="49"/>
        <v>889357.71921306453</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IF($B33&lt;Analysis!$C$130,0,IF($B33=Analysis!$C$130,Analysis!$B$136,IF(($B33-Analysis!$C$130)&lt;LOOKUP(Analysis!$C$130,$B:$B,EE:EE),EI32,0)))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-117898.53300558763</v>
      </c>
      <c r="FM33" s="1">
        <f>$M33+$R33+DD33+IF(AND($B33&lt;&gt;Analysis!$C$130,$B33=Analysis!$C$101),DZ32+CQ32+CT32+CZ32,0)</f>
        <v>172528.75756639134</v>
      </c>
      <c r="FN33" s="1">
        <f t="shared" si="34"/>
        <v>54630.224560803719</v>
      </c>
      <c r="FO33" s="1">
        <f>IF(FN33 &lt; 0,
    IF(FO32 + FN33 &gt; 0,
        FO32 + FN33, IF(FT32-ABS(FO32 + FN33)*(1+$V33) &gt;= FO32 + FN33,
        0, FO32 + FN33)),
    MIN(FO32 + FN33, Analysis!$C$7))+IF(FO32&lt;0, FO32*Analysis!$C$9,0)</f>
        <v>24000</v>
      </c>
      <c r="FP33" s="53"/>
      <c r="FQ33" s="1">
        <f t="shared" si="51"/>
        <v>32130.775222670502</v>
      </c>
      <c r="FR33" s="1">
        <f>IF(OR($B33=Analysis!$C$100, $B33=Analysis!$C$130),0,IF(FN33 &gt;= 0,
    MAX(0, FO32 + FN33 - Analysis!$C$7),
    0))</f>
        <v>54630.224560803719</v>
      </c>
      <c r="FS33" s="1">
        <f>IF(OR($B33=Analysis!$C$100, $B33=Analysis!$C$130),0,MAX(0, FS32 + FR33 - IF(FN33 &lt; 0, MIN(ABS(FN33), FS32 + FR33), 0)))</f>
        <v>796129.11441355862</v>
      </c>
      <c r="FT33" s="1">
        <f>IF(OR($B33=Analysis!$C$100, $B33=Analysis!$C$130),0,IF(FN33 &lt; 0,
    IF(FN33 + FO32 &lt; 0,
        MAX(0, FT32 - (ABS(FN33 + FO32) * (1+$V32))),
        FT32 + FQ33),
    FT32 + FR33 + FQ33))</f>
        <v>1357328.8724566349</v>
      </c>
      <c r="FU33" s="1">
        <f t="shared" si="57"/>
        <v>1209312.4362727734</v>
      </c>
      <c r="FV33" s="36"/>
      <c r="FW33" s="1">
        <f t="shared" si="52"/>
        <v>1019321.1681525095</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-2573.9243125322027</v>
      </c>
      <c r="GC33" s="1">
        <f>IF($B33&lt;Analysis!$C$159,0,IF($B33=Analysis!$C$159,-FY33-GB33,MIN(0,GC32-GB33)))</f>
        <v>0</v>
      </c>
      <c r="GD33" s="64">
        <f>IF($B33&lt;Analysis!$C$159,0,IF($B33=Analysis!$C$159,Analysis!$B$160,IF(($B33-Analysis!$C$159)&lt;LOOKUP(Analysis!$C$159,$B:$B,FZ:FZ),GD32,0)))</f>
        <v>2.9600000000000001E-2</v>
      </c>
      <c r="GE33" s="1">
        <f>IF($B33&lt;Analysis!$C$159,0,IF($B33=Analysis!$C$159,-GD33*FY33,GD32*GC32))</f>
        <v>-76.18815965095321</v>
      </c>
      <c r="GF33" s="1">
        <f>IF($B33&lt;Analysis!$C$159,0,IF($B33=Analysis!$C$159,PMT(GD33,FZ33,FY33)*FZ33-GG33-GC33,IF(($B33-Analysis!$C$159+1)&lt;LOOKUP(Analysis!$C$159,$B:$B,FZ:FZ),IF(GF32-GE33&lt;0, GF32-GE33,0),0)))</f>
        <v>0</v>
      </c>
      <c r="GG33" s="1">
        <f>IF($B33&lt;Analysis!$C$159,0,IF($B33=Analysis!$C$159,GB33+GE33,IF(GC32&lt;0,IF(GC32&gt;LOOKUP(Analysis!$C$159,$B:$B,GG:GG), GC32*(1+GD32),GG32),0)))</f>
        <v>-2650.1124721831561</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41060.834325165451</v>
      </c>
      <c r="GQ33" s="1">
        <f t="shared" si="36"/>
        <v>-3057.9635044575284</v>
      </c>
      <c r="GR33" s="64">
        <f>IF($B33&lt;Analysis!$C$159,0,Analysis!$C$178)</f>
        <v>3.0000000000000001E-3</v>
      </c>
      <c r="GS33" s="1">
        <f t="shared" si="37"/>
        <v>-7644.9087611438208</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-2553.2153115530941</v>
      </c>
      <c r="HD33" s="1">
        <f t="shared" si="38"/>
        <v>-25516.087577154442</v>
      </c>
      <c r="HE33" s="1">
        <f>MIN(0,-(GN33+HD33)*Analysis!$C$28)-GE33*Analysis!$C$28</f>
        <v>-3744.4586816772107</v>
      </c>
      <c r="HF33" s="1">
        <f>-Analysis!$C$176*GP33/12</f>
        <v>-3421.7361937637875</v>
      </c>
      <c r="HG33" s="38"/>
      <c r="HH33" s="1">
        <f>IF($B33&lt;Analysis!$C$159,0,-$HI33*$FW33)</f>
        <v>-129963.44893944496</v>
      </c>
      <c r="HI33" s="64">
        <f>IF($B33&lt;Analysis!$C$159,0,IF($B33=Analysis!$C$159,Analysis!$C$31,HI32))</f>
        <v>0.1275</v>
      </c>
      <c r="HJ33" s="1">
        <f>IF($B33&lt;Analysis!$C$159,0,$FW33+HH33)</f>
        <v>889357.71921306453</v>
      </c>
      <c r="HK33" s="1">
        <f>IF($B33-Analysis!$C$159&gt;10,0,IF($FW33&gt;LOOKUP(Analysis!$C$159,$B:$B, FW:FW),$V33*(LOOKUP(Analysis!$C$159,$B:$B, FW:FW)-FW33),0))</f>
        <v>0</v>
      </c>
      <c r="HL33" s="1">
        <f t="shared" si="39"/>
        <v>889357.71921306453</v>
      </c>
      <c r="HM33" s="38"/>
      <c r="HN33" s="1">
        <f t="shared" si="40"/>
        <v>-117898.53300558763</v>
      </c>
      <c r="HO33" s="1">
        <f t="shared" si="8"/>
        <v>172528.75756639134</v>
      </c>
      <c r="HP33" s="1">
        <f t="shared" si="41"/>
        <v>54630.224560803719</v>
      </c>
      <c r="HQ33" s="1">
        <f>IF(HP33 &lt; 0,
    IF(HQ32 + HP33 &gt; 0,
        HQ32 + HP33, IF(HV32-ABS(HQ32 + HP33)*(1+$V33) &gt;= HQ32 + HP33,
        0, HQ32 + HP33)),
    MIN(HQ32 + HP33, Analysis!$C$7))+IF(HQ32&lt;0, HQ32*Analysis!$C$9,0)</f>
        <v>24000</v>
      </c>
      <c r="HR33" s="38"/>
      <c r="HS33" s="1">
        <f t="shared" si="54"/>
        <v>32130.775222670502</v>
      </c>
      <c r="HT33" s="1">
        <f>IF($B33=Analysis!$C$159,0,IF(HP33 &gt;= 0,
    MAX(0, HQ32 + HP33 - Analysis!$C$7),
    0))</f>
        <v>54630.224560803719</v>
      </c>
      <c r="HU33" s="1">
        <f>IF($B33=Analysis!$C$159,0,MAX(0, HU32 + HT33 - IF(HP33 &lt; 0, MIN(ABS(HP33), HU32 + HT33), 0)))</f>
        <v>796129.11441355862</v>
      </c>
      <c r="HV33" s="1">
        <f>IF($B33=Analysis!$C$159,0,IF(HP33 &lt; 0,
    IF(HP33 + HQ32 &lt; 0,
        MAX(0, HV32 - (ABS(HP33 + HQ32) * (1+$V32))),
        HV32 + HS33),
    HV32 + HT33 + HS33))</f>
        <v>1357328.8724566349</v>
      </c>
      <c r="HW33" s="1">
        <f t="shared" si="58"/>
        <v>1209312.4362727734</v>
      </c>
      <c r="HX33" s="36"/>
    </row>
    <row r="34" spans="1:232" x14ac:dyDescent="0.35">
      <c r="A34">
        <f t="shared" si="0"/>
        <v>67</v>
      </c>
      <c r="B34">
        <v>2057</v>
      </c>
      <c r="C34" s="1">
        <f>IF($B34&lt;Analysis!C$66,0,$AN34)+$AT34+$AW34+$BC34+$CF34+$CA34</f>
        <v>2016920.8496398453</v>
      </c>
      <c r="D34" s="1">
        <f>IF($B34&lt;Analysis!C$66, 0, BV34)+AT34+AW34+BC34+CG34+CA34</f>
        <v>1790998.8031034316</v>
      </c>
      <c r="E34" s="1">
        <f t="shared" si="1"/>
        <v>2078497.2966448728</v>
      </c>
      <c r="F34" s="1">
        <f t="shared" si="9"/>
        <v>1808577.0477853122</v>
      </c>
      <c r="G34" s="1">
        <f>IF(AND($B34&gt;=Analysis!$C$100, $B34&lt;Analysis!$C$101),$CK34,0)+IF($B34&gt;=Analysis!$C$130,EB34,0)+CQ34+CT34+CZ34+EH34+EK34+EQ34+$FO34+$FT34</f>
        <v>2519069.8194214972</v>
      </c>
      <c r="H34" s="1">
        <f t="shared" si="10"/>
        <v>2228828.0120050991</v>
      </c>
      <c r="I34" s="1">
        <f>IF($B34&lt;Analysis!$C$159,0,$FW34)+$GC34+$GF34+$GL34+$HQ34+$HV34</f>
        <v>2519069.8194214972</v>
      </c>
      <c r="J34" s="1">
        <f t="shared" ref="J34:J52" si="59">$HL34+$GC34+$GF34+$GL34+$HQ34+$HW34</f>
        <v>2228828.0120050991</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46408.955924553047</v>
      </c>
      <c r="AI34" s="1">
        <f>IF(AE34 &gt;= 0,
    MAX(0, AF33 + AE34 - Analysis!$C$7),
    0)</f>
        <v>39457.486981569527</v>
      </c>
      <c r="AJ34" s="1">
        <f t="shared" si="44"/>
        <v>1031102.9881726052</v>
      </c>
      <c r="AK34" s="1">
        <f t="shared" si="20"/>
        <v>2054497.2966448728</v>
      </c>
      <c r="AL34" s="1">
        <f t="shared" si="5"/>
        <v>1784577.0477853122</v>
      </c>
      <c r="AM34" s="36"/>
      <c r="AN34" s="1">
        <f t="shared" si="45"/>
        <v>1744621.2764623046</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-5233.8638293869144</v>
      </c>
      <c r="BF34" s="64">
        <f>IF($B34&lt;Analysis!$C$66,0,Analysis!$C$78)</f>
        <v>3.0000000000000001E-3</v>
      </c>
      <c r="BG34" s="1">
        <f>IF($B34&lt;Analysis!$C$66,0,-BH34*AN34)</f>
        <v>-13084.659573467285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-222439.21274894386</v>
      </c>
      <c r="BS34" s="64">
        <f>IF($B34&lt;Analysis!C$66,0,Analysis!C$31)</f>
        <v>0.1275</v>
      </c>
      <c r="BT34" s="1">
        <f>IF($B34&lt;Analysis!$C$66,0,AN34+BR34)</f>
        <v>1522182.0637133608</v>
      </c>
      <c r="BU34" s="1">
        <f>IF($B34-Analysis!$C$66&gt;3,0,IF($AN34&gt;LOOKUP(Analysis!$C$66,$B:$B, AN:AN),$V34*(LOOKUP(Analysis!$C$66,$B:$B, AN:AN)-AN34),0))</f>
        <v>0</v>
      </c>
      <c r="BV34" s="1">
        <f t="shared" si="23"/>
        <v>1522182.0637133608</v>
      </c>
      <c r="BW34" s="42"/>
      <c r="BX34" s="1">
        <f>IF($B34&lt;Analysis!$C$66,$P34+$N34+$X34+$Z34,$P34+$N34+AS34+AV34+BB34+BE34+BG34+MAX(BI34,SUM(BJ34:BN34))+BP34)</f>
        <v>-70278.523402854204</v>
      </c>
      <c r="BY34" s="1">
        <f t="shared" si="24"/>
        <v>131467.92324122589</v>
      </c>
      <c r="BZ34" s="1">
        <f t="shared" si="46"/>
        <v>61189.399838371683</v>
      </c>
      <c r="CA34" s="1">
        <f>IF(BZ34 &lt; 0,
    IF(CA33 + BZ34 &gt; 0,
        CA33 + BZ34, IF(CF33-ABS(CA33 + BZ34)*(1+$V34) &gt;= CA33 + BZ34,
        0, CA33 + BZ34)),
    MIN(CA33 + BZ34, Analysis!$C$7))+IF(CA33&lt;0, CA33*Analysis!$C$9,0)</f>
        <v>24000</v>
      </c>
      <c r="CB34" s="42"/>
      <c r="CC34" s="1">
        <f t="shared" si="47"/>
        <v>4309.3877083172501</v>
      </c>
      <c r="CD34" s="1">
        <f>IF(BZ34 &gt;= 0,
    MAX(0, CA33 + BZ34 - Analysis!$C$7),
    0)</f>
        <v>61189.399838371683</v>
      </c>
      <c r="CE34" s="1">
        <f>IF($B34=Analysis!$C$66,0,MAX(0, CE33 + CD34 - IF(BZ34 &lt; 0, MIN(ABS(BZ34), CE33 + CD34), 0)))</f>
        <v>235094.51616343699</v>
      </c>
      <c r="CF34" s="1">
        <f>IF($B34=Analysis!$C$66,0,IF(BZ34 &lt; 0,
    IF(BZ34 + CA33 &lt; 0,
        MAX(0, CF33 - (ABS(BZ34 + CA33) * (1+$V33))),
        CF33 + CC34),
    CF33 + CD34 + CC34))</f>
        <v>248299.57317754062</v>
      </c>
      <c r="CG34" s="1">
        <f t="shared" si="25"/>
        <v>244816.73939007078</v>
      </c>
      <c r="CH34" s="36"/>
      <c r="CI34" s="1">
        <f>IF(OR($B34&lt;Analysis!$C$100, $B34&gt;=Analysis!$C$130),0,X34)</f>
        <v>-40050.436259656366</v>
      </c>
      <c r="CJ34" s="1">
        <f>IF(OR($B34&lt;Analysis!$C$100, $B34&gt;=Analysis!$C$130),0,Z34)</f>
        <v>-3960</v>
      </c>
      <c r="CK34" s="1">
        <f t="shared" si="26"/>
        <v>1049301.2025099364</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42152.035334729146</v>
      </c>
      <c r="DE34" s="1">
        <f t="shared" si="27"/>
        <v>-3147.9036075298095</v>
      </c>
      <c r="DF34" s="64">
        <f>IF(OR($B34&lt;Analysis!$C$100, $B34&gt;=Analysis!$C$101),0,Analysis!$C$118)</f>
        <v>3.0000000000000001E-3</v>
      </c>
      <c r="DG34" s="1">
        <f t="shared" si="28"/>
        <v>-7869.7590188245231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-2628.3098795399505</v>
      </c>
      <c r="DR34" s="1">
        <f t="shared" si="29"/>
        <v>-25905.972505894282</v>
      </c>
      <c r="DS34" s="1">
        <f>MIN(0,-(DB34+DR34)*Analysis!$C$28)-CS34*Analysis!$C$28</f>
        <v>-4049.1183509602702</v>
      </c>
      <c r="DT34" s="1">
        <f>-Analysis!$C$116*DD34/12</f>
        <v>-3512.669611227429</v>
      </c>
      <c r="DU34" s="53"/>
      <c r="DV34" s="1">
        <f t="shared" si="30"/>
        <v>-133785.90332001689</v>
      </c>
      <c r="DW34" s="64">
        <f>IF(OR($B34&lt;Analysis!$C$100, $B34&gt;=Analysis!$C$101),0,IF($B34=Analysis!$C$100,Analysis!$C$31,DW33))</f>
        <v>0.1275</v>
      </c>
      <c r="DX34" s="1">
        <f>IF(OR($B34&lt;Analysis!$C$100, $B34&gt;=Analysis!$C$101),0,CK34+DV34)</f>
        <v>915515.29918991949</v>
      </c>
      <c r="DY34" s="1">
        <f>IF(OR($B34&lt;Analysis!$C$100, $B34&gt;=Analysis!$C$101),0,IF($B34-Analysis!$C$100&gt;3,0,IF(CK34&gt;LOOKUP(Analysis!$C$100,$B:$B, CK:CK),$V34*(LOOKUP(Analysis!$C$100,$B:$B, CK:CK)-CK34),0)))</f>
        <v>0</v>
      </c>
      <c r="DZ34" s="1">
        <f t="shared" si="49"/>
        <v>915515.29918991949</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IF($B34&lt;Analysis!$C$130,0,IF($B34=Analysis!$C$130,Analysis!$B$136,IF(($B34-Analysis!$C$130)&lt;LOOKUP(Analysis!$C$130,$B:$B,EE:EE),EI33,0)))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-117178.19672773834</v>
      </c>
      <c r="FM34" s="1">
        <f>$M34+$R34+DD34+IF(AND($B34&lt;&gt;Analysis!$C$130,$B34=Analysis!$C$101),DZ33+CQ33+CT33+CZ33,0)</f>
        <v>173619.95857595504</v>
      </c>
      <c r="FN34" s="1">
        <f t="shared" si="34"/>
        <v>56441.761848216702</v>
      </c>
      <c r="FO34" s="1">
        <f>IF(FN34 &lt; 0,
    IF(FO33 + FN34 &gt; 0,
        FO33 + FN34, IF(FT33-ABS(FO33 + FN34)*(1+$V34) &gt;= FO33 + FN34,
        0, FO33 + FN34)),
    MIN(FO33 + FN34, Analysis!$C$7))+IF(FO33&lt;0, FO33*Analysis!$C$9,0)</f>
        <v>24000</v>
      </c>
      <c r="FP34" s="53"/>
      <c r="FQ34" s="1">
        <f t="shared" si="51"/>
        <v>31997.982606709018</v>
      </c>
      <c r="FR34" s="1">
        <f>IF(OR($B34=Analysis!$C$100, $B34=Analysis!$C$130),0,IF(FN34 &gt;= 0,
    MAX(0, FO33 + FN34 - Analysis!$C$7),
    0))</f>
        <v>56441.761848216702</v>
      </c>
      <c r="FS34" s="1">
        <f>IF(OR($B34=Analysis!$C$100, $B34=Analysis!$C$130),0,MAX(0, FS33 + FR34 - IF(FN34 &lt; 0, MIN(ABS(FN34), FS33 + FR34), 0)))</f>
        <v>852570.87626177538</v>
      </c>
      <c r="FT34" s="1">
        <f>IF(OR($B34=Analysis!$C$100, $B34=Analysis!$C$130),0,IF(FN34 &lt; 0,
    IF(FN34 + FO33 &lt; 0,
        MAX(0, FT33 - (ABS(FN34 + FO33) * (1+$V33))),
        FT33 + FQ34),
    FT33 + FR34 + FQ34))</f>
        <v>1445768.6169115605</v>
      </c>
      <c r="FU34" s="1">
        <f t="shared" si="57"/>
        <v>1289312.7128151797</v>
      </c>
      <c r="FV34" s="36"/>
      <c r="FW34" s="1">
        <f t="shared" si="52"/>
        <v>1049301.2025099364</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IF($B34&lt;Analysis!$C$159,0,IF($B34=Analysis!$C$159,Analysis!$B$160,IF(($B34-Analysis!$C$159)&lt;LOOKUP(Analysis!$C$159,$B:$B,FZ:FZ),GD33,0)))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42152.035334729146</v>
      </c>
      <c r="GQ34" s="1">
        <f t="shared" si="36"/>
        <v>-3147.9036075298095</v>
      </c>
      <c r="GR34" s="64">
        <f>IF($B34&lt;Analysis!$C$159,0,Analysis!$C$178)</f>
        <v>3.0000000000000001E-3</v>
      </c>
      <c r="GS34" s="1">
        <f t="shared" si="37"/>
        <v>-7869.7590188245231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-2628.3098795399505</v>
      </c>
      <c r="HD34" s="1">
        <f t="shared" si="38"/>
        <v>-25905.972505894282</v>
      </c>
      <c r="HE34" s="1">
        <f>MIN(0,-(GN34+HD34)*Analysis!$C$28)-GE34*Analysis!$C$28</f>
        <v>-4049.1183509602702</v>
      </c>
      <c r="HF34" s="1">
        <f>-Analysis!$C$176*GP34/12</f>
        <v>-3512.669611227429</v>
      </c>
      <c r="HG34" s="38"/>
      <c r="HH34" s="1">
        <f>IF($B34&lt;Analysis!$C$159,0,-$HI34*$FW34)</f>
        <v>-133785.90332001689</v>
      </c>
      <c r="HI34" s="64">
        <f>IF($B34&lt;Analysis!$C$159,0,IF($B34=Analysis!$C$159,Analysis!$C$31,HI33))</f>
        <v>0.1275</v>
      </c>
      <c r="HJ34" s="1">
        <f>IF($B34&lt;Analysis!$C$159,0,$FW34+HH34)</f>
        <v>915515.29918991949</v>
      </c>
      <c r="HK34" s="1">
        <f>IF($B34-Analysis!$C$159&gt;10,0,IF($FW34&gt;LOOKUP(Analysis!$C$159,$B:$B, FW:FW),$V34*(LOOKUP(Analysis!$C$159,$B:$B, FW:FW)-FW34),0))</f>
        <v>0</v>
      </c>
      <c r="HL34" s="1">
        <f t="shared" si="39"/>
        <v>915515.29918991949</v>
      </c>
      <c r="HM34" s="38"/>
      <c r="HN34" s="1">
        <f t="shared" si="40"/>
        <v>-117178.19672773834</v>
      </c>
      <c r="HO34" s="1">
        <f t="shared" si="8"/>
        <v>173619.95857595504</v>
      </c>
      <c r="HP34" s="1">
        <f t="shared" si="41"/>
        <v>56441.761848216702</v>
      </c>
      <c r="HQ34" s="1">
        <f>IF(HP34 &lt; 0,
    IF(HQ33 + HP34 &gt; 0,
        HQ33 + HP34, IF(HV33-ABS(HQ33 + HP34)*(1+$V34) &gt;= HQ33 + HP34,
        0, HQ33 + HP34)),
    MIN(HQ33 + HP34, Analysis!$C$7))+IF(HQ33&lt;0, HQ33*Analysis!$C$9,0)</f>
        <v>24000</v>
      </c>
      <c r="HR34" s="38"/>
      <c r="HS34" s="1">
        <f t="shared" si="54"/>
        <v>31997.982606709018</v>
      </c>
      <c r="HT34" s="1">
        <f>IF($B34=Analysis!$C$159,0,IF(HP34 &gt;= 0,
    MAX(0, HQ33 + HP34 - Analysis!$C$7),
    0))</f>
        <v>56441.761848216702</v>
      </c>
      <c r="HU34" s="1">
        <f>IF($B34=Analysis!$C$159,0,MAX(0, HU33 + HT34 - IF(HP34 &lt; 0, MIN(ABS(HP34), HU33 + HT34), 0)))</f>
        <v>852570.87626177538</v>
      </c>
      <c r="HV34" s="1">
        <f>IF($B34=Analysis!$C$159,0,IF(HP34 &lt; 0,
    IF(HP34 + HQ33 &lt; 0,
        MAX(0, HV33 - (ABS(HP34 + HQ33) * (1+$V33))),
        HV33 + HS34),
    HV33 + HT34 + HS34))</f>
        <v>1445768.6169115605</v>
      </c>
      <c r="HW34" s="1">
        <f t="shared" si="58"/>
        <v>1289312.7128151797</v>
      </c>
      <c r="HX34" s="36"/>
    </row>
    <row r="35" spans="1:232" x14ac:dyDescent="0.35">
      <c r="A35">
        <f t="shared" si="0"/>
        <v>68</v>
      </c>
      <c r="B35">
        <v>2058</v>
      </c>
      <c r="C35" s="1">
        <f>IF($B35&lt;Analysis!C$66,0,$AN35)+$AT35+$AW35+$BC35+$CF35+$CA35</f>
        <v>2134311.6746216398</v>
      </c>
      <c r="D35" s="1">
        <f>IF($B35&lt;Analysis!C$66, 0, BV35)+AT35+AW35+BC35+CG35+CA35</f>
        <v>1900415.7121557212</v>
      </c>
      <c r="E35" s="1">
        <f t="shared" si="1"/>
        <v>2161688.0254255747</v>
      </c>
      <c r="F35" s="1">
        <f t="shared" si="9"/>
        <v>1879922.4486719787</v>
      </c>
      <c r="G35" s="1">
        <f>IF(AND($B35&gt;=Analysis!$C$100, $B35&lt;Analysis!$C$101),$CK35,0)+IF($B35&gt;=Analysis!$C$130,EB35,0)+CQ35+CT35+CZ35+EH35+EK35+EQ35+$FO35+$FT35</f>
        <v>2637149.3150375169</v>
      </c>
      <c r="H35" s="1">
        <f t="shared" si="10"/>
        <v>2334636.9620808042</v>
      </c>
      <c r="I35" s="1">
        <f>IF($B35&lt;Analysis!$C$159,0,$FW35)+$GC35+$GF35+$GL35+$HQ35+$HV35</f>
        <v>2637149.3150375169</v>
      </c>
      <c r="J35" s="1">
        <f t="shared" si="59"/>
        <v>2334636.9620808042</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44911.195806769494</v>
      </c>
      <c r="AI35" s="1">
        <f>IF(AE35 &gt;= 0,
    MAX(0, AF34 + AE35 - Analysis!$C$7),
    0)</f>
        <v>38279.532973932568</v>
      </c>
      <c r="AJ35" s="1">
        <f t="shared" si="44"/>
        <v>1069382.5211465377</v>
      </c>
      <c r="AK35" s="1">
        <f t="shared" si="20"/>
        <v>2137688.0254255747</v>
      </c>
      <c r="AL35" s="1">
        <f t="shared" si="5"/>
        <v>1855922.4486719787</v>
      </c>
      <c r="AM35" s="36"/>
      <c r="AN35" s="1">
        <f t="shared" si="45"/>
        <v>1795933.6669464903</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-5387.8010008394713</v>
      </c>
      <c r="BF35" s="64">
        <f>IF($B35&lt;Analysis!$C$66,0,Analysis!$C$78)</f>
        <v>3.0000000000000001E-3</v>
      </c>
      <c r="BG35" s="1">
        <f>IF($B35&lt;Analysis!$C$66,0,-BH35*AN35)</f>
        <v>-13469.502502098676</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-228981.54253567752</v>
      </c>
      <c r="BS35" s="64">
        <f>IF($B35&lt;Analysis!C$66,0,Analysis!C$31)</f>
        <v>0.1275</v>
      </c>
      <c r="BT35" s="1">
        <f>IF($B35&lt;Analysis!$C$66,0,AN35+BR35)</f>
        <v>1566952.1244108127</v>
      </c>
      <c r="BU35" s="1">
        <f>IF($B35-Analysis!$C$66&gt;3,0,IF($AN35&gt;LOOKUP(Analysis!$C$66,$B:$B, AN:AN),$V35*(LOOKUP(Analysis!$C$66,$B:$B, AN:AN)-AN35),0))</f>
        <v>0</v>
      </c>
      <c r="BV35" s="1">
        <f t="shared" si="23"/>
        <v>1566952.1244108127</v>
      </c>
      <c r="BW35" s="42"/>
      <c r="BX35" s="1">
        <f>IF($B35&lt;Analysis!$C$66,$P35+$N35+$X35+$Z35,$P35+$N35+AS35+AV35+BB35+BE35+BG35+MAX(BI35,SUM(BJ35:BN35))+BP35)</f>
        <v>-70817.303502938143</v>
      </c>
      <c r="BY35" s="1">
        <f t="shared" si="24"/>
        <v>131467.92324122589</v>
      </c>
      <c r="BZ35" s="1">
        <f t="shared" si="46"/>
        <v>60650.619738287744</v>
      </c>
      <c r="CA35" s="1">
        <f>IF(BZ35 &lt; 0,
    IF(CA34 + BZ35 &gt; 0,
        CA34 + BZ35, IF(CF34-ABS(CA34 + BZ35)*(1+$V35) &gt;= CA34 + BZ35,
        0, CA34 + BZ35)),
    MIN(CA34 + BZ35, Analysis!$C$7))+IF(CA34&lt;0, CA34*Analysis!$C$9,0)</f>
        <v>24000</v>
      </c>
      <c r="CB35" s="42"/>
      <c r="CC35" s="1">
        <f t="shared" si="47"/>
        <v>5427.814759320845</v>
      </c>
      <c r="CD35" s="1">
        <f>IF(BZ35 &gt;= 0,
    MAX(0, CA34 + BZ35 - Analysis!$C$7),
    0)</f>
        <v>60650.619738287744</v>
      </c>
      <c r="CE35" s="1">
        <f>IF($B35=Analysis!$C$66,0,MAX(0, CE34 + CD35 - IF(BZ35 &lt; 0, MIN(ABS(BZ35), CE34 + CD35), 0)))</f>
        <v>295745.13590172475</v>
      </c>
      <c r="CF35" s="1">
        <f>IF($B35=Analysis!$C$66,0,IF(BZ35 &lt; 0,
    IF(BZ35 + CA34 &lt; 0,
        MAX(0, CF34 - (ABS(BZ35 + CA34) * (1+$V34))),
        CF34 + CC35),
    CF34 + CD35 + CC35))</f>
        <v>314378.00767514925</v>
      </c>
      <c r="CG35" s="1">
        <f t="shared" si="25"/>
        <v>309463.58774490852</v>
      </c>
      <c r="CH35" s="36"/>
      <c r="CI35" s="1">
        <f>IF(OR($B35&lt;Analysis!$C$100, $B35&gt;=Analysis!$C$130),0,X35)</f>
        <v>-41228.390267293325</v>
      </c>
      <c r="CJ35" s="1">
        <f>IF(OR($B35&lt;Analysis!$C$100, $B35&gt;=Analysis!$C$130),0,Z35)</f>
        <v>-3960</v>
      </c>
      <c r="CK35" s="1">
        <f t="shared" ref="CK35:CK52" si="60">CK34*(1+$CL34)</f>
        <v>1080163.0025837582</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43275.330491632951</v>
      </c>
      <c r="DE35" s="1">
        <f t="shared" si="27"/>
        <v>-3240.4890077512746</v>
      </c>
      <c r="DF35" s="64">
        <f>IF(OR($B35&lt;Analysis!$C$100, $B35&gt;=Analysis!$C$101),0,Analysis!$C$118)</f>
        <v>3.0000000000000001E-3</v>
      </c>
      <c r="DG35" s="1">
        <f t="shared" si="28"/>
        <v>-8101.222519378186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-2705.6131112911257</v>
      </c>
      <c r="DR35" s="1">
        <f t="shared" si="29"/>
        <v>-26307.324638420585</v>
      </c>
      <c r="DS35" s="1">
        <f>MIN(0,-(DB35+DR35)*Analysis!$C$28)-CS35*Analysis!$C$28</f>
        <v>-4327.9867142238081</v>
      </c>
      <c r="DT35" s="1">
        <f>-Analysis!$C$116*DD35/12</f>
        <v>-3606.2775409694127</v>
      </c>
      <c r="DU35" s="53"/>
      <c r="DV35" s="1">
        <f t="shared" si="30"/>
        <v>-137720.78282942917</v>
      </c>
      <c r="DW35" s="64">
        <f>IF(OR($B35&lt;Analysis!$C$100, $B35&gt;=Analysis!$C$101),0,IF($B35=Analysis!$C$100,Analysis!$C$31,DW34))</f>
        <v>0.1275</v>
      </c>
      <c r="DX35" s="1">
        <f>IF(OR($B35&lt;Analysis!$C$100, $B35&gt;=Analysis!$C$101),0,CK35+DV35)</f>
        <v>942442.21975432907</v>
      </c>
      <c r="DY35" s="1">
        <f>IF(OR($B35&lt;Analysis!$C$100, $B35&gt;=Analysis!$C$101),0,IF($B35-Analysis!$C$100&gt;3,0,IF(CK35&gt;LOOKUP(Analysis!$C$100,$B:$B, CK:CK),$V35*(LOOKUP(Analysis!$C$100,$B:$B, CK:CK)-CK35),0)))</f>
        <v>0</v>
      </c>
      <c r="DZ35" s="1">
        <f t="shared" si="49"/>
        <v>942442.21975432907</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IF($B35&lt;Analysis!$C$130,0,IF($B35=Analysis!$C$130,Analysis!$B$136,IF(($B35-Analysis!$C$130)&lt;LOOKUP(Analysis!$C$130,$B:$B,EE:EE),EI34,0)))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-119129.97916090713</v>
      </c>
      <c r="FM35" s="1">
        <f>$M35+$R35+DD35+IF(AND($B35&lt;&gt;Analysis!$C$130,$B35=Analysis!$C$101),DZ34+CQ34+CT34+CZ34,0)</f>
        <v>174743.25373285884</v>
      </c>
      <c r="FN35" s="1">
        <f t="shared" si="34"/>
        <v>55613.274571951712</v>
      </c>
      <c r="FO35" s="1">
        <f>IF(FN35 &lt; 0,
    IF(FO34 + FN35 &gt; 0,
        FO34 + FN35, IF(FT34-ABS(FO34 + FN35)*(1+$V35) &gt;= FO34 + FN35,
        0, FO34 + FN35)),
    MIN(FO34 + FN35, Analysis!$C$7))+IF(FO34&lt;0, FO34*Analysis!$C$9,0)</f>
        <v>24000</v>
      </c>
      <c r="FP35" s="53"/>
      <c r="FQ35" s="1">
        <f t="shared" si="51"/>
        <v>31604.420970246229</v>
      </c>
      <c r="FR35" s="1">
        <f>IF(OR($B35=Analysis!$C$100, $B35=Analysis!$C$130),0,IF(FN35 &gt;= 0,
    MAX(0, FO34 + FN35 - Analysis!$C$7),
    0))</f>
        <v>55613.274571951712</v>
      </c>
      <c r="FS35" s="1">
        <f>IF(OR($B35=Analysis!$C$100, $B35=Analysis!$C$130),0,MAX(0, FS34 + FR35 - IF(FN35 &lt; 0, MIN(ABS(FN35), FS34 + FR35), 0)))</f>
        <v>908184.15083372709</v>
      </c>
      <c r="FT35" s="1">
        <f>IF(OR($B35=Analysis!$C$100, $B35=Analysis!$C$130),0,IF(FN35 &lt; 0,
    IF(FN35 + FO34 &lt; 0,
        MAX(0, FT34 - (ABS(FN35 + FO34) * (1+$V34))),
        FT34 + FQ35),
    FT34 + FR35 + FQ35))</f>
        <v>1532986.3124537584</v>
      </c>
      <c r="FU35" s="1">
        <f t="shared" si="57"/>
        <v>1368194.7423264752</v>
      </c>
      <c r="FV35" s="36"/>
      <c r="FW35" s="1">
        <f t="shared" si="52"/>
        <v>1080163.0025837582</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IF($B35&lt;Analysis!$C$159,0,IF($B35=Analysis!$C$159,Analysis!$B$160,IF(($B35-Analysis!$C$159)&lt;LOOKUP(Analysis!$C$159,$B:$B,FZ:FZ),GD34,0)))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43275.330491632951</v>
      </c>
      <c r="GQ35" s="1">
        <f t="shared" si="36"/>
        <v>-3240.4890077512746</v>
      </c>
      <c r="GR35" s="64">
        <f>IF($B35&lt;Analysis!$C$159,0,Analysis!$C$178)</f>
        <v>3.0000000000000001E-3</v>
      </c>
      <c r="GS35" s="1">
        <f t="shared" si="37"/>
        <v>-8101.222519378186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-2705.6131112911257</v>
      </c>
      <c r="HD35" s="1">
        <f t="shared" si="38"/>
        <v>-26307.324638420585</v>
      </c>
      <c r="HE35" s="1">
        <f>MIN(0,-(GN35+HD35)*Analysis!$C$28)-GE35*Analysis!$C$28</f>
        <v>-4327.9867142238081</v>
      </c>
      <c r="HF35" s="1">
        <f>-Analysis!$C$176*GP35/12</f>
        <v>-3606.2775409694127</v>
      </c>
      <c r="HG35" s="38"/>
      <c r="HH35" s="1">
        <f>IF($B35&lt;Analysis!$C$159,0,-$HI35*$FW35)</f>
        <v>-137720.78282942917</v>
      </c>
      <c r="HI35" s="64">
        <f>IF($B35&lt;Analysis!$C$159,0,IF($B35=Analysis!$C$159,Analysis!$C$31,HI34))</f>
        <v>0.1275</v>
      </c>
      <c r="HJ35" s="1">
        <f>IF($B35&lt;Analysis!$C$159,0,$FW35+HH35)</f>
        <v>942442.21975432907</v>
      </c>
      <c r="HK35" s="1">
        <f>IF($B35-Analysis!$C$159&gt;10,0,IF($FW35&gt;LOOKUP(Analysis!$C$159,$B:$B, FW:FW),$V35*(LOOKUP(Analysis!$C$159,$B:$B, FW:FW)-FW35),0))</f>
        <v>0</v>
      </c>
      <c r="HL35" s="1">
        <f t="shared" si="39"/>
        <v>942442.21975432907</v>
      </c>
      <c r="HM35" s="38"/>
      <c r="HN35" s="1">
        <f t="shared" si="40"/>
        <v>-119129.97916090713</v>
      </c>
      <c r="HO35" s="1">
        <f t="shared" si="8"/>
        <v>174743.25373285884</v>
      </c>
      <c r="HP35" s="1">
        <f t="shared" si="41"/>
        <v>55613.274571951712</v>
      </c>
      <c r="HQ35" s="1">
        <f>IF(HP35 &lt; 0,
    IF(HQ34 + HP35 &gt; 0,
        HQ34 + HP35, IF(HV34-ABS(HQ34 + HP35)*(1+$V35) &gt;= HQ34 + HP35,
        0, HQ34 + HP35)),
    MIN(HQ34 + HP35, Analysis!$C$7))+IF(HQ34&lt;0, HQ34*Analysis!$C$9,0)</f>
        <v>24000</v>
      </c>
      <c r="HR35" s="38"/>
      <c r="HS35" s="1">
        <f t="shared" si="54"/>
        <v>31604.420970246229</v>
      </c>
      <c r="HT35" s="1">
        <f>IF($B35=Analysis!$C$159,0,IF(HP35 &gt;= 0,
    MAX(0, HQ34 + HP35 - Analysis!$C$7),
    0))</f>
        <v>55613.274571951712</v>
      </c>
      <c r="HU35" s="1">
        <f>IF($B35=Analysis!$C$159,0,MAX(0, HU34 + HT35 - IF(HP35 &lt; 0, MIN(ABS(HP35), HU34 + HT35), 0)))</f>
        <v>908184.15083372709</v>
      </c>
      <c r="HV35" s="1">
        <f>IF($B35=Analysis!$C$159,0,IF(HP35 &lt; 0,
    IF(HP35 + HQ34 &lt; 0,
        MAX(0, HV34 - (ABS(HP35 + HQ34) * (1+$V34))),
        HV34 + HS35),
    HV34 + HT35 + HS35))</f>
        <v>1532986.3124537584</v>
      </c>
      <c r="HW35" s="1">
        <f t="shared" si="58"/>
        <v>1368194.7423264752</v>
      </c>
      <c r="HX35" s="36"/>
    </row>
    <row r="36" spans="1:232" x14ac:dyDescent="0.35">
      <c r="A36">
        <f t="shared" si="0"/>
        <v>69</v>
      </c>
      <c r="B36">
        <v>2059</v>
      </c>
      <c r="C36" s="1">
        <f>IF($B36&lt;Analysis!C$66,0,$AN36)+$AT36+$AW36+$BC36+$CF36+$CA36</f>
        <v>2253562.5981340366</v>
      </c>
      <c r="D36" s="1">
        <f>IF($B36&lt;Analysis!C$66, 0, BV36)+AT36+AW36+BC36+CG36+CA36</f>
        <v>2011261.4628513018</v>
      </c>
      <c r="E36" s="1">
        <f t="shared" si="1"/>
        <v>2241820.0911195469</v>
      </c>
      <c r="F36" s="1">
        <f t="shared" si="9"/>
        <v>1948696.0856865405</v>
      </c>
      <c r="G36" s="1">
        <f>IF(AND($B36&gt;=Analysis!$C$100, $B36&lt;Analysis!$C$101),$CK36,0)+IF($B36&gt;=Analysis!$C$130,EB36,0)+CQ36+CT36+CZ36+EH36+EK36+EQ36+$FO36+$FT36</f>
        <v>2754562.2535093836</v>
      </c>
      <c r="H36" s="1">
        <f t="shared" si="10"/>
        <v>2439853.8931970987</v>
      </c>
      <c r="I36" s="1">
        <f>IF($B36&lt;Analysis!$C$159,0,$FW36)+$GC36+$GF36+$GL36+$HQ36+$HV36</f>
        <v>2754562.2535093836</v>
      </c>
      <c r="J36" s="1">
        <f t="shared" si="59"/>
        <v>2439853.8931970987</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43065.132433783925</v>
      </c>
      <c r="AI36" s="1">
        <f>IF(AE36 &gt;= 0,
    MAX(0, AF35 + AE36 - Analysis!$C$7),
    0)</f>
        <v>37066.933260188642</v>
      </c>
      <c r="AJ36" s="1">
        <f t="shared" si="44"/>
        <v>1106449.4544067264</v>
      </c>
      <c r="AK36" s="1">
        <f t="shared" si="20"/>
        <v>2217820.0911195469</v>
      </c>
      <c r="AL36" s="1">
        <f t="shared" si="5"/>
        <v>1924696.0856865405</v>
      </c>
      <c r="AM36" s="36"/>
      <c r="AN36" s="1">
        <f t="shared" si="45"/>
        <v>1848755.2453860932</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-5546.2657361582797</v>
      </c>
      <c r="BF36" s="64">
        <f>IF($B36&lt;Analysis!$C$66,0,Analysis!$C$78)</f>
        <v>3.0000000000000001E-3</v>
      </c>
      <c r="BG36" s="1">
        <f>IF($B36&lt;Analysis!$C$66,0,-BH36*AN36)</f>
        <v>-13865.664340395699</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-235716.29378672689</v>
      </c>
      <c r="BS36" s="64">
        <f>IF($B36&lt;Analysis!C$66,0,Analysis!C$31)</f>
        <v>0.1275</v>
      </c>
      <c r="BT36" s="1">
        <f>IF($B36&lt;Analysis!$C$66,0,AN36+BR36)</f>
        <v>1613038.9515993663</v>
      </c>
      <c r="BU36" s="1">
        <f>IF($B36-Analysis!$C$66&gt;3,0,IF($AN36&gt;LOOKUP(Analysis!$C$66,$B:$B, AN:AN),$V36*(LOOKUP(Analysis!$C$66,$B:$B, AN:AN)-AN36),0))</f>
        <v>0</v>
      </c>
      <c r="BV36" s="1">
        <f t="shared" si="23"/>
        <v>1613038.9515993663</v>
      </c>
      <c r="BW36" s="42"/>
      <c r="BX36" s="1">
        <f>IF($B36&lt;Analysis!$C$66,$P36+$N36+$X36+$Z36,$P36+$N36+AS36+AV36+BB36+BE36+BG36+MAX(BI36,SUM(BJ36:BN36))+BP36)</f>
        <v>-71371.930076553981</v>
      </c>
      <c r="BY36" s="1">
        <f t="shared" si="24"/>
        <v>131467.92324122589</v>
      </c>
      <c r="BZ36" s="1">
        <f t="shared" si="46"/>
        <v>60095.993164671905</v>
      </c>
      <c r="CA36" s="1">
        <f>IF(BZ36 &lt; 0,
    IF(CA35 + BZ36 &gt; 0,
        CA35 + BZ36, IF(CF35-ABS(CA35 + BZ36)*(1+$V36) &gt;= CA35 + BZ36,
        0, CA35 + BZ36)),
    MIN(CA35 + BZ36, Analysis!$C$7))+IF(CA35&lt;0, CA35*Analysis!$C$9,0)</f>
        <v>24000</v>
      </c>
      <c r="CB36" s="42"/>
      <c r="CC36" s="1">
        <f t="shared" si="47"/>
        <v>6333.3519081223867</v>
      </c>
      <c r="CD36" s="1">
        <f>IF(BZ36 &gt;= 0,
    MAX(0, CA35 + BZ36 - Analysis!$C$7),
    0)</f>
        <v>60095.993164671905</v>
      </c>
      <c r="CE36" s="1">
        <f>IF($B36=Analysis!$C$66,0,MAX(0, CE35 + CD36 - IF(BZ36 &lt; 0, MIN(ABS(BZ36), CE35 + CD36), 0)))</f>
        <v>355841.12906639662</v>
      </c>
      <c r="CF36" s="1">
        <f>IF($B36=Analysis!$C$66,0,IF(BZ36 &lt; 0,
    IF(BZ36 + CA35 &lt; 0,
        MAX(0, CF35 - (ABS(BZ36 + CA35) * (1+$V35))),
        CF35 + CC36),
    CF35 + CD36 + CC36))</f>
        <v>380807.35274794354</v>
      </c>
      <c r="CG36" s="1">
        <f t="shared" si="25"/>
        <v>374222.51125193556</v>
      </c>
      <c r="CH36" s="36"/>
      <c r="CI36" s="1">
        <f>IF(OR($B36&lt;Analysis!$C$100, $B36&gt;=Analysis!$C$130),0,X36)</f>
        <v>-42440.989981037252</v>
      </c>
      <c r="CJ36" s="1">
        <f>IF(OR($B36&lt;Analysis!$C$100, $B36&gt;=Analysis!$C$130),0,Z36)</f>
        <v>-3960</v>
      </c>
      <c r="CK36" s="1">
        <f t="shared" si="60"/>
        <v>1111932.5026597513</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44431.663741386867</v>
      </c>
      <c r="DE36" s="1">
        <f t="shared" si="27"/>
        <v>-3335.7975079792541</v>
      </c>
      <c r="DF36" s="64">
        <f>IF(OR($B36&lt;Analysis!$C$100, $B36&gt;=Analysis!$C$101),0,Analysis!$C$118)</f>
        <v>3.0000000000000001E-3</v>
      </c>
      <c r="DG36" s="1">
        <f t="shared" si="28"/>
        <v>-8339.4937699481343</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-2785.1899675055711</v>
      </c>
      <c r="DR36" s="1">
        <f t="shared" si="29"/>
        <v>-26720.481245432962</v>
      </c>
      <c r="DS36" s="1">
        <f>MIN(0,-(DB36+DR36)*Analysis!$C$28)-CS36*Analysis!$C$28</f>
        <v>-4615.0570881715676</v>
      </c>
      <c r="DT36" s="1">
        <f>-Analysis!$C$116*DD36/12</f>
        <v>-3702.6386451155722</v>
      </c>
      <c r="DU36" s="53"/>
      <c r="DV36" s="1">
        <f t="shared" si="30"/>
        <v>-141771.39408911829</v>
      </c>
      <c r="DW36" s="64">
        <f>IF(OR($B36&lt;Analysis!$C$100, $B36&gt;=Analysis!$C$101),0,IF($B36=Analysis!$C$100,Analysis!$C$31,DW35))</f>
        <v>0.1275</v>
      </c>
      <c r="DX36" s="1">
        <f>IF(OR($B36&lt;Analysis!$C$100, $B36&gt;=Analysis!$C$101),0,CK36+DV36)</f>
        <v>970161.10857063299</v>
      </c>
      <c r="DY36" s="1">
        <f>IF(OR($B36&lt;Analysis!$C$100, $B36&gt;=Analysis!$C$101),0,IF($B36-Analysis!$C$100&gt;3,0,IF(CK36&gt;LOOKUP(Analysis!$C$100,$B:$B, CK:CK),$V36*(LOOKUP(Analysis!$C$100,$B:$B, CK:CK)-CK36),0)))</f>
        <v>0</v>
      </c>
      <c r="DZ36" s="1">
        <f t="shared" si="49"/>
        <v>970161.10857063299</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IF($B36&lt;Analysis!$C$130,0,IF($B36=Analysis!$C$130,Analysis!$B$136,IF(($B36-Analysis!$C$130)&lt;LOOKUP(Analysis!$C$130,$B:$B,EE:EE),EI35,0)))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-121139.16695975735</v>
      </c>
      <c r="FM36" s="1">
        <f>$M36+$R36+DD36+IF(AND($B36&lt;&gt;Analysis!$C$130,$B36=Analysis!$C$101),DZ35+CQ35+CT35+CZ35,0)</f>
        <v>175899.58698261276</v>
      </c>
      <c r="FN36" s="1">
        <f t="shared" si="34"/>
        <v>54760.420022855411</v>
      </c>
      <c r="FO36" s="1">
        <f>IF(FN36 &lt; 0,
    IF(FO35 + FN36 &gt; 0,
        FO35 + FN36, IF(FT35-ABS(FO35 + FN36)*(1+$V36) &gt;= FO35 + FN36,
        0, FO35 + FN36)),
    MIN(FO35 + FN36, Analysis!$C$7))+IF(FO35&lt;0, FO35*Analysis!$C$9,0)</f>
        <v>24000</v>
      </c>
      <c r="FP36" s="53"/>
      <c r="FQ36" s="1">
        <f t="shared" si="51"/>
        <v>30883.018373018269</v>
      </c>
      <c r="FR36" s="1">
        <f>IF(OR($B36=Analysis!$C$100, $B36=Analysis!$C$130),0,IF(FN36 &gt;= 0,
    MAX(0, FO35 + FN36 - Analysis!$C$7),
    0))</f>
        <v>54760.420022855411</v>
      </c>
      <c r="FS36" s="1">
        <f>IF(OR($B36=Analysis!$C$100, $B36=Analysis!$C$130),0,MAX(0, FS35 + FR36 - IF(FN36 &lt; 0, MIN(ABS(FN36), FS35 + FR36), 0)))</f>
        <v>962944.57085658249</v>
      </c>
      <c r="FT36" s="1">
        <f>IF(OR($B36=Analysis!$C$100, $B36=Analysis!$C$130),0,IF(FN36 &lt; 0,
    IF(FN36 + FO35 &lt; 0,
        MAX(0, FT35 - (ABS(FN36 + FO35) * (1+$V35))),
        FT35 + FQ36),
    FT35 + FR36 + FQ36))</f>
        <v>1618629.7508496323</v>
      </c>
      <c r="FU36" s="1">
        <f t="shared" si="57"/>
        <v>1445692.7846264655</v>
      </c>
      <c r="FV36" s="36"/>
      <c r="FW36" s="1">
        <f t="shared" si="52"/>
        <v>1111932.5026597513</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IF($B36&lt;Analysis!$C$159,0,IF($B36=Analysis!$C$159,Analysis!$B$160,IF(($B36-Analysis!$C$159)&lt;LOOKUP(Analysis!$C$159,$B:$B,FZ:FZ),GD35,0)))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44431.663741386867</v>
      </c>
      <c r="GQ36" s="1">
        <f t="shared" si="36"/>
        <v>-3335.7975079792541</v>
      </c>
      <c r="GR36" s="64">
        <f>IF($B36&lt;Analysis!$C$159,0,Analysis!$C$178)</f>
        <v>3.0000000000000001E-3</v>
      </c>
      <c r="GS36" s="1">
        <f t="shared" si="37"/>
        <v>-8339.4937699481343</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-2785.1899675055711</v>
      </c>
      <c r="HD36" s="1">
        <f t="shared" si="38"/>
        <v>-26720.481245432962</v>
      </c>
      <c r="HE36" s="1">
        <f>MIN(0,-(GN36+HD36)*Analysis!$C$28)-GE36*Analysis!$C$28</f>
        <v>-4615.0570881715676</v>
      </c>
      <c r="HF36" s="1">
        <f>-Analysis!$C$176*GP36/12</f>
        <v>-3702.6386451155722</v>
      </c>
      <c r="HG36" s="38"/>
      <c r="HH36" s="1">
        <f>IF($B36&lt;Analysis!$C$159,0,-$HI36*$FW36)</f>
        <v>-141771.39408911829</v>
      </c>
      <c r="HI36" s="64">
        <f>IF($B36&lt;Analysis!$C$159,0,IF($B36=Analysis!$C$159,Analysis!$C$31,HI35))</f>
        <v>0.1275</v>
      </c>
      <c r="HJ36" s="1">
        <f>IF($B36&lt;Analysis!$C$159,0,$FW36+HH36)</f>
        <v>970161.10857063299</v>
      </c>
      <c r="HK36" s="1">
        <f>IF($B36-Analysis!$C$159&gt;10,0,IF($FW36&gt;LOOKUP(Analysis!$C$159,$B:$B, FW:FW),$V36*(LOOKUP(Analysis!$C$159,$B:$B, FW:FW)-FW36),0))</f>
        <v>0</v>
      </c>
      <c r="HL36" s="1">
        <f t="shared" si="39"/>
        <v>970161.10857063299</v>
      </c>
      <c r="HM36" s="38"/>
      <c r="HN36" s="1">
        <f t="shared" si="40"/>
        <v>-121139.16695975735</v>
      </c>
      <c r="HO36" s="1">
        <f t="shared" si="8"/>
        <v>175899.58698261276</v>
      </c>
      <c r="HP36" s="1">
        <f t="shared" si="41"/>
        <v>54760.420022855411</v>
      </c>
      <c r="HQ36" s="1">
        <f>IF(HP36 &lt; 0,
    IF(HQ35 + HP36 &gt; 0,
        HQ35 + HP36, IF(HV35-ABS(HQ35 + HP36)*(1+$V36) &gt;= HQ35 + HP36,
        0, HQ35 + HP36)),
    MIN(HQ35 + HP36, Analysis!$C$7))+IF(HQ35&lt;0, HQ35*Analysis!$C$9,0)</f>
        <v>24000</v>
      </c>
      <c r="HR36" s="38"/>
      <c r="HS36" s="1">
        <f t="shared" si="54"/>
        <v>30883.018373018269</v>
      </c>
      <c r="HT36" s="1">
        <f>IF($B36=Analysis!$C$159,0,IF(HP36 &gt;= 0,
    MAX(0, HQ35 + HP36 - Analysis!$C$7),
    0))</f>
        <v>54760.420022855411</v>
      </c>
      <c r="HU36" s="1">
        <f>IF($B36=Analysis!$C$159,0,MAX(0, HU35 + HT36 - IF(HP36 &lt; 0, MIN(ABS(HP36), HU35 + HT36), 0)))</f>
        <v>962944.57085658249</v>
      </c>
      <c r="HV36" s="1">
        <f>IF($B36=Analysis!$C$159,0,IF(HP36 &lt; 0,
    IF(HP36 + HQ35 &lt; 0,
        MAX(0, HV35 - (ABS(HP36 + HQ35) * (1+$V35))),
        HV35 + HS36),
    HV35 + HT36 + HS36))</f>
        <v>1618629.7508496323</v>
      </c>
      <c r="HW36" s="1">
        <f t="shared" si="58"/>
        <v>1445692.7846264655</v>
      </c>
      <c r="HX36" s="36"/>
    </row>
    <row r="37" spans="1:232" x14ac:dyDescent="0.35">
      <c r="A37">
        <f t="shared" si="0"/>
        <v>70</v>
      </c>
      <c r="B37">
        <v>2060</v>
      </c>
      <c r="C37" s="1">
        <f>IF($B37&lt;Analysis!C$66,0,$AN37)+$AT37+$AW37+$BC37+$CF37+$CA37</f>
        <v>2309195.6556724538</v>
      </c>
      <c r="D37" s="1">
        <f>IF($B37&lt;Analysis!C$66, 0, BV37)+AT37+AW37+BC37+CG37+CA37</f>
        <v>2056354.7174878193</v>
      </c>
      <c r="E37" s="1">
        <f t="shared" si="1"/>
        <v>2210344.639879398</v>
      </c>
      <c r="F37" s="1">
        <f t="shared" si="9"/>
        <v>1911302.126242463</v>
      </c>
      <c r="G37" s="1">
        <f>IF(AND($B37&gt;=Analysis!$C$100, $B37&lt;Analysis!$C$101),$CK37,0)+IF($B37&gt;=Analysis!$C$130,EB37,0)+CQ37+CT37+CZ37+EH37+EK37+EQ37+$FO37+$FT37</f>
        <v>1857668.0049153226</v>
      </c>
      <c r="H37" s="1">
        <f t="shared" si="10"/>
        <v>1615018.8789583978</v>
      </c>
      <c r="I37" s="1">
        <f>IF($B37&lt;Analysis!$C$159,0,$FW37)+$GC37+$GF37+$GL37+$HQ37+$HV37</f>
        <v>2807152.5087942085</v>
      </c>
      <c r="J37" s="1">
        <f t="shared" si="59"/>
        <v>2476777.7188805193</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43486.668453324295</v>
      </c>
      <c r="AI37" s="1">
        <f>IF(AE37 &gt;= 0,
    MAX(0, AF36 + AE37 - Analysis!$C$7),
    0)</f>
        <v>0</v>
      </c>
      <c r="AJ37" s="1">
        <f t="shared" si="44"/>
        <v>1076534.161635095</v>
      </c>
      <c r="AK37" s="1">
        <f t="shared" si="20"/>
        <v>2210344.639879398</v>
      </c>
      <c r="AL37" s="1">
        <f t="shared" si="5"/>
        <v>1911302.126242463</v>
      </c>
      <c r="AM37" s="36"/>
      <c r="AN37" s="1">
        <f t="shared" si="45"/>
        <v>1903130.399662155</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-5709.3911989864646</v>
      </c>
      <c r="BF37" s="64">
        <f>IF($B37&lt;Analysis!$C$66,0,Analysis!$C$78)</f>
        <v>3.0000000000000001E-3</v>
      </c>
      <c r="BG37" s="1">
        <f>IF($B37&lt;Analysis!$C$66,0,-BH37*AN37)</f>
        <v>-14273.477997466161</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-242649.12595692475</v>
      </c>
      <c r="BS37" s="64">
        <f>IF($B37&lt;Analysis!C$66,0,Analysis!C$31)</f>
        <v>0.1275</v>
      </c>
      <c r="BT37" s="1">
        <f>IF($B37&lt;Analysis!$C$66,0,AN37+BR37)</f>
        <v>1660481.2737052301</v>
      </c>
      <c r="BU37" s="1">
        <f>IF($B37-Analysis!$C$66&gt;3,0,IF($AN37&gt;LOOKUP(Analysis!$C$66,$B:$B, AN:AN),$V37*(LOOKUP(Analysis!$C$66,$B:$B, AN:AN)-AN37),0))</f>
        <v>0</v>
      </c>
      <c r="BV37" s="1">
        <f t="shared" si="23"/>
        <v>1660481.2737052301</v>
      </c>
      <c r="BW37" s="42"/>
      <c r="BX37" s="1">
        <f>IF($B37&lt;Analysis!$C$66,$P37+$N37+$X37+$Z37,$P37+$N37+AS37+AV37+BB37+BE37+BG37+MAX(BI37,SUM(BJ37:BN37))+BP37)</f>
        <v>-71942.869196452622</v>
      </c>
      <c r="BY37" s="1">
        <f t="shared" si="24"/>
        <v>65733.961620612943</v>
      </c>
      <c r="BZ37" s="1">
        <f t="shared" si="46"/>
        <v>-6208.9075758396793</v>
      </c>
      <c r="CA37" s="1">
        <f>IF(BZ37 &lt; 0,
    IF(CA36 + BZ37 &gt; 0,
        CA36 + BZ37, IF(CF36-ABS(CA36 + BZ37)*(1+$V37) &gt;= CA36 + BZ37,
        0, CA36 + BZ37)),
    MIN(CA36 + BZ37, Analysis!$C$7))+IF(CA36&lt;0, CA36*Analysis!$C$9,0)</f>
        <v>17791.092424160321</v>
      </c>
      <c r="CB37" s="42"/>
      <c r="CC37" s="1">
        <f t="shared" si="47"/>
        <v>7466.8108381949451</v>
      </c>
      <c r="CD37" s="1">
        <f>IF(BZ37 &gt;= 0,
    MAX(0, CA36 + BZ37 - Analysis!$C$7),
    0)</f>
        <v>0</v>
      </c>
      <c r="CE37" s="1">
        <f>IF($B37=Analysis!$C$66,0,MAX(0, CE36 + CD37 - IF(BZ37 &lt; 0, MIN(ABS(BZ37), CE36 + CD37), 0)))</f>
        <v>349632.22149055696</v>
      </c>
      <c r="CF37" s="1">
        <f>IF($B37=Analysis!$C$66,0,IF(BZ37 &lt; 0,
    IF(BZ37 + CA36 &lt; 0,
        MAX(0, CF36 - (ABS(BZ37 + CA36) * (1+$V36))),
        CF36 + CC37),
    CF36 + CD37 + CC37))</f>
        <v>388274.16358613851</v>
      </c>
      <c r="CG37" s="1">
        <f t="shared" si="25"/>
        <v>378082.35135842889</v>
      </c>
      <c r="CH37" s="36"/>
      <c r="CI37" s="1">
        <f>IF(OR($B37&lt;Analysis!$C$100, $B37&gt;=Analysis!$C$130),0,X37)</f>
        <v>0</v>
      </c>
      <c r="CJ37" s="1">
        <f>IF(OR($B37&lt;Analysis!$C$100, $B37&gt;=Analysis!$C$130),0,Z37)</f>
        <v>0</v>
      </c>
      <c r="CK37" s="1">
        <f t="shared" si="60"/>
        <v>1144636.399796803</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IF($B37&lt;Analysis!$C$130,0,IF($B37=Analysis!$C$130,Analysis!$B$136,IF(($B37-Analysis!$C$130)&lt;LOOKUP(Analysis!$C$130,$B:$B,EE:EE),EI36,0)))</f>
        <v>2.9600000000000001E-2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-58495.661171837091</v>
      </c>
      <c r="EO37" s="7">
        <f>IF($B37=Analysis!$C$130,Analysis!$C$134,0)</f>
        <v>10</v>
      </c>
      <c r="EP37" s="1">
        <f>IF($B37&lt;Analysis!$C$130,0,IF($B37=Analysis!$C$130,EN37/EO37,IF(($B37-Analysis!$C$130)&lt;LOOKUP(Analysis!$C$130,$B:$B,EO:EO),EP36,0)))</f>
        <v>-5849.5661171837091</v>
      </c>
      <c r="EQ37" s="1">
        <f>IF($B37&lt;Analysis!$C$130,0,IF($B37=Analysis!$C$130,EO37*EP37-EP37,IF(($B37-Analysis!$C$130)&lt;Analysis!$C$134,EQ36-EP37,0)))</f>
        <v>-52646.095054653386</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-82550.261312791728</v>
      </c>
      <c r="FM37" s="1">
        <f>$M37+$R37+DD37+IF(AND($B37&lt;&gt;Analysis!$C$130,$B37=Analysis!$C$101),DZ36+CQ36+CT36+CZ36,0)</f>
        <v>65733.961620612943</v>
      </c>
      <c r="FN37" s="1">
        <f t="shared" si="34"/>
        <v>-16816.299692178785</v>
      </c>
      <c r="FO37" s="1">
        <f>IF(FN37 &lt; 0,
    IF(FO36 + FN37 &gt; 0,
        FO36 + FN37, IF(FT36-ABS(FO36 + FN37)*(1+$V37) &gt;= FO36 + FN37,
        0, FO36 + FN37)),
    MIN(FO36 + FN37, Analysis!$C$7))+IF(FO36&lt;0, FO36*Analysis!$C$9,0)</f>
        <v>7183.7003078212147</v>
      </c>
      <c r="FP37" s="53"/>
      <c r="FQ37" s="1">
        <f t="shared" si="51"/>
        <v>31737.838251953461</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1144636.399796803</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IF($B37&lt;Analysis!$C$159,0,IF($B37=Analysis!$C$159,Analysis!$B$160,IF(($B37-Analysis!$C$159)&lt;LOOKUP(Analysis!$C$159,$B:$B,FZ:FZ),GD36,0)))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45622.00679260413</v>
      </c>
      <c r="GQ37" s="1">
        <f t="shared" si="36"/>
        <v>-3433.909199390409</v>
      </c>
      <c r="GR37" s="64">
        <f>IF($B37&lt;Analysis!$C$159,0,Analysis!$C$178)</f>
        <v>3.0000000000000001E-3</v>
      </c>
      <c r="GS37" s="1">
        <f t="shared" si="37"/>
        <v>-8584.7729984760226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-2867.1073194910291</v>
      </c>
      <c r="HD37" s="1">
        <f t="shared" si="38"/>
        <v>-27145.789517357458</v>
      </c>
      <c r="HE37" s="1">
        <f>MIN(0,-(GN37+HD37)*Analysis!$C$28)-GE37*Analysis!$C$28</f>
        <v>-4910.5707084119103</v>
      </c>
      <c r="HF37" s="1">
        <f>-Analysis!$C$176*GP37/12</f>
        <v>-3801.8338993836774</v>
      </c>
      <c r="HG37" s="38"/>
      <c r="HH37" s="1">
        <f>IF($B37&lt;Analysis!$C$159,0,-$HI37*$FW37)</f>
        <v>-145941.14097409238</v>
      </c>
      <c r="HI37" s="64">
        <f>IF($B37&lt;Analysis!$C$159,0,IF($B37=Analysis!$C$159,Analysis!$C$31,HI36))</f>
        <v>0.1275</v>
      </c>
      <c r="HJ37" s="1">
        <f>IF($B37&lt;Analysis!$C$159,0,$FW37+HH37)</f>
        <v>998695.2588227106</v>
      </c>
      <c r="HK37" s="1">
        <f>IF($B37-Analysis!$C$159&gt;10,0,IF($FW37&gt;LOOKUP(Analysis!$C$159,$B:$B, FW:FW),$V37*(LOOKUP(Analysis!$C$159,$B:$B, FW:FW)-FW37),0))</f>
        <v>0</v>
      </c>
      <c r="HL37" s="1">
        <f t="shared" si="39"/>
        <v>998695.2588227106</v>
      </c>
      <c r="HM37" s="38"/>
      <c r="HN37" s="1">
        <f t="shared" si="40"/>
        <v>-123207.44851739729</v>
      </c>
      <c r="HO37" s="1">
        <f t="shared" si="8"/>
        <v>111355.96841321708</v>
      </c>
      <c r="HP37" s="1">
        <f t="shared" si="41"/>
        <v>-11851.480104180213</v>
      </c>
      <c r="HQ37" s="1">
        <f>IF(HP37 &lt; 0,
    IF(HQ36 + HP37 &gt; 0,
        HQ36 + HP37, IF(HV36-ABS(HQ36 + HP37)*(1+$V37) &gt;= HQ36 + HP37,
        0, HQ36 + HP37)),
    MIN(HQ36 + HP37, Analysis!$C$7))+IF(HQ36&lt;0, HQ36*Analysis!$C$9,0)</f>
        <v>12148.519895819787</v>
      </c>
      <c r="HR37" s="38"/>
      <c r="HS37" s="1">
        <f t="shared" si="54"/>
        <v>31737.838251953461</v>
      </c>
      <c r="HT37" s="1">
        <f>IF($B37=Analysis!$C$159,0,IF(HP37 &gt;= 0,
    MAX(0, HQ36 + HP37 - Analysis!$C$7),
    0))</f>
        <v>0</v>
      </c>
      <c r="HU37" s="1">
        <f>IF($B37=Analysis!$C$159,0,MAX(0, HU36 + HT37 - IF(HP37 &lt; 0, MIN(ABS(HP37), HU36 + HT37), 0)))</f>
        <v>951093.09075240232</v>
      </c>
      <c r="HV37" s="1">
        <f>IF($B37=Analysis!$C$159,0,IF(HP37 &lt; 0,
    IF(HP37 + HQ36 &lt; 0,
        MAX(0, HV36 - (ABS(HP37 + HQ36) * (1+$V36))),
        HV36 + HS37),
    HV36 + HT37 + HS37))</f>
        <v>1650367.5891015858</v>
      </c>
      <c r="HW37" s="1">
        <f t="shared" si="58"/>
        <v>1465933.9401619886</v>
      </c>
      <c r="HX37" s="36"/>
    </row>
    <row r="38" spans="1:232" x14ac:dyDescent="0.35">
      <c r="A38">
        <f t="shared" si="0"/>
        <v>71</v>
      </c>
      <c r="B38">
        <v>2061</v>
      </c>
      <c r="C38" s="1">
        <f>IF($B38&lt;Analysis!C$66,0,$AN38)+$AT38+$AW38+$BC38+$CF38+$CA38</f>
        <v>2364671.9798305682</v>
      </c>
      <c r="D38" s="1">
        <f>IF($B38&lt;Analysis!C$66, 0, BV38)+AT38+AW38+BC38+CG38+CA38</f>
        <v>2100546.9559741383</v>
      </c>
      <c r="E38" s="1">
        <f t="shared" si="1"/>
        <v>2169253.8717228705</v>
      </c>
      <c r="F38" s="1">
        <f t="shared" si="9"/>
        <v>1872473.2301050958</v>
      </c>
      <c r="G38" s="1">
        <f>IF(AND($B38&gt;=Analysis!$C$100, $B38&lt;Analysis!$C$101),$CK38,0)+IF($B38&gt;=Analysis!$C$130,EB38,0)+CQ38+CT38+CZ38+EH38+EK38+EQ38+$FO38+$FT38</f>
        <v>1900633.3481216377</v>
      </c>
      <c r="H38" s="1">
        <f t="shared" si="10"/>
        <v>1636084.2289627183</v>
      </c>
      <c r="I38" s="1">
        <f>IF($B38&lt;Analysis!$C$159,0,$FW38)+$GC38+$GF38+$GL38+$HQ38+$HV38</f>
        <v>2826241.5965326005</v>
      </c>
      <c r="J38" s="1">
        <f t="shared" si="59"/>
        <v>2488503.9083637409</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43340.090978027256</v>
      </c>
      <c r="AI38" s="1">
        <f>IF(AE38 &gt;= 0,
    MAX(0, AF37 + AE38 - Analysis!$C$7),
    0)</f>
        <v>0</v>
      </c>
      <c r="AJ38" s="1">
        <f t="shared" si="44"/>
        <v>1044019.2115606914</v>
      </c>
      <c r="AK38" s="1">
        <f t="shared" si="20"/>
        <v>2169253.8717228705</v>
      </c>
      <c r="AL38" s="1">
        <f t="shared" si="5"/>
        <v>1872473.2301050958</v>
      </c>
      <c r="AM38" s="36"/>
      <c r="AN38" s="1">
        <f t="shared" si="45"/>
        <v>1959104.8231816303</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-5877.3144695448909</v>
      </c>
      <c r="BF38" s="64">
        <f>IF($B38&lt;Analysis!$C$66,0,Analysis!$C$78)</f>
        <v>3.0000000000000001E-3</v>
      </c>
      <c r="BG38" s="1">
        <f>IF($B38&lt;Analysis!$C$66,0,-BH38*AN38)</f>
        <v>-14693.286173862227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-249785.86495565786</v>
      </c>
      <c r="BS38" s="64">
        <f>IF($B38&lt;Analysis!C$66,0,Analysis!C$31)</f>
        <v>0.1275</v>
      </c>
      <c r="BT38" s="1">
        <f>IF($B38&lt;Analysis!$C$66,0,AN38+BR38)</f>
        <v>1709318.9582259725</v>
      </c>
      <c r="BU38" s="1">
        <f>IF($B38-Analysis!$C$66&gt;3,0,IF($AN38&gt;LOOKUP(Analysis!$C$66,$B:$B, AN:AN),$V38*(LOOKUP(Analysis!$C$66,$B:$B, AN:AN)-AN38),0))</f>
        <v>0</v>
      </c>
      <c r="BV38" s="1">
        <f t="shared" si="23"/>
        <v>1709318.9582259725</v>
      </c>
      <c r="BW38" s="42"/>
      <c r="BX38" s="1">
        <f>IF($B38&lt;Analysis!$C$66,$P38+$N38+$X38+$Z38,$P38+$N38+AS38+AV38+BB38+BE38+BG38+MAX(BI38,SUM(BJ38:BN38))+BP38)</f>
        <v>-72530.600643407117</v>
      </c>
      <c r="BY38" s="1">
        <f t="shared" si="24"/>
        <v>64419.282388200685</v>
      </c>
      <c r="BZ38" s="1">
        <f t="shared" si="46"/>
        <v>-8111.3182552064318</v>
      </c>
      <c r="CA38" s="1">
        <f>IF(BZ38 &lt; 0,
    IF(CA37 + BZ38 &gt; 0,
        CA37 + BZ38, IF(CF37-ABS(CA37 + BZ38)*(1+$V38) &gt;= CA37 + BZ38,
        0, CA37 + BZ38)),
    MIN(CA37 + BZ38, Analysis!$C$7))+IF(CA37&lt;0, CA37*Analysis!$C$9,0)</f>
        <v>9679.7741689538889</v>
      </c>
      <c r="CB38" s="42"/>
      <c r="CC38" s="1">
        <f t="shared" si="47"/>
        <v>7613.2188938458257</v>
      </c>
      <c r="CD38" s="1">
        <f>IF(BZ38 &gt;= 0,
    MAX(0, CA37 + BZ38 - Analysis!$C$7),
    0)</f>
        <v>0</v>
      </c>
      <c r="CE38" s="1">
        <f>IF($B38=Analysis!$C$66,0,MAX(0, CE37 + CD38 - IF(BZ38 &lt; 0, MIN(ABS(BZ38), CE37 + CD38), 0)))</f>
        <v>341520.9032353505</v>
      </c>
      <c r="CF38" s="1">
        <f>IF($B38=Analysis!$C$66,0,IF(BZ38 &lt; 0,
    IF(BZ38 + CA37 &lt; 0,
        MAX(0, CF37 - (ABS(BZ38 + CA37) * (1+$V37))),
        CF37 + CC38),
    CF37 + CD38 + CC38))</f>
        <v>395887.38247998431</v>
      </c>
      <c r="CG38" s="1">
        <f t="shared" si="25"/>
        <v>381548.22357921215</v>
      </c>
      <c r="CH38" s="36"/>
      <c r="CI38" s="1">
        <f>IF(OR($B38&lt;Analysis!$C$100, $B38&gt;=Analysis!$C$130),0,X38)</f>
        <v>0</v>
      </c>
      <c r="CJ38" s="1">
        <f>IF(OR($B38&lt;Analysis!$C$100, $B38&gt;=Analysis!$C$130),0,Z38)</f>
        <v>0</v>
      </c>
      <c r="CK38" s="1">
        <f t="shared" si="60"/>
        <v>1178302.176261415</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IF($B38&lt;Analysis!$C$130,0,IF($B38=Analysis!$C$130,Analysis!$B$136,IF(($B38-Analysis!$C$130)&lt;LOOKUP(Analysis!$C$130,$B:$B,EE:EE),EI37,0)))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-5849.5661171837091</v>
      </c>
      <c r="EQ38" s="1">
        <f>IF($B38&lt;Analysis!$C$130,0,IF($B38=Analysis!$C$130,EO38*EP38-EP38,IF(($B38-Analysis!$C$130)&lt;Analysis!$C$134,EQ37-EP38,0)))</f>
        <v>-46796.528937469673</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-83277.928818544911</v>
      </c>
      <c r="FM38" s="1">
        <f>$M38+$R38+DD38+IF(AND($B38&lt;&gt;Analysis!$C$130,$B38=Analysis!$C$101),DZ37+CQ37+CT37+CZ37,0)</f>
        <v>64419.282388200685</v>
      </c>
      <c r="FN38" s="1">
        <f t="shared" si="34"/>
        <v>-18858.646430344226</v>
      </c>
      <c r="FO38" s="1">
        <f>IF(FN38 &lt; 0,
    IF(FO37 + FN38 &gt; 0,
        FO37 + FN38, IF(FT37-ABS(FO37 + FN38)*(1+$V38) &gt;= FO37 + FN38,
        0, FO37 + FN38)),
    MIN(FO37 + FN38, Analysis!$C$7))+IF(FO37&lt;0, FO37*Analysis!$C$9,0)</f>
        <v>-11674.946122523012</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1178302.176261415</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IF($B38&lt;Analysis!$C$159,0,IF($B38=Analysis!$C$159,Analysis!$B$160,IF(($B38-Analysis!$C$159)&lt;LOOKUP(Analysis!$C$159,$B:$B,FZ:FZ),GD37,0)))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46847.359933563079</v>
      </c>
      <c r="GQ38" s="1">
        <f t="shared" si="36"/>
        <v>-3534.906528784245</v>
      </c>
      <c r="GR38" s="64">
        <f>IF($B38&lt;Analysis!$C$159,0,Analysis!$C$178)</f>
        <v>3.0000000000000001E-3</v>
      </c>
      <c r="GS38" s="1">
        <f t="shared" si="37"/>
        <v>-8837.2663219606129</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-2951.4340053584124</v>
      </c>
      <c r="HD38" s="1">
        <f t="shared" si="38"/>
        <v>-27583.60685610327</v>
      </c>
      <c r="HE38" s="1">
        <f>MIN(0,-(GN38+HD38)*Analysis!$C$28)-GE38*Analysis!$C$28</f>
        <v>-5214.7759057181411</v>
      </c>
      <c r="HF38" s="1">
        <f>-Analysis!$C$176*GP38/12</f>
        <v>-3903.9466611302564</v>
      </c>
      <c r="HG38" s="38"/>
      <c r="HH38" s="1">
        <f>IF($B38&lt;Analysis!$C$159,0,-$HI38*$FW38)</f>
        <v>-150233.52747333041</v>
      </c>
      <c r="HI38" s="64">
        <f>IF($B38&lt;Analysis!$C$159,0,IF($B38=Analysis!$C$159,Analysis!$C$31,HI37))</f>
        <v>0.1275</v>
      </c>
      <c r="HJ38" s="1">
        <f>IF($B38&lt;Analysis!$C$159,0,$FW38+HH38)</f>
        <v>1028068.6487880846</v>
      </c>
      <c r="HK38" s="1">
        <f>IF($B38-Analysis!$C$159&gt;10,0,IF($FW38&gt;LOOKUP(Analysis!$C$159,$B:$B, FW:FW),$V38*(LOOKUP(Analysis!$C$159,$B:$B, FW:FW)-FW38),0))</f>
        <v>0</v>
      </c>
      <c r="HL38" s="1">
        <f t="shared" si="39"/>
        <v>1028068.6487880846</v>
      </c>
      <c r="HM38" s="38"/>
      <c r="HN38" s="1">
        <f t="shared" si="40"/>
        <v>-125336.56188555603</v>
      </c>
      <c r="HO38" s="1">
        <f t="shared" si="8"/>
        <v>111266.64232176376</v>
      </c>
      <c r="HP38" s="1">
        <f t="shared" si="41"/>
        <v>-14069.919563792268</v>
      </c>
      <c r="HQ38" s="1">
        <f>IF(HP38 &lt; 0,
    IF(HQ37 + HP38 &gt; 0,
        HQ37 + HP38, IF(HV37-ABS(HQ37 + HP38)*(1+$V38) &gt;= HQ37 + HP38,
        0, HQ37 + HP38)),
    MIN(HQ37 + HP38, Analysis!$C$7))+IF(HQ37&lt;0, HQ37*Analysis!$C$9,0)</f>
        <v>0</v>
      </c>
      <c r="HR38" s="38"/>
      <c r="HS38" s="1">
        <f t="shared" si="54"/>
        <v>32360.148805913333</v>
      </c>
      <c r="HT38" s="1">
        <f>IF($B38=Analysis!$C$159,0,IF(HP38 &gt;= 0,
    MAX(0, HQ37 + HP38 - Analysis!$C$7),
    0))</f>
        <v>0</v>
      </c>
      <c r="HU38" s="1">
        <f>IF($B38=Analysis!$C$159,0,MAX(0, HU37 + HT38 - IF(HP38 &lt; 0, MIN(ABS(HP38), HU37 + HT38), 0)))</f>
        <v>937023.17118861002</v>
      </c>
      <c r="HV38" s="1">
        <f>IF($B38=Analysis!$C$159,0,IF(HP38 &lt; 0,
    IF(HP38 + HQ37 &lt; 0,
        MAX(0, HV37 - (ABS(HP38 + HQ37) * (1+$V37))),
        HV37 + HS38),
    HV37 + HT38 + HS38))</f>
        <v>1647939.4202711855</v>
      </c>
      <c r="HW38" s="1">
        <f t="shared" si="58"/>
        <v>1460435.2595756561</v>
      </c>
      <c r="HX38" s="36"/>
    </row>
    <row r="39" spans="1:232" x14ac:dyDescent="0.35">
      <c r="A39">
        <f t="shared" si="0"/>
        <v>72</v>
      </c>
      <c r="B39">
        <v>2062</v>
      </c>
      <c r="C39" s="1">
        <f>IF($B39&lt;Analysis!C$66,0,$AN39)+$AT39+$AW39+$BC39+$CF39+$CA39</f>
        <v>2412202.2834784435</v>
      </c>
      <c r="D39" s="1">
        <f>IF($B39&lt;Analysis!C$66, 0, BV39)+AT39+AW39+BC39+CG39+CA39</f>
        <v>2138200.1807592632</v>
      </c>
      <c r="E39" s="1">
        <f t="shared" si="1"/>
        <v>2124863.2536664922</v>
      </c>
      <c r="F39" s="1">
        <f t="shared" si="9"/>
        <v>1830526.1267698945</v>
      </c>
      <c r="G39" s="1">
        <f>IF(AND($B39&gt;=Analysis!$C$100, $B39&lt;Analysis!$C$101),$CK39,0)+IF($B39&gt;=Analysis!$C$130,EB39,0)+CQ39+CT39+CZ39+EH39+EK39+EQ39+$FO39+$FT39</f>
        <v>1942273.5470732725</v>
      </c>
      <c r="H39" s="1">
        <f t="shared" si="10"/>
        <v>1655180.3172652407</v>
      </c>
      <c r="I39" s="1">
        <f>IF($B39&lt;Analysis!$C$159,0,$FW39)+$GC39+$GF39+$GL39+$HQ39+$HV39</f>
        <v>2840312.7657247931</v>
      </c>
      <c r="J39" s="1">
        <f t="shared" si="59"/>
        <v>2499289.5488265995</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42534.389641624759</v>
      </c>
      <c r="AI39" s="1">
        <f>IF(AE39 &gt;= 0,
    MAX(0, AF38 + AE39 - Analysis!$C$7),
    0)</f>
        <v>0</v>
      </c>
      <c r="AJ39" s="1">
        <f t="shared" si="44"/>
        <v>1008893.1042955059</v>
      </c>
      <c r="AK39" s="1">
        <f t="shared" si="20"/>
        <v>2124863.2536664922</v>
      </c>
      <c r="AL39" s="1">
        <f t="shared" si="5"/>
        <v>1830526.1267698945</v>
      </c>
      <c r="AM39" s="36"/>
      <c r="AN39" s="1">
        <f t="shared" si="45"/>
        <v>2016725.553275208</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-6050.1766598256245</v>
      </c>
      <c r="BF39" s="64">
        <f>IF($B39&lt;Analysis!$C$66,0,Analysis!$C$78)</f>
        <v>3.0000000000000001E-3</v>
      </c>
      <c r="BG39" s="1">
        <f>IF($B39&lt;Analysis!$C$66,0,-BH39*AN39)</f>
        <v>-15125.44164956406</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-257132.50804258903</v>
      </c>
      <c r="BS39" s="64">
        <f>IF($B39&lt;Analysis!C$66,0,Analysis!C$31)</f>
        <v>0.1275</v>
      </c>
      <c r="BT39" s="1">
        <f>IF($B39&lt;Analysis!$C$66,0,AN39+BR39)</f>
        <v>1759593.0452326189</v>
      </c>
      <c r="BU39" s="1">
        <f>IF($B39-Analysis!$C$66&gt;3,0,IF($AN39&gt;LOOKUP(Analysis!$C$66,$B:$B, AN:AN),$V39*(LOOKUP(Analysis!$C$66,$B:$B, AN:AN)-AN39),0))</f>
        <v>0</v>
      </c>
      <c r="BV39" s="1">
        <f t="shared" si="23"/>
        <v>1759593.0452326189</v>
      </c>
      <c r="BW39" s="42"/>
      <c r="BX39" s="1">
        <f>IF($B39&lt;Analysis!$C$66,$P39+$N39+$X39+$Z39,$P39+$N39+AS39+AV39+BB39+BE39+BG39+MAX(BI39,SUM(BJ39:BN39))+BP39)</f>
        <v>-73135.618309389683</v>
      </c>
      <c r="BY39" s="1">
        <f t="shared" si="24"/>
        <v>63130.89674043667</v>
      </c>
      <c r="BZ39" s="1">
        <f t="shared" si="46"/>
        <v>-10004.721568953013</v>
      </c>
      <c r="CA39" s="1">
        <f>IF(BZ39 &lt; 0,
    IF(CA38 + BZ39 &gt; 0,
        CA38 + BZ39, IF(CF38-ABS(CA38 + BZ39)*(1+$V39) &gt;= CA38 + BZ39,
        0, CA38 + BZ39)),
    MIN(CA38 + BZ39, Analysis!$C$7))+IF(CA38&lt;0, CA38*Analysis!$C$9,0)</f>
        <v>0</v>
      </c>
      <c r="CB39" s="42"/>
      <c r="CC39" s="1">
        <f t="shared" si="47"/>
        <v>7762.4976956859391</v>
      </c>
      <c r="CD39" s="1">
        <f>IF(BZ39 &gt;= 0,
    MAX(0, CA38 + BZ39 - Analysis!$C$7),
    0)</f>
        <v>0</v>
      </c>
      <c r="CE39" s="1">
        <f>IF($B39=Analysis!$C$66,0,MAX(0, CE38 + CD39 - IF(BZ39 &lt; 0, MIN(ABS(BZ39), CE38 + CD39), 0)))</f>
        <v>331516.18166639749</v>
      </c>
      <c r="CF39" s="1">
        <f>IF($B39=Analysis!$C$66,0,IF(BZ39 &lt; 0,
    IF(BZ39 + CA38 &lt; 0,
        MAX(0, CF38 - (ABS(BZ39 + CA38) * (1+$V38))),
        CF38 + CC39),
    CF38 + CD39 + CC39))</f>
        <v>395476.73020323541</v>
      </c>
      <c r="CG39" s="1">
        <f t="shared" si="25"/>
        <v>378607.13552664442</v>
      </c>
      <c r="CH39" s="36"/>
      <c r="CI39" s="1">
        <f>IF(OR($B39&lt;Analysis!$C$100, $B39&gt;=Analysis!$C$130),0,X39)</f>
        <v>0</v>
      </c>
      <c r="CJ39" s="1">
        <f>IF(OR($B39&lt;Analysis!$C$100, $B39&gt;=Analysis!$C$130),0,Z39)</f>
        <v>0</v>
      </c>
      <c r="CK39" s="1">
        <f t="shared" si="60"/>
        <v>1212958.122622045</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IF($B39&lt;Analysis!$C$130,0,IF($B39=Analysis!$C$130,Analysis!$B$136,IF(($B39-Analysis!$C$130)&lt;LOOKUP(Analysis!$C$130,$B:$B,EE:EE),EI38,0)))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-5849.5661171837091</v>
      </c>
      <c r="EQ39" s="1">
        <f>IF($B39&lt;Analysis!$C$130,0,IF($B39=Analysis!$C$130,EO39*EP39-EP39,IF(($B39-Analysis!$C$130)&lt;Analysis!$C$134,EQ38-EP39,0)))</f>
        <v>-40946.96282028596</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-84026.998309761417</v>
      </c>
      <c r="FM39" s="1">
        <f>$M39+$R39+DD39+IF(AND($B39&lt;&gt;Analysis!$C$130,$B39=Analysis!$C$101),DZ38+CQ38+CT38+CZ38,0)</f>
        <v>63130.89674043667</v>
      </c>
      <c r="FN39" s="1">
        <f t="shared" si="34"/>
        <v>-20896.101569324746</v>
      </c>
      <c r="FO39" s="1">
        <f>IF(FN39 &lt; 0,
    IF(FO38 + FN39 &gt; 0,
        FO38 + FN39, IF(FT38-ABS(FO38 + FN39)*(1+$V39) &gt;= FO38 + FN39,
        0, FO38 + FN39)),
    MIN(FO38 + FN39, Analysis!$C$7))+IF(FO38&lt;0, FO38*Analysis!$C$9,0)</f>
        <v>-33505.043381649601</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1212958.122622045</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IF($B39&lt;Analysis!$C$159,0,IF($B39=Analysis!$C$159,Analysis!$B$160,IF(($B39-Analysis!$C$159)&lt;LOOKUP(Analysis!$C$159,$B:$B,FZ:FZ),GD38,0)))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48108.752872785524</v>
      </c>
      <c r="GQ39" s="1">
        <f t="shared" si="36"/>
        <v>-3638.8743678661349</v>
      </c>
      <c r="GR39" s="64">
        <f>IF($B39&lt;Analysis!$C$159,0,Analysis!$C$178)</f>
        <v>3.0000000000000001E-3</v>
      </c>
      <c r="GS39" s="1">
        <f t="shared" si="37"/>
        <v>-9097.1859196653368</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-3038.2408878689544</v>
      </c>
      <c r="HD39" s="1">
        <f t="shared" si="38"/>
        <v>-28034.301175400426</v>
      </c>
      <c r="HE39" s="1">
        <f>MIN(0,-(GN39+HD39)*Analysis!$C$28)-GE39*Analysis!$C$28</f>
        <v>-5527.9283147098522</v>
      </c>
      <c r="HF39" s="1">
        <f>-Analysis!$C$176*GP39/12</f>
        <v>-4009.0627393987938</v>
      </c>
      <c r="HG39" s="38"/>
      <c r="HH39" s="1">
        <f>IF($B39&lt;Analysis!$C$159,0,-$HI39*$FW39)</f>
        <v>-154652.16063431074</v>
      </c>
      <c r="HI39" s="64">
        <f>IF($B39&lt;Analysis!$C$159,0,IF($B39=Analysis!$C$159,Analysis!$C$31,HI38))</f>
        <v>0.1275</v>
      </c>
      <c r="HJ39" s="1">
        <f>IF($B39&lt;Analysis!$C$159,0,$FW39+HH39)</f>
        <v>1058305.9619877343</v>
      </c>
      <c r="HK39" s="1">
        <f>IF($B39-Analysis!$C$159&gt;10,0,IF($FW39&gt;LOOKUP(Analysis!$C$159,$B:$B, FW:FW),$V39*(LOOKUP(Analysis!$C$159,$B:$B, FW:FW)-FW39),0))</f>
        <v>0</v>
      </c>
      <c r="HL39" s="1">
        <f t="shared" si="39"/>
        <v>1058305.9619877343</v>
      </c>
      <c r="HM39" s="38"/>
      <c r="HN39" s="1">
        <f t="shared" si="40"/>
        <v>-127528.29623513123</v>
      </c>
      <c r="HO39" s="1">
        <f t="shared" si="8"/>
        <v>111239.64961322219</v>
      </c>
      <c r="HP39" s="1">
        <f t="shared" si="41"/>
        <v>-16288.646621909036</v>
      </c>
      <c r="HQ39" s="1">
        <f>IF(HP39 &lt; 0,
    IF(HQ38 + HP39 &gt; 0,
        HQ38 + HP39, IF(HV38-ABS(HQ38 + HP39)*(1+$V39) &gt;= HQ38 + HP39,
        0, HQ38 + HP39)),
    MIN(HQ38 + HP39, Analysis!$C$7))+IF(HQ38&lt;0, HQ38*Analysis!$C$9,0)</f>
        <v>0</v>
      </c>
      <c r="HR39" s="38"/>
      <c r="HS39" s="1">
        <f t="shared" si="54"/>
        <v>32312.537652376071</v>
      </c>
      <c r="HT39" s="1">
        <f>IF($B39=Analysis!$C$159,0,IF(HP39 &gt;= 0,
    MAX(0, HQ38 + HP39 - Analysis!$C$7),
    0))</f>
        <v>0</v>
      </c>
      <c r="HU39" s="1">
        <f>IF($B39=Analysis!$C$159,0,MAX(0, HU38 + HT39 - IF(HP39 &lt; 0, MIN(ABS(HP39), HU38 + HT39), 0)))</f>
        <v>920734.52456670103</v>
      </c>
      <c r="HV39" s="1">
        <f>IF($B39=Analysis!$C$159,0,IF(HP39 &lt; 0,
    IF(HP39 + HQ38 &lt; 0,
        MAX(0, HV38 - (ABS(HP39 + HQ38) * (1+$V38))),
        HV38 + HS39),
    HV38 + HT39 + HS39))</f>
        <v>1627354.6431027479</v>
      </c>
      <c r="HW39" s="1">
        <f t="shared" si="58"/>
        <v>1440983.5868388654</v>
      </c>
      <c r="HX39" s="36"/>
    </row>
    <row r="40" spans="1:232" x14ac:dyDescent="0.35">
      <c r="A40">
        <f t="shared" si="0"/>
        <v>73</v>
      </c>
      <c r="B40">
        <v>2063</v>
      </c>
      <c r="C40" s="1">
        <f>IF($B40&lt;Analysis!C$66,0,$AN40)+$AT40+$AW40+$BC40+$CF40+$CA40</f>
        <v>2456491.5615816447</v>
      </c>
      <c r="D40" s="1">
        <f>IF($B40&lt;Analysis!C$66, 0, BV40)+AT40+AW40+BC40+CG40+CA40</f>
        <v>2175753.8653011178</v>
      </c>
      <c r="E40" s="1">
        <f t="shared" si="1"/>
        <v>2077156.1834064082</v>
      </c>
      <c r="F40" s="1">
        <f t="shared" si="9"/>
        <v>1785445.1278192187</v>
      </c>
      <c r="G40" s="1">
        <f>IF(AND($B40&gt;=Analysis!$C$100, $B40&lt;Analysis!$C$101),$CK40,0)+IF($B40&gt;=Analysis!$C$130,EB40,0)+CQ40+CT40+CZ40+EH40+EK40+EQ40+$FO40+$FT40</f>
        <v>1981828.3467182214</v>
      </c>
      <c r="H40" s="1">
        <f t="shared" si="10"/>
        <v>1671527.9441831624</v>
      </c>
      <c r="I40" s="1">
        <f>IF($B40&lt;Analysis!$C$159,0,$FW40)+$GC40+$GF40+$GL40+$HQ40+$HV40</f>
        <v>2852597.2951152227</v>
      </c>
      <c r="J40" s="1">
        <f t="shared" si="59"/>
        <v>2508313.0443300265</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41663.985366009503</v>
      </c>
      <c r="AI40" s="1">
        <f>IF(AE40 &gt;= 0,
    MAX(0, AF39 + AE40 - Analysis!$C$7),
    0)</f>
        <v>0</v>
      </c>
      <c r="AJ40" s="1">
        <f t="shared" si="44"/>
        <v>971142.70250711101</v>
      </c>
      <c r="AK40" s="1">
        <f t="shared" si="20"/>
        <v>2077156.1834064082</v>
      </c>
      <c r="AL40" s="1">
        <f t="shared" si="5"/>
        <v>1785445.1278192187</v>
      </c>
      <c r="AM40" s="36"/>
      <c r="AN40" s="1">
        <f t="shared" si="45"/>
        <v>2076041.0107244791</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-6228.1230321734374</v>
      </c>
      <c r="BF40" s="64">
        <f>IF($B40&lt;Analysis!$C$66,0,Analysis!$C$78)</f>
        <v>3.0000000000000001E-3</v>
      </c>
      <c r="BG40" s="1">
        <f>IF($B40&lt;Analysis!$C$66,0,-BH40*AN40)</f>
        <v>-15570.307580433593</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-264695.2288673711</v>
      </c>
      <c r="BS40" s="64">
        <f>IF($B40&lt;Analysis!C$66,0,Analysis!C$31)</f>
        <v>0.1275</v>
      </c>
      <c r="BT40" s="1">
        <f>IF($B40&lt;Analysis!$C$66,0,AN40+BR40)</f>
        <v>1811345.781857108</v>
      </c>
      <c r="BU40" s="1">
        <f>IF($B40-Analysis!$C$66&gt;3,0,IF($AN40&gt;LOOKUP(Analysis!$C$66,$B:$B, AN:AN),$V40*(LOOKUP(Analysis!$C$66,$B:$B, AN:AN)-AN40),0))</f>
        <v>0</v>
      </c>
      <c r="BV40" s="1">
        <f t="shared" si="23"/>
        <v>1811345.781857108</v>
      </c>
      <c r="BW40" s="42"/>
      <c r="BX40" s="1">
        <f>IF($B40&lt;Analysis!$C$66,$P40+$N40+$X40+$Z40,$P40+$N40+AS40+AV40+BB40+BE40+BG40+MAX(BI40,SUM(BJ40:BN40))+BP40)</f>
        <v>-73758.43061260703</v>
      </c>
      <c r="BY40" s="1">
        <f t="shared" si="24"/>
        <v>61868.278805627939</v>
      </c>
      <c r="BZ40" s="1">
        <f t="shared" si="46"/>
        <v>-11890.151806979091</v>
      </c>
      <c r="CA40" s="1">
        <f>IF(BZ40 &lt; 0,
    IF(CA39 + BZ40 &gt; 0,
        CA39 + BZ40, IF(CF39-ABS(CA39 + BZ40)*(1+$V40) &gt;= CA39 + BZ40,
        0, CA39 + BZ40)),
    MIN(CA39 + BZ40, Analysis!$C$7))+IF(CA39&lt;0, CA39*Analysis!$C$9,0)</f>
        <v>0</v>
      </c>
      <c r="CB40" s="42"/>
      <c r="CC40" s="1">
        <f t="shared" si="47"/>
        <v>7754.4456902594902</v>
      </c>
      <c r="CD40" s="1">
        <f>IF(BZ40 &gt;= 0,
    MAX(0, CA39 + BZ40 - Analysis!$C$7),
    0)</f>
        <v>0</v>
      </c>
      <c r="CE40" s="1">
        <f>IF($B40=Analysis!$C$66,0,MAX(0, CE39 + CD40 - IF(BZ40 &lt; 0, MIN(ABS(BZ40), CE39 + CD40), 0)))</f>
        <v>319626.0298594184</v>
      </c>
      <c r="CF40" s="1">
        <f>IF($B40=Analysis!$C$66,0,IF(BZ40 &lt; 0,
    IF(BZ40 + CA39 &lt; 0,
        MAX(0, CF39 - (ABS(BZ40 + CA39) * (1+$V39))),
        CF39 + CC40),
    CF39 + CD40 + CC40))</f>
        <v>380450.5508571656</v>
      </c>
      <c r="CG40" s="1">
        <f t="shared" si="25"/>
        <v>364408.08344400977</v>
      </c>
      <c r="CH40" s="36"/>
      <c r="CI40" s="1">
        <f>IF(OR($B40&lt;Analysis!$C$100, $B40&gt;=Analysis!$C$130),0,X40)</f>
        <v>0</v>
      </c>
      <c r="CJ40" s="1">
        <f>IF(OR($B40&lt;Analysis!$C$100, $B40&gt;=Analysis!$C$130),0,Z40)</f>
        <v>0</v>
      </c>
      <c r="CK40" s="1">
        <f t="shared" si="60"/>
        <v>1248633.3615226934</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IF($B40&lt;Analysis!$C$130,0,IF($B40=Analysis!$C$130,Analysis!$B$136,IF(($B40-Analysis!$C$130)&lt;LOOKUP(Analysis!$C$130,$B:$B,EE:EE),EI39,0)))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-5849.5661171837091</v>
      </c>
      <c r="EQ40" s="1">
        <f>IF($B40&lt;Analysis!$C$130,0,IF($B40=Analysis!$C$130,EO40*EP40-EP40,IF(($B40-Analysis!$C$130)&lt;Analysis!$C$134,EQ39-EP40,0)))</f>
        <v>-35097.396703102248</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-84798.099256601941</v>
      </c>
      <c r="FM40" s="1">
        <f>$M40+$R40+DD40+IF(AND($B40&lt;&gt;Analysis!$C$130,$B40=Analysis!$C$101),DZ39+CQ39+CT39+CZ39,0)</f>
        <v>61868.278805627939</v>
      </c>
      <c r="FN40" s="1">
        <f t="shared" si="34"/>
        <v>-22929.820450974003</v>
      </c>
      <c r="FO40" s="1">
        <f>IF(FN40 &lt; 0,
    IF(FO39 + FN40 &gt; 0,
        FO39 + FN40, IF(FT39-ABS(FO39 + FN40)*(1+$V40) &gt;= FO39 + FN40,
        0, FO39 + FN40)),
    MIN(FO39 + FN40, Analysis!$C$7))+IF(FO39&lt;0, FO39*Analysis!$C$9,0)</f>
        <v>-59115.267303155575</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1248633.3615226934</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IF($B40&lt;Analysis!$C$159,0,IF($B40=Analysis!$C$159,Analysis!$B$160,IF(($B40-Analysis!$C$159)&lt;LOOKUP(Analysis!$C$159,$B:$B,FZ:FZ),GD39,0)))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49407.245604338044</v>
      </c>
      <c r="GQ40" s="1">
        <f t="shared" si="36"/>
        <v>-3745.9000845680803</v>
      </c>
      <c r="GR40" s="64">
        <f>IF($B40&lt;Analysis!$C$159,0,Analysis!$C$178)</f>
        <v>3.0000000000000001E-3</v>
      </c>
      <c r="GS40" s="1">
        <f t="shared" si="37"/>
        <v>-9364.7502114201998</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-3127.6009139827474</v>
      </c>
      <c r="HD40" s="1">
        <f t="shared" si="38"/>
        <v>-28498.251209971026</v>
      </c>
      <c r="HE40" s="1">
        <f>MIN(0,-(GN40+HD40)*Analysis!$C$28)-GE40*Analysis!$C$28</f>
        <v>-5850.2910886719092</v>
      </c>
      <c r="HF40" s="1">
        <f>-Analysis!$C$176*GP40/12</f>
        <v>-4117.2704670281701</v>
      </c>
      <c r="HG40" s="38"/>
      <c r="HH40" s="1">
        <f>IF($B40&lt;Analysis!$C$159,0,-$HI40*$FW40)</f>
        <v>-159200.7535941434</v>
      </c>
      <c r="HI40" s="64">
        <f>IF($B40&lt;Analysis!$C$159,0,IF($B40=Analysis!$C$159,Analysis!$C$31,HI39))</f>
        <v>0.1275</v>
      </c>
      <c r="HJ40" s="1">
        <f>IF($B40&lt;Analysis!$C$159,0,$FW40+HH40)</f>
        <v>1089432.6079285501</v>
      </c>
      <c r="HK40" s="1">
        <f>IF($B40-Analysis!$C$159&gt;10,0,IF($FW40&gt;LOOKUP(Analysis!$C$159,$B:$B, FW:FW),$V40*(LOOKUP(Analysis!$C$159,$B:$B, FW:FW)-FW40),0))</f>
        <v>0</v>
      </c>
      <c r="HL40" s="1">
        <f t="shared" si="39"/>
        <v>1089432.6079285501</v>
      </c>
      <c r="HM40" s="38"/>
      <c r="HN40" s="1">
        <f t="shared" si="40"/>
        <v>-129784.49335969389</v>
      </c>
      <c r="HO40" s="1">
        <f t="shared" si="8"/>
        <v>111275.52440996599</v>
      </c>
      <c r="HP40" s="1">
        <f t="shared" si="41"/>
        <v>-18508.968949727903</v>
      </c>
      <c r="HQ40" s="1">
        <f>IF(HP40 &lt; 0,
    IF(HQ39 + HP40 &gt; 0,
        HQ39 + HP40, IF(HV39-ABS(HQ39 + HP40)*(1+$V40) &gt;= HQ39 + HP40,
        0, HQ39 + HP40)),
    MIN(HQ39 + HP40, Analysis!$C$7))+IF(HQ39&lt;0, HQ39*Analysis!$C$9,0)</f>
        <v>0</v>
      </c>
      <c r="HR40" s="38"/>
      <c r="HS40" s="1">
        <f t="shared" si="54"/>
        <v>31908.914570642002</v>
      </c>
      <c r="HT40" s="1">
        <f>IF($B40=Analysis!$C$159,0,IF(HP40 &gt;= 0,
    MAX(0, HQ39 + HP40 - Analysis!$C$7),
    0))</f>
        <v>0</v>
      </c>
      <c r="HU40" s="1">
        <f>IF($B40=Analysis!$C$159,0,MAX(0, HU39 + HT40 - IF(HP40 &lt; 0, MIN(ABS(HP40), HU39 + HT40), 0)))</f>
        <v>902225.55561697308</v>
      </c>
      <c r="HV40" s="1">
        <f>IF($B40=Analysis!$C$159,0,IF(HP40 &lt; 0,
    IF(HP40 + HQ39 &lt; 0,
        MAX(0, HV39 - (ABS(HP40 + HQ39) * (1+$V39))),
        HV39 + HS40),
    HV39 + HT40 + HS40))</f>
        <v>1603963.9335925293</v>
      </c>
      <c r="HW40" s="1">
        <f t="shared" si="58"/>
        <v>1418880.4364014764</v>
      </c>
      <c r="HX40" s="36"/>
    </row>
    <row r="41" spans="1:232" x14ac:dyDescent="0.35">
      <c r="A41">
        <f t="shared" si="0"/>
        <v>74</v>
      </c>
      <c r="B41">
        <v>2064</v>
      </c>
      <c r="C41" s="1">
        <f>IF($B41&lt;Analysis!C$66,0,$AN41)+$AT41+$AW41+$BC41+$CF41+$CA41</f>
        <v>2500151.4627839923</v>
      </c>
      <c r="D41" s="1">
        <f>IF($B41&lt;Analysis!C$66, 0, BV41)+AT41+AW41+BC41+CG41+CA41</f>
        <v>2212586.4157820595</v>
      </c>
      <c r="E41" s="1">
        <f t="shared" si="1"/>
        <v>2026113.9612936091</v>
      </c>
      <c r="F41" s="1">
        <f t="shared" si="9"/>
        <v>1737212.5629402029</v>
      </c>
      <c r="G41" s="1">
        <f>IF(AND($B41&gt;=Analysis!$C$100, $B41&lt;Analysis!$C$101),$CK41,0)+IF($B41&gt;=Analysis!$C$130,EB41,0)+CQ41+CT41+CZ41+EH41+EK41+EQ41+$FO41+$FT41</f>
        <v>2019047.7547648037</v>
      </c>
      <c r="H41" s="1">
        <f t="shared" si="10"/>
        <v>1746567.3721072155</v>
      </c>
      <c r="I41" s="1">
        <f>IF($B41&lt;Analysis!$C$159,0,$FW41)+$GC41+$GF41+$GL41+$HQ41+$HV41</f>
        <v>2863121.4795372905</v>
      </c>
      <c r="J41" s="1">
        <f t="shared" si="59"/>
        <v>2515597.0701686861</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40728.552615811779</v>
      </c>
      <c r="AI41" s="1">
        <f>IF(AE41 &gt;= 0,
    MAX(0, AF40 + AE41 - Analysis!$C$7),
    0)</f>
        <v>0</v>
      </c>
      <c r="AJ41" s="1">
        <f t="shared" si="44"/>
        <v>930753.20924277941</v>
      </c>
      <c r="AK41" s="1">
        <f t="shared" si="20"/>
        <v>2026113.9612936091</v>
      </c>
      <c r="AL41" s="1">
        <f t="shared" si="5"/>
        <v>1737212.5629402029</v>
      </c>
      <c r="AM41" s="36"/>
      <c r="AN41" s="1">
        <f t="shared" si="45"/>
        <v>2137101.0404516701</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-6411.3031213550103</v>
      </c>
      <c r="BF41" s="64">
        <f>IF($B41&lt;Analysis!$C$66,0,Analysis!$C$78)</f>
        <v>3.0000000000000001E-3</v>
      </c>
      <c r="BG41" s="1">
        <f>IF($B41&lt;Analysis!$C$66,0,-BH41*AN41)</f>
        <v>-16028.257803387525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-272480.38265758794</v>
      </c>
      <c r="BS41" s="64">
        <f>IF($B41&lt;Analysis!C$66,0,Analysis!C$31)</f>
        <v>0.1275</v>
      </c>
      <c r="BT41" s="1">
        <f>IF($B41&lt;Analysis!$C$66,0,AN41+BR41)</f>
        <v>1864620.6577940821</v>
      </c>
      <c r="BU41" s="1">
        <f>IF($B41-Analysis!$C$66&gt;3,0,IF($AN41&gt;LOOKUP(Analysis!$C$66,$B:$B, AN:AN),$V41*(LOOKUP(Analysis!$C$66,$B:$B, AN:AN)-AN41),0))</f>
        <v>0</v>
      </c>
      <c r="BV41" s="1">
        <f t="shared" si="23"/>
        <v>1864620.6577940821</v>
      </c>
      <c r="BW41" s="42"/>
      <c r="BX41" s="1">
        <f>IF($B41&lt;Analysis!$C$66,$P41+$N41+$X41+$Z41,$P41+$N41+AS41+AV41+BB41+BE41+BG41+MAX(BI41,SUM(BJ41:BN41))+BP41)</f>
        <v>-74399.560924742545</v>
      </c>
      <c r="BY41" s="1">
        <f t="shared" si="24"/>
        <v>60630.913229515376</v>
      </c>
      <c r="BZ41" s="1">
        <f t="shared" si="46"/>
        <v>-13768.64769522717</v>
      </c>
      <c r="CA41" s="1">
        <f>IF(BZ41 &lt; 0,
    IF(CA40 + BZ41 &gt; 0,
        CA40 + BZ41, IF(CF40-ABS(CA40 + BZ41)*(1+$V41) &gt;= CA40 + BZ41,
        0, CA40 + BZ41)),
    MIN(CA40 + BZ41, Analysis!$C$7))+IF(CA40&lt;0, CA40*Analysis!$C$9,0)</f>
        <v>0</v>
      </c>
      <c r="CB41" s="42"/>
      <c r="CC41" s="1">
        <f t="shared" si="47"/>
        <v>7459.8147226894953</v>
      </c>
      <c r="CD41" s="1">
        <f>IF(BZ41 &gt;= 0,
    MAX(0, CA40 + BZ41 - Analysis!$C$7),
    0)</f>
        <v>0</v>
      </c>
      <c r="CE41" s="1">
        <f>IF($B41=Analysis!$C$66,0,MAX(0, CE40 + CD41 - IF(BZ41 &lt; 0, MIN(ABS(BZ41), CE40 + CD41), 0)))</f>
        <v>305857.38216419122</v>
      </c>
      <c r="CF41" s="1">
        <f>IF($B41=Analysis!$C$66,0,IF(BZ41 &lt; 0,
    IF(BZ41 + CA40 &lt; 0,
        MAX(0, CF40 - (ABS(BZ41 + CA40) * (1+$V40))),
        CF40 + CC41),
    CF40 + CD41 + CC41))</f>
        <v>363050.42233232228</v>
      </c>
      <c r="CG41" s="1">
        <f t="shared" si="25"/>
        <v>347965.7579879777</v>
      </c>
      <c r="CH41" s="36"/>
      <c r="CI41" s="1">
        <f>IF(OR($B41&lt;Analysis!$C$100, $B41&gt;=Analysis!$C$130),0,X41)</f>
        <v>0</v>
      </c>
      <c r="CJ41" s="1">
        <f>IF(OR($B41&lt;Analysis!$C$100, $B41&gt;=Analysis!$C$130),0,Z41)</f>
        <v>0</v>
      </c>
      <c r="CK41" s="1">
        <f t="shared" si="60"/>
        <v>1285357.8721557138</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IF($B41&lt;Analysis!$C$130,0,IF($B41=Analysis!$C$130,Analysis!$B$136,IF(($B41-Analysis!$C$130)&lt;LOOKUP(Analysis!$C$130,$B:$B,EE:EE),EI40,0)))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-5849.5661171837091</v>
      </c>
      <c r="EQ41" s="1">
        <f>IF($B41&lt;Analysis!$C$130,0,IF($B41=Analysis!$C$130,EO41*EP41-EP41,IF(($B41-Analysis!$C$130)&lt;Analysis!$C$134,EQ40-EP41,0)))</f>
        <v>-29247.830585918538</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-85591.879643055436</v>
      </c>
      <c r="FM41" s="1">
        <f>$M41+$R41+DD41+IF(AND($B41&lt;&gt;Analysis!$C$130,$B41=Analysis!$C$101),DZ40+CQ40+CT40+CZ40,0)</f>
        <v>60630.913229515376</v>
      </c>
      <c r="FN41" s="1">
        <f t="shared" si="34"/>
        <v>-24960.96641354006</v>
      </c>
      <c r="FO41" s="1">
        <f>IF(FN41 &lt; 0,
    IF(FO40 + FN41 &gt; 0,
        FO40 + FN41, IF(FT40-ABS(FO40 + FN41)*(1+$V41) &gt;= FO40 + FN41,
        0, FO40 + FN41)),
    MIN(FO40 + FN41, Analysis!$C$7))+IF(FO40&lt;0, FO40*Analysis!$C$9,0)</f>
        <v>-88805.455100948078</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1285357.8721557138</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IF($B41&lt;Analysis!$C$159,0,IF($B41=Analysis!$C$159,Analysis!$B$160,IF(($B41-Analysis!$C$159)&lt;LOOKUP(Analysis!$C$159,$B:$B,FZ:FZ),GD40,0)))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50743.929298583287</v>
      </c>
      <c r="GQ41" s="1">
        <f t="shared" si="36"/>
        <v>-3856.0736164671416</v>
      </c>
      <c r="GR41" s="64">
        <f>IF($B41&lt;Analysis!$C$159,0,Analysis!$C$178)</f>
        <v>3.0000000000000001E-3</v>
      </c>
      <c r="GS41" s="1">
        <f t="shared" si="37"/>
        <v>-9640.1840411678531</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-3219.5891761587109</v>
      </c>
      <c r="HD41" s="1">
        <f t="shared" si="38"/>
        <v>-28975.846833793708</v>
      </c>
      <c r="HE41" s="1">
        <f>MIN(0,-(GN41+HD41)*Analysis!$C$28)-GE41*Analysis!$C$28</f>
        <v>-6182.1351206916715</v>
      </c>
      <c r="HF41" s="1">
        <f>-Analysis!$C$176*GP41/12</f>
        <v>-4228.6607748819406</v>
      </c>
      <c r="HG41" s="38"/>
      <c r="HH41" s="1">
        <f>IF($B41&lt;Analysis!$C$159,0,-$HI41*$FW41)</f>
        <v>-163883.12869985352</v>
      </c>
      <c r="HI41" s="64">
        <f>IF($B41&lt;Analysis!$C$159,0,IF($B41=Analysis!$C$159,Analysis!$C$31,HI40))</f>
        <v>0.1275</v>
      </c>
      <c r="HJ41" s="1">
        <f>IF($B41&lt;Analysis!$C$159,0,$FW41+HH41)</f>
        <v>1121474.7434558603</v>
      </c>
      <c r="HK41" s="1">
        <f>IF($B41-Analysis!$C$159&gt;10,0,IF($FW41&gt;LOOKUP(Analysis!$C$159,$B:$B, FW:FW),$V41*(LOOKUP(Analysis!$C$159,$B:$B, FW:FW)-FW41),0))</f>
        <v>0</v>
      </c>
      <c r="HL41" s="1">
        <f t="shared" si="39"/>
        <v>1121474.7434558603</v>
      </c>
      <c r="HM41" s="38"/>
      <c r="HN41" s="1">
        <f t="shared" si="40"/>
        <v>-132107.04922321433</v>
      </c>
      <c r="HO41" s="1">
        <f t="shared" si="8"/>
        <v>111374.84252809867</v>
      </c>
      <c r="HP41" s="1">
        <f t="shared" si="41"/>
        <v>-20732.206695115659</v>
      </c>
      <c r="HQ41" s="1">
        <f>IF(HP41 &lt; 0,
    IF(HQ40 + HP41 &gt; 0,
        HQ40 + HP41, IF(HV40-ABS(HQ40 + HP41)*(1+$V41) &gt;= HQ40 + HP41,
        0, HQ40 + HP41)),
    MIN(HQ40 + HP41, Analysis!$C$7))+IF(HQ40&lt;0, HQ40*Analysis!$C$9,0)</f>
        <v>0</v>
      </c>
      <c r="HR41" s="38"/>
      <c r="HS41" s="1">
        <f t="shared" si="54"/>
        <v>31450.27320769654</v>
      </c>
      <c r="HT41" s="1">
        <f>IF($B41=Analysis!$C$159,0,IF(HP41 &gt;= 0,
    MAX(0, HQ40 + HP41 - Analysis!$C$7),
    0))</f>
        <v>0</v>
      </c>
      <c r="HU41" s="1">
        <f>IF($B41=Analysis!$C$159,0,MAX(0, HU40 + HT41 - IF(HP41 &lt; 0, MIN(ABS(HP41), HU40 + HT41), 0)))</f>
        <v>881493.34892185743</v>
      </c>
      <c r="HV41" s="1">
        <f>IF($B41=Analysis!$C$159,0,IF(HP41 &lt; 0,
    IF(HP41 + HQ40 &lt; 0,
        MAX(0, HV40 - (ABS(HP41 + HQ40) * (1+$V40))),
        HV40 + HS41),
    HV40 + HT41 + HS41))</f>
        <v>1577763.6073815769</v>
      </c>
      <c r="HW41" s="1">
        <f t="shared" si="58"/>
        <v>1394122.3267128258</v>
      </c>
      <c r="HX41" s="36"/>
    </row>
    <row r="42" spans="1:232" x14ac:dyDescent="0.35">
      <c r="A42">
        <f t="shared" si="0"/>
        <v>75</v>
      </c>
      <c r="B42">
        <v>2065</v>
      </c>
      <c r="C42" s="1">
        <f>IF($B42&lt;Analysis!C$66,0,$AN42)+$AT42+$AW42+$BC42+$CF42+$CA42</f>
        <v>2543240.7422017744</v>
      </c>
      <c r="D42" s="1">
        <f>IF($B42&lt;Analysis!C$66, 0, BV42)+AT42+AW42+BC42+CG42+CA42</f>
        <v>2248749.6354026068</v>
      </c>
      <c r="E42" s="1">
        <f t="shared" si="1"/>
        <v>1971715.7608281516</v>
      </c>
      <c r="F42" s="1">
        <f t="shared" si="9"/>
        <v>1685808.7520431462</v>
      </c>
      <c r="G42" s="1">
        <f>IF(AND($B42&gt;=Analysis!$C$100, $B42&lt;Analysis!$C$101),$CK42,0)+IF($B42&gt;=Analysis!$C$130,EB42,0)+CQ42+CT42+CZ42+EH42+EK42+EQ42+$FO42+$FT42</f>
        <v>2053658.0858818344</v>
      </c>
      <c r="H42" s="1">
        <f t="shared" si="10"/>
        <v>1773163.5743225524</v>
      </c>
      <c r="I42" s="1">
        <f>IF($B42&lt;Analysis!$C$159,0,$FW42)+$GC42+$GF42+$GL42+$HQ42+$HV42</f>
        <v>2871910.8103405936</v>
      </c>
      <c r="J42" s="1">
        <f t="shared" si="59"/>
        <v>2521163.4784959247</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39727.724731247094</v>
      </c>
      <c r="AI42" s="1">
        <f>IF(AE42 &gt;= 0,
    MAX(0, AF41 + AE42 - Analysis!$C$7),
    0)</f>
        <v>0</v>
      </c>
      <c r="AJ42" s="1">
        <f t="shared" si="44"/>
        <v>887708.14458168554</v>
      </c>
      <c r="AK42" s="1">
        <f t="shared" si="20"/>
        <v>1971715.7608281516</v>
      </c>
      <c r="AL42" s="1">
        <f t="shared" si="5"/>
        <v>1685808.7520431462</v>
      </c>
      <c r="AM42" s="36"/>
      <c r="AN42" s="1">
        <f t="shared" si="45"/>
        <v>2199956.9534061314</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-6599.8708602183942</v>
      </c>
      <c r="BF42" s="64">
        <f>IF($B42&lt;Analysis!$C$66,0,Analysis!$C$78)</f>
        <v>3.0000000000000001E-3</v>
      </c>
      <c r="BG42" s="1">
        <f>IF($B42&lt;Analysis!$C$66,0,-BH42*AN42)</f>
        <v>-16499.677150545984</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-280494.51155928173</v>
      </c>
      <c r="BS42" s="64">
        <f>IF($B42&lt;Analysis!C$66,0,Analysis!C$31)</f>
        <v>0.1275</v>
      </c>
      <c r="BT42" s="1">
        <f>IF($B42&lt;Analysis!$C$66,0,AN42+BR42)</f>
        <v>1919462.4418468496</v>
      </c>
      <c r="BU42" s="1">
        <f>IF($B42-Analysis!$C$66&gt;3,0,IF($AN42&gt;LOOKUP(Analysis!$C$66,$B:$B, AN:AN),$V42*(LOOKUP(Analysis!$C$66,$B:$B, AN:AN)-AN42),0))</f>
        <v>0</v>
      </c>
      <c r="BV42" s="1">
        <f t="shared" si="23"/>
        <v>1919462.4418468496</v>
      </c>
      <c r="BW42" s="42"/>
      <c r="BX42" s="1">
        <f>IF($B42&lt;Analysis!$C$66,$P42+$N42+$X42+$Z42,$P42+$N42+AS42+AV42+BB42+BE42+BG42+MAX(BI42,SUM(BJ42:BN42))+BP42)</f>
        <v>-75059.548010764382</v>
      </c>
      <c r="BY42" s="1">
        <f t="shared" si="24"/>
        <v>59418.294964925066</v>
      </c>
      <c r="BZ42" s="1">
        <f t="shared" si="46"/>
        <v>-15641.253045839316</v>
      </c>
      <c r="CA42" s="1">
        <f>IF(BZ42 &lt; 0,
    IF(CA41 + BZ42 &gt; 0,
        CA41 + BZ42, IF(CF41-ABS(CA41 + BZ42)*(1+$V42) &gt;= CA41 + BZ42,
        0, CA41 + BZ42)),
    MIN(CA41 + BZ42, Analysis!$C$7))+IF(CA41&lt;0, CA41*Analysis!$C$9,0)</f>
        <v>0</v>
      </c>
      <c r="CB42" s="42"/>
      <c r="CC42" s="1">
        <f t="shared" si="47"/>
        <v>7118.6357320062943</v>
      </c>
      <c r="CD42" s="1">
        <f>IF(BZ42 &gt;= 0,
    MAX(0, CA41 + BZ42 - Analysis!$C$7),
    0)</f>
        <v>0</v>
      </c>
      <c r="CE42" s="1">
        <f>IF($B42=Analysis!$C$66,0,MAX(0, CE41 + CD42 - IF(BZ42 &lt; 0, MIN(ABS(BZ42), CE41 + CD42), 0)))</f>
        <v>290216.12911835191</v>
      </c>
      <c r="CF42" s="1">
        <f>IF($B42=Analysis!$C$66,0,IF(BZ42 &lt; 0,
    IF(BZ42 + CA41 &lt; 0,
        MAX(0, CF41 - (ABS(BZ42 + CA41) * (1+$V41))),
        CF41 + CC42),
    CF41 + CD42 + CC42))</f>
        <v>343283.78879564285</v>
      </c>
      <c r="CG42" s="1">
        <f t="shared" si="25"/>
        <v>329287.19355575735</v>
      </c>
      <c r="CH42" s="36"/>
      <c r="CI42" s="1">
        <f>IF(OR($B42&lt;Analysis!$C$100, $B42&gt;=Analysis!$C$130),0,X42)</f>
        <v>0</v>
      </c>
      <c r="CJ42" s="1">
        <f>IF(OR($B42&lt;Analysis!$C$100, $B42&gt;=Analysis!$C$130),0,Z42)</f>
        <v>0</v>
      </c>
      <c r="CK42" s="1">
        <f t="shared" si="60"/>
        <v>1323162.5154544115</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IF($B42&lt;Analysis!$C$130,0,IF($B42=Analysis!$C$130,Analysis!$B$136,IF(($B42-Analysis!$C$130)&lt;LOOKUP(Analysis!$C$130,$B:$B,EE:EE),EI41,0)))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-5849.5661171837091</v>
      </c>
      <c r="EQ42" s="1">
        <f>IF($B42&lt;Analysis!$C$130,0,IF($B42=Analysis!$C$130,EO42*EP42-EP42,IF(($B42-Analysis!$C$130)&lt;Analysis!$C$134,EQ41-EP42,0)))</f>
        <v>-23398.264468734829</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-86409.00651146342</v>
      </c>
      <c r="FM42" s="1">
        <f>$M42+$R42+DD42+IF(AND($B42&lt;&gt;Analysis!$C$130,$B42=Analysis!$C$101),DZ41+CQ41+CT41+CZ41,0)</f>
        <v>59418.294964925066</v>
      </c>
      <c r="FN42" s="1">
        <f t="shared" si="34"/>
        <v>-26990.711546538354</v>
      </c>
      <c r="FO42" s="1">
        <f>IF(FN42 &lt; 0,
    IF(FO41 + FN42 &gt; 0,
        FO41 + FN42, IF(FT41-ABS(FO41 + FN42)*(1+$V42) &gt;= FO41 + FN42,
        0, FO41 + FN42)),
    MIN(FO41 + FN42, Analysis!$C$7))+IF(FO41&lt;0, FO41*Analysis!$C$9,0)</f>
        <v>-122900.60305556227</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1323162.5154544115</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IF($B42&lt;Analysis!$C$159,0,IF($B42=Analysis!$C$159,Analysis!$B$160,IF(($B42-Analysis!$C$159)&lt;LOOKUP(Analysis!$C$159,$B:$B,FZ:FZ),GD41,0)))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52119.927219129859</v>
      </c>
      <c r="GQ42" s="1">
        <f t="shared" si="36"/>
        <v>-3969.4875463632347</v>
      </c>
      <c r="GR42" s="64">
        <f>IF($B42&lt;Analysis!$C$159,0,Analysis!$C$178)</f>
        <v>3.0000000000000001E-3</v>
      </c>
      <c r="GS42" s="1">
        <f t="shared" si="37"/>
        <v>-9923.7188659080857</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-3314.2829754574968</v>
      </c>
      <c r="HD42" s="1">
        <f t="shared" si="38"/>
        <v>-29467.489387728816</v>
      </c>
      <c r="HE42" s="1">
        <f>MIN(0,-(GN42+HD42)*Analysis!$C$28)-GE42*Analysis!$C$28</f>
        <v>-6523.7392713002519</v>
      </c>
      <c r="HF42" s="1">
        <f>-Analysis!$C$176*GP42/12</f>
        <v>-4343.3272682608213</v>
      </c>
      <c r="HG42" s="38"/>
      <c r="HH42" s="1">
        <f>IF($B42&lt;Analysis!$C$159,0,-$HI42*$FW42)</f>
        <v>-168703.22072043747</v>
      </c>
      <c r="HI42" s="64">
        <f>IF($B42&lt;Analysis!$C$159,0,IF($B42=Analysis!$C$159,Analysis!$C$31,HI41))</f>
        <v>0.1275</v>
      </c>
      <c r="HJ42" s="1">
        <f>IF($B42&lt;Analysis!$C$159,0,$FW42+HH42)</f>
        <v>1154459.2947339742</v>
      </c>
      <c r="HK42" s="1">
        <f>IF($B42-Analysis!$C$159&gt;10,0,IF($FW42&gt;LOOKUP(Analysis!$C$159,$B:$B, FW:FW),$V42*(LOOKUP(Analysis!$C$159,$B:$B, FW:FW)-FW42),0))</f>
        <v>0</v>
      </c>
      <c r="HL42" s="1">
        <f t="shared" si="39"/>
        <v>1154459.2947339742</v>
      </c>
      <c r="HM42" s="38"/>
      <c r="HN42" s="1">
        <f t="shared" si="40"/>
        <v>-134497.91555330885</v>
      </c>
      <c r="HO42" s="1">
        <f t="shared" si="8"/>
        <v>111538.22218405493</v>
      </c>
      <c r="HP42" s="1">
        <f t="shared" si="41"/>
        <v>-22959.693369253917</v>
      </c>
      <c r="HQ42" s="1">
        <f>IF(HP42 &lt; 0,
    IF(HQ41 + HP42 &gt; 0,
        HQ41 + HP42, IF(HV41-ABS(HQ41 + HP42)*(1+$V42) &gt;= HQ41 + HP42,
        0, HQ41 + HP42)),
    MIN(HQ41 + HP42, Analysis!$C$7))+IF(HQ41&lt;0, HQ41*Analysis!$C$9,0)</f>
        <v>0</v>
      </c>
      <c r="HR42" s="38"/>
      <c r="HS42" s="1">
        <f t="shared" si="54"/>
        <v>30936.541321207282</v>
      </c>
      <c r="HT42" s="1">
        <f>IF($B42=Analysis!$C$159,0,IF(HP42 &gt;= 0,
    MAX(0, HQ41 + HP42 - Analysis!$C$7),
    0))</f>
        <v>0</v>
      </c>
      <c r="HU42" s="1">
        <f>IF($B42=Analysis!$C$159,0,MAX(0, HU41 + HT42 - IF(HP42 &lt; 0, MIN(ABS(HP42), HU41 + HT42), 0)))</f>
        <v>858533.65555260354</v>
      </c>
      <c r="HV42" s="1">
        <f>IF($B42=Analysis!$C$159,0,IF(HP42 &lt; 0,
    IF(HP42 + HQ41 &lt; 0,
        MAX(0, HV41 - (ABS(HP42 + HQ41) * (1+$V41))),
        HV41 + HS42),
    HV41 + HT42 + HS42))</f>
        <v>1548748.2948861823</v>
      </c>
      <c r="HW42" s="1">
        <f t="shared" si="58"/>
        <v>1366704.1837619508</v>
      </c>
      <c r="HX42" s="36"/>
    </row>
    <row r="43" spans="1:232" x14ac:dyDescent="0.35">
      <c r="A43">
        <f t="shared" si="0"/>
        <v>76</v>
      </c>
      <c r="B43">
        <v>2066</v>
      </c>
      <c r="C43" s="1">
        <f>IF($B43&lt;Analysis!C$66,0,$AN43)+$AT43+$AW43+$BC43+$CF43+$CA43</f>
        <v>2585818.3377189012</v>
      </c>
      <c r="D43" s="1">
        <f>IF($B43&lt;Analysis!C$66, 0, BV43)+AT43+AW43+BC43+CG43+CA43</f>
        <v>2284295.3907263046</v>
      </c>
      <c r="E43" s="1">
        <f t="shared" si="1"/>
        <v>1913938.5976419444</v>
      </c>
      <c r="F43" s="1">
        <f t="shared" si="9"/>
        <v>1631211.9759516635</v>
      </c>
      <c r="G43" s="1">
        <f>IF(AND($B43&gt;=Analysis!$C$100, $B43&lt;Analysis!$C$101),$CK43,0)+IF($B43&gt;=Analysis!$C$130,EB43,0)+CQ43+CT43+CZ43+EH43+EK43+EQ43+$FO43+$FT43</f>
        <v>2085359.9825737907</v>
      </c>
      <c r="H43" s="1">
        <f t="shared" si="10"/>
        <v>1796615.6324392362</v>
      </c>
      <c r="I43" s="1">
        <f>IF($B43&lt;Analysis!$C$159,0,$FW43)+$GC43+$GF43+$GL43+$HQ43+$HV43</f>
        <v>2878989.9832962723</v>
      </c>
      <c r="J43" s="1">
        <f t="shared" si="59"/>
        <v>2525033.3039149633</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38661.093349571463</v>
      </c>
      <c r="AI43" s="1">
        <f>IF(AE43 &gt;= 0,
    MAX(0, AF42 + AE43 - Analysis!$C$7),
    0)</f>
        <v>0</v>
      </c>
      <c r="AJ43" s="1">
        <f t="shared" si="44"/>
        <v>841989.32109111606</v>
      </c>
      <c r="AK43" s="1">
        <f t="shared" si="20"/>
        <v>1913938.5976419444</v>
      </c>
      <c r="AL43" s="1">
        <f t="shared" si="5"/>
        <v>1631211.9759516635</v>
      </c>
      <c r="AM43" s="36"/>
      <c r="AN43" s="1">
        <f t="shared" si="45"/>
        <v>2264661.5696827825</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-6793.9847090483481</v>
      </c>
      <c r="BF43" s="64">
        <f>IF($B43&lt;Analysis!$C$66,0,Analysis!$C$78)</f>
        <v>3.0000000000000001E-3</v>
      </c>
      <c r="BG43" s="1">
        <f>IF($B43&lt;Analysis!$C$66,0,-BH43*AN43)</f>
        <v>-16984.961772620867</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-288744.35013455478</v>
      </c>
      <c r="BS43" s="64">
        <f>IF($B43&lt;Analysis!C$66,0,Analysis!C$31)</f>
        <v>0.1275</v>
      </c>
      <c r="BT43" s="1">
        <f>IF($B43&lt;Analysis!$C$66,0,AN43+BR43)</f>
        <v>1975917.2195482277</v>
      </c>
      <c r="BU43" s="1">
        <f>IF($B43-Analysis!$C$66&gt;3,0,IF($AN43&gt;LOOKUP(Analysis!$C$66,$B:$B, AN:AN),$V43*(LOOKUP(Analysis!$C$66,$B:$B, AN:AN)-AN43),0))</f>
        <v>0</v>
      </c>
      <c r="BV43" s="1">
        <f t="shared" si="23"/>
        <v>1975917.2195482277</v>
      </c>
      <c r="BW43" s="42"/>
      <c r="BX43" s="1">
        <f>IF($B43&lt;Analysis!$C$66,$P43+$N43+$X43+$Z43,$P43+$N43+AS43+AV43+BB43+BE43+BG43+MAX(BI43,SUM(BJ43:BN43))+BP43)</f>
        <v>-75738.946481669205</v>
      </c>
      <c r="BY43" s="1">
        <f t="shared" si="24"/>
        <v>58229.929065626566</v>
      </c>
      <c r="BZ43" s="1">
        <f t="shared" si="46"/>
        <v>-17509.01741604264</v>
      </c>
      <c r="CA43" s="1">
        <f>IF(BZ43 &lt; 0,
    IF(CA42 + BZ43 &gt; 0,
        CA42 + BZ43, IF(CF42-ABS(CA42 + BZ43)*(1+$V43) &gt;= CA42 + BZ43,
        0, CA42 + BZ43)),
    MIN(CA42 + BZ43, Analysis!$C$7))+IF(CA42&lt;0, CA42*Analysis!$C$9,0)</f>
        <v>0</v>
      </c>
      <c r="CB43" s="42"/>
      <c r="CC43" s="1">
        <f t="shared" si="47"/>
        <v>6731.0546822674833</v>
      </c>
      <c r="CD43" s="1">
        <f>IF(BZ43 &gt;= 0,
    MAX(0, CA42 + BZ43 - Analysis!$C$7),
    0)</f>
        <v>0</v>
      </c>
      <c r="CE43" s="1">
        <f>IF($B43=Analysis!$C$66,0,MAX(0, CE42 + CD43 - IF(BZ43 &lt; 0, MIN(ABS(BZ43), CE42 + CD43), 0)))</f>
        <v>272707.11170230928</v>
      </c>
      <c r="CF43" s="1">
        <f>IF($B43=Analysis!$C$66,0,IF(BZ43 &lt; 0,
    IF(BZ43 + CA42 &lt; 0,
        MAX(0, CF42 - (ABS(BZ43 + CA42) * (1+$V42))),
        CF42 + CC43),
    CF42 + CD43 + CC43))</f>
        <v>321156.76803611894</v>
      </c>
      <c r="CG43" s="1">
        <f t="shared" si="25"/>
        <v>308378.17117807665</v>
      </c>
      <c r="CH43" s="36"/>
      <c r="CI43" s="1">
        <f>IF(OR($B43&lt;Analysis!$C$100, $B43&gt;=Analysis!$C$130),0,X43)</f>
        <v>0</v>
      </c>
      <c r="CJ43" s="1">
        <f>IF(OR($B43&lt;Analysis!$C$100, $B43&gt;=Analysis!$C$130),0,Z43)</f>
        <v>0</v>
      </c>
      <c r="CK43" s="1">
        <f t="shared" si="60"/>
        <v>1362079.0600266003</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IF($B43&lt;Analysis!$C$130,0,IF($B43=Analysis!$C$130,Analysis!$B$136,IF(($B43-Analysis!$C$130)&lt;LOOKUP(Analysis!$C$130,$B:$B,EE:EE),EI42,0)))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-5849.5661171837091</v>
      </c>
      <c r="EQ43" s="1">
        <f>IF($B43&lt;Analysis!$C$130,0,IF($B43=Analysis!$C$130,EO43*EP43-EP43,IF(($B43-Analysis!$C$130)&lt;Analysis!$C$134,EQ42-EP43,0)))</f>
        <v>-17548.69835155112</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-87250.166523059888</v>
      </c>
      <c r="FM43" s="1">
        <f>$M43+$R43+DD43+IF(AND($B43&lt;&gt;Analysis!$C$130,$B43=Analysis!$C$101),DZ42+CQ42+CT42+CZ42,0)</f>
        <v>58229.929065626566</v>
      </c>
      <c r="FN43" s="1">
        <f t="shared" si="34"/>
        <v>-29020.237457433323</v>
      </c>
      <c r="FO43" s="1">
        <f>IF(FN43 &lt; 0,
    IF(FO42 + FN43 &gt; 0,
        FO42 + FN43, IF(FT42-ABS(FO42 + FN43)*(1+$V43) &gt;= FO42 + FN43,
        0, FO42 + FN43)),
    MIN(FO42 + FN43, Analysis!$C$7))+IF(FO42&lt;0, FO42*Analysis!$C$9,0)</f>
        <v>-161752.88875744058</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1362079.0600266003</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IF($B43&lt;Analysis!$C$159,0,IF($B43=Analysis!$C$159,Analysis!$B$160,IF(($B43-Analysis!$C$159)&lt;LOOKUP(Analysis!$C$159,$B:$B,FZ:FZ),GD42,0)))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53536.395666751327</v>
      </c>
      <c r="GQ43" s="1">
        <f t="shared" si="36"/>
        <v>-4086.237180079801</v>
      </c>
      <c r="GR43" s="64">
        <f>IF($B43&lt;Analysis!$C$159,0,Analysis!$C$178)</f>
        <v>3.0000000000000001E-3</v>
      </c>
      <c r="GS43" s="1">
        <f t="shared" si="37"/>
        <v>-10215.592950199502</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-3411.7618865003647</v>
      </c>
      <c r="HD43" s="1">
        <f t="shared" si="38"/>
        <v>-29973.592016779668</v>
      </c>
      <c r="HE43" s="1">
        <f>MIN(0,-(GN43+HD43)*Analysis!$C$28)-GE43*Analysis!$C$28</f>
        <v>-6875.3906028090814</v>
      </c>
      <c r="HF43" s="1">
        <f>-Analysis!$C$176*GP43/12</f>
        <v>-4461.3663055626103</v>
      </c>
      <c r="HG43" s="38"/>
      <c r="HH43" s="1">
        <f>IF($B43&lt;Analysis!$C$159,0,-$HI43*$FW43)</f>
        <v>-173665.08015339152</v>
      </c>
      <c r="HI43" s="64">
        <f>IF($B43&lt;Analysis!$C$159,0,IF($B43=Analysis!$C$159,Analysis!$C$31,HI42))</f>
        <v>0.1275</v>
      </c>
      <c r="HJ43" s="1">
        <f>IF($B43&lt;Analysis!$C$159,0,$FW43+HH43)</f>
        <v>1188413.9798732088</v>
      </c>
      <c r="HK43" s="1">
        <f>IF($B43-Analysis!$C$159&gt;10,0,IF($FW43&gt;LOOKUP(Analysis!$C$159,$B:$B, FW:FW),$V43*(LOOKUP(Analysis!$C$159,$B:$B, FW:FW)-FW43),0))</f>
        <v>0</v>
      </c>
      <c r="HL43" s="1">
        <f t="shared" si="39"/>
        <v>1188413.9798732088</v>
      </c>
      <c r="HM43" s="38"/>
      <c r="HN43" s="1">
        <f t="shared" si="40"/>
        <v>-136959.10148134734</v>
      </c>
      <c r="HO43" s="1">
        <f t="shared" si="8"/>
        <v>111766.32473237789</v>
      </c>
      <c r="HP43" s="1">
        <f t="shared" si="41"/>
        <v>-25192.776748969452</v>
      </c>
      <c r="HQ43" s="1">
        <f>IF(HP43 &lt; 0,
    IF(HQ42 + HP43 &gt; 0,
        HQ42 + HP43, IF(HV42-ABS(HQ42 + HP43)*(1+$V43) &gt;= HQ42 + HP43,
        0, HQ42 + HP43)),
    MIN(HQ42 + HP43, Analysis!$C$7))+IF(HQ42&lt;0, HQ42*Analysis!$C$9,0)</f>
        <v>0</v>
      </c>
      <c r="HR43" s="38"/>
      <c r="HS43" s="1">
        <f t="shared" si="54"/>
        <v>30367.613625219154</v>
      </c>
      <c r="HT43" s="1">
        <f>IF($B43=Analysis!$C$159,0,IF(HP43 &gt;= 0,
    MAX(0, HQ42 + HP43 - Analysis!$C$7),
    0))</f>
        <v>0</v>
      </c>
      <c r="HU43" s="1">
        <f>IF($B43=Analysis!$C$159,0,MAX(0, HU42 + HT43 - IF(HP43 &lt; 0, MIN(ABS(HP43), HU42 + HT43), 0)))</f>
        <v>833340.87880363408</v>
      </c>
      <c r="HV43" s="1">
        <f>IF($B43=Analysis!$C$159,0,IF(HP43 &lt; 0,
    IF(HP43 + HQ42 &lt; 0,
        MAX(0, HV42 - (ABS(HP43 + HQ42) * (1+$V42))),
        HV42 + HS43),
    HV42 + HT43 + HS43))</f>
        <v>1516910.9232696721</v>
      </c>
      <c r="HW43" s="1">
        <f t="shared" si="58"/>
        <v>1336619.3240417545</v>
      </c>
      <c r="HX43" s="36"/>
    </row>
    <row r="44" spans="1:232" x14ac:dyDescent="0.35">
      <c r="A44">
        <f t="shared" si="0"/>
        <v>77</v>
      </c>
      <c r="B44">
        <v>2067</v>
      </c>
      <c r="C44" s="1">
        <f>IF($B44&lt;Analysis!C$66,0,$AN44)+$AT44+$AW44+$BC44+$CF44+$CA44</f>
        <v>2627943.4062689082</v>
      </c>
      <c r="D44" s="1">
        <f>IF($B44&lt;Analysis!C$66, 0, BV44)+AT44+AW44+BC44+CG44+CA44</f>
        <v>2319275.6427485542</v>
      </c>
      <c r="E44" s="1">
        <f t="shared" si="1"/>
        <v>1852757.2969385185</v>
      </c>
      <c r="F44" s="1">
        <f t="shared" si="9"/>
        <v>1573398.4456347574</v>
      </c>
      <c r="G44" s="1">
        <f>IF(AND($B44&gt;=Analysis!$C$100, $B44&lt;Analysis!$C$101),$CK44,0)+IF($B44&gt;=Analysis!$C$130,EB44,0)+CQ44+CT44+CZ44+EH44+EK44+EQ44+$FO44+$FT44</f>
        <v>2113826.2747656601</v>
      </c>
      <c r="H44" s="1">
        <f t="shared" si="10"/>
        <v>1816589.4437447954</v>
      </c>
      <c r="I44" s="1">
        <f>IF($B44&lt;Analysis!$C$159,0,$FW44)+$GC44+$GF44+$GL44+$HQ44+$HV44</f>
        <v>2884382.906104126</v>
      </c>
      <c r="J44" s="1">
        <f t="shared" si="59"/>
        <v>2527226.7686385168</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37528.207796900737</v>
      </c>
      <c r="AI44" s="1">
        <f>IF(AE44 &gt;= 0,
    MAX(0, AF43 + AE44 - Analysis!$C$7),
    0)</f>
        <v>0</v>
      </c>
      <c r="AJ44" s="1">
        <f t="shared" si="44"/>
        <v>793576.81806169893</v>
      </c>
      <c r="AK44" s="1">
        <f t="shared" si="20"/>
        <v>1852757.2969385185</v>
      </c>
      <c r="AL44" s="1">
        <f t="shared" si="5"/>
        <v>1573398.4456347574</v>
      </c>
      <c r="AM44" s="36"/>
      <c r="AN44" s="1">
        <f t="shared" si="45"/>
        <v>2331269.262908747</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-6993.8077887262407</v>
      </c>
      <c r="BF44" s="64">
        <f>IF($B44&lt;Analysis!$C$66,0,Analysis!$C$78)</f>
        <v>3.0000000000000001E-3</v>
      </c>
      <c r="BG44" s="1">
        <f>IF($B44&lt;Analysis!$C$66,0,-BH44*AN44)</f>
        <v>-17484.519471815602</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-297236.83102086524</v>
      </c>
      <c r="BS44" s="64">
        <f>IF($B44&lt;Analysis!C$66,0,Analysis!C$31)</f>
        <v>0.1275</v>
      </c>
      <c r="BT44" s="1">
        <f>IF($B44&lt;Analysis!$C$66,0,AN44+BR44)</f>
        <v>2034032.4318878818</v>
      </c>
      <c r="BU44" s="1">
        <f>IF($B44-Analysis!$C$66&gt;3,0,IF($AN44&gt;LOOKUP(Analysis!$C$66,$B:$B, AN:AN),$V44*(LOOKUP(Analysis!$C$66,$B:$B, AN:AN)-AN44),0))</f>
        <v>0</v>
      </c>
      <c r="BV44" s="1">
        <f t="shared" si="23"/>
        <v>2034032.4318878818</v>
      </c>
      <c r="BW44" s="42"/>
      <c r="BX44" s="1">
        <f>IF($B44&lt;Analysis!$C$66,$P44+$N44+$X44+$Z44,$P44+$N44+AS44+AV44+BB44+BE44+BG44+MAX(BI44,SUM(BJ44:BN44))+BP44)</f>
        <v>-76438.327260541846</v>
      </c>
      <c r="BY44" s="1">
        <f t="shared" si="24"/>
        <v>57065.330484314036</v>
      </c>
      <c r="BZ44" s="1">
        <f t="shared" si="46"/>
        <v>-19372.99677622781</v>
      </c>
      <c r="CA44" s="1">
        <f>IF(BZ44 &lt; 0,
    IF(CA43 + BZ44 &gt; 0,
        CA43 + BZ44, IF(CF43-ABS(CA43 + BZ44)*(1+$V44) &gt;= CA43 + BZ44,
        0, CA43 + BZ44)),
    MIN(CA43 + BZ44, Analysis!$C$7))+IF(CA43&lt;0, CA43*Analysis!$C$9,0)</f>
        <v>0</v>
      </c>
      <c r="CB44" s="42"/>
      <c r="CC44" s="1">
        <f t="shared" si="47"/>
        <v>6297.191530119957</v>
      </c>
      <c r="CD44" s="1">
        <f>IF(BZ44 &gt;= 0,
    MAX(0, CA43 + BZ44 - Analysis!$C$7),
    0)</f>
        <v>0</v>
      </c>
      <c r="CE44" s="1">
        <f>IF($B44=Analysis!$C$66,0,MAX(0, CE43 + CD44 - IF(BZ44 &lt; 0, MIN(ABS(BZ44), CE43 + CD44), 0)))</f>
        <v>253334.11492608147</v>
      </c>
      <c r="CF44" s="1">
        <f>IF($B44=Analysis!$C$66,0,IF(BZ44 &lt; 0,
    IF(BZ44 + CA43 &lt; 0,
        MAX(0, CF43 - (ABS(BZ44 + CA43) * (1+$V43))),
        CF43 + CC44),
    CF43 + CD44 + CC44))</f>
        <v>296674.14336016105</v>
      </c>
      <c r="CG44" s="1">
        <f t="shared" si="25"/>
        <v>285243.21086067258</v>
      </c>
      <c r="CH44" s="36"/>
      <c r="CI44" s="1">
        <f>IF(OR($B44&lt;Analysis!$C$100, $B44&gt;=Analysis!$C$130),0,X44)</f>
        <v>0</v>
      </c>
      <c r="CJ44" s="1">
        <f>IF(OR($B44&lt;Analysis!$C$100, $B44&gt;=Analysis!$C$130),0,Z44)</f>
        <v>0</v>
      </c>
      <c r="CK44" s="1">
        <f t="shared" si="60"/>
        <v>1402140.2088509123</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IF($B44&lt;Analysis!$C$130,0,IF($B44=Analysis!$C$130,Analysis!$B$136,IF(($B44-Analysis!$C$130)&lt;LOOKUP(Analysis!$C$130,$B:$B,EE:EE),EI43,0)))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-5849.5661171837091</v>
      </c>
      <c r="EQ44" s="1">
        <f>IF($B44&lt;Analysis!$C$130,0,IF($B44=Analysis!$C$130,EO44*EP44-EP44,IF(($B44-Analysis!$C$130)&lt;Analysis!$C$134,EQ43-EP44,0)))</f>
        <v>-11699.132234367411</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-88116.06653499743</v>
      </c>
      <c r="FM44" s="1">
        <f>$M44+$R44+DD44+IF(AND($B44&lt;&gt;Analysis!$C$130,$B44=Analysis!$C$101),DZ43+CQ43+CT43+CZ43,0)</f>
        <v>57065.330484314036</v>
      </c>
      <c r="FN44" s="1">
        <f t="shared" si="34"/>
        <v>-31050.736050683394</v>
      </c>
      <c r="FO44" s="1">
        <f>IF(FN44 &lt; 0,
    IF(FO43 + FN44 &gt; 0,
        FO43 + FN44, IF(FT43-ABS(FO43 + FN44)*(1+$V44) &gt;= FO43 + FN44,
        0, FO43 + FN44)),
    MIN(FO43 + FN44, Analysis!$C$7))+IF(FO43&lt;0, FO43*Analysis!$C$9,0)</f>
        <v>-205743.85590871921</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1402140.2088509123</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IF($B44&lt;Analysis!$C$159,0,IF($B44=Analysis!$C$159,Analysis!$B$160,IF(($B44-Analysis!$C$159)&lt;LOOKUP(Analysis!$C$159,$B:$B,FZ:FZ),GD43,0)))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54994.524951067549</v>
      </c>
      <c r="GQ44" s="1">
        <f t="shared" si="36"/>
        <v>-4206.4206265527373</v>
      </c>
      <c r="GR44" s="64">
        <f>IF($B44&lt;Analysis!$C$159,0,Analysis!$C$178)</f>
        <v>3.0000000000000001E-3</v>
      </c>
      <c r="GS44" s="1">
        <f t="shared" si="37"/>
        <v>-10516.051566381842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-3512.1078243386105</v>
      </c>
      <c r="HD44" s="1">
        <f t="shared" si="38"/>
        <v>-30494.580017273191</v>
      </c>
      <c r="HE44" s="1">
        <f>MIN(0,-(GN44+HD44)*Analysis!$C$28)-GE44*Analysis!$C$28</f>
        <v>-7237.3846205387608</v>
      </c>
      <c r="HF44" s="1">
        <f>-Analysis!$C$176*GP44/12</f>
        <v>-4582.8770792556288</v>
      </c>
      <c r="HG44" s="38"/>
      <c r="HH44" s="1">
        <f>IF($B44&lt;Analysis!$C$159,0,-$HI44*$FW44)</f>
        <v>-178772.87662849133</v>
      </c>
      <c r="HI44" s="64">
        <f>IF($B44&lt;Analysis!$C$159,0,IF($B44=Analysis!$C$159,Analysis!$C$31,HI43))</f>
        <v>0.1275</v>
      </c>
      <c r="HJ44" s="1">
        <f>IF($B44&lt;Analysis!$C$159,0,$FW44+HH44)</f>
        <v>1223367.332222421</v>
      </c>
      <c r="HK44" s="1">
        <f>IF($B44-Analysis!$C$159&gt;10,0,IF($FW44&gt;LOOKUP(Analysis!$C$159,$B:$B, FW:FW),$V44*(LOOKUP(Analysis!$C$159,$B:$B, FW:FW)-FW44),0))</f>
        <v>0</v>
      </c>
      <c r="HL44" s="1">
        <f t="shared" si="39"/>
        <v>1223367.332222421</v>
      </c>
      <c r="HM44" s="38"/>
      <c r="HN44" s="1">
        <f t="shared" si="40"/>
        <v>-139492.67523079875</v>
      </c>
      <c r="HO44" s="1">
        <f t="shared" si="8"/>
        <v>112059.85543538159</v>
      </c>
      <c r="HP44" s="1">
        <f t="shared" si="41"/>
        <v>-27432.819795417163</v>
      </c>
      <c r="HQ44" s="1">
        <f>IF(HP44 &lt; 0,
    IF(HQ43 + HP44 &gt; 0,
        HQ43 + HP44, IF(HV43-ABS(HQ43 + HP44)*(1+$V44) &gt;= HQ43 + HP44,
        0, HQ43 + HP44)),
    MIN(HQ43 + HP44, Analysis!$C$7))+IF(HQ43&lt;0, HQ43*Analysis!$C$9,0)</f>
        <v>0</v>
      </c>
      <c r="HR44" s="38"/>
      <c r="HS44" s="1">
        <f t="shared" si="54"/>
        <v>29743.35143666013</v>
      </c>
      <c r="HT44" s="1">
        <f>IF($B44=Analysis!$C$159,0,IF(HP44 &gt;= 0,
    MAX(0, HQ43 + HP44 - Analysis!$C$7),
    0))</f>
        <v>0</v>
      </c>
      <c r="HU44" s="1">
        <f>IF($B44=Analysis!$C$159,0,MAX(0, HU43 + HT44 - IF(HP44 &lt; 0, MIN(ABS(HP44), HU43 + HT44), 0)))</f>
        <v>805908.05900821695</v>
      </c>
      <c r="HV44" s="1">
        <f>IF($B44=Analysis!$C$159,0,IF(HP44 &lt; 0,
    IF(HP44 + HQ43 &lt; 0,
        MAX(0, HV43 - (ABS(HP44 + HQ43) * (1+$V43))),
        HV43 + HS44),
    HV43 + HT44 + HS44))</f>
        <v>1482242.6972532137</v>
      </c>
      <c r="HW44" s="1">
        <f t="shared" si="58"/>
        <v>1303859.4364160958</v>
      </c>
      <c r="HX44" s="36"/>
    </row>
    <row r="45" spans="1:232" x14ac:dyDescent="0.35">
      <c r="A45">
        <f t="shared" si="0"/>
        <v>78</v>
      </c>
      <c r="B45">
        <v>2068</v>
      </c>
      <c r="C45" s="1">
        <f>IF($B45&lt;Analysis!C$66,0,$AN45)+$AT45+$AW45+$BC45+$CF45+$CA45</f>
        <v>2669675.3605659371</v>
      </c>
      <c r="D45" s="1">
        <f>IF($B45&lt;Analysis!C$66, 0, BV45)+AT45+AW45+BC45+CG45+CA45</f>
        <v>2353742.4782951293</v>
      </c>
      <c r="E45" s="1">
        <f t="shared" si="1"/>
        <v>1788144.4593570139</v>
      </c>
      <c r="F45" s="1">
        <f t="shared" si="9"/>
        <v>1512342.2699498478</v>
      </c>
      <c r="G45" s="1">
        <f>IF(AND($B45&gt;=Analysis!$C$100, $B45&lt;Analysis!$C$101),$CK45,0)+IF($B45&gt;=Analysis!$C$130,EB45,0)+CQ45+CT45+CZ45+EH45+EK45+EQ45+$FO45+$FT45</f>
        <v>2138699.6651171576</v>
      </c>
      <c r="H45" s="1">
        <f t="shared" si="10"/>
        <v>1832720.5743603846</v>
      </c>
      <c r="I45" s="1">
        <f>IF($B45&lt;Analysis!$C$159,0,$FW45)+$GC45+$GF45+$GL45+$HQ45+$HV45</f>
        <v>2888112.7055023946</v>
      </c>
      <c r="J45" s="1">
        <f t="shared" si="59"/>
        <v>2527763.2872160627</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36328.574449774744</v>
      </c>
      <c r="AI45" s="1">
        <f>IF(AE45 &gt;= 0,
    MAX(0, AF44 + AE45 - Analysis!$C$7),
    0)</f>
        <v>0</v>
      </c>
      <c r="AJ45" s="1">
        <f t="shared" si="44"/>
        <v>742448.95449572103</v>
      </c>
      <c r="AK45" s="1">
        <f t="shared" si="20"/>
        <v>1788144.4593570139</v>
      </c>
      <c r="AL45" s="1">
        <f t="shared" si="5"/>
        <v>1512342.2699498478</v>
      </c>
      <c r="AM45" s="36"/>
      <c r="AN45" s="1">
        <f t="shared" si="45"/>
        <v>2399836.0059354752</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-7199.5080178064254</v>
      </c>
      <c r="BF45" s="64">
        <f>IF($B45&lt;Analysis!$C$66,0,Analysis!$C$78)</f>
        <v>3.0000000000000001E-3</v>
      </c>
      <c r="BG45" s="1">
        <f>IF($B45&lt;Analysis!$C$66,0,-BH45*AN45)</f>
        <v>-17998.770044516063</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-305979.09075677308</v>
      </c>
      <c r="BS45" s="64">
        <f>IF($B45&lt;Analysis!C$66,0,Analysis!C$31)</f>
        <v>0.1275</v>
      </c>
      <c r="BT45" s="1">
        <f>IF($B45&lt;Analysis!$C$66,0,AN45+BR45)</f>
        <v>2093856.9151787022</v>
      </c>
      <c r="BU45" s="1">
        <f>IF($B45-Analysis!$C$66&gt;3,0,IF($AN45&gt;LOOKUP(Analysis!$C$66,$B:$B, AN:AN),$V45*(LOOKUP(Analysis!$C$66,$B:$B, AN:AN)-AN45),0))</f>
        <v>0</v>
      </c>
      <c r="BV45" s="1">
        <f t="shared" si="23"/>
        <v>2093856.9151787022</v>
      </c>
      <c r="BW45" s="42"/>
      <c r="BX45" s="1">
        <f>IF($B45&lt;Analysis!$C$66,$P45+$N45+$X45+$Z45,$P45+$N45+AS45+AV45+BB45+BE45+BG45+MAX(BI45,SUM(BJ45:BN45))+BP45)</f>
        <v>-77158.278062322483</v>
      </c>
      <c r="BY45" s="1">
        <f t="shared" si="24"/>
        <v>55924.023874627754</v>
      </c>
      <c r="BZ45" s="1">
        <f t="shared" si="46"/>
        <v>-21234.254187694729</v>
      </c>
      <c r="CA45" s="1">
        <f>IF(BZ45 &lt; 0,
    IF(CA44 + BZ45 &gt; 0,
        CA44 + BZ45, IF(CF44-ABS(CA44 + BZ45)*(1+$V45) &gt;= CA44 + BZ45,
        0, CA44 + BZ45)),
    MIN(CA44 + BZ45, Analysis!$C$7))+IF(CA44&lt;0, CA44*Analysis!$C$9,0)</f>
        <v>0</v>
      </c>
      <c r="CB45" s="42"/>
      <c r="CC45" s="1">
        <f t="shared" si="47"/>
        <v>5817.14006588549</v>
      </c>
      <c r="CD45" s="1">
        <f>IF(BZ45 &gt;= 0,
    MAX(0, CA44 + BZ45 - Analysis!$C$7),
    0)</f>
        <v>0</v>
      </c>
      <c r="CE45" s="1">
        <f>IF($B45=Analysis!$C$66,0,MAX(0, CE44 + CD45 - IF(BZ45 &lt; 0, MIN(ABS(BZ45), CE44 + CD45), 0)))</f>
        <v>232099.86073838675</v>
      </c>
      <c r="CF45" s="1">
        <f>IF($B45=Analysis!$C$66,0,IF(BZ45 &lt; 0,
    IF(BZ45 + CA44 &lt; 0,
        MAX(0, CF44 - (ABS(BZ45 + CA44) * (1+$V44))),
        CF44 + CC45),
    CF44 + CD45 + CC45))</f>
        <v>269839.35463046184</v>
      </c>
      <c r="CG45" s="1">
        <f t="shared" si="25"/>
        <v>259885.56311642705</v>
      </c>
      <c r="CH45" s="36"/>
      <c r="CI45" s="1">
        <f>IF(OR($B45&lt;Analysis!$C$100, $B45&gt;=Analysis!$C$130),0,X45)</f>
        <v>0</v>
      </c>
      <c r="CJ45" s="1">
        <f>IF(OR($B45&lt;Analysis!$C$100, $B45&gt;=Analysis!$C$130),0,Z45)</f>
        <v>0</v>
      </c>
      <c r="CK45" s="1">
        <f t="shared" si="60"/>
        <v>1443379.6267582923</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IF($B45&lt;Analysis!$C$130,0,IF($B45=Analysis!$C$130,Analysis!$B$136,IF(($B45-Analysis!$C$130)&lt;LOOKUP(Analysis!$C$130,$B:$B,EE:EE),EI44,0)))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-5849.5661171837091</v>
      </c>
      <c r="EQ45" s="1">
        <f>IF($B45&lt;Analysis!$C$130,0,IF($B45=Analysis!$C$130,EO45*EP45-EP45,IF(($B45-Analysis!$C$130)&lt;Analysis!$C$134,EQ44-EP45,0)))</f>
        <v>-5849.5661171837019</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-89007.434194344882</v>
      </c>
      <c r="FM45" s="1">
        <f>$M45+$R45+DD45+IF(AND($B45&lt;&gt;Analysis!$C$130,$B45=Analysis!$C$101),DZ44+CQ44+CT44+CZ44,0)</f>
        <v>55924.023874627754</v>
      </c>
      <c r="FN45" s="1">
        <f t="shared" si="34"/>
        <v>-33083.410319717128</v>
      </c>
      <c r="FO45" s="1">
        <f>IF(FN45 &lt; 0,
    IF(FO44 + FN45 &gt; 0,
        FO44 + FN45, IF(FT44-ABS(FO44 + FN45)*(1+$V45) &gt;= FO44 + FN45,
        0, FO44 + FN45)),
    MIN(FO44 + FN45, Analysis!$C$7))+IF(FO44&lt;0, FO44*Analysis!$C$9,0)</f>
        <v>-255286.77470113389</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1443379.6267582923</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IF($B45&lt;Analysis!$C$159,0,IF($B45=Analysis!$C$159,Analysis!$B$160,IF(($B45-Analysis!$C$159)&lt;LOOKUP(Analysis!$C$159,$B:$B,FZ:FZ),GD44,0)))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56495.540390804832</v>
      </c>
      <c r="GQ45" s="1">
        <f t="shared" si="36"/>
        <v>-4330.138880274877</v>
      </c>
      <c r="GR45" s="64">
        <f>IF($B45&lt;Analysis!$C$159,0,Analysis!$C$178)</f>
        <v>3.0000000000000001E-3</v>
      </c>
      <c r="GS45" s="1">
        <f t="shared" si="37"/>
        <v>-10825.347200687193</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-3615.4051132897466</v>
      </c>
      <c r="HD45" s="1">
        <f t="shared" si="38"/>
        <v>-31030.891194251817</v>
      </c>
      <c r="HE45" s="1">
        <f>MIN(0,-(GN45+HD45)*Analysis!$C$28)-GE45*Analysis!$C$28</f>
        <v>-7610.0255211428421</v>
      </c>
      <c r="HF45" s="1">
        <f>-Analysis!$C$176*GP45/12</f>
        <v>-4707.961699233736</v>
      </c>
      <c r="HG45" s="38"/>
      <c r="HH45" s="1">
        <f>IF($B45&lt;Analysis!$C$159,0,-$HI45*$FW45)</f>
        <v>-184030.90241168227</v>
      </c>
      <c r="HI45" s="64">
        <f>IF($B45&lt;Analysis!$C$159,0,IF($B45=Analysis!$C$159,Analysis!$C$31,HI44))</f>
        <v>0.1275</v>
      </c>
      <c r="HJ45" s="1">
        <f>IF($B45&lt;Analysis!$C$159,0,$FW45+HH45)</f>
        <v>1259348.72434661</v>
      </c>
      <c r="HK45" s="1">
        <f>IF($B45-Analysis!$C$159&gt;10,0,IF($FW45&gt;LOOKUP(Analysis!$C$159,$B:$B, FW:FW),$V45*(LOOKUP(Analysis!$C$159,$B:$B, FW:FW)-FW45),0))</f>
        <v>0</v>
      </c>
      <c r="HL45" s="1">
        <f t="shared" si="39"/>
        <v>1259348.72434661</v>
      </c>
      <c r="HM45" s="38"/>
      <c r="HN45" s="1">
        <f t="shared" si="40"/>
        <v>-142100.76585523403</v>
      </c>
      <c r="HO45" s="1">
        <f t="shared" si="8"/>
        <v>112419.56426543259</v>
      </c>
      <c r="HP45" s="1">
        <f t="shared" si="41"/>
        <v>-29681.201589801436</v>
      </c>
      <c r="HQ45" s="1">
        <f>IF(HP45 &lt; 0,
    IF(HQ44 + HP45 &gt; 0,
        HQ44 + HP45, IF(HV44-ABS(HQ44 + HP45)*(1+$V45) &gt;= HQ44 + HP45,
        0, HQ44 + HP45)),
    MIN(HQ44 + HP45, Analysis!$C$7))+IF(HQ44&lt;0, HQ44*Analysis!$C$9,0)</f>
        <v>0</v>
      </c>
      <c r="HR45" s="38"/>
      <c r="HS45" s="1">
        <f t="shared" si="54"/>
        <v>29063.582299082518</v>
      </c>
      <c r="HT45" s="1">
        <f>IF($B45=Analysis!$C$159,0,IF(HP45 &gt;= 0,
    MAX(0, HQ44 + HP45 - Analysis!$C$7),
    0))</f>
        <v>0</v>
      </c>
      <c r="HU45" s="1">
        <f>IF($B45=Analysis!$C$159,0,MAX(0, HU44 + HT45 - IF(HP45 &lt; 0, MIN(ABS(HP45), HU44 + HT45), 0)))</f>
        <v>776226.85741841549</v>
      </c>
      <c r="HV45" s="1">
        <f>IF($B45=Analysis!$C$159,0,IF(HP45 &lt; 0,
    IF(HP45 + HQ44 &lt; 0,
        MAX(0, HV44 - (ABS(HP45 + HQ44) * (1+$V44))),
        HV44 + HS45),
    HV44 + HT45 + HS45))</f>
        <v>1444733.0787441023</v>
      </c>
      <c r="HW45" s="1">
        <f t="shared" si="58"/>
        <v>1268414.5628694524</v>
      </c>
      <c r="HX45" s="36"/>
    </row>
    <row r="46" spans="1:232" x14ac:dyDescent="0.35">
      <c r="A46">
        <f t="shared" si="0"/>
        <v>79</v>
      </c>
      <c r="B46">
        <v>2069</v>
      </c>
      <c r="C46" s="1">
        <f>IF($B46&lt;Analysis!C$66,0,$AN46)+$AT46+$AW46+$BC46+$CF46+$CA46</f>
        <v>2711073.906310284</v>
      </c>
      <c r="D46" s="1">
        <f>IF($B46&lt;Analysis!C$66, 0, BV46)+AT46+AW46+BC46+CG46+CA46</f>
        <v>2387748.1417717487</v>
      </c>
      <c r="E46" s="1">
        <f t="shared" si="1"/>
        <v>1720070.4252263997</v>
      </c>
      <c r="F46" s="1">
        <f t="shared" si="9"/>
        <v>1448015.4218646456</v>
      </c>
      <c r="G46" s="1">
        <f>IF(AND($B46&gt;=Analysis!$C$100, $B46&lt;Analysis!$C$101),$CK46,0)+IF($B46&gt;=Analysis!$C$130,EB46,0)+CQ46+CT46+CZ46+EH46+EK46+EQ46+$FO46+$FT46</f>
        <v>2159590.2260451093</v>
      </c>
      <c r="H46" s="1">
        <f t="shared" si="10"/>
        <v>1844611.7502660779</v>
      </c>
      <c r="I46" s="1">
        <f>IF($B46&lt;Analysis!$C$159,0,$FW46)+$GC46+$GF46+$GL46+$HQ46+$HV46</f>
        <v>2890201.7339808848</v>
      </c>
      <c r="J46" s="1">
        <f t="shared" si="59"/>
        <v>2526661.470827722</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35061.656065823678</v>
      </c>
      <c r="AI46" s="1">
        <f>IF(AE46 &gt;= 0,
    MAX(0, AF45 + AE46 - Analysis!$C$7),
    0)</f>
        <v>0</v>
      </c>
      <c r="AJ46" s="1">
        <f t="shared" si="44"/>
        <v>688582.26082164457</v>
      </c>
      <c r="AK46" s="1">
        <f t="shared" si="20"/>
        <v>1720070.4252263997</v>
      </c>
      <c r="AL46" s="1">
        <f t="shared" si="5"/>
        <v>1448015.4218646456</v>
      </c>
      <c r="AM46" s="36"/>
      <c r="AN46" s="1">
        <f t="shared" si="45"/>
        <v>2470419.4178747544</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-7411.2582536242635</v>
      </c>
      <c r="BF46" s="64">
        <f>IF($B46&lt;Analysis!$C$66,0,Analysis!$C$78)</f>
        <v>3.0000000000000001E-3</v>
      </c>
      <c r="BG46" s="1">
        <f>IF($B46&lt;Analysis!$C$66,0,-BH46*AN46)</f>
        <v>-18528.145634060656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-314978.47577903117</v>
      </c>
      <c r="BS46" s="64">
        <f>IF($B46&lt;Analysis!C$66,0,Analysis!C$31)</f>
        <v>0.1275</v>
      </c>
      <c r="BT46" s="1">
        <f>IF($B46&lt;Analysis!$C$66,0,AN46+BR46)</f>
        <v>2155440.942095723</v>
      </c>
      <c r="BU46" s="1">
        <f>IF($B46-Analysis!$C$66&gt;3,0,IF($AN46&gt;LOOKUP(Analysis!$C$66,$B:$B, AN:AN),$V46*(LOOKUP(Analysis!$C$66,$B:$B, AN:AN)-AN46),0))</f>
        <v>0</v>
      </c>
      <c r="BV46" s="1">
        <f t="shared" si="23"/>
        <v>2155440.942095723</v>
      </c>
      <c r="BW46" s="42"/>
      <c r="BX46" s="1">
        <f>IF($B46&lt;Analysis!$C$66,$P46+$N46+$X46+$Z46,$P46+$N46+AS46+AV46+BB46+BE46+BG46+MAX(BI46,SUM(BJ46:BN46))+BP46)</f>
        <v>-77899.403887684923</v>
      </c>
      <c r="BY46" s="1">
        <f t="shared" si="24"/>
        <v>54805.543397135196</v>
      </c>
      <c r="BZ46" s="1">
        <f t="shared" si="46"/>
        <v>-23093.860490549727</v>
      </c>
      <c r="CA46" s="1">
        <f>IF(BZ46 &lt; 0,
    IF(CA45 + BZ46 &gt; 0,
        CA45 + BZ46, IF(CF45-ABS(CA45 + BZ46)*(1+$V46) &gt;= CA45 + BZ46,
        0, CA45 + BZ46)),
    MIN(CA45 + BZ46, Analysis!$C$7))+IF(CA45&lt;0, CA45*Analysis!$C$9,0)</f>
        <v>0</v>
      </c>
      <c r="CB46" s="42"/>
      <c r="CC46" s="1">
        <f t="shared" si="47"/>
        <v>5290.9677378521737</v>
      </c>
      <c r="CD46" s="1">
        <f>IF(BZ46 &gt;= 0,
    MAX(0, CA45 + BZ46 - Analysis!$C$7),
    0)</f>
        <v>0</v>
      </c>
      <c r="CE46" s="1">
        <f>IF($B46=Analysis!$C$66,0,MAX(0, CE45 + CD46 - IF(BZ46 &lt; 0, MIN(ABS(BZ46), CE45 + CD46), 0)))</f>
        <v>209006.00024783702</v>
      </c>
      <c r="CF46" s="1">
        <f>IF($B46=Analysis!$C$66,0,IF(BZ46 &lt; 0,
    IF(BZ46 + CA45 &lt; 0,
        MAX(0, CF45 - (ABS(BZ46 + CA45) * (1+$V45))),
        CF45 + CC46),
    CF45 + CD46 + CC46))</f>
        <v>240654.48843552961</v>
      </c>
      <c r="CG46" s="1">
        <f t="shared" si="25"/>
        <v>232307.19967602569</v>
      </c>
      <c r="CH46" s="36"/>
      <c r="CI46" s="1">
        <f>IF(OR($B46&lt;Analysis!$C$100, $B46&gt;=Analysis!$C$130),0,X46)</f>
        <v>0</v>
      </c>
      <c r="CJ46" s="1">
        <f>IF(OR($B46&lt;Analysis!$C$100, $B46&gt;=Analysis!$C$130),0,Z46)</f>
        <v>0</v>
      </c>
      <c r="CK46" s="1">
        <f t="shared" si="60"/>
        <v>1485831.9687217716</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IF($B46&lt;Analysis!$C$130,0,IF($B46=Analysis!$C$130,Analysis!$B$136,IF(($B46-Analysis!$C$130)&lt;LOOKUP(Analysis!$C$130,$B:$B,EE:EE),EI45,0)))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-5849.5661171837091</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-89925.01854955552</v>
      </c>
      <c r="FM46" s="1">
        <f>$M46+$R46+DD46+IF(AND($B46&lt;&gt;Analysis!$C$130,$B46=Analysis!$C$101),DZ45+CQ45+CT45+CZ45,0)</f>
        <v>54805.543397135196</v>
      </c>
      <c r="FN46" s="1">
        <f t="shared" si="34"/>
        <v>-35119.475152420324</v>
      </c>
      <c r="FO46" s="1">
        <f>IF(FN46 &lt; 0,
    IF(FO45 + FN46 &gt; 0,
        FO45 + FN46, IF(FT45-ABS(FO45 + FN46)*(1+$V46) &gt;= FO45 + FN46,
        0, FO45 + FN46)),
    MIN(FO45 + FN46, Analysis!$C$7))+IF(FO45&lt;0, FO45*Analysis!$C$9,0)</f>
        <v>-310829.19182964496</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1485831.9687217716</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IF($B46&lt;Analysis!$C$159,0,IF($B46=Analysis!$C$159,Analysis!$B$160,IF(($B46-Analysis!$C$159)&lt;LOOKUP(Analysis!$C$159,$B:$B,FZ:FZ),GD45,0)))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58040.703343475565</v>
      </c>
      <c r="GQ46" s="1">
        <f t="shared" si="36"/>
        <v>-4457.4959061653153</v>
      </c>
      <c r="GR46" s="64">
        <f>IF($B46&lt;Analysis!$C$159,0,Analysis!$C$178)</f>
        <v>3.0000000000000001E-3</v>
      </c>
      <c r="GS46" s="1">
        <f t="shared" si="37"/>
        <v>-11143.739765413287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-3721.7405577982686</v>
      </c>
      <c r="HD46" s="1">
        <f t="shared" si="38"/>
        <v>-31582.976229376869</v>
      </c>
      <c r="HE46" s="1">
        <f>MIN(0,-(GN46+HD46)*Analysis!$C$28)-GE46*Analysis!$C$28</f>
        <v>-7993.6264482352808</v>
      </c>
      <c r="HF46" s="1">
        <f>-Analysis!$C$176*GP46/12</f>
        <v>-4836.7252786229637</v>
      </c>
      <c r="HG46" s="38"/>
      <c r="HH46" s="1">
        <f>IF($B46&lt;Analysis!$C$159,0,-$HI46*$FW46)</f>
        <v>-189443.57601202588</v>
      </c>
      <c r="HI46" s="64">
        <f>IF($B46&lt;Analysis!$C$159,0,IF($B46=Analysis!$C$159,Analysis!$C$31,HI45))</f>
        <v>0.1275</v>
      </c>
      <c r="HJ46" s="1">
        <f>IF($B46&lt;Analysis!$C$159,0,$FW46+HH46)</f>
        <v>1296388.3927097458</v>
      </c>
      <c r="HK46" s="1">
        <f>IF($B46-Analysis!$C$159&gt;10,0,IF($FW46&gt;LOOKUP(Analysis!$C$159,$B:$B, FW:FW),$V46*(LOOKUP(Analysis!$C$159,$B:$B, FW:FW)-FW46),0))</f>
        <v>0</v>
      </c>
      <c r="HL46" s="1">
        <f t="shared" si="39"/>
        <v>1296388.3927097458</v>
      </c>
      <c r="HM46" s="38"/>
      <c r="HN46" s="1">
        <f t="shared" si="40"/>
        <v>-144785.56502744684</v>
      </c>
      <c r="HO46" s="1">
        <f t="shared" si="8"/>
        <v>112846.24674061076</v>
      </c>
      <c r="HP46" s="1">
        <f t="shared" si="41"/>
        <v>-31939.318286836075</v>
      </c>
      <c r="HQ46" s="1">
        <f>IF(HP46 &lt; 0,
    IF(HQ45 + HP46 &gt; 0,
        HQ45 + HP46, IF(HV45-ABS(HQ45 + HP46)*(1+$V46) &gt;= HQ45 + HP46,
        0, HQ45 + HP46)),
    MIN(HQ45 + HP46, Analysis!$C$7))+IF(HQ45&lt;0, HQ45*Analysis!$C$9,0)</f>
        <v>0</v>
      </c>
      <c r="HR46" s="38"/>
      <c r="HS46" s="1">
        <f t="shared" si="54"/>
        <v>28328.09958321759</v>
      </c>
      <c r="HT46" s="1">
        <f>IF($B46=Analysis!$C$159,0,IF(HP46 &gt;= 0,
    MAX(0, HQ45 + HP46 - Analysis!$C$7),
    0))</f>
        <v>0</v>
      </c>
      <c r="HU46" s="1">
        <f>IF($B46=Analysis!$C$159,0,MAX(0, HU45 + HT46 - IF(HP46 &lt; 0, MIN(ABS(HP46), HU45 + HT46), 0)))</f>
        <v>744287.53913157945</v>
      </c>
      <c r="HV46" s="1">
        <f>IF($B46=Analysis!$C$159,0,IF(HP46 &lt; 0,
    IF(HP46 + HQ45 &lt; 0,
        MAX(0, HV45 - (ABS(HP46 + HQ45) * (1+$V45))),
        HV45 + HS46),
    HV45 + HT46 + HS46))</f>
        <v>1404369.7652591132</v>
      </c>
      <c r="HW46" s="1">
        <f t="shared" si="58"/>
        <v>1230273.0781179762</v>
      </c>
      <c r="HX46" s="36"/>
    </row>
    <row r="47" spans="1:232" x14ac:dyDescent="0.35">
      <c r="A47">
        <f t="shared" si="0"/>
        <v>80</v>
      </c>
      <c r="B47">
        <v>2070</v>
      </c>
      <c r="C47" s="1">
        <f>IF($B47&lt;Analysis!C$66,0,$AN47)+$AT47+$AW47+$BC47+$CF47+$CA47</f>
        <v>2752199.0798945688</v>
      </c>
      <c r="D47" s="1">
        <f>IF($B47&lt;Analysis!C$66, 0, BV47)+AT47+AW47+BC47+CG47+CA47</f>
        <v>2421345.0672864956</v>
      </c>
      <c r="E47" s="1">
        <f t="shared" si="1"/>
        <v>1648503.2371746951</v>
      </c>
      <c r="F47" s="1">
        <f t="shared" si="9"/>
        <v>1380387.7031245753</v>
      </c>
      <c r="G47" s="1">
        <f>IF(AND($B47&gt;=Analysis!$C$100, $B47&lt;Analysis!$C$101),$CK47,0)+IF($B47&gt;=Analysis!$C$130,EB47,0)+CQ47+CT47+CZ47+EH47+EK47+EQ47+$FO47+$FT47</f>
        <v>2176072.6933085704</v>
      </c>
      <c r="H47" s="1">
        <f t="shared" si="10"/>
        <v>1851830.1447125087</v>
      </c>
      <c r="I47" s="1">
        <f>IF($B47&lt;Analysis!$C$159,0,$FW47)+$GC47+$GF47+$GL47+$HQ47+$HV47</f>
        <v>2890671.5760978907</v>
      </c>
      <c r="J47" s="1">
        <f t="shared" si="59"/>
        <v>2523939.1311434619</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33726.871082870464</v>
      </c>
      <c r="AI47" s="1">
        <f>IF(AE47 &gt;= 0,
    MAX(0, AF46 + AE47 - Analysis!$C$7),
    0)</f>
        <v>0</v>
      </c>
      <c r="AJ47" s="1">
        <f t="shared" si="44"/>
        <v>631951.44930694264</v>
      </c>
      <c r="AK47" s="1">
        <f t="shared" si="20"/>
        <v>1648503.2371746951</v>
      </c>
      <c r="AL47" s="1">
        <f t="shared" si="5"/>
        <v>1380387.7031245753</v>
      </c>
      <c r="AM47" s="36"/>
      <c r="AN47" s="1">
        <f t="shared" si="45"/>
        <v>2543078.8125181301</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-7629.2364375543902</v>
      </c>
      <c r="BF47" s="64">
        <f>IF($B47&lt;Analysis!$C$66,0,Analysis!$C$78)</f>
        <v>3.0000000000000001E-3</v>
      </c>
      <c r="BG47" s="1">
        <f>IF($B47&lt;Analysis!$C$66,0,-BH47*AN47)</f>
        <v>-19073.091093885974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-324242.54859606159</v>
      </c>
      <c r="BS47" s="64">
        <f>IF($B47&lt;Analysis!C$66,0,Analysis!C$31)</f>
        <v>0.1275</v>
      </c>
      <c r="BT47" s="1">
        <f>IF($B47&lt;Analysis!$C$66,0,AN47+BR47)</f>
        <v>2218836.2639220683</v>
      </c>
      <c r="BU47" s="1">
        <f>IF($B47-Analysis!$C$66&gt;3,0,IF($AN47&gt;LOOKUP(Analysis!$C$66,$B:$B, AN:AN),$V47*(LOOKUP(Analysis!$C$66,$B:$B, AN:AN)-AN47),0))</f>
        <v>0</v>
      </c>
      <c r="BV47" s="1">
        <f t="shared" si="23"/>
        <v>2218836.2639220683</v>
      </c>
      <c r="BW47" s="42"/>
      <c r="BX47" s="1">
        <f>IF($B47&lt;Analysis!$C$66,$P47+$N47+$X47+$Z47,$P47+$N47+AS47+AV47+BB47+BE47+BG47+MAX(BI47,SUM(BJ47:BN47))+BP47)</f>
        <v>-78662.327531440358</v>
      </c>
      <c r="BY47" s="1">
        <f t="shared" si="24"/>
        <v>53709.432529192491</v>
      </c>
      <c r="BZ47" s="1">
        <f t="shared" si="46"/>
        <v>-24952.895002247868</v>
      </c>
      <c r="CA47" s="1">
        <f>IF(BZ47 &lt; 0,
    IF(CA46 + BZ47 &gt; 0,
        CA46 + BZ47, IF(CF46-ABS(CA46 + BZ47)*(1+$V47) &gt;= CA46 + BZ47,
        0, CA46 + BZ47)),
    MIN(CA46 + BZ47, Analysis!$C$7))+IF(CA46&lt;0, CA46*Analysis!$C$9,0)</f>
        <v>0</v>
      </c>
      <c r="CB47" s="42"/>
      <c r="CC47" s="1">
        <f t="shared" si="47"/>
        <v>4718.7154595201719</v>
      </c>
      <c r="CD47" s="1">
        <f>IF(BZ47 &gt;= 0,
    MAX(0, CA46 + BZ47 - Analysis!$C$7),
    0)</f>
        <v>0</v>
      </c>
      <c r="CE47" s="1">
        <f>IF($B47=Analysis!$C$66,0,MAX(0, CE46 + CD47 - IF(BZ47 &lt; 0, MIN(ABS(BZ47), CE46 + CD47), 0)))</f>
        <v>184053.10524558916</v>
      </c>
      <c r="CF47" s="1">
        <f>IF($B47=Analysis!$C$66,0,IF(BZ47 &lt; 0,
    IF(BZ47 + CA46 &lt; 0,
        MAX(0, CF46 - (ABS(BZ47 + CA46) * (1+$V46))),
        CF46 + CC47),
    CF46 + CD47 + CC47))</f>
        <v>209120.26737643886</v>
      </c>
      <c r="CG47" s="1">
        <f t="shared" si="25"/>
        <v>202508.80336442727</v>
      </c>
      <c r="CH47" s="36"/>
      <c r="CI47" s="1">
        <f>IF(OR($B47&lt;Analysis!$C$100, $B47&gt;=Analysis!$C$130),0,X47)</f>
        <v>0</v>
      </c>
      <c r="CJ47" s="1">
        <f>IF(OR($B47&lt;Analysis!$C$100, $B47&gt;=Analysis!$C$130),0,Z47)</f>
        <v>0</v>
      </c>
      <c r="CK47" s="1">
        <f t="shared" si="60"/>
        <v>1529532.9089782946</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IF($B47&lt;Analysis!$C$130,0,IF($B47=Analysis!$C$130,Analysis!$B$136,IF(($B47-Analysis!$C$130)&lt;LOOKUP(Analysis!$C$130,$B:$B,EE:EE),EI46,0)))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-367006.11920955975</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1529532.9089782946</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IF($B47&lt;Analysis!$C$159,0,IF($B47=Analysis!$C$159,Analysis!$B$160,IF(($B47-Analysis!$C$159)&lt;LOOKUP(Analysis!$C$159,$B:$B,FZ:FZ),GD46,0)))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59631.312265342502</v>
      </c>
      <c r="GQ47" s="1">
        <f t="shared" si="36"/>
        <v>-4588.5987269348834</v>
      </c>
      <c r="GR47" s="64">
        <f>IF($B47&lt;Analysis!$C$159,0,Analysis!$C$178)</f>
        <v>3.0000000000000001E-3</v>
      </c>
      <c r="GS47" s="1">
        <f t="shared" si="37"/>
        <v>-11471.496817337209</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-3831.2035153805709</v>
      </c>
      <c r="HD47" s="1">
        <f t="shared" si="38"/>
        <v>-32151.299059652662</v>
      </c>
      <c r="HE47" s="1">
        <f>MIN(0,-(GN47+HD47)*Analysis!$C$28)-GE47*Analysis!$C$28</f>
        <v>-8388.5097555363191</v>
      </c>
      <c r="HF47" s="1">
        <f>-Analysis!$C$176*GP47/12</f>
        <v>-4969.2760221118751</v>
      </c>
      <c r="HG47" s="38"/>
      <c r="HH47" s="1">
        <f>IF($B47&lt;Analysis!$C$159,0,-$HI47*$FW47)</f>
        <v>-195015.44589473258</v>
      </c>
      <c r="HI47" s="64">
        <f>IF($B47&lt;Analysis!$C$159,0,IF($B47=Analysis!$C$159,Analysis!$C$31,HI46))</f>
        <v>0.1275</v>
      </c>
      <c r="HJ47" s="1">
        <f>IF($B47&lt;Analysis!$C$159,0,$FW47+HH47)</f>
        <v>1334517.463083562</v>
      </c>
      <c r="HK47" s="1">
        <f>IF($B47-Analysis!$C$159&gt;10,0,IF($FW47&gt;LOOKUP(Analysis!$C$159,$B:$B, FW:FW),$V47*(LOOKUP(Analysis!$C$159,$B:$B, FW:FW)-FW47),0))</f>
        <v>0</v>
      </c>
      <c r="HL47" s="1">
        <f t="shared" si="39"/>
        <v>1334517.463083562</v>
      </c>
      <c r="HM47" s="38"/>
      <c r="HN47" s="1">
        <f t="shared" si="40"/>
        <v>-147549.32888119528</v>
      </c>
      <c r="HO47" s="1">
        <f t="shared" si="8"/>
        <v>113340.74479453498</v>
      </c>
      <c r="HP47" s="1">
        <f t="shared" si="41"/>
        <v>-34208.584086660296</v>
      </c>
      <c r="HQ47" s="1">
        <f>IF(HP47 &lt; 0,
    IF(HQ46 + HP47 &gt; 0,
        HQ46 + HP47, IF(HV46-ABS(HQ46 + HP47)*(1+$V47) &gt;= HQ46 + HP47,
        0, HQ46 + HP47)),
    MIN(HQ46 + HP47, Analysis!$C$7))+IF(HQ46&lt;0, HQ46*Analysis!$C$9,0)</f>
        <v>0</v>
      </c>
      <c r="HR47" s="38"/>
      <c r="HS47" s="1">
        <f t="shared" si="54"/>
        <v>27536.662063904081</v>
      </c>
      <c r="HT47" s="1">
        <f>IF($B47=Analysis!$C$159,0,IF(HP47 &gt;= 0,
    MAX(0, HQ46 + HP47 - Analysis!$C$7),
    0))</f>
        <v>0</v>
      </c>
      <c r="HU47" s="1">
        <f>IF($B47=Analysis!$C$159,0,MAX(0, HU46 + HT47 - IF(HP47 &lt; 0, MIN(ABS(HP47), HU46 + HT47), 0)))</f>
        <v>710078.95504491916</v>
      </c>
      <c r="HV47" s="1">
        <f>IF($B47=Analysis!$C$159,0,IF(HP47 &lt; 0,
    IF(HP47 + HQ46 &lt; 0,
        MAX(0, HV46 - (ABS(HP47 + HQ46) * (1+$V46))),
        HV46 + HS47),
    HV46 + HT47 + HS47))</f>
        <v>1361138.6671195962</v>
      </c>
      <c r="HW47" s="1">
        <f t="shared" si="58"/>
        <v>1189421.6680599002</v>
      </c>
      <c r="HX47" s="36"/>
    </row>
    <row r="48" spans="1:232" x14ac:dyDescent="0.35">
      <c r="A48">
        <f t="shared" si="0"/>
        <v>81</v>
      </c>
      <c r="B48">
        <v>2071</v>
      </c>
      <c r="C48" s="1">
        <f>IF($B48&lt;Analysis!C$66,0,$AN48)+$AT48+$AW48+$BC48+$CF48+$CA48</f>
        <v>2793111.2866371349</v>
      </c>
      <c r="D48" s="1">
        <f>IF($B48&lt;Analysis!C$66, 0, BV48)+AT48+AW48+BC48+CG48+CA48</f>
        <v>2454585.9111672514</v>
      </c>
      <c r="E48" s="1">
        <f t="shared" si="1"/>
        <v>1573408.6010566838</v>
      </c>
      <c r="F48" s="1">
        <f t="shared" si="9"/>
        <v>1309426.7073312551</v>
      </c>
      <c r="G48" s="1">
        <f>IF(AND($B48&gt;=Analysis!$C$100, $B48&lt;Analysis!$C$101),$CK48,0)+IF($B48&gt;=Analysis!$C$130,EB48,0)+CQ48+CT48+CZ48+EH48+EK48+EQ48+$FO48+$FT48</f>
        <v>2188151.505086367</v>
      </c>
      <c r="H48" s="1">
        <f t="shared" si="10"/>
        <v>1854372.4109433624</v>
      </c>
      <c r="I48" s="1">
        <f>IF($B48&lt;Analysis!$C$159,0,$FW48)+$GC48+$GF48+$GL48+$HQ48+$HV48</f>
        <v>2889543.0544011258</v>
      </c>
      <c r="J48" s="1">
        <f t="shared" si="59"/>
        <v>2519613.283746046</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32323.59288577822</v>
      </c>
      <c r="AI48" s="1">
        <f>IF(AE48 &gt;= 0,
    MAX(0, AF47 + AE48 - Analysis!$C$7),
    0)</f>
        <v>0</v>
      </c>
      <c r="AJ48" s="1">
        <f t="shared" si="44"/>
        <v>572529.38314036583</v>
      </c>
      <c r="AK48" s="1">
        <f t="shared" si="20"/>
        <v>1573408.6010566838</v>
      </c>
      <c r="AL48" s="1">
        <f t="shared" si="5"/>
        <v>1309426.7073312551</v>
      </c>
      <c r="AM48" s="36"/>
      <c r="AN48" s="1">
        <f t="shared" si="45"/>
        <v>2617875.2481804285</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-7853.6257445412857</v>
      </c>
      <c r="BF48" s="64">
        <f>IF($B48&lt;Analysis!$C$66,0,Analysis!$C$78)</f>
        <v>3.0000000000000001E-3</v>
      </c>
      <c r="BG48" s="1">
        <f>IF($B48&lt;Analysis!$C$66,0,-BH48*AN48)</f>
        <v>-19634.064361353212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-333779.09414300462</v>
      </c>
      <c r="BS48" s="64">
        <f>IF($B48&lt;Analysis!C$66,0,Analysis!C$31)</f>
        <v>0.1275</v>
      </c>
      <c r="BT48" s="1">
        <f>IF($B48&lt;Analysis!$C$66,0,AN48+BR48)</f>
        <v>2284096.1540374239</v>
      </c>
      <c r="BU48" s="1">
        <f>IF($B48-Analysis!$C$66&gt;3,0,IF($AN48&gt;LOOKUP(Analysis!$C$66,$B:$B, AN:AN),$V48*(LOOKUP(Analysis!$C$66,$B:$B, AN:AN)-AN48),0))</f>
        <v>0</v>
      </c>
      <c r="BV48" s="1">
        <f t="shared" si="23"/>
        <v>2284096.1540374239</v>
      </c>
      <c r="BW48" s="42"/>
      <c r="BX48" s="1">
        <f>IF($B48&lt;Analysis!$C$66,$P48+$N48+$X48+$Z48,$P48+$N48+AS48+AV48+BB48+BE48+BG48+MAX(BI48,SUM(BJ48:BN48))+BP48)</f>
        <v>-79447.690105894493</v>
      </c>
      <c r="BY48" s="1">
        <f t="shared" si="24"/>
        <v>52635.243878608642</v>
      </c>
      <c r="BZ48" s="1">
        <f t="shared" si="46"/>
        <v>-26812.446227285851</v>
      </c>
      <c r="CA48" s="1">
        <f>IF(BZ48 &lt; 0,
    IF(CA47 + BZ48 &gt; 0,
        CA47 + BZ48, IF(CF47-ABS(CA47 + BZ48)*(1+$V48) &gt;= CA47 + BZ48,
        0, CA47 + BZ48)),
    MIN(CA47 + BZ48, Analysis!$C$7))+IF(CA47&lt;0, CA47*Analysis!$C$9,0)</f>
        <v>0</v>
      </c>
      <c r="CB48" s="42"/>
      <c r="CC48" s="1">
        <f t="shared" si="47"/>
        <v>4100.397399538002</v>
      </c>
      <c r="CD48" s="1">
        <f>IF(BZ48 &gt;= 0,
    MAX(0, CA47 + BZ48 - Analysis!$C$7),
    0)</f>
        <v>0</v>
      </c>
      <c r="CE48" s="1">
        <f>IF($B48=Analysis!$C$66,0,MAX(0, CE47 + CD48 - IF(BZ48 &lt; 0, MIN(ABS(BZ48), CE47 + CD48), 0)))</f>
        <v>157240.65901830333</v>
      </c>
      <c r="CF48" s="1">
        <f>IF($B48=Analysis!$C$66,0,IF(BZ48 &lt; 0,
    IF(BZ48 + CA47 &lt; 0,
        MAX(0, CF47 - (ABS(BZ48 + CA47) * (1+$V47))),
        CF47 + CC48),
    CF47 + CD48 + CC48))</f>
        <v>175236.03845670636</v>
      </c>
      <c r="CG48" s="1">
        <f t="shared" si="25"/>
        <v>170489.75712982757</v>
      </c>
      <c r="CH48" s="36"/>
      <c r="CI48" s="1">
        <f>IF(OR($B48&lt;Analysis!$C$100, $B48&gt;=Analysis!$C$130),0,X48)</f>
        <v>0</v>
      </c>
      <c r="CJ48" s="1">
        <f>IF(OR($B48&lt;Analysis!$C$100, $B48&gt;=Analysis!$C$130),0,Z48)</f>
        <v>0</v>
      </c>
      <c r="CK48" s="1">
        <f t="shared" si="60"/>
        <v>1574519.1710070681</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IF($B48&lt;Analysis!$C$130,0,IF($B48=Analysis!$C$130,Analysis!$B$136,IF(($B48-Analysis!$C$130)&lt;LOOKUP(Analysis!$C$130,$B:$B,EE:EE),EI47,0)))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-429723.7430940615</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1574519.1710070681</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IF($B48&lt;Analysis!$C$159,0,IF($B48=Analysis!$C$159,Analysis!$B$160,IF(($B48-Analysis!$C$159)&lt;LOOKUP(Analysis!$C$159,$B:$B,FZ:FZ),GD47,0)))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61268.703802558462</v>
      </c>
      <c r="GQ48" s="1">
        <f t="shared" si="36"/>
        <v>-4723.5575130212046</v>
      </c>
      <c r="GR48" s="64">
        <f>IF($B48&lt;Analysis!$C$159,0,Analysis!$C$178)</f>
        <v>3.0000000000000001E-3</v>
      </c>
      <c r="GS48" s="1">
        <f t="shared" si="37"/>
        <v>-11808.89378255301</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-3943.8859717152945</v>
      </c>
      <c r="HD48" s="1">
        <f t="shared" si="38"/>
        <v>-32736.337267289509</v>
      </c>
      <c r="HE48" s="1">
        <f>MIN(0,-(GN48+HD48)*Analysis!$C$28)-GE48*Analysis!$C$28</f>
        <v>-8795.0072777579771</v>
      </c>
      <c r="HF48" s="1">
        <f>-Analysis!$C$176*GP48/12</f>
        <v>-5105.7253168798716</v>
      </c>
      <c r="HG48" s="38"/>
      <c r="HH48" s="1">
        <f>IF($B48&lt;Analysis!$C$159,0,-$HI48*$FW48)</f>
        <v>-200751.19430340119</v>
      </c>
      <c r="HI48" s="64">
        <f>IF($B48&lt;Analysis!$C$159,0,IF($B48=Analysis!$C$159,Analysis!$C$31,HI47))</f>
        <v>0.1275</v>
      </c>
      <c r="HJ48" s="1">
        <f>IF($B48&lt;Analysis!$C$159,0,$FW48+HH48)</f>
        <v>1373767.9767036668</v>
      </c>
      <c r="HK48" s="1">
        <f>IF($B48-Analysis!$C$159&gt;10,0,IF($FW48&gt;LOOKUP(Analysis!$C$159,$B:$B, FW:FW),$V48*(LOOKUP(Analysis!$C$159,$B:$B, FW:FW)-FW48),0))</f>
        <v>0</v>
      </c>
      <c r="HL48" s="1">
        <f t="shared" si="39"/>
        <v>1373767.9767036668</v>
      </c>
      <c r="HM48" s="38"/>
      <c r="HN48" s="1">
        <f t="shared" si="40"/>
        <v>-150394.37990711277</v>
      </c>
      <c r="HO48" s="1">
        <f t="shared" si="8"/>
        <v>113903.9476811671</v>
      </c>
      <c r="HP48" s="1">
        <f t="shared" si="41"/>
        <v>-36490.432225945668</v>
      </c>
      <c r="HQ48" s="1">
        <f>IF(HP48 &lt; 0,
    IF(HQ47 + HP48 &gt; 0,
        HQ47 + HP48, IF(HV47-ABS(HQ47 + HP48)*(1+$V48) &gt;= HQ47 + HP48,
        0, HQ47 + HP48)),
    MIN(HQ47 + HP48, Analysis!$C$7))+IF(HQ47&lt;0, HQ47*Analysis!$C$9,0)</f>
        <v>0</v>
      </c>
      <c r="HR48" s="38"/>
      <c r="HS48" s="1">
        <f t="shared" si="54"/>
        <v>26688.993472933162</v>
      </c>
      <c r="HT48" s="1">
        <f>IF($B48=Analysis!$C$159,0,IF(HP48 &gt;= 0,
    MAX(0, HQ47 + HP48 - Analysis!$C$7),
    0))</f>
        <v>0</v>
      </c>
      <c r="HU48" s="1">
        <f>IF($B48=Analysis!$C$159,0,MAX(0, HU47 + HT48 - IF(HP48 &lt; 0, MIN(ABS(HP48), HU47 + HT48), 0)))</f>
        <v>673588.52281897352</v>
      </c>
      <c r="HV48" s="1">
        <f>IF($B48=Analysis!$C$159,0,IF(HP48 &lt; 0,
    IF(HP48 + HQ47 &lt; 0,
        MAX(0, HV47 - (ABS(HP48 + HQ47) * (1+$V47))),
        HV47 + HS48),
    HV47 + HT48 + HS48))</f>
        <v>1315023.8833940574</v>
      </c>
      <c r="HW48" s="1">
        <f t="shared" si="58"/>
        <v>1145845.3070423789</v>
      </c>
      <c r="HX48" s="36"/>
    </row>
    <row r="49" spans="1:232" x14ac:dyDescent="0.35">
      <c r="A49">
        <f t="shared" si="0"/>
        <v>82</v>
      </c>
      <c r="B49">
        <v>2072</v>
      </c>
      <c r="C49" s="1">
        <f>IF($B49&lt;Analysis!C$66,0,$AN49)+$AT49+$AW49+$BC49+$CF49+$CA49</f>
        <v>2833871.3395698154</v>
      </c>
      <c r="D49" s="1">
        <f>IF($B49&lt;Analysis!C$66, 0, BV49)+AT49+AW49+BC49+CG49+CA49</f>
        <v>2487523.5848967708</v>
      </c>
      <c r="E49" s="1">
        <f t="shared" si="1"/>
        <v>1494749.8451622992</v>
      </c>
      <c r="F49" s="1">
        <f t="shared" si="9"/>
        <v>1235097.7813962842</v>
      </c>
      <c r="G49" s="1">
        <f>IF(AND($B49&gt;=Analysis!$C$100, $B49&lt;Analysis!$C$101),$CK49,0)+IF($B49&gt;=Analysis!$C$130,EB49,0)+CQ49+CT49+CZ49+EH49+EK49+EQ49+$FO49+$FT49</f>
        <v>2195359.1449415949</v>
      </c>
      <c r="H49" s="1">
        <f t="shared" si="10"/>
        <v>1851763.0186179136</v>
      </c>
      <c r="I49" s="1">
        <f>IF($B49&lt;Analysis!$C$159,0,$FW49)+$GC49+$GF49+$GL49+$HQ49+$HV49</f>
        <v>2886836.2349526566</v>
      </c>
      <c r="J49" s="1">
        <f t="shared" si="59"/>
        <v>2513700.1511158999</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30851.149040327025</v>
      </c>
      <c r="AI49" s="1">
        <f>IF(AE49 &gt;= 0,
    MAX(0, AF48 + AE49 - Analysis!$C$7),
    0)</f>
        <v>0</v>
      </c>
      <c r="AJ49" s="1">
        <f t="shared" si="44"/>
        <v>510287.04415371141</v>
      </c>
      <c r="AK49" s="1">
        <f t="shared" si="20"/>
        <v>1494749.8451622992</v>
      </c>
      <c r="AL49" s="1">
        <f t="shared" si="5"/>
        <v>1235097.7813962842</v>
      </c>
      <c r="AM49" s="36"/>
      <c r="AN49" s="1">
        <f t="shared" si="45"/>
        <v>2694871.5790092652</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-8084.6147370277959</v>
      </c>
      <c r="BF49" s="64">
        <f>IF($B49&lt;Analysis!$C$66,0,Analysis!$C$78)</f>
        <v>3.0000000000000001E-3</v>
      </c>
      <c r="BG49" s="1">
        <f>IF($B49&lt;Analysis!$C$66,0,-BH49*AN49)</f>
        <v>-20211.536842569487</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-343596.12632368132</v>
      </c>
      <c r="BS49" s="64">
        <f>IF($B49&lt;Analysis!C$66,0,Analysis!C$31)</f>
        <v>0.1275</v>
      </c>
      <c r="BT49" s="1">
        <f>IF($B49&lt;Analysis!$C$66,0,AN49+BR49)</f>
        <v>2351275.4526855838</v>
      </c>
      <c r="BU49" s="1">
        <f>IF($B49-Analysis!$C$66&gt;3,0,IF($AN49&gt;LOOKUP(Analysis!$C$66,$B:$B, AN:AN),$V49*(LOOKUP(Analysis!$C$66,$B:$B, AN:AN)-AN49),0))</f>
        <v>0</v>
      </c>
      <c r="BV49" s="1">
        <f t="shared" si="23"/>
        <v>2351275.4526855838</v>
      </c>
      <c r="BW49" s="42"/>
      <c r="BX49" s="1">
        <f>IF($B49&lt;Analysis!$C$66,$P49+$N49+$X49+$Z49,$P49+$N49+AS49+AV49+BB49+BE49+BG49+MAX(BI49,SUM(BJ49:BN49))+BP49)</f>
        <v>-80256.151579597281</v>
      </c>
      <c r="BY49" s="1">
        <f t="shared" si="24"/>
        <v>51582.539001036472</v>
      </c>
      <c r="BZ49" s="1">
        <f t="shared" si="46"/>
        <v>-28673.612578560809</v>
      </c>
      <c r="CA49" s="1">
        <f>IF(BZ49 &lt; 0,
    IF(CA48 + BZ49 &gt; 0,
        CA48 + BZ49, IF(CF48-ABS(CA48 + BZ49)*(1+$V49) &gt;= CA48 + BZ49,
        0, CA48 + BZ49)),
    MIN(CA48 + BZ49, Analysis!$C$7))+IF(CA48&lt;0, CA48*Analysis!$C$9,0)</f>
        <v>0</v>
      </c>
      <c r="CB49" s="42"/>
      <c r="CC49" s="1">
        <f t="shared" si="47"/>
        <v>3436.0007540530537</v>
      </c>
      <c r="CD49" s="1">
        <f>IF(BZ49 &gt;= 0,
    MAX(0, CA48 + BZ49 - Analysis!$C$7),
    0)</f>
        <v>0</v>
      </c>
      <c r="CE49" s="1">
        <f>IF($B49=Analysis!$C$66,0,MAX(0, CE48 + CD49 - IF(BZ49 &lt; 0, MIN(ABS(BZ49), CE48 + CD49), 0)))</f>
        <v>128567.04643974252</v>
      </c>
      <c r="CF49" s="1">
        <f>IF($B49=Analysis!$C$66,0,IF(BZ49 &lt; 0,
    IF(BZ49 + CA48 &lt; 0,
        MAX(0, CF48 - (ABS(BZ49 + CA48) * (1+$V48))),
        CF48 + CC49),
    CF48 + CD49 + CC49))</f>
        <v>138999.76056055014</v>
      </c>
      <c r="CG49" s="1">
        <f t="shared" si="25"/>
        <v>136248.13221118713</v>
      </c>
      <c r="CH49" s="36"/>
      <c r="CI49" s="1">
        <f>IF(OR($B49&lt;Analysis!$C$100, $B49&gt;=Analysis!$C$130),0,X49)</f>
        <v>0</v>
      </c>
      <c r="CJ49" s="1">
        <f>IF(OR($B49&lt;Analysis!$C$100, $B49&gt;=Analysis!$C$130),0,Z49)</f>
        <v>0</v>
      </c>
      <c r="CK49" s="1">
        <f t="shared" si="60"/>
        <v>1620828.5583896292</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IF($B49&lt;Analysis!$C$130,0,IF($B49=Analysis!$C$130,Analysis!$B$136,IF(($B49-Analysis!$C$130)&lt;LOOKUP(Analysis!$C$130,$B:$B,EE:EE),EI48,0)))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-499512.43406767037</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1620828.5583896292</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IF($B49&lt;Analysis!$C$159,0,IF($B49=Analysis!$C$159,Analysis!$B$160,IF(($B49-Analysis!$C$159)&lt;LOOKUP(Analysis!$C$159,$B:$B,FZ:FZ),GD48,0)))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62954.253914398425</v>
      </c>
      <c r="GQ49" s="1">
        <f t="shared" si="36"/>
        <v>-4862.4856751688876</v>
      </c>
      <c r="GR49" s="64">
        <f>IF($B49&lt;Analysis!$C$159,0,Analysis!$C$178)</f>
        <v>3.0000000000000001E-3</v>
      </c>
      <c r="GS49" s="1">
        <f t="shared" si="37"/>
        <v>-12156.214187922218</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-4059.8826179422153</v>
      </c>
      <c r="HD49" s="1">
        <f t="shared" si="38"/>
        <v>-33338.582481033322</v>
      </c>
      <c r="HE49" s="1">
        <f>MIN(0,-(GN49+HD49)*Analysis!$C$28)-GE49*Analysis!$C$28</f>
        <v>-9213.4606094567425</v>
      </c>
      <c r="HF49" s="1">
        <f>-Analysis!$C$176*GP49/12</f>
        <v>-5246.1878261998691</v>
      </c>
      <c r="HG49" s="38"/>
      <c r="HH49" s="1">
        <f>IF($B49&lt;Analysis!$C$159,0,-$HI49*$FW49)</f>
        <v>-206655.64119467774</v>
      </c>
      <c r="HI49" s="64">
        <f>IF($B49&lt;Analysis!$C$159,0,IF($B49=Analysis!$C$159,Analysis!$C$31,HI48))</f>
        <v>0.1275</v>
      </c>
      <c r="HJ49" s="1">
        <f>IF($B49&lt;Analysis!$C$159,0,$FW49+HH49)</f>
        <v>1414172.9171949516</v>
      </c>
      <c r="HK49" s="1">
        <f>IF($B49-Analysis!$C$159&gt;10,0,IF($FW49&gt;LOOKUP(Analysis!$C$159,$B:$B, FW:FW),$V49*(LOOKUP(Analysis!$C$159,$B:$B, FW:FW)-FW49),0))</f>
        <v>0</v>
      </c>
      <c r="HL49" s="1">
        <f t="shared" si="39"/>
        <v>1414172.9171949516</v>
      </c>
      <c r="HM49" s="38"/>
      <c r="HN49" s="1">
        <f t="shared" si="40"/>
        <v>-153323.10890438082</v>
      </c>
      <c r="HO49" s="1">
        <f t="shared" si="8"/>
        <v>114536.7929154349</v>
      </c>
      <c r="HP49" s="1">
        <f t="shared" si="41"/>
        <v>-38786.31598894592</v>
      </c>
      <c r="HQ49" s="1">
        <f>IF(HP49 &lt; 0,
    IF(HQ48 + HP49 &gt; 0,
        HQ48 + HP49, IF(HV48-ABS(HQ48 + HP49)*(1+$V49) &gt;= HQ48 + HP49,
        0, HQ48 + HP49)),
    MIN(HQ48 + HP49, Analysis!$C$7))+IF(HQ48&lt;0, HQ48*Analysis!$C$9,0)</f>
        <v>0</v>
      </c>
      <c r="HR49" s="38"/>
      <c r="HS49" s="1">
        <f t="shared" si="54"/>
        <v>25784.782027334368</v>
      </c>
      <c r="HT49" s="1">
        <f>IF($B49=Analysis!$C$159,0,IF(HP49 &gt;= 0,
    MAX(0, HQ48 + HP49 - Analysis!$C$7),
    0))</f>
        <v>0</v>
      </c>
      <c r="HU49" s="1">
        <f>IF($B49=Analysis!$C$159,0,MAX(0, HU48 + HT49 - IF(HP49 &lt; 0, MIN(ABS(HP49), HU48 + HT49), 0)))</f>
        <v>634802.20683002763</v>
      </c>
      <c r="HV49" s="1">
        <f>IF($B49=Analysis!$C$159,0,IF(HP49 &lt; 0,
    IF(HP49 + HQ48 &lt; 0,
        MAX(0, HV48 - (ABS(HP49 + HQ48) * (1+$V48))),
        HV48 + HS49),
    HV48 + HT49 + HS49))</f>
        <v>1266007.6765630271</v>
      </c>
      <c r="HW49" s="1">
        <f t="shared" si="58"/>
        <v>1099527.2339209486</v>
      </c>
      <c r="HX49" s="36"/>
    </row>
    <row r="50" spans="1:232" x14ac:dyDescent="0.35">
      <c r="A50">
        <f t="shared" si="0"/>
        <v>83</v>
      </c>
      <c r="B50">
        <v>2073</v>
      </c>
      <c r="C50" s="1">
        <f>IF($B50&lt;Analysis!C$66,0,$AN50)+$AT50+$AW50+$BC50+$CF50+$CA50</f>
        <v>2874540.4988077772</v>
      </c>
      <c r="D50" s="1">
        <f>IF($B50&lt;Analysis!C$66, 0, BV50)+AT50+AW50+BC50+CG50+CA50</f>
        <v>2520211.2884884505</v>
      </c>
      <c r="E50" s="1">
        <f t="shared" si="1"/>
        <v>1412487.8776665181</v>
      </c>
      <c r="F50" s="1">
        <f t="shared" si="9"/>
        <v>1157363.9853333414</v>
      </c>
      <c r="G50" s="1">
        <f>IF(AND($B50&gt;=Analysis!$C$100, $B50&lt;Analysis!$C$101),$CK50,0)+IF($B50&gt;=Analysis!$C$130,EB50,0)+CQ50+CT50+CZ50+EH50+EK50+EQ50+$FO50+$FT50</f>
        <v>2197186.2446301398</v>
      </c>
      <c r="H50" s="1">
        <f t="shared" si="10"/>
        <v>1843484.3498851736</v>
      </c>
      <c r="I50" s="1">
        <f>IF($B50&lt;Analysis!$C$159,0,$FW50)+$GC50+$GF50+$GL50+$HQ50+$HV50</f>
        <v>2882570.432457597</v>
      </c>
      <c r="J50" s="1">
        <f t="shared" si="59"/>
        <v>2506215.1651757881</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29308.820493378313</v>
      </c>
      <c r="AI50" s="1">
        <f>IF(AE50 &gt;= 0,
    MAX(0, AF49 + AE50 - Analysis!$C$7),
    0)</f>
        <v>0</v>
      </c>
      <c r="AJ50" s="1">
        <f t="shared" si="44"/>
        <v>445193.49915210414</v>
      </c>
      <c r="AK50" s="1">
        <f t="shared" si="20"/>
        <v>1412487.8776665181</v>
      </c>
      <c r="AL50" s="1">
        <f t="shared" si="5"/>
        <v>1157363.9853333414</v>
      </c>
      <c r="AM50" s="36"/>
      <c r="AN50" s="1">
        <f t="shared" si="45"/>
        <v>2774132.5078036557</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-8322.3975234109676</v>
      </c>
      <c r="BF50" s="64">
        <f>IF($B50&lt;Analysis!$C$66,0,Analysis!$C$78)</f>
        <v>3.0000000000000001E-3</v>
      </c>
      <c r="BG50" s="1">
        <f>IF($B50&lt;Analysis!$C$66,0,-BH50*AN50)</f>
        <v>-20805.993808527415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-353701.89474496612</v>
      </c>
      <c r="BS50" s="64">
        <f>IF($B50&lt;Analysis!C$66,0,Analysis!C$31)</f>
        <v>0.1275</v>
      </c>
      <c r="BT50" s="1">
        <f>IF($B50&lt;Analysis!$C$66,0,AN50+BR50)</f>
        <v>2420430.6130586895</v>
      </c>
      <c r="BU50" s="1">
        <f>IF($B50-Analysis!$C$66&gt;3,0,IF($AN50&gt;LOOKUP(Analysis!$C$66,$B:$B, AN:AN),$V50*(LOOKUP(Analysis!$C$66,$B:$B, AN:AN)-AN50),0))</f>
        <v>0</v>
      </c>
      <c r="BV50" s="1">
        <f t="shared" si="23"/>
        <v>2420430.6130586895</v>
      </c>
      <c r="BW50" s="42"/>
      <c r="BX50" s="1">
        <f>IF($B50&lt;Analysis!$C$66,$P50+$N50+$X50+$Z50,$P50+$N50+AS50+AV50+BB50+BE50+BG50+MAX(BI50,SUM(BJ50:BN50))+BP50)</f>
        <v>-81088.391331938386</v>
      </c>
      <c r="BY50" s="1">
        <f t="shared" si="24"/>
        <v>50550.888221015739</v>
      </c>
      <c r="BZ50" s="1">
        <f t="shared" si="46"/>
        <v>-30537.503110922647</v>
      </c>
      <c r="CA50" s="1">
        <f>IF(BZ50 &lt; 0,
    IF(CA49 + BZ50 &gt; 0,
        CA49 + BZ50, IF(CF49-ABS(CA49 + BZ50)*(1+$V50) &gt;= CA49 + BZ50,
        0, CA49 + BZ50)),
    MIN(CA49 + BZ50, Analysis!$C$7))+IF(CA49&lt;0, CA49*Analysis!$C$9,0)</f>
        <v>0</v>
      </c>
      <c r="CB50" s="42"/>
      <c r="CC50" s="1">
        <f t="shared" si="47"/>
        <v>2725.4855011872482</v>
      </c>
      <c r="CD50" s="1">
        <f>IF(BZ50 &gt;= 0,
    MAX(0, CA49 + BZ50 - Analysis!$C$7),
    0)</f>
        <v>0</v>
      </c>
      <c r="CE50" s="1">
        <f>IF($B50=Analysis!$C$66,0,MAX(0, CE49 + CD50 - IF(BZ50 &lt; 0, MIN(ABS(BZ50), CE49 + CD50), 0)))</f>
        <v>98029.543328819884</v>
      </c>
      <c r="CF50" s="1">
        <f>IF($B50=Analysis!$C$66,0,IF(BZ50 &lt; 0,
    IF(BZ50 + CA49 &lt; 0,
        MAX(0, CF49 - (ABS(BZ50 + CA49) * (1+$V49))),
        CF49 + CC50),
    CF49 + CD50 + CC50))</f>
        <v>100407.99100412165</v>
      </c>
      <c r="CG50" s="1">
        <f t="shared" si="25"/>
        <v>99780.675429760813</v>
      </c>
      <c r="CH50" s="36"/>
      <c r="CI50" s="1">
        <f>IF(OR($B50&lt;Analysis!$C$100, $B50&gt;=Analysis!$C$130),0,X50)</f>
        <v>0</v>
      </c>
      <c r="CJ50" s="1">
        <f>IF(OR($B50&lt;Analysis!$C$100, $B50&gt;=Analysis!$C$130),0,Z50)</f>
        <v>0</v>
      </c>
      <c r="CK50" s="1">
        <f t="shared" si="60"/>
        <v>1668499.9865775597</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IF($B50&lt;Analysis!$C$130,0,IF($B50=Analysis!$C$130,Analysis!$B$136,IF(($B50-Analysis!$C$130)&lt;LOOKUP(Analysis!$C$130,$B:$B,EE:EE),EI49,0)))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-576946.26317351579</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1668499.9865775597</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IF($B50&lt;Analysis!$C$159,0,IF($B50=Analysis!$C$159,Analysis!$B$160,IF(($B50-Analysis!$C$159)&lt;LOOKUP(Analysis!$C$159,$B:$B,FZ:FZ),GD49,0)))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64689.379029527801</v>
      </c>
      <c r="GQ50" s="1">
        <f t="shared" si="36"/>
        <v>-5005.4999597326796</v>
      </c>
      <c r="GR50" s="64">
        <f>IF($B50&lt;Analysis!$C$159,0,Analysis!$C$178)</f>
        <v>3.0000000000000001E-3</v>
      </c>
      <c r="GS50" s="1">
        <f t="shared" si="37"/>
        <v>-12513.749899331697</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-4179.2909302346334</v>
      </c>
      <c r="HD50" s="1">
        <f t="shared" si="38"/>
        <v>-33958.540789299012</v>
      </c>
      <c r="HE50" s="1">
        <f>MIN(0,-(GN50+HD50)*Analysis!$C$28)-GE50*Analysis!$C$28</f>
        <v>-9644.2213920878239</v>
      </c>
      <c r="HF50" s="1">
        <f>-Analysis!$C$176*GP50/12</f>
        <v>-5390.7815857939831</v>
      </c>
      <c r="HG50" s="38"/>
      <c r="HH50" s="1">
        <f>IF($B50&lt;Analysis!$C$159,0,-$HI50*$FW50)</f>
        <v>-212733.74828863886</v>
      </c>
      <c r="HI50" s="64">
        <f>IF($B50&lt;Analysis!$C$159,0,IF($B50=Analysis!$C$159,Analysis!$C$31,HI49))</f>
        <v>0.1275</v>
      </c>
      <c r="HJ50" s="1">
        <f>IF($B50&lt;Analysis!$C$159,0,$FW50+HH50)</f>
        <v>1455766.2382889208</v>
      </c>
      <c r="HK50" s="1">
        <f>IF($B50-Analysis!$C$159&gt;10,0,IF($FW50&gt;LOOKUP(Analysis!$C$159,$B:$B, FW:FW),$V50*(LOOKUP(Analysis!$C$159,$B:$B, FW:FW)-FW50),0))</f>
        <v>0</v>
      </c>
      <c r="HL50" s="1">
        <f t="shared" si="39"/>
        <v>1455766.2382889208</v>
      </c>
      <c r="HM50" s="38"/>
      <c r="HN50" s="1">
        <f t="shared" si="40"/>
        <v>-156337.97698980378</v>
      </c>
      <c r="HO50" s="1">
        <f t="shared" si="8"/>
        <v>115240.26725054355</v>
      </c>
      <c r="HP50" s="1">
        <f t="shared" si="41"/>
        <v>-41097.70973926023</v>
      </c>
      <c r="HQ50" s="1">
        <f>IF(HP50 &lt; 0,
    IF(HQ49 + HP50 &gt; 0,
        HQ49 + HP50, IF(HV49-ABS(HQ49 + HP50)*(1+$V50) &gt;= HQ49 + HP50,
        0, HQ49 + HP50)),
    MIN(HQ49 + HP50, Analysis!$C$7))+IF(HQ49&lt;0, HQ49*Analysis!$C$9,0)</f>
        <v>0</v>
      </c>
      <c r="HR50" s="38"/>
      <c r="HS50" s="1">
        <f t="shared" si="54"/>
        <v>24823.679932608287</v>
      </c>
      <c r="HT50" s="1">
        <f>IF($B50=Analysis!$C$159,0,IF(HP50 &gt;= 0,
    MAX(0, HQ49 + HP50 - Analysis!$C$7),
    0))</f>
        <v>0</v>
      </c>
      <c r="HU50" s="1">
        <f>IF($B50=Analysis!$C$159,0,MAX(0, HU49 + HT50 - IF(HP50 &lt; 0, MIN(ABS(HP50), HU49 + HT50), 0)))</f>
        <v>593704.49709076737</v>
      </c>
      <c r="HV50" s="1">
        <f>IF($B50=Analysis!$C$159,0,IF(HP50 &lt; 0,
    IF(HP50 + HQ49 &lt; 0,
        MAX(0, HV49 - (ABS(HP50 + HQ49) * (1+$V49))),
        HV49 + HS50),
    HV49 + HT50 + HS50))</f>
        <v>1214070.445880037</v>
      </c>
      <c r="HW50" s="1">
        <f t="shared" si="58"/>
        <v>1050448.9268868673</v>
      </c>
      <c r="HX50" s="36"/>
    </row>
    <row r="51" spans="1:232" x14ac:dyDescent="0.35">
      <c r="A51">
        <f t="shared" si="0"/>
        <v>84</v>
      </c>
      <c r="B51">
        <v>2074</v>
      </c>
      <c r="C51" s="1">
        <f>IF($B51&lt;Analysis!C$66,0,$AN51)+$AT51+$AW51+$BC51+$CF51+$CA51</f>
        <v>2915180.5115297372</v>
      </c>
      <c r="D51" s="1">
        <f>IF($B51&lt;Analysis!C$66, 0, BV51)+AT51+AW51+BC51+CG51+CA51</f>
        <v>2551075.6198805072</v>
      </c>
      <c r="E51" s="1">
        <f t="shared" si="1"/>
        <v>1326581.1422802128</v>
      </c>
      <c r="F51" s="1">
        <f t="shared" si="9"/>
        <v>1076186.0503502677</v>
      </c>
      <c r="G51" s="1">
        <f>IF(AND($B51&gt;=Analysis!$C$100, $B51&lt;Analysis!$C$101),$CK51,0)+IF($B51&gt;=Analysis!$C$130,EB51,0)+CQ51+CT51+CZ51+EH51+EK51+EQ51+$FO51+$FT51</f>
        <v>2193078.1262902953</v>
      </c>
      <c r="H51" s="1">
        <f t="shared" si="10"/>
        <v>1828973.2346410656</v>
      </c>
      <c r="I51" s="1">
        <f>IF($B51&lt;Analysis!$C$159,0,$FW51)+$GC51+$GF51+$GL51+$HQ51+$HV51</f>
        <v>2876764.2149960781</v>
      </c>
      <c r="J51" s="1">
        <f t="shared" si="59"/>
        <v>2497172.9693929041</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27695.84073855908</v>
      </c>
      <c r="AI51" s="1">
        <f>IF(AE51 &gt;= 0,
    MAX(0, AF50 + AE51 - Analysis!$C$7),
    0)</f>
        <v>0</v>
      </c>
      <c r="AJ51" s="1">
        <f t="shared" si="44"/>
        <v>377215.86482070532</v>
      </c>
      <c r="AK51" s="1">
        <f t="shared" si="20"/>
        <v>1326581.1422802128</v>
      </c>
      <c r="AL51" s="1">
        <f t="shared" si="5"/>
        <v>1076186.0503502677</v>
      </c>
      <c r="AM51" s="36"/>
      <c r="AN51" s="1">
        <f t="shared" si="45"/>
        <v>2855724.6403861167</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-8567.1739211583499</v>
      </c>
      <c r="BF51" s="64">
        <f>IF($B51&lt;Analysis!$C$66,0,Analysis!$C$78)</f>
        <v>3.0000000000000001E-3</v>
      </c>
      <c r="BG51" s="1">
        <f>IF($B51&lt;Analysis!$C$66,0,-BH51*AN51)</f>
        <v>-21417.934802895874</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-364104.89164922986</v>
      </c>
      <c r="BS51" s="64">
        <f>IF($B51&lt;Analysis!C$66,0,Analysis!C$31)</f>
        <v>0.1275</v>
      </c>
      <c r="BT51" s="1">
        <f>IF($B51&lt;Analysis!$C$66,0,AN51+BR51)</f>
        <v>2491619.7487368868</v>
      </c>
      <c r="BU51" s="1">
        <f>IF($B51-Analysis!$C$66&gt;3,0,IF($AN51&gt;LOOKUP(Analysis!$C$66,$B:$B, AN:AN),$V51*(LOOKUP(Analysis!$C$66,$B:$B, AN:AN)-AN51),0))</f>
        <v>0</v>
      </c>
      <c r="BV51" s="1">
        <f t="shared" si="23"/>
        <v>2491619.7487368868</v>
      </c>
      <c r="BW51" s="42"/>
      <c r="BX51" s="1">
        <f>IF($B51&lt;Analysis!$C$66,$P51+$N51+$X51+$Z51,$P51+$N51+AS51+AV51+BB51+BE51+BG51+MAX(BI51,SUM(BJ51:BN51))+BP51)</f>
        <v>-81945.108724054226</v>
      </c>
      <c r="BY51" s="1">
        <f t="shared" si="24"/>
        <v>49539.870456595425</v>
      </c>
      <c r="BZ51" s="1">
        <f t="shared" si="46"/>
        <v>-32405.238267458801</v>
      </c>
      <c r="CA51" s="1">
        <f>IF(BZ51 &lt; 0,
    IF(CA50 + BZ51 &gt; 0,
        CA50 + BZ51, IF(CF50-ABS(CA50 + BZ51)*(1+$V51) &gt;= CA50 + BZ51,
        0, CA50 + BZ51)),
    MIN(CA50 + BZ51, Analysis!$C$7))+IF(CA50&lt;0, CA50*Analysis!$C$9,0)</f>
        <v>0</v>
      </c>
      <c r="CB51" s="42"/>
      <c r="CC51" s="1">
        <f t="shared" si="47"/>
        <v>1968.7841373357116</v>
      </c>
      <c r="CD51" s="1">
        <f>IF(BZ51 &gt;= 0,
    MAX(0, CA50 + BZ51 - Analysis!$C$7),
    0)</f>
        <v>0</v>
      </c>
      <c r="CE51" s="1">
        <f>IF($B51=Analysis!$C$66,0,MAX(0, CE50 + CD51 - IF(BZ51 &lt; 0, MIN(ABS(BZ51), CE50 + CD51), 0)))</f>
        <v>65624.305061361083</v>
      </c>
      <c r="CF51" s="1">
        <f>IF($B51=Analysis!$C$66,0,IF(BZ51 &lt; 0,
    IF(BZ51 + CA50 &lt; 0,
        MAX(0, CF50 - (ABS(BZ51 + CA50) * (1+$V50))),
        CF50 + CC51),
    CF50 + CD51 + CC51))</f>
        <v>59455.871143620592</v>
      </c>
      <c r="CG51" s="1">
        <f t="shared" si="25"/>
        <v>59455.871143620592</v>
      </c>
      <c r="CH51" s="36"/>
      <c r="CI51" s="1">
        <f>IF(OR($B51&lt;Analysis!$C$100, $B51&gt;=Analysis!$C$130),0,X51)</f>
        <v>0</v>
      </c>
      <c r="CJ51" s="1">
        <f>IF(OR($B51&lt;Analysis!$C$100, $B51&gt;=Analysis!$C$130),0,Z51)</f>
        <v>0</v>
      </c>
      <c r="CK51" s="1">
        <f t="shared" si="60"/>
        <v>1717573.5155945469</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IF($B51&lt;Analysis!$C$130,0,IF($B51=Analysis!$C$130,Analysis!$B$136,IF(($B51-Analysis!$C$130)&lt;LOOKUP(Analysis!$C$130,$B:$B,EE:EE),EI50,0)))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-662646.51409582119</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1717573.5155945469</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IF($B51&lt;Analysis!$C$159,0,IF($B51=Analysis!$C$159,Analysis!$B$160,IF(($B51-Analysis!$C$159)&lt;LOOKUP(Analysis!$C$159,$B:$B,FZ:FZ),GD50,0)))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66475.537236278629</v>
      </c>
      <c r="GQ51" s="1">
        <f t="shared" si="36"/>
        <v>-5152.7205467836411</v>
      </c>
      <c r="GR51" s="64">
        <f>IF($B51&lt;Analysis!$C$159,0,Analysis!$C$178)</f>
        <v>3.0000000000000001E-3</v>
      </c>
      <c r="GS51" s="1">
        <f t="shared" si="37"/>
        <v>-12881.801366959102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-4302.2112517121232</v>
      </c>
      <c r="HD51" s="1">
        <f t="shared" si="38"/>
        <v>-34596.733165454862</v>
      </c>
      <c r="HE51" s="1">
        <f>MIN(0,-(GN51+HD51)*Analysis!$C$28)-GE51*Analysis!$C$28</f>
        <v>-10087.651609502176</v>
      </c>
      <c r="HF51" s="1">
        <f>-Analysis!$C$176*GP51/12</f>
        <v>-5539.6281030232194</v>
      </c>
      <c r="HG51" s="38"/>
      <c r="HH51" s="1">
        <f>IF($B51&lt;Analysis!$C$159,0,-$HI51*$FW51)</f>
        <v>-218990.62323830475</v>
      </c>
      <c r="HI51" s="64">
        <f>IF($B51&lt;Analysis!$C$159,0,IF($B51=Analysis!$C$159,Analysis!$C$31,HI50))</f>
        <v>0.1275</v>
      </c>
      <c r="HJ51" s="1">
        <f>IF($B51&lt;Analysis!$C$159,0,$FW51+HH51)</f>
        <v>1498582.8923562421</v>
      </c>
      <c r="HK51" s="1">
        <f>IF($B51-Analysis!$C$159&gt;10,0,IF($FW51&gt;LOOKUP(Analysis!$C$159,$B:$B, FW:FW),$V51*(LOOKUP(Analysis!$C$159,$B:$B, FW:FW)-FW51),0))</f>
        <v>0</v>
      </c>
      <c r="HL51" s="1">
        <f t="shared" si="39"/>
        <v>1498582.8923562421</v>
      </c>
      <c r="HM51" s="38"/>
      <c r="HN51" s="1">
        <f t="shared" si="40"/>
        <v>-159441.51766597453</v>
      </c>
      <c r="HO51" s="1">
        <f t="shared" si="8"/>
        <v>116015.40769287405</v>
      </c>
      <c r="HP51" s="1">
        <f t="shared" si="41"/>
        <v>-43426.10997310048</v>
      </c>
      <c r="HQ51" s="1">
        <f>IF(HP51 &lt; 0,
    IF(HQ50 + HP51 &gt; 0,
        HQ50 + HP51, IF(HV50-ABS(HQ50 + HP51)*(1+$V51) &gt;= HQ50 + HP51,
        0, HQ50 + HP51)),
    MIN(HQ50 + HP51, Analysis!$C$7))+IF(HQ50&lt;0, HQ50*Analysis!$C$9,0)</f>
        <v>0</v>
      </c>
      <c r="HR51" s="38"/>
      <c r="HS51" s="1">
        <f t="shared" si="54"/>
        <v>23805.3028603928</v>
      </c>
      <c r="HT51" s="1">
        <f>IF($B51=Analysis!$C$159,0,IF(HP51 &gt;= 0,
    MAX(0, HQ50 + HP51 - Analysis!$C$7),
    0))</f>
        <v>0</v>
      </c>
      <c r="HU51" s="1">
        <f>IF($B51=Analysis!$C$159,0,MAX(0, HU50 + HT51 - IF(HP51 &lt; 0, MIN(ABS(HP51), HU50 + HT51), 0)))</f>
        <v>550278.38711766689</v>
      </c>
      <c r="HV51" s="1">
        <f>IF($B51=Analysis!$C$159,0,IF(HP51 &lt; 0,
    IF(HP51 + HQ50 &lt; 0,
        MAX(0, HV50 - (ABS(HP51 + HQ50) * (1+$V50))),
        HV50 + HS51),
    HV50 + HT51 + HS51))</f>
        <v>1159190.6994015314</v>
      </c>
      <c r="HW51" s="1">
        <f t="shared" si="58"/>
        <v>998590.07703666214</v>
      </c>
      <c r="HX51" s="36"/>
    </row>
    <row r="52" spans="1:232" x14ac:dyDescent="0.35">
      <c r="A52">
        <f t="shared" si="0"/>
        <v>85</v>
      </c>
      <c r="B52">
        <v>2075</v>
      </c>
      <c r="C52" s="1">
        <f>IF($B52&lt;Analysis!C$66,0,$AN52)+$AT52+$AW52+$BC52+$CF52+$CA52</f>
        <v>2955853.6525974488</v>
      </c>
      <c r="D52" s="1">
        <f>IF($B52&lt;Analysis!C$66, 0, BV52)+AT52+AW52+BC52+CG52+CA52</f>
        <v>2581039.7935467712</v>
      </c>
      <c r="E52" s="1">
        <f t="shared" si="1"/>
        <v>1236985.5720600046</v>
      </c>
      <c r="F52" s="1">
        <f t="shared" si="9"/>
        <v>991522.33520149114</v>
      </c>
      <c r="G52" s="1">
        <f>IF(AND($B52&gt;=Analysis!$C$100, $B52&lt;Analysis!$C$101),$CK52,0)+IF($B52&gt;=Analysis!$C$130,EB52,0)+CQ52+CT52+CZ52+EH52+EK52+EQ52+$FO52+$FT52</f>
        <v>2182431.0643574595</v>
      </c>
      <c r="H52" s="1">
        <f t="shared" si="10"/>
        <v>1807617.2053067819</v>
      </c>
      <c r="I52" s="1">
        <f>IF($B52&lt;Analysis!$C$159,0,$FW52)+$GC52+$GF52+$GL52+$HQ52+$HV52</f>
        <v>2869435.4083577828</v>
      </c>
      <c r="J52" s="1">
        <f t="shared" si="59"/>
        <v>2486587.4204357169</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26011.394946670749</v>
      </c>
      <c r="AI52" s="1">
        <f>IF(AE52 &gt;= 0,
    MAX(0, AF51 + AE52 - Analysis!$C$7),
    0)</f>
        <v>0</v>
      </c>
      <c r="AJ52" s="1">
        <f t="shared" si="44"/>
        <v>306319.27117464528</v>
      </c>
      <c r="AK52" s="1">
        <f t="shared" si="20"/>
        <v>1236985.5720600046</v>
      </c>
      <c r="AL52" s="1">
        <f t="shared" si="5"/>
        <v>991522.33520149114</v>
      </c>
      <c r="AM52" s="36"/>
      <c r="AN52" s="1">
        <f t="shared" si="45"/>
        <v>2939716.541573944</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-8819.1496247218329</v>
      </c>
      <c r="BF52" s="64">
        <f>IF($B52&lt;Analysis!$C$66,0,Analysis!$C$78)</f>
        <v>3.0000000000000001E-3</v>
      </c>
      <c r="BG52" s="1">
        <f>IF($B52&lt;Analysis!$C$66,0,-BH52*AN52)</f>
        <v>-22047.874061804578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-374813.85905067786</v>
      </c>
      <c r="BS52" s="64">
        <f>IF($B52&lt;Analysis!C$66,0,Analysis!C$31)</f>
        <v>0.1275</v>
      </c>
      <c r="BT52" s="1">
        <f>IF($B52&lt;Analysis!$C$66,0,AN52+BR52)</f>
        <v>2564902.6825232664</v>
      </c>
      <c r="BU52" s="1">
        <f>IF($B52-Analysis!$C$66&gt;3,0,IF($AN52&gt;LOOKUP(Analysis!$C$66,$B:$B, AN:AN),$V52*(LOOKUP(Analysis!$C$66,$B:$B, AN:AN)-AN52),0))</f>
        <v>0</v>
      </c>
      <c r="BV52" s="1">
        <f t="shared" si="23"/>
        <v>2564902.6825232664</v>
      </c>
      <c r="BW52" s="42"/>
      <c r="BX52" s="1">
        <f>IF($B52&lt;Analysis!$C$66,$P52+$N52+$X52+$Z52,$P52+$N52+AS52+AV52+BB52+BE52+BG52+MAX(BI52,SUM(BJ52:BN52))+BP52)</f>
        <v>-82827.023686526401</v>
      </c>
      <c r="BY52" s="1">
        <f t="shared" si="24"/>
        <v>48549.073047463513</v>
      </c>
      <c r="BZ52" s="1">
        <f t="shared" si="46"/>
        <v>-34277.950639062889</v>
      </c>
      <c r="CA52" s="1">
        <f>IF(BZ52 &lt; 0,
    IF(CA51 + BZ52 &gt; 0,
        CA51 + BZ52, IF(CF51-ABS(CA51 + BZ52)*(1+$V52) &gt;= CA51 + BZ52,
        0, CA51 + BZ52)),
    MIN(CA51 + BZ52, Analysis!$C$7))+IF(CA51&lt;0, CA51*Analysis!$C$9,0)</f>
        <v>0</v>
      </c>
      <c r="CB52" s="42"/>
      <c r="CC52" s="1">
        <f t="shared" si="47"/>
        <v>1165.8013949729486</v>
      </c>
      <c r="CD52" s="1">
        <f>IF(BZ52 &gt;= 0,
    MAX(0, CA51 + BZ52 - Analysis!$C$7),
    0)</f>
        <v>0</v>
      </c>
      <c r="CE52" s="1">
        <f>IF($B52=Analysis!$C$66,0,MAX(0, CE51 + CD52 - IF(BZ52 &lt; 0, MIN(ABS(BZ52), CE51 + CD52), 0)))</f>
        <v>31346.354422298195</v>
      </c>
      <c r="CF52" s="1">
        <f>IF($B52=Analysis!$C$66,0,IF(BZ52 &lt; 0,
    IF(BZ52 + CA51 &lt; 0,
        MAX(0, CF51 - (ABS(BZ52 + CA51) * (1+$V51))),
        CF51 + CC52),
    CF51 + CD52 + CC52))</f>
        <v>16137.111023504869</v>
      </c>
      <c r="CG52" s="1">
        <f t="shared" si="25"/>
        <v>16137.111023504869</v>
      </c>
      <c r="CH52" s="36"/>
      <c r="CI52" s="1">
        <f>IF(OR($B52&lt;Analysis!$C$100, $B52&gt;=Analysis!$C$130),0,X52)</f>
        <v>0</v>
      </c>
      <c r="CJ52" s="1">
        <f>IF(OR($B52&lt;Analysis!$C$100, $B52&gt;=Analysis!$C$130),0,Z52)</f>
        <v>0</v>
      </c>
      <c r="CK52" s="1">
        <f t="shared" si="60"/>
        <v>1768090.383700269</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IF($B52&lt;Analysis!$C$130,0,IF($B52=Analysis!$C$130,Analysis!$B$136,IF(($B52-Analysis!$C$130)&lt;LOOKUP(Analysis!$C$130,$B:$B,EE:EE),EI51,0)))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-757285.47721648461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1768090.383700269</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IF($B52&lt;Analysis!$C$159,0,IF($B52=Analysis!$C$159,Analysis!$B$160,IF(($B52-Analysis!$C$159)&lt;LOOKUP(Analysis!$C$159,$B:$B,FZ:FZ),GD51,0)))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68314.22950793388</v>
      </c>
      <c r="GQ52" s="1">
        <f t="shared" si="36"/>
        <v>-5304.2711511008074</v>
      </c>
      <c r="GR52" s="64">
        <f>IF($B52&lt;Analysis!$C$159,0,Analysis!$C$178)</f>
        <v>3.0000000000000001E-3</v>
      </c>
      <c r="GS52" s="1">
        <f t="shared" si="37"/>
        <v>-13260.677877752018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-4428.7468767624805</v>
      </c>
      <c r="HD52" s="1">
        <f t="shared" si="38"/>
        <v>-35253.695905615306</v>
      </c>
      <c r="HE52" s="1">
        <f>MIN(0,-(GN52+HD52)*Analysis!$C$28)-GE52*Analysis!$C$28</f>
        <v>-10544.123892134594</v>
      </c>
      <c r="HF52" s="1">
        <f>-Analysis!$C$176*GP52/12</f>
        <v>-5692.85245899449</v>
      </c>
      <c r="HG52" s="38"/>
      <c r="HH52" s="1">
        <f>IF($B52&lt;Analysis!$C$159,0,-$HI52*$FW52)</f>
        <v>-225431.5239217843</v>
      </c>
      <c r="HI52" s="64">
        <f>IF($B52&lt;Analysis!$C$159,0,IF($B52=Analysis!$C$159,Analysis!$C$31,HI51))</f>
        <v>0.1275</v>
      </c>
      <c r="HJ52" s="1">
        <f>IF($B52&lt;Analysis!$C$159,0,$FW52+HH52)</f>
        <v>1542658.8597784848</v>
      </c>
      <c r="HK52" s="1">
        <f>IF($B52-Analysis!$C$159&gt;10,0,IF($FW52&gt;LOOKUP(Analysis!$C$159,$B:$B, FW:FW),$V52*(LOOKUP(Analysis!$C$159,$B:$B, FW:FW)-FW52),0))</f>
        <v>0</v>
      </c>
      <c r="HL52" s="1">
        <f t="shared" si="39"/>
        <v>1542658.8597784848</v>
      </c>
      <c r="HM52" s="38"/>
      <c r="HN52" s="1">
        <f t="shared" si="40"/>
        <v>-162636.33895026788</v>
      </c>
      <c r="HO52" s="1">
        <f t="shared" si="8"/>
        <v>116863.30255539739</v>
      </c>
      <c r="HP52" s="1">
        <f t="shared" si="41"/>
        <v>-45773.036394870491</v>
      </c>
      <c r="HQ52" s="1">
        <f>IF(HP52 &lt; 0,
    IF(HQ51 + HP52 &gt; 0,
        HQ51 + HP52, IF(HV51-ABS(HQ51 + HP52)*(1+$V52) &gt;= HQ51 + HP52,
        0, HQ51 + HP52)),
    MIN(HQ51 + HP52, Analysis!$C$7))+IF(HQ51&lt;0, HQ51*Analysis!$C$9,0)</f>
        <v>0</v>
      </c>
      <c r="HR52" s="38"/>
      <c r="HS52" s="1">
        <f t="shared" si="54"/>
        <v>22729.229400029944</v>
      </c>
      <c r="HT52" s="1">
        <f>IF($B52=Analysis!$C$159,0,IF(HP52 &gt;= 0,
    MAX(0, HQ51 + HP52 - Analysis!$C$7),
    0))</f>
        <v>0</v>
      </c>
      <c r="HU52" s="1">
        <f>IF($B52=Analysis!$C$159,0,MAX(0, HU51 + HT52 - IF(HP52 &lt; 0, MIN(ABS(HP52), HU51 + HT52), 0)))</f>
        <v>504505.3507227964</v>
      </c>
      <c r="HV52" s="1">
        <f>IF($B52=Analysis!$C$159,0,IF(HP52 &lt; 0,
    IF(HP52 + HQ51 &lt; 0,
        MAX(0, HV51 - (ABS(HP52 + HQ51) * (1+$V51))),
        HV51 + HS52),
    HV51 + HT52 + HS52))</f>
        <v>1101345.0246575137</v>
      </c>
      <c r="HW52" s="1">
        <f t="shared" si="58"/>
        <v>943928.56065723207</v>
      </c>
      <c r="HX52" s="36"/>
    </row>
  </sheetData>
  <pageMargins left="0.7" right="0.7" top="0.75" bottom="0.75" header="0.3" footer="0.3"/>
  <headerFooter>
    <oddFooter>&amp;R_x000D_&amp;1#&amp;"Calibri"&amp;22&amp;KFF8939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D17DC-26CA-4036-9F0C-64CD14170E07}">
  <dimension ref="A1:HX52"/>
  <sheetViews>
    <sheetView zoomScale="70" zoomScaleNormal="70" workbookViewId="0">
      <pane xSplit="2" ySplit="1" topLeftCell="DX2" activePane="bottomRight" state="frozen"/>
      <selection pane="topRight" activeCell="C1" sqref="C1"/>
      <selection pane="bottomLeft" activeCell="A2" sqref="A2"/>
      <selection pane="bottomRight" activeCell="EI2" sqref="EI2:EI52"/>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-542275.39417673636</v>
      </c>
      <c r="D2" s="1">
        <f>IF($B2&lt;Analysis!C$66, 0, BV2)+AT2+AW2+BC2+CG2+CA2</f>
        <v>-630250.39417673636</v>
      </c>
      <c r="E2" s="1">
        <f t="shared" ref="E2:E52" si="1">AK2+AF2</f>
        <v>52939.215686274518</v>
      </c>
      <c r="F2" s="1">
        <f>AL2+AF2</f>
        <v>52401.372549019608</v>
      </c>
      <c r="G2" s="1">
        <f>IF(AND($B2&gt;=Analysis!$C$100, $B2&lt;Analysis!$C$101),$CK2,0)+IF($B2&gt;=Analysis!$C$130,EB2,0)+CQ2+CT2+CZ2+EH2+EK2+EQ2+$FO2+$FT2</f>
        <v>-278265.57516573137</v>
      </c>
      <c r="H2" s="1">
        <f>$DZ2+FJ2+CQ2+CT2+CZ2+EH2+EK2+EQ2+$FO2+$FU2</f>
        <v>-331178.07516573137</v>
      </c>
      <c r="I2" s="1">
        <f>IF($B2&lt;Analysis!$C$159,0,$FW2)+$GC2+$GF2+$GL2+$HQ2+$HV2</f>
        <v>-278265.57516573137</v>
      </c>
      <c r="J2" s="1">
        <f t="shared" ref="J2:J33" si="2">$HL2+$GC2+$GF2+$GL2+$HQ2+$HW2</f>
        <v>-331178.07516573137</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Analysis!$C65</f>
        <v>690000</v>
      </c>
      <c r="AO2" s="64">
        <f>((1+Analysis!$C$75)/(1+$S2))-1</f>
        <v>2.941176470588247E-2</v>
      </c>
      <c r="AP2" s="1">
        <f>IF($B2=Analysis!$C$66,(AN2*(1+Analysis!$C$23+Analysis!$C$24+Analysis!$C$25))-IF($B2=$B$2,(Analysis!$C$6-Analysis!$C$7+Analysis!$C$68), ($CG1-Analysis!$C$7+AY2)),0)</f>
        <v>693833.00000000012</v>
      </c>
      <c r="AQ2" s="65">
        <f>IF($B2=Analysis!$C$66,NPER(AU2,-AX2,-AP2),0)</f>
        <v>26.917875411176713</v>
      </c>
      <c r="AR2" s="64">
        <f>IF($B2=Analysis!$C$66,Analysis!$C$73,0)</f>
        <v>0.02</v>
      </c>
      <c r="AS2" s="1">
        <f>IF($B2&lt;Analysis!$C$66,0,IF($B2=Analysis!$C$66,-AP2*AR2,IF(AX2&gt;=0,0,AX2-AV2)))</f>
        <v>-13876.660000000003</v>
      </c>
      <c r="AT2" s="1">
        <f>IF($B2&lt;Analysis!$C$66,0,IF($B2=Analysis!$C$66,-AP2-AS2,MIN(0,AT1-AS2)))</f>
        <v>-679956.34000000008</v>
      </c>
      <c r="AU2" s="64">
        <f>IF($B2&lt;Analysis!$C$66,0,IF($B2=Analysis!$C$66,Analysis!$D$72,IF(($B2-Analysis!$C$66)&lt;LOOKUP(Analysis!$C$66,$B:$B,AQ:AQ),AU1,0)))</f>
        <v>4.4399999999999995E-2</v>
      </c>
      <c r="AV2" s="1">
        <f>IF($B2&lt;Analysis!$C$66,0,IF($B2=Analysis!$C$66,-AU2*AP2,AU1*AT1))</f>
        <v>-30806.185200000004</v>
      </c>
      <c r="AW2" s="1">
        <f>IF($B2&lt;Analysis!$C$66,0,IF($B2=Analysis!$C$66,PMT(AU2,AQ2,AP2)*AQ2-AX2-AT2,IF(($B2-Analysis!$C$66+1)&lt;LOOKUP(Analysis!$C$66,$B:$B,AQ:AQ),IF(AW1-AV2&lt;0, AW1-AV2,0),0)))</f>
        <v>-478128.07491049543</v>
      </c>
      <c r="AX2" s="1">
        <f>IF($B2&lt;Analysis!$C$66,0,IF($B2=Analysis!$C$66,AS2+AV2,IF(AT1&lt;0,IF(AT1&gt;LOOKUP(Analysis!$C$66,$B:$B,AX:AX), AT1*(1+AU1),AX1),0)))</f>
        <v>-44682.845200000011</v>
      </c>
      <c r="AY2" s="1">
        <f>IF($B2=Analysis!$C$66,Analysis!$C$68,0)</f>
        <v>50000</v>
      </c>
      <c r="AZ2" s="1">
        <f>IF($B2=Analysis!$C$66,PMT(AU2,BA2,AY2)*BA2,0)</f>
        <v>-63003.134066240826</v>
      </c>
      <c r="BA2" s="7">
        <f>IF($B2=Analysis!$C$66,Analysis!$C$70,0)</f>
        <v>10</v>
      </c>
      <c r="BB2" s="1">
        <f>IF($B2&lt;Analysis!$C$66,0,IF($B2=Analysis!$C$66,AZ2/BA2,IF(($B2-Analysis!$C$66)&lt;LOOKUP(Analysis!$C$66,$B:$B,BA:BA),BB1,0)))</f>
        <v>-6300.3134066240827</v>
      </c>
      <c r="BC2" s="1">
        <f>IF($B2&lt;Analysis!$C$66,0,IF($B2=Analysis!$C$66,BA2*BB2-BB2,IF(($B2-Analysis!$C$66)&lt;Analysis!$C$70,BC1-BB2,0)))</f>
        <v>-56702.820659616744</v>
      </c>
      <c r="BD2" s="42"/>
      <c r="BE2" s="1">
        <f>IF($B2&lt;Analysis!$C$66,0,-BF2*AN2)</f>
        <v>-2070</v>
      </c>
      <c r="BF2" s="64">
        <f>IF($B2&lt;Analysis!$C$66,0,Analysis!$C$78)</f>
        <v>3.0000000000000001E-3</v>
      </c>
      <c r="BG2" s="1">
        <f>IF($B2&lt;Analysis!$C$66,0,-BH2*AN2)</f>
        <v>-5175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-87975</v>
      </c>
      <c r="BS2" s="64">
        <f>IF($B2&lt;Analysis!C$66,0,Analysis!C$31)</f>
        <v>0.1275</v>
      </c>
      <c r="BT2" s="1">
        <f>IF($B2&lt;Analysis!$C$66,0,AN2+BR2)</f>
        <v>602025</v>
      </c>
      <c r="BU2" s="1">
        <f>IF($B2-Analysis!$C$66&gt;3,0,IF($AN2&gt;LOOKUP(Analysis!$C$66,$B:$B, AN:AN),$V2*(LOOKUP(Analysis!$C$66,$B:$B, AN:AN)-AN2),0))</f>
        <v>0</v>
      </c>
      <c r="BV2" s="1">
        <f>BT2+BU2</f>
        <v>602025</v>
      </c>
      <c r="BW2" s="42"/>
      <c r="BX2" s="1">
        <f>IF($B2&lt;Analysis!$C$66,$P2+$N2+$X2+$Z2,$P2+$N2+AS2+AV2+BB2+BE2+BG2+MAX(BI2,SUM(BJ2:BN2))+BP2)</f>
        <v>-88288.1586066241</v>
      </c>
      <c r="BY2" s="1">
        <f>$M2+$R2</f>
        <v>46800</v>
      </c>
      <c r="BZ2" s="1">
        <f>BY2+BX2</f>
        <v>-41488.1586066241</v>
      </c>
      <c r="CA2" s="1">
        <f>IF(BZ2&lt;0,Analysis!$C$7+BZ2,Analysis!$C$7)</f>
        <v>-17488.1586066241</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Analysis!$C$97</f>
        <v>415000</v>
      </c>
      <c r="CL2" s="64">
        <f>((1+Analysis!$C$112)/(1+$S2))-1</f>
        <v>2.941176470588247E-2</v>
      </c>
      <c r="CM2" s="1">
        <f>IF($B2=Analysis!$C$100,(CK2*(1+Analysis!$C$23+Analysis!$C$24+Analysis!$C$25))-IF($B2=$B$2,(Analysis!$C$6-Analysis!$C$7+Analysis!$C$105), (FU1-Analysis!$C$7+CV2)),0)</f>
        <v>387015.50000000006</v>
      </c>
      <c r="CN2" s="65">
        <f>IF($B2=Analysis!$C$100,NPER(CR2,-CU2,-CM2),0)</f>
        <v>26.91787541117672</v>
      </c>
      <c r="CO2" s="64">
        <f>IF($B2=Analysis!$C$100,Analysis!$C$103,0)</f>
        <v>0.02</v>
      </c>
      <c r="CP2" s="1">
        <f>IF(OR($B2&lt;Analysis!$C$100, $B2&gt;=Analysis!$C$101),0,IF($B2=Analysis!$C$100,-CM2*CO2,IF(CU2&gt;=0,0,CU2-CS2)))</f>
        <v>-7740.3100000000013</v>
      </c>
      <c r="CQ2" s="1">
        <f>IF(OR($B2&lt;Analysis!$C$100, $B2&gt;=Analysis!$C$101),0,IF($B2=Analysis!$C$100,-CM2-CP2,MIN(0,CQ1-CP2)))</f>
        <v>-379275.19000000006</v>
      </c>
      <c r="CR2" s="64">
        <f>IF(OR($B2&lt;Analysis!$C$100, $B2&gt;=Analysis!$C$101),0,IF($B2=Analysis!$C$100,Analysis!$D$102,IF(($B2-Analysis!$C$100)&lt;LOOKUP(Analysis!$C$100,$B:$B,CN:CN),CR1,0)))</f>
        <v>4.4399999999999995E-2</v>
      </c>
      <c r="CS2" s="1">
        <f>IF(OR($B2&lt;Analysis!$C$100, $B2&gt;=Analysis!$C$101),0,IF($B2=Analysis!$C$100,-CR2*CM2,CR1*CQ1))</f>
        <v>-17183.4882</v>
      </c>
      <c r="CT2" s="1">
        <f>IF(OR($B2&lt;Analysis!$C$100, $B2&gt;=Analysis!$C$101),0,IF($B2=Analysis!$C$100,PMT(CR2,CN2,CM2)*CN2-CU2-CQ2,IF(($B2-Analysis!$C$100+1)&lt;LOOKUP(Analysis!$C$100,$B:$B,CN:CN),IF(CT1-CS2&lt;0, CT1-CS2,0),0)))</f>
        <v>-266696.70652091049</v>
      </c>
      <c r="CU2" s="1">
        <f>IF(OR($B2&lt;Analysis!$C$100, $B2&gt;=Analysis!$C$101),0,IF($B2=Analysis!$C$100,CP2+CS2,IF(CQ1&lt;0,IF(CQ1&gt;LOOKUP(Analysis!$C$100,$B:$B,CU:CU), CQ1*(1+CR1),CU1),0)))</f>
        <v>-24923.798200000001</v>
      </c>
      <c r="CV2" s="1">
        <f>IF($B2=Analysis!$C$100,Analysis!$C$105,0)</f>
        <v>50000</v>
      </c>
      <c r="CW2" s="1">
        <f>IF($B2=Analysis!$C$100,PMT(CR2,CX2,CV2)*CX2,0)</f>
        <v>-63003.134066240826</v>
      </c>
      <c r="CX2" s="7">
        <f>IF($B2=Analysis!$C$100,Analysis!$C$107,0)</f>
        <v>10</v>
      </c>
      <c r="CY2" s="1">
        <f>IF(OR($B2&lt;Analysis!$C$100, $B2&gt;=Analysis!$C$101),0,IF($B2=Analysis!$C$100,CW2/CX2,IF(($B2-Analysis!$C$100)&lt;LOOKUP(Analysis!$C$100,$B:$B,CX:CX),CY1,0)))</f>
        <v>-6300.3134066240827</v>
      </c>
      <c r="CZ2" s="1">
        <f>IF(OR($B2&lt;Analysis!$C$100, $B2&gt;=Analysis!$C$101),0,IF($B2=Analysis!$C$100,CX2*CY2-CY2,IF(($B2-Analysis!$C$100)&lt;Analysis!$C$107,CZ1-CY2,0)))</f>
        <v>-56702.820659616744</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19065</v>
      </c>
      <c r="DE2" s="1">
        <f>-DF2*CK2</f>
        <v>-1245</v>
      </c>
      <c r="DF2" s="64">
        <f>IF(OR($B2&lt;Analysis!$C$100, $B2&gt;=Analysis!$C$101),0,Analysis!$C$118)</f>
        <v>3.0000000000000001E-3</v>
      </c>
      <c r="DG2" s="1">
        <f>-DH2*CK2</f>
        <v>-3112.5</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-8300</v>
      </c>
      <c r="DQ2" s="1">
        <f>-Analysis!$C$117*DB2</f>
        <v>-1039.5</v>
      </c>
      <c r="DR2" s="1">
        <f>DE2+DG2+MIN(DI2,SUM(DJ2:DN2))+DP2+DQ2</f>
        <v>-17657</v>
      </c>
      <c r="DS2" s="1">
        <f>MIN(0,-(DB2+DR2)*Analysis!$C$28)-CS2*Analysis!$C$28</f>
        <v>7614.003621419999</v>
      </c>
      <c r="DT2" s="1">
        <f>-Analysis!$C$116*DD2/12</f>
        <v>-1588.75</v>
      </c>
      <c r="DU2" s="53"/>
      <c r="DV2" s="1">
        <f>-DW2*CK2</f>
        <v>-52912.5</v>
      </c>
      <c r="DW2" s="64">
        <f>IF(OR($B2&lt;Analysis!$C$100, $B2&gt;=Analysis!$C$101),0,IF($B2=Analysis!$C$100,Analysis!$C$31,DW1))</f>
        <v>0.1275</v>
      </c>
      <c r="DX2" s="1">
        <f>IF(OR($B2&lt;Analysis!$C$100, $B2&gt;=Analysis!$C$101),0,CK2+DV2)</f>
        <v>362087.5</v>
      </c>
      <c r="DY2" s="1">
        <f>IF(OR($B2&lt;Analysis!$C$100, $B2&gt;=Analysis!$C$101),0,IF($B2-Analysis!$C$100&gt;3,0,IF(CK2&gt;LOOKUP(Analysis!$C$100,$B:$B, CK:CK),$V2*(LOOKUP(Analysis!$C$100,$B:$B, CK:CK)-CK2),0)))</f>
        <v>0</v>
      </c>
      <c r="DZ2" s="1">
        <f>DX2+DY2</f>
        <v>362087.5</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IF($B2&lt;Analysis!$C$130,0,IF($B2=Analysis!$C$130,Analysis!$D$136,IF(($B2-Analysis!$C$130)&lt;LOOKUP(Analysis!$C$130,$B:$B,EE:EE),EI1,0)))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-80455.857985204086</v>
      </c>
      <c r="FM2" s="1">
        <f>$M2+$R2+DD2+IF(AND($B2&lt;&gt;Analysis!$C$130,$B2=Analysis!$C$101),DZ1+CQ1+CT1+CZ1,0)</f>
        <v>65865</v>
      </c>
      <c r="FN2" s="1">
        <f>FM2+FL2</f>
        <v>-14590.857985204086</v>
      </c>
      <c r="FO2" s="1">
        <f>IF(FN2&lt;0,Analysis!$C$7+FN2,Analysis!$C$7)</f>
        <v>9409.1420147959143</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Analysis!$C$156</f>
        <v>415000</v>
      </c>
      <c r="FX2" s="64">
        <f>((1+Analysis!$C$172)/(1+$S2))-1</f>
        <v>2.941176470588247E-2</v>
      </c>
      <c r="FY2" s="1">
        <f>IF($B2=Analysis!$C$159,(FW2*(1+Analysis!$C$23+Analysis!$C$24+Analysis!$C$25))-IF($B2=$B$2,(Analysis!$C$6-Analysis!$C$7+Analysis!$C$165), (HW1-Analysis!$C$7+GH2)),0)</f>
        <v>387015.50000000006</v>
      </c>
      <c r="FZ2" s="65">
        <f>IF($B2=Analysis!$C$159,NPER(GD2,-GG2,-FY2),0)</f>
        <v>26.91787541117672</v>
      </c>
      <c r="GA2" s="64">
        <f>IF($B2=Analysis!$C$159,Analysis!$C$161,0)</f>
        <v>0.02</v>
      </c>
      <c r="GB2" s="1">
        <f>IF($B2&lt;Analysis!$C$159,0,IF($B2=Analysis!$C$159,-FY2*GA2,IF(GG2&gt;=0,0,GG2-GE2)))</f>
        <v>-7740.3100000000013</v>
      </c>
      <c r="GC2" s="1">
        <f>IF($B2&lt;Analysis!$C$159,0,IF($B2=Analysis!$C$159,-FY2-GB2,MIN(0,GC1-GB2)))</f>
        <v>-379275.19000000006</v>
      </c>
      <c r="GD2" s="64">
        <f>IF($B2&lt;Analysis!$C$159,0,IF($B2=Analysis!$C$159,Analysis!$D$160,IF(($B2-Analysis!$C$159)&lt;LOOKUP(Analysis!$C$159,$B:$B,FZ:FZ),GD1,0)))</f>
        <v>4.4399999999999995E-2</v>
      </c>
      <c r="GE2" s="1">
        <f>IF($B2&lt;Analysis!$C$159,0,IF($B2=Analysis!$C$159,-GD2*FY2,GD1*GC1))</f>
        <v>-17183.4882</v>
      </c>
      <c r="GF2" s="1">
        <f>IF($B2&lt;Analysis!$C$159,0,IF($B2=Analysis!$C$159,PMT(GD2,FZ2,FY2)*FZ2-GG2-GC2,IF(($B2-Analysis!$C$159+1)&lt;LOOKUP(Analysis!$C$159,$B:$B,FZ:FZ),IF(GF1-GE2&lt;0, GF1-GE2,0),0)))</f>
        <v>-266696.70652091049</v>
      </c>
      <c r="GG2" s="1">
        <f>IF($B2&lt;Analysis!$C$159,0,IF($B2=Analysis!$C$159,GB2+GE2,IF(GC1&lt;0,IF(GC1&gt;LOOKUP(Analysis!$C$159,$B:$B,GG:GG), GC1*(1+GD1),GG1),0)))</f>
        <v>-24923.798200000001</v>
      </c>
      <c r="GH2" s="1">
        <f>IF($B2=Analysis!$C$159,Analysis!$C$165,0)</f>
        <v>50000</v>
      </c>
      <c r="GI2" s="1">
        <f>IF($B2=Analysis!$C$159,PMT(GD2,GJ2,GH2)*GJ2,0)</f>
        <v>-63003.134066240826</v>
      </c>
      <c r="GJ2" s="7">
        <f>IF($B2=Analysis!$C$159,Analysis!$C$167,0)</f>
        <v>10</v>
      </c>
      <c r="GK2" s="1">
        <f>IF($B2&lt;Analysis!$C$159,0,IF($B2=Analysis!$C$159,GI2/GJ2,IF(($B2-Analysis!$C$159)&lt;LOOKUP(Analysis!$C$159,$B:$B,GJ:GJ),GK1,0)))</f>
        <v>-6300.3134066240827</v>
      </c>
      <c r="GL2" s="1">
        <f>IF($B2&lt;Analysis!$C$159,0,IF($B2=Analysis!$C$159,GJ2*GK2-GK2,IF(($B2-Analysis!$C$159)&lt;Analysis!$C$167,GL1-GK2,0)))</f>
        <v>-56702.820659616744</v>
      </c>
      <c r="GM2" s="38"/>
      <c r="GN2" s="1">
        <f>IF($B2&lt;Analysis!$C$159,0,IF($B2=2025,(Analysis!$C$109*12),IF($B2=Analysis!$C$159,(Analysis!$C$109*12)*(1+GO2)^($B2-$B$2),GN1*(1+GO2))))</f>
        <v>13860</v>
      </c>
      <c r="GO2" s="64">
        <f>IF($B2&lt;Analysis!$C$159,0,((1+Analysis!$C$174)/(1+$S2))-1)</f>
        <v>2.941176470588247E-2</v>
      </c>
      <c r="GP2" s="1">
        <f t="shared" ref="GP2:GP52" si="7">GN2-GU2-GQ2</f>
        <v>19065</v>
      </c>
      <c r="GQ2" s="1">
        <f>-GR2*FW2</f>
        <v>-1245</v>
      </c>
      <c r="GR2" s="64">
        <f>IF($B2&lt;Analysis!$C$159,0,Analysis!$C$178)</f>
        <v>3.0000000000000001E-3</v>
      </c>
      <c r="GS2" s="1">
        <f>-GT2*FW2</f>
        <v>-3112.5</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-8300</v>
      </c>
      <c r="HC2" s="1">
        <f>-Analysis!$C$177*GN2</f>
        <v>-1039.5</v>
      </c>
      <c r="HD2" s="1">
        <f>GQ2+GS2+MIN(GU2,SUM(GV2:GZ2))+HB2+HC2</f>
        <v>-17657</v>
      </c>
      <c r="HE2" s="1">
        <f>MIN(0,-(GN2+HD2)*Analysis!$C$28)-GE2*Analysis!$C$28</f>
        <v>7614.003621419999</v>
      </c>
      <c r="HF2" s="1">
        <f>-Analysis!$C$176*GP2/12</f>
        <v>-1588.75</v>
      </c>
      <c r="HG2" s="38"/>
      <c r="HH2" s="1">
        <f>IF($B2&lt;Analysis!$C$159,0,-$HI2*$FW2)</f>
        <v>-52912.5</v>
      </c>
      <c r="HI2" s="64">
        <f>IF($B2&lt;Analysis!$C$159,0,IF($B2=Analysis!$C$159,Analysis!$C$31,HI1))</f>
        <v>0.1275</v>
      </c>
      <c r="HJ2" s="1">
        <f>IF($B2&lt;Analysis!$C$159,0,$FW2+HH2)</f>
        <v>362087.5</v>
      </c>
      <c r="HK2" s="1">
        <f>IF($B2-Analysis!$C$159&gt;10,0,IF($FW2&gt;LOOKUP(Analysis!$C$159,$B:$B, FW:FW),$V2*(LOOKUP(Analysis!$C$159,$B:$B, FW:FW)-FW2),0))</f>
        <v>0</v>
      </c>
      <c r="HL2" s="1">
        <f>HJ2+HK2</f>
        <v>362087.5</v>
      </c>
      <c r="HM2" s="38"/>
      <c r="HN2" s="1">
        <f>$P2+$N2+$X2+$Z2+GB2+GE2+GK2+GQ2+GS2+MIN(GU2,SUM(GV2:GZ2))+HC2+HE2+HF2</f>
        <v>-80455.857985204086</v>
      </c>
      <c r="HO2" s="1">
        <f t="shared" ref="HO2:HO52" si="8">$M2+$R2+$GP2</f>
        <v>65865</v>
      </c>
      <c r="HP2" s="1">
        <f>HO2+HN2</f>
        <v>-14590.857985204086</v>
      </c>
      <c r="HQ2" s="1">
        <f>IF(HP2&lt;0,Analysis!$C$7+HP2,Analysis!$C$7)</f>
        <v>9409.1420147959143</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-489004.29980644264</v>
      </c>
      <c r="D3" s="1">
        <f>IF($B3&lt;Analysis!C$66, 0, BV3)+AT3+AW3+BC3+CG3+CA3</f>
        <v>-584919.3733358545</v>
      </c>
      <c r="E3" s="1">
        <f t="shared" si="1"/>
        <v>80687.583303125168</v>
      </c>
      <c r="F3" s="1">
        <f t="shared" ref="F3:F52" si="9">AL3+AF3</f>
        <v>79564.180265749426</v>
      </c>
      <c r="G3" s="1">
        <f>IF(AND($B3&gt;=Analysis!$C$100, $B3&lt;Analysis!$C$101),$CK3,0)+IF($B3&gt;=Analysis!$C$130,EB3,0)+CQ3+CT3+CZ3+EH3+EK3+EQ3+$FO3+$FT3</f>
        <v>-224701.97661673976</v>
      </c>
      <c r="H3" s="1">
        <f t="shared" ref="H3:H52" si="10">$DZ3+FJ3+CQ3+CT3+CZ3+EH3+EK3+EQ3+$FO3+$FU3</f>
        <v>-282390.02808732807</v>
      </c>
      <c r="I3" s="1">
        <f>IF($B3&lt;Analysis!$C$159,0,$FW3)+$GC3+$GF3+$GL3+$HQ3+$HV3</f>
        <v>-224701.97661673976</v>
      </c>
      <c r="J3" s="1">
        <f t="shared" si="2"/>
        <v>-282390.02808732807</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25528.235294117636</v>
      </c>
      <c r="AJ3" s="1">
        <f>MAX(0, AJ2 + AI3 - IF(AE3 &lt; 0, MIN(ABS(AE3), AJ2 + AI3), 0))</f>
        <v>52428.235294117636</v>
      </c>
      <c r="AK3" s="1">
        <f t="shared" ref="AK3:AK52" si="20">IF(AE3 &lt; 0,
    IF(AE3 + AF2 &lt; 0,
        MAX(0, AK2 - (ABS(AE3 + AF2) * (1+$V2))),
        AK2 + AH3),
    AK2 + AI3 + AH3)</f>
        <v>56687.583303125175</v>
      </c>
      <c r="AL3" s="1">
        <f t="shared" si="5"/>
        <v>55564.180265749434</v>
      </c>
      <c r="AM3" s="36"/>
      <c r="AN3" s="1">
        <f>AN2*(1+AO2)</f>
        <v>710294.11764705891</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-14492.783704000009</v>
      </c>
      <c r="AT3" s="1">
        <f>IF($B3&lt;Analysis!$C$66,0,IF($B3=Analysis!$C$66,-AP3-AS3,MIN(0,AT2-AS3)))</f>
        <v>-665463.55629600002</v>
      </c>
      <c r="AU3" s="64">
        <f>IF($B3&lt;Analysis!$C$66,0,IF($B3=Analysis!$C$66,Analysis!$C$72,IF(($B3-Analysis!$C$66)&lt;LOOKUP(Analysis!$C$66,$B:$B,AQ:AQ),AU2,0)))</f>
        <v>4.4399999999999995E-2</v>
      </c>
      <c r="AV3" s="1">
        <f>IF($B3&lt;Analysis!$C$66,0,IF($B3=Analysis!$C$66,-AU3*AP3,AU2*AT2))</f>
        <v>-30190.061496000002</v>
      </c>
      <c r="AW3" s="1">
        <f>IF($B3&lt;Analysis!$C$66,0,IF($B3=Analysis!$C$66,PMT(AU3,AQ3,AP3)*AQ3-AX3-AT3,IF(($B3-Analysis!$C$66+1)&lt;LOOKUP(Analysis!$C$66,$B:$B,AQ:AQ),IF(AW2-AV3&lt;0, AW2-AV3,0),0)))</f>
        <v>-447938.01341449545</v>
      </c>
      <c r="AX3" s="1">
        <f>IF($B3&lt;Analysis!$C$66,0,IF($B3=Analysis!$C$66,AS3+AV3,IF(AT2&lt;0,IF(AT2&gt;LOOKUP(Analysis!$C$66,$B:$B,AX:AX), AT2*(1+AU2),AX2),0)))</f>
        <v>-44682.845200000011</v>
      </c>
      <c r="AY3" s="1">
        <f>IF($B3=Analysis!$C$66,Analysis!$C$68,0)</f>
        <v>0</v>
      </c>
      <c r="AZ3" s="1">
        <f>IF($B3=Analysis!$C$66,PMT(AU3,BA3,AY3)*BA3,0)</f>
        <v>0</v>
      </c>
      <c r="BA3" s="7">
        <f>IF($B3=Analysis!$C$66,Analysis!$C$70,0)</f>
        <v>0</v>
      </c>
      <c r="BB3" s="1">
        <f>IF($B3&lt;Analysis!$C$66,0,IF($B3=Analysis!$C$66,AZ3/BA3,IF(($B3-Analysis!$C$66)&lt;LOOKUP(Analysis!$C$66,$B:$B,BA:BA),BB2,0)))</f>
        <v>-6300.3134066240827</v>
      </c>
      <c r="BC3" s="1">
        <f>IF($B3&lt;Analysis!$C$66,0,IF($B3=Analysis!$C$66,BA3*BB3-BB3,IF(($B3-Analysis!$C$66)&lt;Analysis!$C$70,BC2-BB3,0)))</f>
        <v>-50402.507252992662</v>
      </c>
      <c r="BD3" s="42"/>
      <c r="BE3" s="1">
        <f>IF($B3&lt;Analysis!$C$66,0,-BF3*AN3)</f>
        <v>-2130.8823529411766</v>
      </c>
      <c r="BF3" s="64">
        <f>IF($B3&lt;Analysis!$C$66,0,Analysis!$C$78)</f>
        <v>3.0000000000000001E-3</v>
      </c>
      <c r="BG3" s="1">
        <f>IF($B3&lt;Analysis!$C$66,0,-BH3*AN3)</f>
        <v>-5327.2058823529414</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-90562.500000000015</v>
      </c>
      <c r="BS3" s="64">
        <f>IF($B3&lt;Analysis!C$66,0,Analysis!C$31)</f>
        <v>0.1275</v>
      </c>
      <c r="BT3" s="1">
        <f>IF($B3&lt;Analysis!$C$66,0,AN3+BR3)</f>
        <v>619731.61764705891</v>
      </c>
      <c r="BU3" s="1">
        <f>IF($B3-Analysis!$C$66&gt;3,0,IF($AN3&gt;LOOKUP(Analysis!$C$66,$B:$B, AN:AN),$V3*(LOOKUP(Analysis!$C$66,$B:$B, AN:AN)-AN3),0))</f>
        <v>-5352.5735294117876</v>
      </c>
      <c r="BV3" s="1">
        <f t="shared" ref="BV3:BV52" si="23">BT3+BU3</f>
        <v>614379.04411764711</v>
      </c>
      <c r="BW3" s="42"/>
      <c r="BX3" s="1">
        <f>IF($B3&lt;Analysis!$C$66,$P3+$N3+$X3+$Z3,$P3+$N3+AS3+AV3+BB3+BE3+BG3+MAX(BI3,SUM(BJ3:BN3))+BP3)</f>
        <v>-112501.24684191821</v>
      </c>
      <c r="BY3" s="1">
        <f t="shared" ref="BY3:BY52" si="24">$M3+$R3</f>
        <v>95894.117647058811</v>
      </c>
      <c r="BZ3" s="1">
        <f>BY3+BX3</f>
        <v>-16607.129194859401</v>
      </c>
      <c r="CA3" s="1">
        <f>IF(BZ3 &lt; 0,
    IF(CA2 + BZ3 &gt; 0,
        CA2 + BZ3, IF(CF2-ABS(CA2 + BZ3)*(1+$V3) &gt;= CA2 + BZ3,
        0, CA2 + BZ3)),
    MIN(CA2 + BZ3, Analysis!$C$7))+IF(CA2&lt;0, CA2*Analysis!$C$9,0)</f>
        <v>-35494.340490013426</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427205.8823529412</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-8083.9797639999997</v>
      </c>
      <c r="CQ3" s="1">
        <f>IF(OR($B3&lt;Analysis!$C$100, $B3&gt;=Analysis!$C$101),0,IF($B3=Analysis!$C$100,-CM3-CP3,MIN(0,CQ2-CP3)))</f>
        <v>-371191.21023600007</v>
      </c>
      <c r="CR3" s="64">
        <f>IF(OR($B3&lt;Analysis!$C$100, $B3&gt;=Analysis!$C$101),0,IF($B3=Analysis!$C$100,Analysis!$C$102,IF(($B3-Analysis!$C$100)&lt;LOOKUP(Analysis!$C$100,$B:$B,CN:CN),CR2,0)))</f>
        <v>4.4399999999999995E-2</v>
      </c>
      <c r="CS3" s="1">
        <f>IF(OR($B3&lt;Analysis!$C$100, $B3&gt;=Analysis!$C$101),0,IF($B3=Analysis!$C$100,-CR3*CM3,CR2*CQ2))</f>
        <v>-16839.818436000001</v>
      </c>
      <c r="CT3" s="1">
        <f>IF(OR($B3&lt;Analysis!$C$100, $B3&gt;=Analysis!$C$101),0,IF($B3=Analysis!$C$100,PMT(CR3,CN3,CM3)*CN3-CU3-CQ3,IF(($B3-Analysis!$C$100+1)&lt;LOOKUP(Analysis!$C$100,$B:$B,CN:CN),IF(CT2-CS3&lt;0, CT2-CS3,0),0)))</f>
        <v>-249856.88808491049</v>
      </c>
      <c r="CU3" s="1">
        <f>IF(OR($B3&lt;Analysis!$C$100, $B3&gt;=Analysis!$C$101),0,IF($B3=Analysis!$C$100,CP3+CS3,IF(CQ2&lt;0,IF(CQ2&gt;LOOKUP(Analysis!$C$100,$B:$B,CU:CU), CQ2*(1+CR2),CU2),0)))</f>
        <v>-24923.798200000001</v>
      </c>
      <c r="CV3" s="1">
        <f>IF($B3=Analysis!$C$100,Analysis!$C$105,0)</f>
        <v>0</v>
      </c>
      <c r="CW3" s="1">
        <f>IF($B3=Analysis!$C$100,PMT(CR3,CX3,CV3)*CX3,0)</f>
        <v>0</v>
      </c>
      <c r="CX3" s="7">
        <f>IF($B3=Analysis!$C$100,Analysis!$C$107,0)</f>
        <v>0</v>
      </c>
      <c r="CY3" s="1">
        <f>IF(OR($B3&lt;Analysis!$C$100, $B3&gt;=Analysis!$C$101),0,IF($B3=Analysis!$C$100,CW3/CX3,IF(($B3-Analysis!$C$100)&lt;LOOKUP(Analysis!$C$100,$B:$B,CX:CX),CY2,0)))</f>
        <v>-6300.3134066240827</v>
      </c>
      <c r="CZ3" s="1">
        <f>IF(OR($B3&lt;Analysis!$C$100, $B3&gt;=Analysis!$C$101),0,IF($B3=Analysis!$C$100,CX3*CY3-CY3,IF(($B3-Analysis!$C$100)&lt;Analysis!$C$107,CZ2-CY3,0)))</f>
        <v>-50402.507252992662</v>
      </c>
      <c r="DA3" s="53"/>
      <c r="DB3" s="1">
        <f>IF(OR($B3&lt;Analysis!$C$100, $B3&gt;=Analysis!$C$101),0,IF($B3=2025,(Analysis!$C$109*12),IF($B3=Analysis!$C$100,(Analysis!$C$109*12)*(1+DC3)^($B3-$B$2),DB2*(1+DC3))))</f>
        <v>14267.647058823532</v>
      </c>
      <c r="DC3" s="64">
        <f>IF(OR($B3&lt;Analysis!$C$100, $B3&gt;=Analysis!$C$101),0,((1+Analysis!$C$114)/(1+$S3))-1)</f>
        <v>2.941176470588247E-2</v>
      </c>
      <c r="DD3" s="1">
        <f t="shared" si="6"/>
        <v>19509.264705882357</v>
      </c>
      <c r="DE3" s="1">
        <f t="shared" ref="DE3:DE52" si="27">-DF3*CK3</f>
        <v>-1281.6176470588236</v>
      </c>
      <c r="DF3" s="64">
        <f>IF(OR($B3&lt;Analysis!$C$100, $B3&gt;=Analysis!$C$101),0,Analysis!$C$118)</f>
        <v>3.0000000000000001E-3</v>
      </c>
      <c r="DG3" s="1">
        <f t="shared" ref="DG3:DG52" si="28">-DH3*CK3</f>
        <v>-3204.044117647059</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-8300</v>
      </c>
      <c r="DQ3" s="1">
        <f>-Analysis!$C$117*DB3</f>
        <v>-1070.0735294117649</v>
      </c>
      <c r="DR3" s="1">
        <f t="shared" ref="DR3:DR52" si="29">DE3+DG3+MIN(DI3,SUM(DJ3:DN3))+DP3+DQ3</f>
        <v>-17815.735294117647</v>
      </c>
      <c r="DS3" s="1">
        <f>MIN(0,-(DB3+DR3)*Analysis!$C$28)-CS3*Analysis!$C$28</f>
        <v>7461.7235489915993</v>
      </c>
      <c r="DT3" s="1">
        <f>-Analysis!$C$116*DD3/12</f>
        <v>-1625.7720588235297</v>
      </c>
      <c r="DU3" s="53"/>
      <c r="DV3" s="1">
        <f t="shared" ref="DV3:DV52" si="30">-DW3*CK3</f>
        <v>-54468.750000000007</v>
      </c>
      <c r="DW3" s="64">
        <f>IF(OR($B3&lt;Analysis!$C$100, $B3&gt;=Analysis!$C$101),0,IF($B3=Analysis!$C$100,Analysis!$C$31,DW2))</f>
        <v>0.1275</v>
      </c>
      <c r="DX3" s="1">
        <f>IF(OR($B3&lt;Analysis!$C$100, $B3&gt;=Analysis!$C$101),0,CK3+DV3)</f>
        <v>372737.1323529412</v>
      </c>
      <c r="DY3" s="1">
        <f>IF(OR($B3&lt;Analysis!$C$100, $B3&gt;=Analysis!$C$101),0,IF($B3-Analysis!$C$100&gt;3,0,IF(CK3&gt;LOOKUP(Analysis!$C$100,$B:$B, CK:CK),$V3*(LOOKUP(Analysis!$C$100,$B:$B, CK:CK)-CK3),0)))</f>
        <v>-3219.3014705882424</v>
      </c>
      <c r="DZ3" s="1">
        <f>DX3+DY3</f>
        <v>369517.83088235295</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IF($B3&lt;Analysis!$C$130,0,IF($B3=Analysis!$C$130,Analysis!$D$136,IF(($B3-Analysis!$C$130)&lt;LOOKUP(Analysis!$C$130,$B:$B,EE:EE),EI2,0)))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-105269.77776351484</v>
      </c>
      <c r="FM3" s="1">
        <f>$M3+$R3+DD3+IF(AND($B3&lt;&gt;Analysis!$C$130,$B3=Analysis!$C$101),DZ2+CQ2+CT2+CZ2,0)</f>
        <v>115403.38235294117</v>
      </c>
      <c r="FN3" s="1">
        <f t="shared" ref="FN3:FN52" si="34">FM3+FL3</f>
        <v>10133.604589426337</v>
      </c>
      <c r="FO3" s="1">
        <f>IF(FN3 &lt; 0,
    IF(FO2 + FN3 &gt; 0,
        FO2 + FN3, IF(FT2-ABS(FO2 + FN3)*(1+$V3) &gt;= FO2 + FN3,
        0, FO2 + FN3)),
    MIN(FO2 + FN3, Analysis!$C$7))+IF(FO2&lt;0, FO2*Analysis!$C$9,0)</f>
        <v>19542.746604222251</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427205.8823529412</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-8083.9797639999997</v>
      </c>
      <c r="GC3" s="1">
        <f>IF($B3&lt;Analysis!$C$159,0,IF($B3=Analysis!$C$159,-FY3-GB3,MIN(0,GC2-GB3)))</f>
        <v>-371191.21023600007</v>
      </c>
      <c r="GD3" s="64">
        <f>IF($B3&lt;Analysis!$C$159,0,IF($B3=Analysis!$C$159,Analysis!$C$160,IF(($B3-Analysis!$C$159)&lt;LOOKUP(Analysis!$C$159,$B:$B,FZ:FZ),GD2,0)))</f>
        <v>4.4399999999999995E-2</v>
      </c>
      <c r="GE3" s="1">
        <f>IF($B3&lt;Analysis!$C$159,0,IF($B3=Analysis!$C$159,-GD3*FY3,GD2*GC2))</f>
        <v>-16839.818436000001</v>
      </c>
      <c r="GF3" s="1">
        <f>IF($B3&lt;Analysis!$C$159,0,IF($B3=Analysis!$C$159,PMT(GD3,FZ3,FY3)*FZ3-GG3-GC3,IF(($B3-Analysis!$C$159+1)&lt;LOOKUP(Analysis!$C$159,$B:$B,FZ:FZ),IF(GF2-GE3&lt;0, GF2-GE3,0),0)))</f>
        <v>-249856.88808491049</v>
      </c>
      <c r="GG3" s="1">
        <f>IF($B3&lt;Analysis!$C$159,0,IF($B3=Analysis!$C$159,GB3+GE3,IF(GC2&lt;0,IF(GC2&gt;LOOKUP(Analysis!$C$159,$B:$B,GG:GG), GC2*(1+GD2),GG2),0)))</f>
        <v>-24923.798200000001</v>
      </c>
      <c r="GH3" s="1">
        <f>IF($B3=Analysis!$C$159,Analysis!$C$165,0)</f>
        <v>0</v>
      </c>
      <c r="GI3" s="1">
        <f>IF($B3=Analysis!$C$159,PMT(GD3,GJ3,GH3)*GJ3,0)</f>
        <v>0</v>
      </c>
      <c r="GJ3" s="7">
        <f>IF($B3=Analysis!$C$159,Analysis!$C$167,0)</f>
        <v>0</v>
      </c>
      <c r="GK3" s="1">
        <f>IF($B3&lt;Analysis!$C$159,0,IF($B3=Analysis!$C$159,GI3/GJ3,IF(($B3-Analysis!$C$159)&lt;LOOKUP(Analysis!$C$159,$B:$B,GJ:GJ),GK2,0)))</f>
        <v>-6300.3134066240827</v>
      </c>
      <c r="GL3" s="1">
        <f>IF($B3&lt;Analysis!$C$159,0,IF($B3=Analysis!$C$159,GJ3*GK3-GK3,IF(($B3-Analysis!$C$159)&lt;Analysis!$C$167,GL2-GK3,0)))</f>
        <v>-50402.507252992662</v>
      </c>
      <c r="GM3" s="38"/>
      <c r="GN3" s="1">
        <f>IF($B3&lt;Analysis!$C$159,0,IF($B3=2025,(Analysis!$C$109*12),IF($B3=Analysis!$C$159,(Analysis!$C$109*12)*(1+GO3)^($B3-$B$2),GN2*(1+GO3))))</f>
        <v>14267.647058823532</v>
      </c>
      <c r="GO3" s="64">
        <f>IF($B3&lt;Analysis!$C$159,0,((1+Analysis!$C$174)/(1+$S3))-1)</f>
        <v>2.941176470588247E-2</v>
      </c>
      <c r="GP3" s="1">
        <f t="shared" si="7"/>
        <v>19509.264705882357</v>
      </c>
      <c r="GQ3" s="1">
        <f t="shared" ref="GQ3:GQ52" si="36">-GR3*FW3</f>
        <v>-1281.6176470588236</v>
      </c>
      <c r="GR3" s="64">
        <f>IF($B3&lt;Analysis!$C$159,0,Analysis!$C$178)</f>
        <v>3.0000000000000001E-3</v>
      </c>
      <c r="GS3" s="1">
        <f t="shared" ref="GS3:GS52" si="37">-GT3*FW3</f>
        <v>-3204.044117647059</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-8300</v>
      </c>
      <c r="HC3" s="1">
        <f>-Analysis!$C$177*GN3</f>
        <v>-1070.0735294117649</v>
      </c>
      <c r="HD3" s="1">
        <f t="shared" ref="HD3:HD52" si="38">GQ3+GS3+MIN(GU3,SUM(GV3:GZ3))+HB3+HC3</f>
        <v>-17815.735294117647</v>
      </c>
      <c r="HE3" s="1">
        <f>MIN(0,-(GN3+HD3)*Analysis!$C$28)-GE3*Analysis!$C$28</f>
        <v>7461.7235489915993</v>
      </c>
      <c r="HF3" s="1">
        <f>-Analysis!$C$176*GP3/12</f>
        <v>-1625.7720588235297</v>
      </c>
      <c r="HG3" s="38"/>
      <c r="HH3" s="1">
        <f>IF($B3&lt;Analysis!$C$159,0,-$HI3*$FW3)</f>
        <v>-54468.750000000007</v>
      </c>
      <c r="HI3" s="64">
        <f>IF($B3&lt;Analysis!$C$159,0,IF($B3=Analysis!$C$159,Analysis!$C$31,HI2))</f>
        <v>0.1275</v>
      </c>
      <c r="HJ3" s="1">
        <f>IF($B3&lt;Analysis!$C$159,0,$FW3+HH3)</f>
        <v>372737.1323529412</v>
      </c>
      <c r="HK3" s="1">
        <f>IF($B3-Analysis!$C$159&gt;10,0,IF($FW3&gt;LOOKUP(Analysis!$C$159,$B:$B, FW:FW),$V3*(LOOKUP(Analysis!$C$159,$B:$B, FW:FW)-FW3),0))</f>
        <v>-3219.3014705882424</v>
      </c>
      <c r="HL3" s="1">
        <f t="shared" ref="HL3:HL52" si="39">HJ3+HK3</f>
        <v>369517.83088235295</v>
      </c>
      <c r="HM3" s="38"/>
      <c r="HN3" s="1">
        <f t="shared" ref="HN3:HN52" si="40">$P3+$N3+$X3+$Z3+GB3+GE3+GK3+GQ3+GS3+MIN(GU3,SUM(GV3:GZ3))+HC3+HE3+HF3</f>
        <v>-105269.77776351484</v>
      </c>
      <c r="HO3" s="1">
        <f t="shared" si="8"/>
        <v>115403.38235294117</v>
      </c>
      <c r="HP3" s="1">
        <f t="shared" ref="HP3:HP52" si="41">HO3+HN3</f>
        <v>10133.604589426337</v>
      </c>
      <c r="HQ3" s="1">
        <f>IF(HP3 &lt; 0,
    IF(HQ2 + HP3 &gt; 0,
        HQ2 + HP3, IF(HV2-ABS(HQ2 + HP3)*(1+$V3) &gt;= HQ2 + HP3,
        0, HQ2 + HP3)),
    MIN(HQ2 + HP3, Analysis!$C$7))+IF(HQ2&lt;0, HQ2*Analysis!$C$9,0)</f>
        <v>19542.746604222251</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-462843.22853353288</v>
      </c>
      <c r="D4" s="1">
        <f>IF($B4&lt;Analysis!C$66, 0, BV4)+AT4+AW4+BC4+CG4+CA4</f>
        <v>-566931.90716675087</v>
      </c>
      <c r="E4" s="1">
        <f t="shared" si="1"/>
        <v>83940.902535110043</v>
      </c>
      <c r="F4" s="1">
        <f t="shared" si="9"/>
        <v>81432.776169675461</v>
      </c>
      <c r="G4" s="1">
        <f>IF(AND($B4&gt;=Analysis!$C$100, $B4&lt;Analysis!$C$101),$CK4,0)+IF($B4&gt;=Analysis!$C$130,EB4,0)+CQ4+CT4+CZ4+EH4+EK4+EQ4+$FO4+$FT4</f>
        <v>-197209.25004148233</v>
      </c>
      <c r="H4" s="1">
        <f t="shared" si="10"/>
        <v>-259813.31037885259</v>
      </c>
      <c r="I4" s="1">
        <f>IF($B4&lt;Analysis!$C$159,0,$FW4)+$GC4+$GF4+$GL4+$HQ4+$HV4</f>
        <v>-197209.25004148233</v>
      </c>
      <c r="J4" s="1">
        <f t="shared" si="2"/>
        <v>-259813.31037885259</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4251.7275364831467</v>
      </c>
      <c r="AI4" s="1">
        <f>IF(AE4 &gt;= 0,
    MAX(0, AF3 + AE4 - Analysis!$C$7),
    0)</f>
        <v>0</v>
      </c>
      <c r="AJ4" s="1">
        <f t="shared" ref="AJ4:AJ52" si="44">MAX(0, AJ3 + AI4 - IF(AE4 &lt; 0, MIN(ABS(AE4), AJ3 + AI4), 0))</f>
        <v>51429.82698961936</v>
      </c>
      <c r="AK4" s="1">
        <f t="shared" si="20"/>
        <v>60939.310839608319</v>
      </c>
      <c r="AL4" s="1">
        <f t="shared" si="5"/>
        <v>58431.18447417373</v>
      </c>
      <c r="AM4" s="36"/>
      <c r="AN4" s="1">
        <f t="shared" ref="AN4:AN52" si="45">AN3*(1+AO3)</f>
        <v>731185.12110726663</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-15136.263300457613</v>
      </c>
      <c r="AT4" s="1">
        <f>IF($B4&lt;Analysis!$C$66,0,IF($B4=Analysis!$C$66,-AP4-AS4,MIN(0,AT3-AS4)))</f>
        <v>-650327.2929955424</v>
      </c>
      <c r="AU4" s="64">
        <f>IF($B4&lt;Analysis!$C$66,0,IF($B4=Analysis!$C$66,Analysis!$C$72,IF(($B4-Analysis!$C$66)&lt;LOOKUP(Analysis!$C$66,$B:$B,AQ:AQ),AU3,0)))</f>
        <v>4.4399999999999995E-2</v>
      </c>
      <c r="AV4" s="1">
        <f>IF($B4&lt;Analysis!$C$66,0,IF($B4=Analysis!$C$66,-AU4*AP4,AU3*AT3))</f>
        <v>-29546.581899542398</v>
      </c>
      <c r="AW4" s="1">
        <f>IF($B4&lt;Analysis!$C$66,0,IF($B4=Analysis!$C$66,PMT(AU4,AQ4,AP4)*AQ4-AX4-AT4,IF(($B4-Analysis!$C$66+1)&lt;LOOKUP(Analysis!$C$66,$B:$B,AQ:AQ),IF(AW3-AV4&lt;0, AW3-AV4,0),0)))</f>
        <v>-418391.43151495303</v>
      </c>
      <c r="AX4" s="1">
        <f>IF($B4&lt;Analysis!$C$66,0,IF($B4=Analysis!$C$66,AS4+AV4,IF(AT3&lt;0,IF(AT3&gt;LOOKUP(Analysis!$C$66,$B:$B,AX:AX), AT3*(1+AU3),AX3),0)))</f>
        <v>-44682.845200000011</v>
      </c>
      <c r="AY4" s="1">
        <f>IF($B4=Analysis!$C$66,Analysis!$C$68,0)</f>
        <v>0</v>
      </c>
      <c r="AZ4" s="1">
        <f>IF($B4=Analysis!$C$66,PMT(AU4,BA4,AY4)*BA4,0)</f>
        <v>0</v>
      </c>
      <c r="BA4" s="7">
        <f>IF($B4=Analysis!$C$66,Analysis!$C$70,0)</f>
        <v>0</v>
      </c>
      <c r="BB4" s="1">
        <f>IF($B4&lt;Analysis!$C$66,0,IF($B4=Analysis!$C$66,AZ4/BA4,IF(($B4-Analysis!$C$66)&lt;LOOKUP(Analysis!$C$66,$B:$B,BA:BA),BB3,0)))</f>
        <v>-6300.3134066240827</v>
      </c>
      <c r="BC4" s="1">
        <f>IF($B4&lt;Analysis!$C$66,0,IF($B4=Analysis!$C$66,BA4*BB4-BB4,IF(($B4-Analysis!$C$66)&lt;Analysis!$C$70,BC3-BB4,0)))</f>
        <v>-44102.19384636858</v>
      </c>
      <c r="BD4" s="42"/>
      <c r="BE4" s="1">
        <f>IF($B4&lt;Analysis!$C$66,0,-BF4*AN4)</f>
        <v>-2193.5553633218001</v>
      </c>
      <c r="BF4" s="64">
        <f>IF($B4&lt;Analysis!$C$66,0,Analysis!$C$78)</f>
        <v>3.0000000000000001E-3</v>
      </c>
      <c r="BG4" s="1">
        <f>IF($B4&lt;Analysis!$C$66,0,-BH4*AN4)</f>
        <v>-5483.8884083044995</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-93226.10294117649</v>
      </c>
      <c r="BS4" s="64">
        <f>IF($B4&lt;Analysis!C$66,0,Analysis!C$31)</f>
        <v>0.1275</v>
      </c>
      <c r="BT4" s="1">
        <f>IF($B4&lt;Analysis!$C$66,0,AN4+BR4)</f>
        <v>637959.01816609013</v>
      </c>
      <c r="BU4" s="1">
        <f>IF($B4-Analysis!$C$66&gt;3,0,IF($AN4&gt;LOOKUP(Analysis!$C$66,$B:$B, AN:AN),$V4*(LOOKUP(Analysis!$C$66,$B:$B, AN:AN)-AN4),0))</f>
        <v>-10862.575692041573</v>
      </c>
      <c r="BV4" s="1">
        <f>BT4+BU4</f>
        <v>627096.44247404858</v>
      </c>
      <c r="BW4" s="42"/>
      <c r="BX4" s="1">
        <f>IF($B4&lt;Analysis!$C$66,$P4+$N4+$X4+$Z4,$P4+$N4+AS4+AV4+BB4+BE4+BG4+MAX(BI4,SUM(BJ4:BN4))+BP4)</f>
        <v>-90820.602378250391</v>
      </c>
      <c r="BY4" s="1">
        <f t="shared" si="24"/>
        <v>47947.058823529405</v>
      </c>
      <c r="BZ4" s="1">
        <f t="shared" ref="BZ4:BZ52" si="46">BY4+BX4</f>
        <v>-42873.543554720985</v>
      </c>
      <c r="CA4" s="1">
        <f>IF(BZ4 &lt; 0,
    IF(CA3 + BZ4 &gt; 0,
        CA3 + BZ4, IF(CF3-ABS(CA3 + BZ4)*(1+$V4) &gt;= CA3 + BZ4,
        0, CA3 + BZ4)),
    MIN(CA3 + BZ4, Analysis!$C$7))+IF(CA3&lt;0, CA3*Analysis!$C$9,0)</f>
        <v>-81207.431283935482</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439770.7612456748</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-8442.9084655215993</v>
      </c>
      <c r="CQ4" s="1">
        <f>IF(OR($B4&lt;Analysis!$C$100, $B4&gt;=Analysis!$C$101),0,IF($B4=Analysis!$C$100,-CM4-CP4,MIN(0,CQ3-CP4)))</f>
        <v>-362748.30177047849</v>
      </c>
      <c r="CR4" s="64">
        <f>IF(OR($B4&lt;Analysis!$C$100, $B4&gt;=Analysis!$C$101),0,IF($B4=Analysis!$C$100,Analysis!$C$102,IF(($B4-Analysis!$C$100)&lt;LOOKUP(Analysis!$C$100,$B:$B,CN:CN),CR3,0)))</f>
        <v>4.4399999999999995E-2</v>
      </c>
      <c r="CS4" s="1">
        <f>IF(OR($B4&lt;Analysis!$C$100, $B4&gt;=Analysis!$C$101),0,IF($B4=Analysis!$C$100,-CR4*CM4,CR3*CQ3))</f>
        <v>-16480.889734478402</v>
      </c>
      <c r="CT4" s="1">
        <f>IF(OR($B4&lt;Analysis!$C$100, $B4&gt;=Analysis!$C$101),0,IF($B4=Analysis!$C$100,PMT(CR4,CN4,CM4)*CN4-CU4-CQ4,IF(($B4-Analysis!$C$100+1)&lt;LOOKUP(Analysis!$C$100,$B:$B,CN:CN),IF(CT3-CS4&lt;0, CT3-CS4,0),0)))</f>
        <v>-233375.99835043208</v>
      </c>
      <c r="CU4" s="1">
        <f>IF(OR($B4&lt;Analysis!$C$100, $B4&gt;=Analysis!$C$101),0,IF($B4=Analysis!$C$100,CP4+CS4,IF(CQ3&lt;0,IF(CQ3&gt;LOOKUP(Analysis!$C$100,$B:$B,CU:CU), CQ3*(1+CR3),CU3),0)))</f>
        <v>-24923.798200000001</v>
      </c>
      <c r="CV4" s="1">
        <f>IF($B4=Analysis!$C$100,Analysis!$C$105,0)</f>
        <v>0</v>
      </c>
      <c r="CW4" s="1">
        <f>IF($B4=Analysis!$C$100,PMT(CR4,CX4,CV4)*CX4,0)</f>
        <v>0</v>
      </c>
      <c r="CX4" s="7">
        <f>IF($B4=Analysis!$C$100,Analysis!$C$107,0)</f>
        <v>0</v>
      </c>
      <c r="CY4" s="1">
        <f>IF(OR($B4&lt;Analysis!$C$100, $B4&gt;=Analysis!$C$101),0,IF($B4=Analysis!$C$100,CW4/CX4,IF(($B4-Analysis!$C$100)&lt;LOOKUP(Analysis!$C$100,$B:$B,CX:CX),CY3,0)))</f>
        <v>-6300.3134066240827</v>
      </c>
      <c r="CZ4" s="1">
        <f>IF(OR($B4&lt;Analysis!$C$100, $B4&gt;=Analysis!$C$101),0,IF($B4=Analysis!$C$100,CX4*CY4-CY4,IF(($B4-Analysis!$C$100)&lt;Analysis!$C$107,CZ3-CY4,0)))</f>
        <v>-44102.19384636858</v>
      </c>
      <c r="DA4" s="53"/>
      <c r="DB4" s="1">
        <f>IF(OR($B4&lt;Analysis!$C$100, $B4&gt;=Analysis!$C$101),0,IF($B4=2025,(Analysis!$C$109*12),IF($B4=Analysis!$C$100,(Analysis!$C$109*12)*(1+DC4)^($B4-$B$2),DB3*(1+DC4))))</f>
        <v>14687.283737024225</v>
      </c>
      <c r="DC4" s="64">
        <f>IF(OR($B4&lt;Analysis!$C$100, $B4&gt;=Analysis!$C$101),0,((1+Analysis!$C$114)/(1+$S4))-1)</f>
        <v>2.941176470588247E-2</v>
      </c>
      <c r="DD4" s="1">
        <f t="shared" si="6"/>
        <v>19966.596020761252</v>
      </c>
      <c r="DE4" s="1">
        <f t="shared" si="27"/>
        <v>-1319.3122837370245</v>
      </c>
      <c r="DF4" s="64">
        <f>IF(OR($B4&lt;Analysis!$C$100, $B4&gt;=Analysis!$C$101),0,Analysis!$C$118)</f>
        <v>3.0000000000000001E-3</v>
      </c>
      <c r="DG4" s="1">
        <f t="shared" si="28"/>
        <v>-3298.2807093425608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-8300</v>
      </c>
      <c r="DQ4" s="1">
        <f>-Analysis!$C$117*DB4</f>
        <v>-1101.5462802768168</v>
      </c>
      <c r="DR4" s="1">
        <f t="shared" si="29"/>
        <v>-17979.139273356403</v>
      </c>
      <c r="DS4" s="1">
        <f>MIN(0,-(DB4+DR4)*Analysis!$C$28)-CS4*Analysis!$C$28</f>
        <v>7302.6822413473792</v>
      </c>
      <c r="DT4" s="1">
        <f>-Analysis!$C$116*DD4/12</f>
        <v>-1663.8830017301043</v>
      </c>
      <c r="DU4" s="53"/>
      <c r="DV4" s="1">
        <f t="shared" si="30"/>
        <v>-56070.772058823539</v>
      </c>
      <c r="DW4" s="64">
        <f>IF(OR($B4&lt;Analysis!$C$100, $B4&gt;=Analysis!$C$101),0,IF($B4=Analysis!$C$100,Analysis!$C$31,DW3))</f>
        <v>0.1275</v>
      </c>
      <c r="DX4" s="1">
        <f>IF(OR($B4&lt;Analysis!$C$100, $B4&gt;=Analysis!$C$101),0,CK4+DV4)</f>
        <v>383699.98918685125</v>
      </c>
      <c r="DY4" s="1">
        <f>IF(OR($B4&lt;Analysis!$C$100, $B4&gt;=Analysis!$C$101),0,IF($B4-Analysis!$C$100&gt;3,0,IF(CK4&gt;LOOKUP(Analysis!$C$100,$B:$B, CK:CK),$V4*(LOOKUP(Analysis!$C$100,$B:$B, CK:CK)-CK4),0)))</f>
        <v>-6533.2882785467291</v>
      </c>
      <c r="DZ4" s="1">
        <f t="shared" ref="DZ4:DZ52" si="49">DX4+DY4</f>
        <v>377166.70090830454</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IF($B4&lt;Analysis!$C$130,0,IF($B4=Analysis!$C$130,Analysis!$D$136,IF(($B4-Analysis!$C$130)&lt;LOOKUP(Analysis!$C$130,$B:$B,EE:EE),EI3,0)))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-84209.918768390897</v>
      </c>
      <c r="FM4" s="1">
        <f>$M4+$R4+DD4+IF(AND($B4&lt;&gt;Analysis!$C$130,$B4=Analysis!$C$101),DZ3+CQ3+CT3+CZ3,0)</f>
        <v>67913.654844290664</v>
      </c>
      <c r="FN4" s="1">
        <f t="shared" si="34"/>
        <v>-16296.263924100233</v>
      </c>
      <c r="FO4" s="1">
        <f>IF(FN4 &lt; 0,
    IF(FO3 + FN4 &gt; 0,
        FO3 + FN4, IF(FT3-ABS(FO3 + FN4)*(1+$V4) &gt;= FO3 + FN4,
        0, FO3 + FN4)),
    MIN(FO3 + FN4, Analysis!$C$7))+IF(FO3&lt;0, FO3*Analysis!$C$9,0)</f>
        <v>3246.4826801220188</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439770.7612456748</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-8442.9084655215993</v>
      </c>
      <c r="GC4" s="1">
        <f>IF($B4&lt;Analysis!$C$159,0,IF($B4=Analysis!$C$159,-FY4-GB4,MIN(0,GC3-GB4)))</f>
        <v>-362748.30177047849</v>
      </c>
      <c r="GD4" s="64">
        <f>IF($B4&lt;Analysis!$C$159,0,IF($B4=Analysis!$C$159,Analysis!$C$160,IF(($B4-Analysis!$C$159)&lt;LOOKUP(Analysis!$C$159,$B:$B,FZ:FZ),GD3,0)))</f>
        <v>4.4399999999999995E-2</v>
      </c>
      <c r="GE4" s="1">
        <f>IF($B4&lt;Analysis!$C$159,0,IF($B4=Analysis!$C$159,-GD4*FY4,GD3*GC3))</f>
        <v>-16480.889734478402</v>
      </c>
      <c r="GF4" s="1">
        <f>IF($B4&lt;Analysis!$C$159,0,IF($B4=Analysis!$C$159,PMT(GD4,FZ4,FY4)*FZ4-GG4-GC4,IF(($B4-Analysis!$C$159+1)&lt;LOOKUP(Analysis!$C$159,$B:$B,FZ:FZ),IF(GF3-GE4&lt;0, GF3-GE4,0),0)))</f>
        <v>-233375.99835043208</v>
      </c>
      <c r="GG4" s="1">
        <f>IF($B4&lt;Analysis!$C$159,0,IF($B4=Analysis!$C$159,GB4+GE4,IF(GC3&lt;0,IF(GC3&gt;LOOKUP(Analysis!$C$159,$B:$B,GG:GG), GC3*(1+GD3),GG3),0)))</f>
        <v>-24923.798200000001</v>
      </c>
      <c r="GH4" s="1">
        <f>IF($B4=Analysis!$C$159,Analysis!$C$165,0)</f>
        <v>0</v>
      </c>
      <c r="GI4" s="1">
        <f>IF($B4=Analysis!$C$159,PMT(GD4,GJ4,GH4)*GJ4,0)</f>
        <v>0</v>
      </c>
      <c r="GJ4" s="7">
        <f>IF($B4=Analysis!$C$159,Analysis!$C$167,0)</f>
        <v>0</v>
      </c>
      <c r="GK4" s="1">
        <f>IF($B4&lt;Analysis!$C$159,0,IF($B4=Analysis!$C$159,GI4/GJ4,IF(($B4-Analysis!$C$159)&lt;LOOKUP(Analysis!$C$159,$B:$B,GJ:GJ),GK3,0)))</f>
        <v>-6300.3134066240827</v>
      </c>
      <c r="GL4" s="1">
        <f>IF($B4&lt;Analysis!$C$159,0,IF($B4=Analysis!$C$159,GJ4*GK4-GK4,IF(($B4-Analysis!$C$159)&lt;Analysis!$C$167,GL3-GK4,0)))</f>
        <v>-44102.19384636858</v>
      </c>
      <c r="GM4" s="38"/>
      <c r="GN4" s="1">
        <f>IF($B4&lt;Analysis!$C$159,0,IF($B4=2025,(Analysis!$C$109*12),IF($B4=Analysis!$C$159,(Analysis!$C$109*12)*(1+GO4)^($B4-$B$2),GN3*(1+GO4))))</f>
        <v>14687.283737024225</v>
      </c>
      <c r="GO4" s="64">
        <f>IF($B4&lt;Analysis!$C$159,0,((1+Analysis!$C$174)/(1+$S4))-1)</f>
        <v>2.941176470588247E-2</v>
      </c>
      <c r="GP4" s="1">
        <f t="shared" si="7"/>
        <v>19966.596020761252</v>
      </c>
      <c r="GQ4" s="1">
        <f t="shared" si="36"/>
        <v>-1319.3122837370245</v>
      </c>
      <c r="GR4" s="64">
        <f>IF($B4&lt;Analysis!$C$159,0,Analysis!$C$178)</f>
        <v>3.0000000000000001E-3</v>
      </c>
      <c r="GS4" s="1">
        <f t="shared" si="37"/>
        <v>-3298.2807093425608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-8300</v>
      </c>
      <c r="HC4" s="1">
        <f>-Analysis!$C$177*GN4</f>
        <v>-1101.5462802768168</v>
      </c>
      <c r="HD4" s="1">
        <f t="shared" si="38"/>
        <v>-17979.139273356403</v>
      </c>
      <c r="HE4" s="1">
        <f>MIN(0,-(GN4+HD4)*Analysis!$C$28)-GE4*Analysis!$C$28</f>
        <v>7302.6822413473792</v>
      </c>
      <c r="HF4" s="1">
        <f>-Analysis!$C$176*GP4/12</f>
        <v>-1663.8830017301043</v>
      </c>
      <c r="HG4" s="38"/>
      <c r="HH4" s="1">
        <f>IF($B4&lt;Analysis!$C$159,0,-$HI4*$FW4)</f>
        <v>-56070.772058823539</v>
      </c>
      <c r="HI4" s="64">
        <f>IF($B4&lt;Analysis!$C$159,0,IF($B4=Analysis!$C$159,Analysis!$C$31,HI3))</f>
        <v>0.1275</v>
      </c>
      <c r="HJ4" s="1">
        <f>IF($B4&lt;Analysis!$C$159,0,$FW4+HH4)</f>
        <v>383699.98918685125</v>
      </c>
      <c r="HK4" s="1">
        <f>IF($B4-Analysis!$C$159&gt;10,0,IF($FW4&gt;LOOKUP(Analysis!$C$159,$B:$B, FW:FW),$V4*(LOOKUP(Analysis!$C$159,$B:$B, FW:FW)-FW4),0))</f>
        <v>-6533.2882785467291</v>
      </c>
      <c r="HL4" s="1">
        <f t="shared" si="39"/>
        <v>377166.70090830454</v>
      </c>
      <c r="HM4" s="38"/>
      <c r="HN4" s="1">
        <f t="shared" si="40"/>
        <v>-84209.918768390897</v>
      </c>
      <c r="HO4" s="1">
        <f t="shared" si="8"/>
        <v>67913.654844290664</v>
      </c>
      <c r="HP4" s="1">
        <f t="shared" si="41"/>
        <v>-16296.263924100233</v>
      </c>
      <c r="HQ4" s="1">
        <f>IF(HP4 &lt; 0,
    IF(HQ3 + HP4 &gt; 0,
        HQ3 + HP4, IF(HV3-ABS(HQ3 + HP4)*(1+$V4) &gt;= HQ3 + HP4,
        0, HQ3 + HP4)),
    MIN(HQ3 + HP4, Analysis!$C$7))+IF(HQ3&lt;0, HQ3*Analysis!$C$9,0)</f>
        <v>3246.4826801220188</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-411245.21303048066</v>
      </c>
      <c r="D5" s="1">
        <f>IF($B5&lt;Analysis!C$66, 0, BV5)+AT5+AW5+BC5+CG5+CA5</f>
        <v>-523747.89691761695</v>
      </c>
      <c r="E5" s="1">
        <f t="shared" si="1"/>
        <v>115620.31302744204</v>
      </c>
      <c r="F5" s="1">
        <f t="shared" si="9"/>
        <v>111934.23917188705</v>
      </c>
      <c r="G5" s="1">
        <f>IF(AND($B5&gt;=Analysis!$C$100, $B5&lt;Analysis!$C$101),$CK5,0)+IF($B5&gt;=Analysis!$C$130,EB5,0)+CQ5+CT5+CZ5+EH5+EK5+EQ5+$FO5+$FT5</f>
        <v>-141038.06336657226</v>
      </c>
      <c r="H5" s="1">
        <f t="shared" si="10"/>
        <v>-208702.72106680641</v>
      </c>
      <c r="I5" s="1">
        <f>IF($B5&lt;Analysis!$C$159,0,$FW5)+$GC5+$GF5+$GL5+$HQ5+$HV5</f>
        <v>-141038.06336657226</v>
      </c>
      <c r="J5" s="1">
        <f t="shared" si="2"/>
        <v>-208702.72106680641</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4466.1516213095683</v>
      </c>
      <c r="AI5" s="1">
        <f>IF(AE5 &gt;= 0,
    MAX(0, AF4 + AE5 - Analysis!$C$7),
    0)</f>
        <v>26214.850566524146</v>
      </c>
      <c r="AJ5" s="1">
        <f t="shared" si="44"/>
        <v>77644.677556143506</v>
      </c>
      <c r="AK5" s="1">
        <f t="shared" si="20"/>
        <v>91620.31302744204</v>
      </c>
      <c r="AL5" s="1">
        <f t="shared" si="5"/>
        <v>87934.239171887049</v>
      </c>
      <c r="AM5" s="36"/>
      <c r="AN5" s="1">
        <f t="shared" si="45"/>
        <v>752690.5658457157</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-15808.31339099793</v>
      </c>
      <c r="AT5" s="1">
        <f>IF($B5&lt;Analysis!$C$66,0,IF($B5=Analysis!$C$66,-AP5-AS5,MIN(0,AT4-AS5)))</f>
        <v>-634518.97960454447</v>
      </c>
      <c r="AU5" s="64">
        <f>IF($B5&lt;Analysis!$C$66,0,IF($B5=Analysis!$C$66,Analysis!$C$72,IF(($B5-Analysis!$C$66)&lt;LOOKUP(Analysis!$C$66,$B:$B,AQ:AQ),AU4,0)))</f>
        <v>4.4399999999999995E-2</v>
      </c>
      <c r="AV5" s="1">
        <f>IF($B5&lt;Analysis!$C$66,0,IF($B5=Analysis!$C$66,-AU5*AP5,AU4*AT4))</f>
        <v>-28874.531809002081</v>
      </c>
      <c r="AW5" s="1">
        <f>IF($B5&lt;Analysis!$C$66,0,IF($B5=Analysis!$C$66,PMT(AU5,AQ5,AP5)*AQ5-AX5-AT5,IF(($B5-Analysis!$C$66+1)&lt;LOOKUP(Analysis!$C$66,$B:$B,AQ:AQ),IF(AW4-AV5&lt;0, AW4-AV5,0),0)))</f>
        <v>-389516.89970595093</v>
      </c>
      <c r="AX5" s="1">
        <f>IF($B5&lt;Analysis!$C$66,0,IF($B5=Analysis!$C$66,AS5+AV5,IF(AT4&lt;0,IF(AT4&gt;LOOKUP(Analysis!$C$66,$B:$B,AX:AX), AT4*(1+AU4),AX4),0)))</f>
        <v>-44682.845200000011</v>
      </c>
      <c r="AY5" s="1">
        <f>IF($B5=Analysis!$C$66,Analysis!$C$68,0)</f>
        <v>0</v>
      </c>
      <c r="AZ5" s="1">
        <f>IF($B5=Analysis!$C$66,PMT(AU5,BA5,AY5)*BA5,0)</f>
        <v>0</v>
      </c>
      <c r="BA5" s="7">
        <f>IF($B5=Analysis!$C$66,Analysis!$C$70,0)</f>
        <v>0</v>
      </c>
      <c r="BB5" s="1">
        <f>IF($B5&lt;Analysis!$C$66,0,IF($B5=Analysis!$C$66,AZ5/BA5,IF(($B5-Analysis!$C$66)&lt;LOOKUP(Analysis!$C$66,$B:$B,BA:BA),BB4,0)))</f>
        <v>-6300.3134066240827</v>
      </c>
      <c r="BC5" s="1">
        <f>IF($B5&lt;Analysis!$C$66,0,IF($B5=Analysis!$C$66,BA5*BB5-BB5,IF(($B5-Analysis!$C$66)&lt;Analysis!$C$70,BC4-BB5,0)))</f>
        <v>-37801.880439744498</v>
      </c>
      <c r="BD5" s="42"/>
      <c r="BE5" s="1">
        <f>IF($B5&lt;Analysis!$C$66,0,-BF5*AN5)</f>
        <v>-2258.071697537147</v>
      </c>
      <c r="BF5" s="64">
        <f>IF($B5&lt;Analysis!$C$66,0,Analysis!$C$78)</f>
        <v>3.0000000000000001E-3</v>
      </c>
      <c r="BG5" s="1">
        <f>IF($B5&lt;Analysis!$C$66,0,-BH5*AN5)</f>
        <v>-5645.1792438428674</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-95968.047145328746</v>
      </c>
      <c r="BS5" s="64">
        <f>IF($B5&lt;Analysis!C$66,0,Analysis!C$31)</f>
        <v>0.1275</v>
      </c>
      <c r="BT5" s="1">
        <f>IF($B5&lt;Analysis!$C$66,0,AN5+BR5)</f>
        <v>656722.51870038698</v>
      </c>
      <c r="BU5" s="1">
        <f>IF($B5-Analysis!$C$66&gt;3,0,IF($AN5&gt;LOOKUP(Analysis!$C$66,$B:$B, AN:AN),$V5*(LOOKUP(Analysis!$C$66,$B:$B, AN:AN)-AN5),0))</f>
        <v>-16534.636741807513</v>
      </c>
      <c r="BV5" s="1">
        <f t="shared" si="23"/>
        <v>640187.88195857941</v>
      </c>
      <c r="BW5" s="42"/>
      <c r="BX5" s="1">
        <f>IF($B5&lt;Analysis!$C$66,$P5+$N5+$X5+$Z5,$P5+$N5+AS5+AV5+BB5+BE5+BG5+MAX(BI5,SUM(BJ5:BN5))+BP5)</f>
        <v>-115046.40954800411</v>
      </c>
      <c r="BY5" s="1">
        <f t="shared" si="24"/>
        <v>100652.41620869798</v>
      </c>
      <c r="BZ5" s="1">
        <f t="shared" si="46"/>
        <v>-14393.993339306136</v>
      </c>
      <c r="CA5" s="1">
        <f>IF(BZ5 &lt; 0,
    IF(CA4 + BZ5 &gt; 0,
        CA4 + BZ5, IF(CF4-ABS(CA4 + BZ5)*(1+$V5) &gt;= CA4 + BZ5,
        0, CA4 + BZ5)),
    MIN(CA4 + BZ5, Analysis!$C$7))+IF(CA4&lt;0, CA4*Analysis!$C$9,0)</f>
        <v>-102098.01912595646</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452705.1953999594</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-8817.7736013907579</v>
      </c>
      <c r="CQ5" s="1">
        <f>IF(OR($B5&lt;Analysis!$C$100, $B5&gt;=Analysis!$C$101),0,IF($B5=Analysis!$C$100,-CM5-CP5,MIN(0,CQ4-CP5)))</f>
        <v>-353930.52816908772</v>
      </c>
      <c r="CR5" s="64">
        <f>IF(OR($B5&lt;Analysis!$C$100, $B5&gt;=Analysis!$C$101),0,IF($B5=Analysis!$C$100,Analysis!$C$102,IF(($B5-Analysis!$C$100)&lt;LOOKUP(Analysis!$C$100,$B:$B,CN:CN),CR4,0)))</f>
        <v>4.4399999999999995E-2</v>
      </c>
      <c r="CS5" s="1">
        <f>IF(OR($B5&lt;Analysis!$C$100, $B5&gt;=Analysis!$C$101),0,IF($B5=Analysis!$C$100,-CR5*CM5,CR4*CQ4))</f>
        <v>-16106.024598609243</v>
      </c>
      <c r="CT5" s="1">
        <f>IF(OR($B5&lt;Analysis!$C$100, $B5&gt;=Analysis!$C$101),0,IF($B5=Analysis!$C$100,PMT(CR5,CN5,CM5)*CN5-CU5-CQ5,IF(($B5-Analysis!$C$100+1)&lt;LOOKUP(Analysis!$C$100,$B:$B,CN:CN),IF(CT4-CS5&lt;0, CT4-CS5,0),0)))</f>
        <v>-217269.97375182284</v>
      </c>
      <c r="CU5" s="1">
        <f>IF(OR($B5&lt;Analysis!$C$100, $B5&gt;=Analysis!$C$101),0,IF($B5=Analysis!$C$100,CP5+CS5,IF(CQ4&lt;0,IF(CQ4&gt;LOOKUP(Analysis!$C$100,$B:$B,CU:CU), CQ4*(1+CR4),CU4),0)))</f>
        <v>-24923.798200000001</v>
      </c>
      <c r="CV5" s="1">
        <f>IF($B5=Analysis!$C$100,Analysis!$C$105,0)</f>
        <v>0</v>
      </c>
      <c r="CW5" s="1">
        <f>IF($B5=Analysis!$C$100,PMT(CR5,CX5,CV5)*CX5,0)</f>
        <v>0</v>
      </c>
      <c r="CX5" s="7">
        <f>IF($B5=Analysis!$C$100,Analysis!$C$107,0)</f>
        <v>0</v>
      </c>
      <c r="CY5" s="1">
        <f>IF(OR($B5&lt;Analysis!$C$100, $B5&gt;=Analysis!$C$101),0,IF($B5=Analysis!$C$100,CW5/CX5,IF(($B5-Analysis!$C$100)&lt;LOOKUP(Analysis!$C$100,$B:$B,CX:CX),CY4,0)))</f>
        <v>-6300.3134066240827</v>
      </c>
      <c r="CZ5" s="1">
        <f>IF(OR($B5&lt;Analysis!$C$100, $B5&gt;=Analysis!$C$101),0,IF($B5=Analysis!$C$100,CX5*CY5-CY5,IF(($B5-Analysis!$C$100)&lt;Analysis!$C$107,CZ4-CY5,0)))</f>
        <v>-37801.880439744498</v>
      </c>
      <c r="DA5" s="53"/>
      <c r="DB5" s="1">
        <f>IF(OR($B5&lt;Analysis!$C$100, $B5&gt;=Analysis!$C$101),0,IF($B5=2025,(Analysis!$C$109*12),IF($B5=Analysis!$C$100,(Analysis!$C$109*12)*(1+DC5)^($B5-$B$2),DB4*(1+DC5))))</f>
        <v>15119.262670466116</v>
      </c>
      <c r="DC5" s="64">
        <f>IF(OR($B5&lt;Analysis!$C$100, $B5&gt;=Analysis!$C$101),0,((1+Analysis!$C$114)/(1+$S5))-1)</f>
        <v>2.941176470588247E-2</v>
      </c>
      <c r="DD5" s="1">
        <f t="shared" si="6"/>
        <v>20437.378256665994</v>
      </c>
      <c r="DE5" s="1">
        <f t="shared" si="27"/>
        <v>-1358.1155861998782</v>
      </c>
      <c r="DF5" s="64">
        <f>IF(OR($B5&lt;Analysis!$C$100, $B5&gt;=Analysis!$C$101),0,Analysis!$C$118)</f>
        <v>3.0000000000000001E-3</v>
      </c>
      <c r="DG5" s="1">
        <f t="shared" si="28"/>
        <v>-3395.2889654996952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-8300</v>
      </c>
      <c r="DQ5" s="1">
        <f>-Analysis!$C$117*DB5</f>
        <v>-1133.9447002849586</v>
      </c>
      <c r="DR5" s="1">
        <f t="shared" si="29"/>
        <v>-18147.349251984535</v>
      </c>
      <c r="DS5" s="1">
        <f>MIN(0,-(DB5+DR5)*Analysis!$C$28)-CS5*Analysis!$C$28</f>
        <v>7136.5794996437544</v>
      </c>
      <c r="DT5" s="1">
        <f>-Analysis!$C$116*DD5/12</f>
        <v>-1703.1148547221662</v>
      </c>
      <c r="DU5" s="53"/>
      <c r="DV5" s="1">
        <f t="shared" si="30"/>
        <v>-57719.912413494822</v>
      </c>
      <c r="DW5" s="64">
        <f>IF(OR($B5&lt;Analysis!$C$100, $B5&gt;=Analysis!$C$101),0,IF($B5=Analysis!$C$100,Analysis!$C$31,DW4))</f>
        <v>0.1275</v>
      </c>
      <c r="DX5" s="1">
        <f>IF(OR($B5&lt;Analysis!$C$100, $B5&gt;=Analysis!$C$101),0,CK5+DV5)</f>
        <v>394985.28298646456</v>
      </c>
      <c r="DY5" s="1">
        <f>IF(OR($B5&lt;Analysis!$C$100, $B5&gt;=Analysis!$C$101),0,IF($B5-Analysis!$C$100&gt;3,0,IF(CK5&gt;LOOKUP(Analysis!$C$100,$B:$B, CK:CK),$V5*(LOOKUP(Analysis!$C$100,$B:$B, CK:CK)-CK5),0)))</f>
        <v>-9944.7452867392913</v>
      </c>
      <c r="DZ5" s="1">
        <f t="shared" si="49"/>
        <v>385040.53769972525</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IF($B5&lt;Analysis!$C$130,0,IF($B5=Analysis!$C$130,Analysis!$D$136,IF(($B5-Analysis!$C$130)&lt;LOOKUP(Analysis!$C$130,$B:$B,EE:EE),EI4,0)))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-109077.1535513626</v>
      </c>
      <c r="FM5" s="1">
        <f>$M5+$R5+DD5+IF(AND($B5&lt;&gt;Analysis!$C$130,$B5=Analysis!$C$101),DZ4+CQ4+CT4+CZ4,0)</f>
        <v>121089.79446536397</v>
      </c>
      <c r="FN5" s="1">
        <f t="shared" si="34"/>
        <v>12012.640914001371</v>
      </c>
      <c r="FO5" s="1">
        <f>IF(FN5 &lt; 0,
    IF(FO4 + FN5 &gt; 0,
        FO4 + FN5, IF(FT4-ABS(FO4 + FN5)*(1+$V5) &gt;= FO4 + FN5,
        0, FO4 + FN5)),
    MIN(FO4 + FN5, Analysis!$C$7))+IF(FO4&lt;0, FO4*Analysis!$C$9,0)</f>
        <v>15259.12359412339</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452705.1953999594</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-8817.7736013907579</v>
      </c>
      <c r="GC5" s="1">
        <f>IF($B5&lt;Analysis!$C$159,0,IF($B5=Analysis!$C$159,-FY5-GB5,MIN(0,GC4-GB5)))</f>
        <v>-353930.52816908772</v>
      </c>
      <c r="GD5" s="64">
        <f>IF($B5&lt;Analysis!$C$159,0,IF($B5=Analysis!$C$159,Analysis!$C$160,IF(($B5-Analysis!$C$159)&lt;LOOKUP(Analysis!$C$159,$B:$B,FZ:FZ),GD4,0)))</f>
        <v>4.4399999999999995E-2</v>
      </c>
      <c r="GE5" s="1">
        <f>IF($B5&lt;Analysis!$C$159,0,IF($B5=Analysis!$C$159,-GD5*FY5,GD4*GC4))</f>
        <v>-16106.024598609243</v>
      </c>
      <c r="GF5" s="1">
        <f>IF($B5&lt;Analysis!$C$159,0,IF($B5=Analysis!$C$159,PMT(GD5,FZ5,FY5)*FZ5-GG5-GC5,IF(($B5-Analysis!$C$159+1)&lt;LOOKUP(Analysis!$C$159,$B:$B,FZ:FZ),IF(GF4-GE5&lt;0, GF4-GE5,0),0)))</f>
        <v>-217269.97375182284</v>
      </c>
      <c r="GG5" s="1">
        <f>IF($B5&lt;Analysis!$C$159,0,IF($B5=Analysis!$C$159,GB5+GE5,IF(GC4&lt;0,IF(GC4&gt;LOOKUP(Analysis!$C$159,$B:$B,GG:GG), GC4*(1+GD4),GG4),0)))</f>
        <v>-24923.798200000001</v>
      </c>
      <c r="GH5" s="1">
        <f>IF($B5=Analysis!$C$159,Analysis!$C$165,0)</f>
        <v>0</v>
      </c>
      <c r="GI5" s="1">
        <f>IF($B5=Analysis!$C$159,PMT(GD5,GJ5,GH5)*GJ5,0)</f>
        <v>0</v>
      </c>
      <c r="GJ5" s="7">
        <f>IF($B5=Analysis!$C$159,Analysis!$C$167,0)</f>
        <v>0</v>
      </c>
      <c r="GK5" s="1">
        <f>IF($B5&lt;Analysis!$C$159,0,IF($B5=Analysis!$C$159,GI5/GJ5,IF(($B5-Analysis!$C$159)&lt;LOOKUP(Analysis!$C$159,$B:$B,GJ:GJ),GK4,0)))</f>
        <v>-6300.3134066240827</v>
      </c>
      <c r="GL5" s="1">
        <f>IF($B5&lt;Analysis!$C$159,0,IF($B5=Analysis!$C$159,GJ5*GK5-GK5,IF(($B5-Analysis!$C$159)&lt;Analysis!$C$167,GL4-GK5,0)))</f>
        <v>-37801.880439744498</v>
      </c>
      <c r="GM5" s="38"/>
      <c r="GN5" s="1">
        <f>IF($B5&lt;Analysis!$C$159,0,IF($B5=2025,(Analysis!$C$109*12),IF($B5=Analysis!$C$159,(Analysis!$C$109*12)*(1+GO5)^($B5-$B$2),GN4*(1+GO5))))</f>
        <v>15119.262670466116</v>
      </c>
      <c r="GO5" s="64">
        <f>IF($B5&lt;Analysis!$C$159,0,((1+Analysis!$C$174)/(1+$S5))-1)</f>
        <v>2.941176470588247E-2</v>
      </c>
      <c r="GP5" s="1">
        <f t="shared" si="7"/>
        <v>20437.378256665994</v>
      </c>
      <c r="GQ5" s="1">
        <f t="shared" si="36"/>
        <v>-1358.1155861998782</v>
      </c>
      <c r="GR5" s="64">
        <f>IF($B5&lt;Analysis!$C$159,0,Analysis!$C$178)</f>
        <v>3.0000000000000001E-3</v>
      </c>
      <c r="GS5" s="1">
        <f t="shared" si="37"/>
        <v>-3395.2889654996952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-8300</v>
      </c>
      <c r="HC5" s="1">
        <f>-Analysis!$C$177*GN5</f>
        <v>-1133.9447002849586</v>
      </c>
      <c r="HD5" s="1">
        <f t="shared" si="38"/>
        <v>-18147.349251984535</v>
      </c>
      <c r="HE5" s="1">
        <f>MIN(0,-(GN5+HD5)*Analysis!$C$28)-GE5*Analysis!$C$28</f>
        <v>7136.5794996437544</v>
      </c>
      <c r="HF5" s="1">
        <f>-Analysis!$C$176*GP5/12</f>
        <v>-1703.1148547221662</v>
      </c>
      <c r="HG5" s="38"/>
      <c r="HH5" s="1">
        <f>IF($B5&lt;Analysis!$C$159,0,-$HI5*$FW5)</f>
        <v>-57719.912413494822</v>
      </c>
      <c r="HI5" s="64">
        <f>IF($B5&lt;Analysis!$C$159,0,IF($B5=Analysis!$C$159,Analysis!$C$31,HI4))</f>
        <v>0.1275</v>
      </c>
      <c r="HJ5" s="1">
        <f>IF($B5&lt;Analysis!$C$159,0,$FW5+HH5)</f>
        <v>394985.28298646456</v>
      </c>
      <c r="HK5" s="1">
        <f>IF($B5-Analysis!$C$159&gt;10,0,IF($FW5&gt;LOOKUP(Analysis!$C$159,$B:$B, FW:FW),$V5*(LOOKUP(Analysis!$C$159,$B:$B, FW:FW)-FW5),0))</f>
        <v>-9944.7452867392913</v>
      </c>
      <c r="HL5" s="1">
        <f t="shared" si="39"/>
        <v>385040.53769972525</v>
      </c>
      <c r="HM5" s="38"/>
      <c r="HN5" s="1">
        <f t="shared" si="40"/>
        <v>-109077.1535513626</v>
      </c>
      <c r="HO5" s="1">
        <f t="shared" si="8"/>
        <v>121089.79446536397</v>
      </c>
      <c r="HP5" s="1">
        <f t="shared" si="41"/>
        <v>12012.640914001371</v>
      </c>
      <c r="HQ5" s="1">
        <f>IF(HP5 &lt; 0,
    IF(HQ4 + HP5 &gt; 0,
        HQ4 + HP5, IF(HV4-ABS(HQ4 + HP5)*(1+$V5) &gt;= HQ4 + HP5,
        0, HQ4 + HP5)),
    MIN(HQ4 + HP5, Analysis!$C$7))+IF(HQ4&lt;0, HQ4*Analysis!$C$9,0)</f>
        <v>15259.12359412339</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-361551.40904583957</v>
      </c>
      <c r="D6" s="1">
        <f>IF($B6&lt;Analysis!C$66, 0, BV6)+AT6+AW6+BC6+CG6+CA6</f>
        <v>-460342.0458130897</v>
      </c>
      <c r="E6" s="1">
        <f t="shared" si="1"/>
        <v>148249.98570310793</v>
      </c>
      <c r="F6" s="1">
        <f t="shared" si="9"/>
        <v>142834.33078201133</v>
      </c>
      <c r="G6" s="1">
        <f>IF(AND($B6&gt;=Analysis!$C$100, $B6&lt;Analysis!$C$101),$CK6,0)+IF($B6&gt;=Analysis!$C$130,EB6,0)+CQ6+CT6+CZ6+EH6+EK6+EQ6+$FO6+$FT6</f>
        <v>-85530.083675279311</v>
      </c>
      <c r="H6" s="1">
        <f t="shared" si="10"/>
        <v>-144947.64057152398</v>
      </c>
      <c r="I6" s="1">
        <f>IF($B6&lt;Analysis!$C$159,0,$FW6)+$GC6+$GF6+$GL6+$HQ6+$HV6</f>
        <v>-85530.083675279311</v>
      </c>
      <c r="J6" s="1">
        <f t="shared" si="2"/>
        <v>-158404.17983728502</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6557.6533290678008</v>
      </c>
      <c r="AI6" s="1">
        <f>IF(AE6 &gt;= 0,
    MAX(0, AF5 + AE6 - Analysis!$C$7),
    0)</f>
        <v>26072.019346598085</v>
      </c>
      <c r="AJ6" s="1">
        <f t="shared" si="44"/>
        <v>103716.69690274159</v>
      </c>
      <c r="AK6" s="1">
        <f t="shared" si="20"/>
        <v>124249.98570310793</v>
      </c>
      <c r="AL6" s="1">
        <f t="shared" si="5"/>
        <v>118834.33078201131</v>
      </c>
      <c r="AM6" s="36"/>
      <c r="AN6" s="1">
        <f t="shared" si="45"/>
        <v>774828.52366470743</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-16510.202505558238</v>
      </c>
      <c r="AT6" s="1">
        <f>IF($B6&lt;Analysis!$C$66,0,IF($B6=Analysis!$C$66,-AP6-AS6,MIN(0,AT5-AS6)))</f>
        <v>-618008.7770989862</v>
      </c>
      <c r="AU6" s="64">
        <f>IF($B6&lt;Analysis!$C$66,0,IF($B6=Analysis!$C$66,Analysis!$C$72,IF(($B6-Analysis!$C$66)&lt;LOOKUP(Analysis!$C$66,$B:$B,AQ:AQ),AU5,0)))</f>
        <v>4.4399999999999995E-2</v>
      </c>
      <c r="AV6" s="1">
        <f>IF($B6&lt;Analysis!$C$66,0,IF($B6=Analysis!$C$66,-AU6*AP6,AU5*AT5))</f>
        <v>-28172.642694441773</v>
      </c>
      <c r="AW6" s="1">
        <f>IF($B6&lt;Analysis!$C$66,0,IF($B6=Analysis!$C$66,PMT(AU6,AQ6,AP6)*AQ6-AX6-AT6,IF(($B6-Analysis!$C$66+1)&lt;LOOKUP(Analysis!$C$66,$B:$B,AQ:AQ),IF(AW5-AV6&lt;0, AW5-AV6,0),0)))</f>
        <v>-361344.25701150915</v>
      </c>
      <c r="AX6" s="1">
        <f>IF($B6&lt;Analysis!$C$66,0,IF($B6=Analysis!$C$66,AS6+AV6,IF(AT5&lt;0,IF(AT5&gt;LOOKUP(Analysis!$C$66,$B:$B,AX:AX), AT5*(1+AU5),AX5),0)))</f>
        <v>-44682.845200000011</v>
      </c>
      <c r="AY6" s="1">
        <f>IF($B6=Analysis!$C$66,Analysis!$C$68,0)</f>
        <v>0</v>
      </c>
      <c r="AZ6" s="1">
        <f>IF($B6=Analysis!$C$66,PMT(AU6,BA6,AY6)*BA6,0)</f>
        <v>0</v>
      </c>
      <c r="BA6" s="7">
        <f>IF($B6=Analysis!$C$66,Analysis!$C$70,0)</f>
        <v>0</v>
      </c>
      <c r="BB6" s="1">
        <f>IF($B6&lt;Analysis!$C$66,0,IF($B6=Analysis!$C$66,AZ6/BA6,IF(($B6-Analysis!$C$66)&lt;LOOKUP(Analysis!$C$66,$B:$B,BA:BA),BB5,0)))</f>
        <v>-6300.3134066240827</v>
      </c>
      <c r="BC6" s="1">
        <f>IF($B6&lt;Analysis!$C$66,0,IF($B6=Analysis!$C$66,BA6*BB6-BB6,IF(($B6-Analysis!$C$66)&lt;Analysis!$C$70,BC5-BB6,0)))</f>
        <v>-31501.567033120416</v>
      </c>
      <c r="BD6" s="42"/>
      <c r="BE6" s="1">
        <f>IF($B6&lt;Analysis!$C$66,0,-BF6*AN6)</f>
        <v>-2324.4855709941226</v>
      </c>
      <c r="BF6" s="64">
        <f>IF($B6&lt;Analysis!$C$66,0,Analysis!$C$78)</f>
        <v>3.0000000000000001E-3</v>
      </c>
      <c r="BG6" s="1">
        <f>IF($B6&lt;Analysis!$C$66,0,-BH6*AN6)</f>
        <v>-5811.2139274853052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-98790.636767250195</v>
      </c>
      <c r="BS6" s="64">
        <f>IF($B6&lt;Analysis!C$66,0,Analysis!C$31)</f>
        <v>0.1275</v>
      </c>
      <c r="BT6" s="1">
        <f>IF($B6&lt;Analysis!$C$66,0,AN6+BR6)</f>
        <v>676037.8868974573</v>
      </c>
      <c r="BU6" s="1">
        <f>IF($B6-Analysis!$C$66&gt;3,0,IF($AN6&gt;LOOKUP(Analysis!$C$66,$B:$B, AN:AN),$V6*(LOOKUP(Analysis!$C$66,$B:$B, AN:AN)-AN6),0))</f>
        <v>0</v>
      </c>
      <c r="BV6" s="1">
        <f t="shared" si="23"/>
        <v>676037.8868974573</v>
      </c>
      <c r="BW6" s="42"/>
      <c r="BX6" s="1">
        <f>IF($B6&lt;Analysis!$C$66,$P6+$N6+$X6+$Z6,$P6+$N6+AS6+AV6+BB6+BE6+BG6+MAX(BI6,SUM(BJ6:BN6))+BP6)</f>
        <v>-118378.85810510353</v>
      </c>
      <c r="BY6" s="1">
        <f t="shared" si="24"/>
        <v>103119.38719420528</v>
      </c>
      <c r="BZ6" s="1">
        <f t="shared" si="46"/>
        <v>-15259.47091089825</v>
      </c>
      <c r="CA6" s="1">
        <f>IF(BZ6 &lt; 0,
    IF(CA5 + BZ6 &gt; 0,
        CA5 + BZ6, IF(CF5-ABS(CA5 + BZ6)*(1+$V6) &gt;= CA5 + BZ6,
        0, CA5 + BZ6)),
    MIN(CA5 + BZ6, Analysis!$C$7))+IF(CA5&lt;0, CA5*Analysis!$C$9,0)</f>
        <v>-125525.33156693123</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466020.05408819357</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-9209.282749292508</v>
      </c>
      <c r="CQ6" s="1">
        <f>IF(OR($B6&lt;Analysis!$C$100, $B6&gt;=Analysis!$C$101),0,IF($B6=Analysis!$C$100,-CM6-CP6,MIN(0,CQ5-CP6)))</f>
        <v>-344721.24541979522</v>
      </c>
      <c r="CR6" s="64">
        <f>IF(OR($B6&lt;Analysis!$C$100, $B6&gt;=Analysis!$C$101),0,IF($B6=Analysis!$C$100,Analysis!$C$102,IF(($B6-Analysis!$C$100)&lt;LOOKUP(Analysis!$C$100,$B:$B,CN:CN),CR5,0)))</f>
        <v>4.4399999999999995E-2</v>
      </c>
      <c r="CS6" s="1">
        <f>IF(OR($B6&lt;Analysis!$C$100, $B6&gt;=Analysis!$C$101),0,IF($B6=Analysis!$C$100,-CR6*CM6,CR5*CQ5))</f>
        <v>-15714.515450707493</v>
      </c>
      <c r="CT6" s="1">
        <f>IF(OR($B6&lt;Analysis!$C$100, $B6&gt;=Analysis!$C$101),0,IF($B6=Analysis!$C$100,PMT(CR6,CN6,CM6)*CN6-CU6-CQ6,IF(($B6-Analysis!$C$100+1)&lt;LOOKUP(Analysis!$C$100,$B:$B,CN:CN),IF(CT5-CS6&lt;0, CT5-CS6,0),0)))</f>
        <v>-201555.45830111534</v>
      </c>
      <c r="CU6" s="1">
        <f>IF(OR($B6&lt;Analysis!$C$100, $B6&gt;=Analysis!$C$101),0,IF($B6=Analysis!$C$100,CP6+CS6,IF(CQ5&lt;0,IF(CQ5&gt;LOOKUP(Analysis!$C$100,$B:$B,CU:CU), CQ5*(1+CR5),CU5),0)))</f>
        <v>-24923.798200000001</v>
      </c>
      <c r="CV6" s="1">
        <f>IF($B6=Analysis!$C$100,Analysis!$C$105,0)</f>
        <v>0</v>
      </c>
      <c r="CW6" s="1">
        <f>IF($B6=Analysis!$C$100,PMT(CR6,CX6,CV6)*CX6,0)</f>
        <v>0</v>
      </c>
      <c r="CX6" s="7">
        <f>IF($B6=Analysis!$C$100,Analysis!$C$107,0)</f>
        <v>0</v>
      </c>
      <c r="CY6" s="1">
        <f>IF(OR($B6&lt;Analysis!$C$100, $B6&gt;=Analysis!$C$101),0,IF($B6=Analysis!$C$100,CW6/CX6,IF(($B6-Analysis!$C$100)&lt;LOOKUP(Analysis!$C$100,$B:$B,CX:CX),CY5,0)))</f>
        <v>-6300.3134066240827</v>
      </c>
      <c r="CZ6" s="1">
        <f>IF(OR($B6&lt;Analysis!$C$100, $B6&gt;=Analysis!$C$101),0,IF($B6=Analysis!$C$100,CX6*CY6-CY6,IF(($B6-Analysis!$C$100)&lt;Analysis!$C$107,CZ5-CY6,0)))</f>
        <v>-31501.567033120416</v>
      </c>
      <c r="DA6" s="53"/>
      <c r="DB6" s="1">
        <f>IF(OR($B6&lt;Analysis!$C$100, $B6&gt;=Analysis!$C$101),0,IF($B6=2025,(Analysis!$C$109*12),IF($B6=Analysis!$C$100,(Analysis!$C$109*12)*(1+DC6)^($B6-$B$2),DB5*(1+DC6))))</f>
        <v>15563.946866656297</v>
      </c>
      <c r="DC6" s="64">
        <f>IF(OR($B6&lt;Analysis!$C$100, $B6&gt;=Analysis!$C$101),0,((1+Analysis!$C$114)/(1+$S6))-1)</f>
        <v>2.941176470588247E-2</v>
      </c>
      <c r="DD6" s="1">
        <f t="shared" si="6"/>
        <v>20922.007028920878</v>
      </c>
      <c r="DE6" s="1">
        <f t="shared" si="27"/>
        <v>-1398.0601622645806</v>
      </c>
      <c r="DF6" s="64">
        <f>IF(OR($B6&lt;Analysis!$C$100, $B6&gt;=Analysis!$C$101),0,Analysis!$C$118)</f>
        <v>3.0000000000000001E-3</v>
      </c>
      <c r="DG6" s="1">
        <f t="shared" si="28"/>
        <v>-3495.1504056614517</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-8300</v>
      </c>
      <c r="DQ6" s="1">
        <f>-Analysis!$C$117*DB6</f>
        <v>-1167.2960149992223</v>
      </c>
      <c r="DR6" s="1">
        <f t="shared" si="29"/>
        <v>-18320.506582925253</v>
      </c>
      <c r="DS6" s="1">
        <f>MIN(0,-(DB6+DR6)*Analysis!$C$28)-CS6*Analysis!$C$28</f>
        <v>6963.1017962084888</v>
      </c>
      <c r="DT6" s="1">
        <f>-Analysis!$C$116*DD6/12</f>
        <v>-1743.5005857434064</v>
      </c>
      <c r="DU6" s="53"/>
      <c r="DV6" s="1">
        <f t="shared" si="30"/>
        <v>-59417.556896244685</v>
      </c>
      <c r="DW6" s="64">
        <f>IF(OR($B6&lt;Analysis!$C$100, $B6&gt;=Analysis!$C$101),0,IF($B6=Analysis!$C$100,Analysis!$C$31,DW5))</f>
        <v>0.1275</v>
      </c>
      <c r="DX6" s="1">
        <f>IF(OR($B6&lt;Analysis!$C$100, $B6&gt;=Analysis!$C$101),0,CK6+DV6)</f>
        <v>406602.49719194887</v>
      </c>
      <c r="DY6" s="1">
        <f>IF(OR($B6&lt;Analysis!$C$100, $B6&gt;=Analysis!$C$101),0,IF($B6-Analysis!$C$100&gt;3,0,IF(CK6&gt;LOOKUP(Analysis!$C$100,$B:$B, CK:CK),$V6*(LOOKUP(Analysis!$C$100,$B:$B, CK:CK)-CK6),0)))</f>
        <v>0</v>
      </c>
      <c r="DZ6" s="1">
        <f t="shared" si="49"/>
        <v>406602.49719194887</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IF($B6&lt;Analysis!$C$130,0,IF($B6=Analysis!$C$130,Analysis!$D$136,IF(($B6-Analysis!$C$130)&lt;LOOKUP(Analysis!$C$130,$B:$B,EE:EE),EI5,0)))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-113072.38482669146</v>
      </c>
      <c r="FM6" s="1">
        <f>$M6+$R6+DD6+IF(AND($B6&lt;&gt;Analysis!$C$130,$B6=Analysis!$C$101),DZ5+CQ5+CT5+CZ5,0)</f>
        <v>124041.39422312616</v>
      </c>
      <c r="FN6" s="1">
        <f t="shared" si="34"/>
        <v>10969.009396434703</v>
      </c>
      <c r="FO6" s="1">
        <f>IF(FN6 &lt; 0,
    IF(FO5 + FN6 &gt; 0,
        FO5 + FN6, IF(FT5-ABS(FO5 + FN6)*(1+$V6) &gt;= FO5 + FN6,
        0, FO5 + FN6)),
    MIN(FO5 + FN6, Analysis!$C$7))+IF(FO5&lt;0, FO5*Analysis!$C$9,0)</f>
        <v>24000</v>
      </c>
      <c r="FP6" s="53"/>
      <c r="FQ6" s="1">
        <f t="shared" si="51"/>
        <v>0</v>
      </c>
      <c r="FR6" s="1">
        <f>IF(OR($B6=Analysis!$C$100, $B6=Analysis!$C$130),0,IF(FN6 &gt;= 0,
    MAX(0, FO5 + FN6 - Analysis!$C$7),
    0))</f>
        <v>2228.1329905580933</v>
      </c>
      <c r="FS6" s="1">
        <f>IF(OR($B6=Analysis!$C$100, $B6=Analysis!$C$130),0,MAX(0, FS5 + FR6 - IF(FN6 &lt; 0, MIN(ABS(FN6), FS5 + FR6), 0)))</f>
        <v>2228.1329905580933</v>
      </c>
      <c r="FT6" s="1">
        <f>IF(OR($B6=Analysis!$C$100, $B6=Analysis!$C$130),0,IF(FN6 &lt; 0,
    IF(FN6 + FO5 &lt; 0,
        MAX(0, FT5 - (ABS(FN6 + FO5) * (1+$V5))),
        FT5 + FQ6),
    FT5 + FR6 + FQ6))</f>
        <v>2228.1329905580933</v>
      </c>
      <c r="FU6" s="1">
        <f t="shared" si="35"/>
        <v>2228.1329905580933</v>
      </c>
      <c r="FV6" s="36"/>
      <c r="FW6" s="1">
        <f t="shared" si="52"/>
        <v>466020.05408819357</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-9209.282749292508</v>
      </c>
      <c r="GC6" s="1">
        <f>IF($B6&lt;Analysis!$C$159,0,IF($B6=Analysis!$C$159,-FY6-GB6,MIN(0,GC5-GB6)))</f>
        <v>-344721.24541979522</v>
      </c>
      <c r="GD6" s="64">
        <f>IF($B6&lt;Analysis!$C$159,0,IF($B6=Analysis!$C$159,Analysis!$C$160,IF(($B6-Analysis!$C$159)&lt;LOOKUP(Analysis!$C$159,$B:$B,FZ:FZ),GD5,0)))</f>
        <v>4.4399999999999995E-2</v>
      </c>
      <c r="GE6" s="1">
        <f>IF($B6&lt;Analysis!$C$159,0,IF($B6=Analysis!$C$159,-GD6*FY6,GD5*GC5))</f>
        <v>-15714.515450707493</v>
      </c>
      <c r="GF6" s="1">
        <f>IF($B6&lt;Analysis!$C$159,0,IF($B6=Analysis!$C$159,PMT(GD6,FZ6,FY6)*FZ6-GG6-GC6,IF(($B6-Analysis!$C$159+1)&lt;LOOKUP(Analysis!$C$159,$B:$B,FZ:FZ),IF(GF5-GE6&lt;0, GF5-GE6,0),0)))</f>
        <v>-201555.45830111534</v>
      </c>
      <c r="GG6" s="1">
        <f>IF($B6&lt;Analysis!$C$159,0,IF($B6=Analysis!$C$159,GB6+GE6,IF(GC5&lt;0,IF(GC5&gt;LOOKUP(Analysis!$C$159,$B:$B,GG:GG), GC5*(1+GD5),GG5),0)))</f>
        <v>-24923.798200000001</v>
      </c>
      <c r="GH6" s="1">
        <f>IF($B6=Analysis!$C$159,Analysis!$C$165,0)</f>
        <v>0</v>
      </c>
      <c r="GI6" s="1">
        <f>IF($B6=Analysis!$C$159,PMT(GD6,GJ6,GH6)*GJ6,0)</f>
        <v>0</v>
      </c>
      <c r="GJ6" s="7">
        <f>IF($B6=Analysis!$C$159,Analysis!$C$167,0)</f>
        <v>0</v>
      </c>
      <c r="GK6" s="1">
        <f>IF($B6&lt;Analysis!$C$159,0,IF($B6=Analysis!$C$159,GI6/GJ6,IF(($B6-Analysis!$C$159)&lt;LOOKUP(Analysis!$C$159,$B:$B,GJ:GJ),GK5,0)))</f>
        <v>-6300.3134066240827</v>
      </c>
      <c r="GL6" s="1">
        <f>IF($B6&lt;Analysis!$C$159,0,IF($B6=Analysis!$C$159,GJ6*GK6-GK6,IF(($B6-Analysis!$C$159)&lt;Analysis!$C$167,GL5-GK6,0)))</f>
        <v>-31501.567033120416</v>
      </c>
      <c r="GM6" s="38"/>
      <c r="GN6" s="1">
        <f>IF($B6&lt;Analysis!$C$159,0,IF($B6=2025,(Analysis!$C$109*12),IF($B6=Analysis!$C$159,(Analysis!$C$109*12)*(1+GO6)^($B6-$B$2),GN5*(1+GO6))))</f>
        <v>15563.946866656297</v>
      </c>
      <c r="GO6" s="64">
        <f>IF($B6&lt;Analysis!$C$159,0,((1+Analysis!$C$174)/(1+$S6))-1)</f>
        <v>2.941176470588247E-2</v>
      </c>
      <c r="GP6" s="1">
        <f t="shared" si="7"/>
        <v>20922.007028920878</v>
      </c>
      <c r="GQ6" s="1">
        <f t="shared" si="36"/>
        <v>-1398.0601622645806</v>
      </c>
      <c r="GR6" s="64">
        <f>IF($B6&lt;Analysis!$C$159,0,Analysis!$C$178)</f>
        <v>3.0000000000000001E-3</v>
      </c>
      <c r="GS6" s="1">
        <f t="shared" si="37"/>
        <v>-3495.1504056614517</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-8300</v>
      </c>
      <c r="HC6" s="1">
        <f>-Analysis!$C$177*GN6</f>
        <v>-1167.2960149992223</v>
      </c>
      <c r="HD6" s="1">
        <f t="shared" si="38"/>
        <v>-18320.506582925253</v>
      </c>
      <c r="HE6" s="1">
        <f>MIN(0,-(GN6+HD6)*Analysis!$C$28)-GE6*Analysis!$C$28</f>
        <v>6963.1017962084888</v>
      </c>
      <c r="HF6" s="1">
        <f>-Analysis!$C$176*GP6/12</f>
        <v>-1743.5005857434064</v>
      </c>
      <c r="HG6" s="38"/>
      <c r="HH6" s="1">
        <f>IF($B6&lt;Analysis!$C$159,0,-$HI6*$FW6)</f>
        <v>-59417.556896244685</v>
      </c>
      <c r="HI6" s="64">
        <f>IF($B6&lt;Analysis!$C$159,0,IF($B6=Analysis!$C$159,Analysis!$C$31,HI5))</f>
        <v>0.1275</v>
      </c>
      <c r="HJ6" s="1">
        <f>IF($B6&lt;Analysis!$C$159,0,$FW6+HH6)</f>
        <v>406602.49719194887</v>
      </c>
      <c r="HK6" s="1">
        <f>IF($B6-Analysis!$C$159&gt;10,0,IF($FW6&gt;LOOKUP(Analysis!$C$159,$B:$B, FW:FW),$V6*(LOOKUP(Analysis!$C$159,$B:$B, FW:FW)-FW6),0))</f>
        <v>-13456.539265761054</v>
      </c>
      <c r="HL6" s="1">
        <f t="shared" si="39"/>
        <v>393145.95792618784</v>
      </c>
      <c r="HM6" s="38"/>
      <c r="HN6" s="1">
        <f t="shared" si="40"/>
        <v>-113072.38482669146</v>
      </c>
      <c r="HO6" s="1">
        <f t="shared" si="8"/>
        <v>124041.39422312616</v>
      </c>
      <c r="HP6" s="1">
        <f t="shared" si="41"/>
        <v>10969.009396434703</v>
      </c>
      <c r="HQ6" s="1">
        <f>IF(HP6 &lt; 0,
    IF(HQ5 + HP6 &gt; 0,
        HQ5 + HP6, IF(HV5-ABS(HQ5 + HP6)*(1+$V6) &gt;= HQ5 + HP6,
        0, HQ5 + HP6)),
    MIN(HQ5 + HP6, Analysis!$C$7))+IF(HQ5&lt;0, HQ5*Analysis!$C$9,0)</f>
        <v>24000</v>
      </c>
      <c r="HR6" s="38"/>
      <c r="HS6" s="1">
        <f t="shared" si="54"/>
        <v>0</v>
      </c>
      <c r="HT6" s="1">
        <f>IF($B6=Analysis!$C$159,0,IF(HP6 &gt;= 0,
    MAX(0, HQ5 + HP6 - Analysis!$C$7),
    0))</f>
        <v>2228.1329905580933</v>
      </c>
      <c r="HU6" s="1">
        <f>IF($B6=Analysis!$C$159,0,MAX(0, HU5 + HT6 - IF(HP6 &lt; 0, MIN(ABS(HP6), HU5 + HT6), 0)))</f>
        <v>2228.1329905580933</v>
      </c>
      <c r="HV6" s="1">
        <f>IF($B6=Analysis!$C$159,0,IF(HP6 &lt; 0,
    IF(HP6 + HQ5 &lt; 0,
        MAX(0, HV5 - (ABS(HP6 + HQ5) * (1+$V5))),
        HV5 + HS6),
    HV5 + HT6 + HS6))</f>
        <v>2228.1329905580933</v>
      </c>
      <c r="HW6" s="1">
        <f t="shared" si="42"/>
        <v>2228.1329905580933</v>
      </c>
      <c r="HX6" s="36"/>
    </row>
    <row r="7" spans="1:232" x14ac:dyDescent="0.35">
      <c r="A7">
        <f t="shared" si="0"/>
        <v>40</v>
      </c>
      <c r="B7">
        <v>2030</v>
      </c>
      <c r="C7" s="1">
        <f>IF($B7&lt;Analysis!C$66,0,$AN7)+$AT7+$AW7+$BC7+$CF7+$CA7</f>
        <v>-310792.52296876023</v>
      </c>
      <c r="D7" s="1">
        <f>IF($B7&lt;Analysis!C$66, 0, BV7)+AT7+AW7+BC7+CG7+CA7</f>
        <v>-412488.76669975318</v>
      </c>
      <c r="E7" s="1">
        <f t="shared" si="1"/>
        <v>185006.38017291311</v>
      </c>
      <c r="F7" s="1">
        <f t="shared" si="9"/>
        <v>177301.34965740159</v>
      </c>
      <c r="G7" s="1">
        <f>IF(AND($B7&gt;=Analysis!$C$100, $B7&lt;Analysis!$C$101),$CK7,0)+IF($B7&gt;=Analysis!$C$130,EB7,0)+CQ7+CT7+CZ7+EH7+EK7+EQ7+$FO7+$FT7</f>
        <v>-27372.676458538102</v>
      </c>
      <c r="H7" s="1">
        <f t="shared" si="10"/>
        <v>-88578.863156218329</v>
      </c>
      <c r="I7" s="1">
        <f>IF($B7&lt;Analysis!$C$159,0,$FW7)+$GC7+$GF7+$GL7+$HQ7+$HV7</f>
        <v>-27372.676458538102</v>
      </c>
      <c r="J7" s="1">
        <f t="shared" si="2"/>
        <v>-105650.48445920764</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8680.0970404356303</v>
      </c>
      <c r="AI7" s="1">
        <f>IF(AE7 &gt;= 0,
    MAX(0, AF6 + AE7 - Analysis!$C$7),
    0)</f>
        <v>28076.297429369559</v>
      </c>
      <c r="AJ7" s="1">
        <f t="shared" si="44"/>
        <v>131792.99433211115</v>
      </c>
      <c r="AK7" s="1">
        <f t="shared" si="20"/>
        <v>161006.38017291311</v>
      </c>
      <c r="AL7" s="1">
        <f t="shared" si="5"/>
        <v>153301.34965740159</v>
      </c>
      <c r="AM7" s="36"/>
      <c r="AN7" s="1">
        <f t="shared" si="45"/>
        <v>797617.59789014014</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-17243.255496805028</v>
      </c>
      <c r="AT7" s="1">
        <f>IF($B7&lt;Analysis!$C$66,0,IF($B7=Analysis!$C$66,-AP7-AS7,MIN(0,AT6-AS7)))</f>
        <v>-600765.52160218114</v>
      </c>
      <c r="AU7" s="64">
        <f>IF($B7&lt;Analysis!$C$66,0,IF($B7=Analysis!$C$66,Analysis!$C$72,IF(($B7-Analysis!$C$66)&lt;LOOKUP(Analysis!$C$66,$B:$B,AQ:AQ),AU6,0)))</f>
        <v>4.4399999999999995E-2</v>
      </c>
      <c r="AV7" s="1">
        <f>IF($B7&lt;Analysis!$C$66,0,IF($B7=Analysis!$C$66,-AU7*AP7,AU6*AT6))</f>
        <v>-27439.589703194983</v>
      </c>
      <c r="AW7" s="1">
        <f>IF($B7&lt;Analysis!$C$66,0,IF($B7=Analysis!$C$66,PMT(AU7,AQ7,AP7)*AQ7-AX7-AT7,IF(($B7-Analysis!$C$66+1)&lt;LOOKUP(Analysis!$C$66,$B:$B,AQ:AQ),IF(AW6-AV7&lt;0, AW6-AV7,0),0)))</f>
        <v>-333904.66730831418</v>
      </c>
      <c r="AX7" s="1">
        <f>IF($B7&lt;Analysis!$C$66,0,IF($B7=Analysis!$C$66,AS7+AV7,IF(AT6&lt;0,IF(AT6&gt;LOOKUP(Analysis!$C$66,$B:$B,AX:AX), AT6*(1+AU6),AX6),0)))</f>
        <v>-44682.845200000011</v>
      </c>
      <c r="AY7" s="1">
        <f>IF($B7=Analysis!$C$66,Analysis!$C$68,0)</f>
        <v>0</v>
      </c>
      <c r="AZ7" s="1">
        <f>IF($B7=Analysis!$C$66,PMT(AU7,BA7,AY7)*BA7,0)</f>
        <v>0</v>
      </c>
      <c r="BA7" s="7">
        <f>IF($B7=Analysis!$C$66,Analysis!$C$70,0)</f>
        <v>0</v>
      </c>
      <c r="BB7" s="1">
        <f>IF($B7&lt;Analysis!$C$66,0,IF($B7=Analysis!$C$66,AZ7/BA7,IF(($B7-Analysis!$C$66)&lt;LOOKUP(Analysis!$C$66,$B:$B,BA:BA),BB6,0)))</f>
        <v>-6300.3134066240827</v>
      </c>
      <c r="BC7" s="1">
        <f>IF($B7&lt;Analysis!$C$66,0,IF($B7=Analysis!$C$66,BA7*BB7-BB7,IF(($B7-Analysis!$C$66)&lt;Analysis!$C$70,BC6-BB7,0)))</f>
        <v>-25201.253626496335</v>
      </c>
      <c r="BD7" s="42"/>
      <c r="BE7" s="1">
        <f>IF($B7&lt;Analysis!$C$66,0,-BF7*AN7)</f>
        <v>-2392.8527936704204</v>
      </c>
      <c r="BF7" s="64">
        <f>IF($B7&lt;Analysis!$C$66,0,Analysis!$C$78)</f>
        <v>3.0000000000000001E-3</v>
      </c>
      <c r="BG7" s="1">
        <f>IF($B7&lt;Analysis!$C$66,0,-BH7*AN7)</f>
        <v>-5982.1319841760505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-101696.24373099286</v>
      </c>
      <c r="BS7" s="64">
        <f>IF($B7&lt;Analysis!C$66,0,Analysis!C$31)</f>
        <v>0.1275</v>
      </c>
      <c r="BT7" s="1">
        <f>IF($B7&lt;Analysis!$C$66,0,AN7+BR7)</f>
        <v>695921.35415914725</v>
      </c>
      <c r="BU7" s="1">
        <f>IF($B7-Analysis!$C$66&gt;3,0,IF($AN7&gt;LOOKUP(Analysis!$C$66,$B:$B, AN:AN),$V7*(LOOKUP(Analysis!$C$66,$B:$B, AN:AN)-AN7),0))</f>
        <v>0</v>
      </c>
      <c r="BV7" s="1">
        <f t="shared" si="23"/>
        <v>695921.35415914725</v>
      </c>
      <c r="BW7" s="42"/>
      <c r="BX7" s="1">
        <f>IF($B7&lt;Analysis!$C$66,$P7+$N7+$X7+$Z7,$P7+$N7+AS7+AV7+BB7+BE7+BG7+MAX(BI7,SUM(BJ7:BN7))+BP7)</f>
        <v>-118618.14338447058</v>
      </c>
      <c r="BY7" s="1">
        <f t="shared" si="24"/>
        <v>105646.82315484756</v>
      </c>
      <c r="BZ7" s="1">
        <f t="shared" si="46"/>
        <v>-12971.320229623016</v>
      </c>
      <c r="CA7" s="1">
        <f>IF(BZ7 &lt; 0,
    IF(CA6 + BZ7 &gt; 0,
        CA6 + BZ7, IF(CF6-ABS(CA6 + BZ7)*(1+$V7) &gt;= CA6 + BZ7,
        0, CA6 + BZ7)),
    MIN(CA6 + BZ7, Analysis!$C$7))+IF(CA6&lt;0, CA6*Analysis!$C$9,0)</f>
        <v>-148538.67832190875</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479726.52626725816</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-9618.1749033610959</v>
      </c>
      <c r="CQ7" s="1">
        <f>IF(OR($B7&lt;Analysis!$C$100, $B7&gt;=Analysis!$C$101),0,IF($B7=Analysis!$C$100,-CM7-CP7,MIN(0,CQ6-CP7)))</f>
        <v>-335103.07051643415</v>
      </c>
      <c r="CR7" s="64">
        <f>IF(OR($B7&lt;Analysis!$C$100, $B7&gt;=Analysis!$C$101),0,IF($B7=Analysis!$C$100,Analysis!$C$102,IF(($B7-Analysis!$C$100)&lt;LOOKUP(Analysis!$C$100,$B:$B,CN:CN),CR6,0)))</f>
        <v>4.4399999999999995E-2</v>
      </c>
      <c r="CS7" s="1">
        <f>IF(OR($B7&lt;Analysis!$C$100, $B7&gt;=Analysis!$C$101),0,IF($B7=Analysis!$C$100,-CR7*CM7,CR6*CQ6))</f>
        <v>-15305.623296638905</v>
      </c>
      <c r="CT7" s="1">
        <f>IF(OR($B7&lt;Analysis!$C$100, $B7&gt;=Analysis!$C$101),0,IF($B7=Analysis!$C$100,PMT(CR7,CN7,CM7)*CN7-CU7-CQ7,IF(($B7-Analysis!$C$100+1)&lt;LOOKUP(Analysis!$C$100,$B:$B,CN:CN),IF(CT6-CS7&lt;0, CT6-CS7,0),0)))</f>
        <v>-186249.83500447645</v>
      </c>
      <c r="CU7" s="1">
        <f>IF(OR($B7&lt;Analysis!$C$100, $B7&gt;=Analysis!$C$101),0,IF($B7=Analysis!$C$100,CP7+CS7,IF(CQ6&lt;0,IF(CQ6&gt;LOOKUP(Analysis!$C$100,$B:$B,CU:CU), CQ6*(1+CR6),CU6),0)))</f>
        <v>-24923.798200000001</v>
      </c>
      <c r="CV7" s="1">
        <f>IF($B7=Analysis!$C$100,Analysis!$C$105,0)</f>
        <v>0</v>
      </c>
      <c r="CW7" s="1">
        <f>IF($B7=Analysis!$C$100,PMT(CR7,CX7,CV7)*CX7,0)</f>
        <v>0</v>
      </c>
      <c r="CX7" s="7">
        <f>IF($B7=Analysis!$C$100,Analysis!$C$107,0)</f>
        <v>0</v>
      </c>
      <c r="CY7" s="1">
        <f>IF(OR($B7&lt;Analysis!$C$100, $B7&gt;=Analysis!$C$101),0,IF($B7=Analysis!$C$100,CW7/CX7,IF(($B7-Analysis!$C$100)&lt;LOOKUP(Analysis!$C$100,$B:$B,CX:CX),CY6,0)))</f>
        <v>-6300.3134066240827</v>
      </c>
      <c r="CZ7" s="1">
        <f>IF(OR($B7&lt;Analysis!$C$100, $B7&gt;=Analysis!$C$101),0,IF($B7=Analysis!$C$100,CX7*CY7-CY7,IF(($B7-Analysis!$C$100)&lt;Analysis!$C$107,CZ6-CY7,0)))</f>
        <v>-25201.253626496335</v>
      </c>
      <c r="DA7" s="53"/>
      <c r="DB7" s="1">
        <f>IF(OR($B7&lt;Analysis!$C$100, $B7&gt;=Analysis!$C$101),0,IF($B7=2025,(Analysis!$C$109*12),IF($B7=Analysis!$C$100,(Analysis!$C$109*12)*(1+DC7)^($B7-$B$2),DB6*(1+DC7))))</f>
        <v>16021.710009793249</v>
      </c>
      <c r="DC7" s="64">
        <f>IF(OR($B7&lt;Analysis!$C$100, $B7&gt;=Analysis!$C$101),0,((1+Analysis!$C$114)/(1+$S7))-1)</f>
        <v>2.941176470588247E-2</v>
      </c>
      <c r="DD7" s="1">
        <f t="shared" si="6"/>
        <v>21420.889588595022</v>
      </c>
      <c r="DE7" s="1">
        <f t="shared" si="27"/>
        <v>-1439.1795788017746</v>
      </c>
      <c r="DF7" s="64">
        <f>IF(OR($B7&lt;Analysis!$C$100, $B7&gt;=Analysis!$C$101),0,Analysis!$C$118)</f>
        <v>3.0000000000000001E-3</v>
      </c>
      <c r="DG7" s="1">
        <f t="shared" si="28"/>
        <v>-3597.9489470044359</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-8300</v>
      </c>
      <c r="DQ7" s="1">
        <f>-Analysis!$C$117*DB7</f>
        <v>-1201.6282507344936</v>
      </c>
      <c r="DR7" s="1">
        <f t="shared" si="29"/>
        <v>-18498.756776540708</v>
      </c>
      <c r="DS7" s="1">
        <f>MIN(0,-(DB7+DR7)*Analysis!$C$28)-CS7*Analysis!$C$28</f>
        <v>6781.9216827406981</v>
      </c>
      <c r="DT7" s="1">
        <f>-Analysis!$C$116*DD7/12</f>
        <v>-1785.0741323829186</v>
      </c>
      <c r="DU7" s="53"/>
      <c r="DV7" s="1">
        <f t="shared" si="30"/>
        <v>-61165.132099075417</v>
      </c>
      <c r="DW7" s="64">
        <f>IF(OR($B7&lt;Analysis!$C$100, $B7&gt;=Analysis!$C$101),0,IF($B7=Analysis!$C$100,Analysis!$C$31,DW6))</f>
        <v>0.1275</v>
      </c>
      <c r="DX7" s="1">
        <f>IF(OR($B7&lt;Analysis!$C$100, $B7&gt;=Analysis!$C$101),0,CK7+DV7)</f>
        <v>418561.39416818274</v>
      </c>
      <c r="DY7" s="1">
        <f>IF(OR($B7&lt;Analysis!$C$100, $B7&gt;=Analysis!$C$101),0,IF($B7-Analysis!$C$100&gt;3,0,IF(CK7&gt;LOOKUP(Analysis!$C$100,$B:$B, CK:CK),$V7*(LOOKUP(Analysis!$C$100,$B:$B, CK:CK)-CK7),0)))</f>
        <v>0</v>
      </c>
      <c r="DZ7" s="1">
        <f t="shared" si="49"/>
        <v>418561.39416818274</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IF($B7&lt;Analysis!$C$130,0,IF($B7=Analysis!$C$130,Analysis!$D$136,IF(($B7-Analysis!$C$130)&lt;LOOKUP(Analysis!$C$130,$B:$B,EE:EE),EI6,0)))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-113996.54655828502</v>
      </c>
      <c r="FM7" s="1">
        <f>$M7+$R7+DD7+IF(AND($B7&lt;&gt;Analysis!$C$130,$B7=Analysis!$C$101),DZ6+CQ6+CT6+CZ6,0)</f>
        <v>127067.71274344258</v>
      </c>
      <c r="FN7" s="1">
        <f t="shared" si="34"/>
        <v>13071.166185157563</v>
      </c>
      <c r="FO7" s="1">
        <f>IF(FN7 &lt; 0,
    IF(FO6 + FN7 &gt; 0,
        FO6 + FN7, IF(FT6-ABS(FO6 + FN7)*(1+$V7) &gt;= FO6 + FN7,
        0, FO6 + FN7)),
    MIN(FO6 + FN7, Analysis!$C$7))+IF(FO6&lt;0, FO6*Analysis!$C$9,0)</f>
        <v>24000</v>
      </c>
      <c r="FP7" s="53"/>
      <c r="FQ7" s="1">
        <f t="shared" si="51"/>
        <v>155.65724589501119</v>
      </c>
      <c r="FR7" s="1">
        <f>IF(OR($B7=Analysis!$C$100, $B7=Analysis!$C$130),0,IF(FN7 &gt;= 0,
    MAX(0, FO6 + FN7 - Analysis!$C$7),
    0))</f>
        <v>13071.166185157563</v>
      </c>
      <c r="FS7" s="1">
        <f>IF(OR($B7=Analysis!$C$100, $B7=Analysis!$C$130),0,MAX(0, FS6 + FR7 - IF(FN7 &lt; 0, MIN(ABS(FN7), FS6 + FR7), 0)))</f>
        <v>15299.299175715656</v>
      </c>
      <c r="FT7" s="1">
        <f>IF(OR($B7=Analysis!$C$100, $B7=Analysis!$C$130),0,IF(FN7 &lt; 0,
    IF(FN7 + FO6 &lt; 0,
        MAX(0, FT6 - (ABS(FN7 + FO6) * (1+$V6))),
        FT6 + FQ7),
    FT6 + FR7 + FQ7))</f>
        <v>15454.956421610666</v>
      </c>
      <c r="FU7" s="1">
        <f t="shared" si="35"/>
        <v>15413.901823005857</v>
      </c>
      <c r="FV7" s="36"/>
      <c r="FW7" s="1">
        <f t="shared" si="52"/>
        <v>479726.52626725816</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-9618.1749033610959</v>
      </c>
      <c r="GC7" s="1">
        <f>IF($B7&lt;Analysis!$C$159,0,IF($B7=Analysis!$C$159,-FY7-GB7,MIN(0,GC6-GB7)))</f>
        <v>-335103.07051643415</v>
      </c>
      <c r="GD7" s="64">
        <f>IF($B7&lt;Analysis!$C$159,0,IF($B7=Analysis!$C$159,Analysis!$C$160,IF(($B7-Analysis!$C$159)&lt;LOOKUP(Analysis!$C$159,$B:$B,FZ:FZ),GD6,0)))</f>
        <v>4.4399999999999995E-2</v>
      </c>
      <c r="GE7" s="1">
        <f>IF($B7&lt;Analysis!$C$159,0,IF($B7=Analysis!$C$159,-GD7*FY7,GD6*GC6))</f>
        <v>-15305.623296638905</v>
      </c>
      <c r="GF7" s="1">
        <f>IF($B7&lt;Analysis!$C$159,0,IF($B7=Analysis!$C$159,PMT(GD7,FZ7,FY7)*FZ7-GG7-GC7,IF(($B7-Analysis!$C$159+1)&lt;LOOKUP(Analysis!$C$159,$B:$B,FZ:FZ),IF(GF6-GE7&lt;0, GF6-GE7,0),0)))</f>
        <v>-186249.83500447645</v>
      </c>
      <c r="GG7" s="1">
        <f>IF($B7&lt;Analysis!$C$159,0,IF($B7=Analysis!$C$159,GB7+GE7,IF(GC6&lt;0,IF(GC6&gt;LOOKUP(Analysis!$C$159,$B:$B,GG:GG), GC6*(1+GD6),GG6),0)))</f>
        <v>-24923.798200000001</v>
      </c>
      <c r="GH7" s="1">
        <f>IF($B7=Analysis!$C$159,Analysis!$C$165,0)</f>
        <v>0</v>
      </c>
      <c r="GI7" s="1">
        <f>IF($B7=Analysis!$C$159,PMT(GD7,GJ7,GH7)*GJ7,0)</f>
        <v>0</v>
      </c>
      <c r="GJ7" s="7">
        <f>IF($B7=Analysis!$C$159,Analysis!$C$167,0)</f>
        <v>0</v>
      </c>
      <c r="GK7" s="1">
        <f>IF($B7&lt;Analysis!$C$159,0,IF($B7=Analysis!$C$159,GI7/GJ7,IF(($B7-Analysis!$C$159)&lt;LOOKUP(Analysis!$C$159,$B:$B,GJ:GJ),GK6,0)))</f>
        <v>-6300.3134066240827</v>
      </c>
      <c r="GL7" s="1">
        <f>IF($B7&lt;Analysis!$C$159,0,IF($B7=Analysis!$C$159,GJ7*GK7-GK7,IF(($B7-Analysis!$C$159)&lt;Analysis!$C$167,GL6-GK7,0)))</f>
        <v>-25201.253626496335</v>
      </c>
      <c r="GM7" s="38"/>
      <c r="GN7" s="1">
        <f>IF($B7&lt;Analysis!$C$159,0,IF($B7=2025,(Analysis!$C$109*12),IF($B7=Analysis!$C$159,(Analysis!$C$109*12)*(1+GO7)^($B7-$B$2),GN6*(1+GO7))))</f>
        <v>16021.710009793249</v>
      </c>
      <c r="GO7" s="64">
        <f>IF($B7&lt;Analysis!$C$159,0,((1+Analysis!$C$174)/(1+$S7))-1)</f>
        <v>2.941176470588247E-2</v>
      </c>
      <c r="GP7" s="1">
        <f t="shared" si="7"/>
        <v>21420.889588595022</v>
      </c>
      <c r="GQ7" s="1">
        <f t="shared" si="36"/>
        <v>-1439.1795788017746</v>
      </c>
      <c r="GR7" s="64">
        <f>IF($B7&lt;Analysis!$C$159,0,Analysis!$C$178)</f>
        <v>3.0000000000000001E-3</v>
      </c>
      <c r="GS7" s="1">
        <f t="shared" si="37"/>
        <v>-3597.9489470044359</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-8300</v>
      </c>
      <c r="HC7" s="1">
        <f>-Analysis!$C$177*GN7</f>
        <v>-1201.6282507344936</v>
      </c>
      <c r="HD7" s="1">
        <f t="shared" si="38"/>
        <v>-18498.756776540708</v>
      </c>
      <c r="HE7" s="1">
        <f>MIN(0,-(GN7+HD7)*Analysis!$C$28)-GE7*Analysis!$C$28</f>
        <v>6781.9216827406981</v>
      </c>
      <c r="HF7" s="1">
        <f>-Analysis!$C$176*GP7/12</f>
        <v>-1785.0741323829186</v>
      </c>
      <c r="HG7" s="38"/>
      <c r="HH7" s="1">
        <f>IF($B7&lt;Analysis!$C$159,0,-$HI7*$FW7)</f>
        <v>-61165.132099075417</v>
      </c>
      <c r="HI7" s="64">
        <f>IF($B7&lt;Analysis!$C$159,0,IF($B7=Analysis!$C$159,Analysis!$C$31,HI6))</f>
        <v>0.1275</v>
      </c>
      <c r="HJ7" s="1">
        <f>IF($B7&lt;Analysis!$C$159,0,$FW7+HH7)</f>
        <v>418561.39416818274</v>
      </c>
      <c r="HK7" s="1">
        <f>IF($B7-Analysis!$C$159&gt;10,0,IF($FW7&gt;LOOKUP(Analysis!$C$159,$B:$B, FW:FW),$V7*(LOOKUP(Analysis!$C$159,$B:$B, FW:FW)-FW7),0))</f>
        <v>-17071.621302989337</v>
      </c>
      <c r="HL7" s="1">
        <f t="shared" si="39"/>
        <v>401489.77286519343</v>
      </c>
      <c r="HM7" s="38"/>
      <c r="HN7" s="1">
        <f t="shared" si="40"/>
        <v>-113996.54655828502</v>
      </c>
      <c r="HO7" s="1">
        <f t="shared" si="8"/>
        <v>127067.71274344258</v>
      </c>
      <c r="HP7" s="1">
        <f t="shared" si="41"/>
        <v>13071.166185157563</v>
      </c>
      <c r="HQ7" s="1">
        <f>IF(HP7 &lt; 0,
    IF(HQ6 + HP7 &gt; 0,
        HQ6 + HP7, IF(HV6-ABS(HQ6 + HP7)*(1+$V7) &gt;= HQ6 + HP7,
        0, HQ6 + HP7)),
    MIN(HQ6 + HP7, Analysis!$C$7))+IF(HQ6&lt;0, HQ6*Analysis!$C$9,0)</f>
        <v>24000</v>
      </c>
      <c r="HR7" s="38"/>
      <c r="HS7" s="1">
        <f t="shared" si="54"/>
        <v>155.65724589501119</v>
      </c>
      <c r="HT7" s="1">
        <f>IF($B7=Analysis!$C$159,0,IF(HP7 &gt;= 0,
    MAX(0, HQ6 + HP7 - Analysis!$C$7),
    0))</f>
        <v>13071.166185157563</v>
      </c>
      <c r="HU7" s="1">
        <f>IF($B7=Analysis!$C$159,0,MAX(0, HU6 + HT7 - IF(HP7 &lt; 0, MIN(ABS(HP7), HU6 + HT7), 0)))</f>
        <v>15299.299175715656</v>
      </c>
      <c r="HV7" s="1">
        <f>IF($B7=Analysis!$C$159,0,IF(HP7 &lt; 0,
    IF(HP7 + HQ6 &lt; 0,
        MAX(0, HV6 - (ABS(HP7 + HQ6) * (1+$V6))),
        HV6 + HS7),
    HV6 + HT7 + HS7))</f>
        <v>15454.956421610666</v>
      </c>
      <c r="HW7" s="1">
        <f t="shared" si="42"/>
        <v>15413.901823005857</v>
      </c>
      <c r="HX7" s="36"/>
    </row>
    <row r="8" spans="1:232" x14ac:dyDescent="0.35">
      <c r="A8">
        <f t="shared" si="0"/>
        <v>41</v>
      </c>
      <c r="B8">
        <v>2031</v>
      </c>
      <c r="C8" s="1">
        <f>IF($B8&lt;Analysis!C$66,0,$AN8)+$AT8+$AW8+$BC8+$CF8+$CA8</f>
        <v>-261961.37790433527</v>
      </c>
      <c r="D8" s="1">
        <f>IF($B8&lt;Analysis!C$66, 0, BV8)+AT8+AW8+BC8+CG8+CA8</f>
        <v>-366648.68762741622</v>
      </c>
      <c r="E8" s="1">
        <f t="shared" si="1"/>
        <v>223005.40140994103</v>
      </c>
      <c r="F8" s="1">
        <f t="shared" si="9"/>
        <v>212406.53602484043</v>
      </c>
      <c r="G8" s="1">
        <f>IF(AND($B8&gt;=Analysis!$C$100, $B8&lt;Analysis!$C$101),$CK8,0)+IF($B8&gt;=Analysis!$C$130,EB8,0)+CQ8+CT8+CZ8+EH8+EK8+EQ8+$FO8+$FT8</f>
        <v>31134.273193200275</v>
      </c>
      <c r="H8" s="1">
        <f t="shared" si="10"/>
        <v>-32148.666360135787</v>
      </c>
      <c r="I8" s="1">
        <f>IF($B8&lt;Analysis!$C$159,0,$FW8)+$GC8+$GF8+$GL8+$HQ8+$HV8</f>
        <v>31134.273193200275</v>
      </c>
      <c r="J8" s="1">
        <f t="shared" si="2"/>
        <v>-52941.695642624822</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10971.885761475185</v>
      </c>
      <c r="AI8" s="1">
        <f>IF(AE8 &gt;= 0,
    MAX(0, AF7 + AE8 - Analysis!$C$7),
    0)</f>
        <v>27027.135475552743</v>
      </c>
      <c r="AJ8" s="1">
        <f t="shared" si="44"/>
        <v>158820.12980766391</v>
      </c>
      <c r="AK8" s="1">
        <f t="shared" si="20"/>
        <v>199005.40140994103</v>
      </c>
      <c r="AL8" s="1">
        <f t="shared" si="5"/>
        <v>188406.53602484043</v>
      </c>
      <c r="AM8" s="36"/>
      <c r="AN8" s="1">
        <f t="shared" si="45"/>
        <v>821076.93900455616</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-18008.856040863171</v>
      </c>
      <c r="AT8" s="1">
        <f>IF($B8&lt;Analysis!$C$66,0,IF($B8=Analysis!$C$66,-AP8-AS8,MIN(0,AT7-AS8)))</f>
        <v>-582756.66556131793</v>
      </c>
      <c r="AU8" s="64">
        <f>IF($B8&lt;Analysis!$C$66,0,IF($B8=Analysis!$C$66,Analysis!$C$72,IF(($B8-Analysis!$C$66)&lt;LOOKUP(Analysis!$C$66,$B:$B,AQ:AQ),AU7,0)))</f>
        <v>4.4399999999999995E-2</v>
      </c>
      <c r="AV8" s="1">
        <f>IF($B8&lt;Analysis!$C$66,0,IF($B8=Analysis!$C$66,-AU8*AP8,AU7*AT7))</f>
        <v>-26673.98915913684</v>
      </c>
      <c r="AW8" s="1">
        <f>IF($B8&lt;Analysis!$C$66,0,IF($B8=Analysis!$C$66,PMT(AU8,AQ8,AP8)*AQ8-AX8-AT8,IF(($B8-Analysis!$C$66+1)&lt;LOOKUP(Analysis!$C$66,$B:$B,AQ:AQ),IF(AW7-AV8&lt;0, AW7-AV8,0),0)))</f>
        <v>-307230.67814917734</v>
      </c>
      <c r="AX8" s="1">
        <f>IF($B8&lt;Analysis!$C$66,0,IF($B8=Analysis!$C$66,AS8+AV8,IF(AT7&lt;0,IF(AT7&gt;LOOKUP(Analysis!$C$66,$B:$B,AX:AX), AT7*(1+AU7),AX7),0)))</f>
        <v>-44682.845200000011</v>
      </c>
      <c r="AY8" s="1">
        <f>IF($B8=Analysis!$C$66,Analysis!$C$68,0)</f>
        <v>0</v>
      </c>
      <c r="AZ8" s="1">
        <f>IF($B8=Analysis!$C$66,PMT(AU8,BA8,AY8)*BA8,0)</f>
        <v>0</v>
      </c>
      <c r="BA8" s="7">
        <f>IF($B8=Analysis!$C$66,Analysis!$C$70,0)</f>
        <v>0</v>
      </c>
      <c r="BB8" s="1">
        <f>IF($B8&lt;Analysis!$C$66,0,IF($B8=Analysis!$C$66,AZ8/BA8,IF(($B8-Analysis!$C$66)&lt;LOOKUP(Analysis!$C$66,$B:$B,BA:BA),BB7,0)))</f>
        <v>-6300.3134066240827</v>
      </c>
      <c r="BC8" s="1">
        <f>IF($B8&lt;Analysis!$C$66,0,IF($B8=Analysis!$C$66,BA8*BB8-BB8,IF(($B8-Analysis!$C$66)&lt;Analysis!$C$70,BC7-BB8,0)))</f>
        <v>-18900.940219872253</v>
      </c>
      <c r="BD8" s="42"/>
      <c r="BE8" s="1">
        <f>IF($B8&lt;Analysis!$C$66,0,-BF8*AN8)</f>
        <v>-2463.2308170136685</v>
      </c>
      <c r="BF8" s="64">
        <f>IF($B8&lt;Analysis!$C$66,0,Analysis!$C$78)</f>
        <v>3.0000000000000001E-3</v>
      </c>
      <c r="BG8" s="1">
        <f>IF($B8&lt;Analysis!$C$66,0,-BH8*AN8)</f>
        <v>-6158.0770425341707</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-104687.30972308091</v>
      </c>
      <c r="BS8" s="64">
        <f>IF($B8&lt;Analysis!C$66,0,Analysis!C$31)</f>
        <v>0.1275</v>
      </c>
      <c r="BT8" s="1">
        <f>IF($B8&lt;Analysis!$C$66,0,AN8+BR8)</f>
        <v>716389.62928147521</v>
      </c>
      <c r="BU8" s="1">
        <f>IF($B8-Analysis!$C$66&gt;3,0,IF($AN8&gt;LOOKUP(Analysis!$C$66,$B:$B, AN:AN),$V8*(LOOKUP(Analysis!$C$66,$B:$B, AN:AN)-AN8),0))</f>
        <v>0</v>
      </c>
      <c r="BV8" s="1">
        <f t="shared" si="23"/>
        <v>716389.62928147521</v>
      </c>
      <c r="BW8" s="42"/>
      <c r="BX8" s="1">
        <f>IF($B8&lt;Analysis!$C$66,$P8+$N8+$X8+$Z8,$P8+$N8+AS8+AV8+BB8+BE8+BG8+MAX(BI8,SUM(BJ8:BN8))+BP8)</f>
        <v>-121964.46646617194</v>
      </c>
      <c r="BY8" s="1">
        <f t="shared" si="24"/>
        <v>108236.2060753095</v>
      </c>
      <c r="BZ8" s="1">
        <f t="shared" si="46"/>
        <v>-13728.260390862444</v>
      </c>
      <c r="CA8" s="1">
        <f>IF(BZ8 &lt; 0,
    IF(CA7 + BZ8 &gt; 0,
        CA7 + BZ8, IF(CF7-ABS(CA7 + BZ8)*(1+$V8) &gt;= CA7 + BZ8,
        0, CA7 + BZ8)),
    MIN(CA7 + BZ8, Analysis!$C$7))+IF(CA7&lt;0, CA7*Analysis!$C$9,0)</f>
        <v>-174150.0329785239</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493836.12998100108</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-10045.221869070327</v>
      </c>
      <c r="CQ8" s="1">
        <f>IF(OR($B8&lt;Analysis!$C$100, $B8&gt;=Analysis!$C$101),0,IF($B8=Analysis!$C$100,-CM8-CP8,MIN(0,CQ7-CP8)))</f>
        <v>-325057.84864736383</v>
      </c>
      <c r="CR8" s="64">
        <f>IF(OR($B8&lt;Analysis!$C$100, $B8&gt;=Analysis!$C$101),0,IF($B8=Analysis!$C$100,Analysis!$C$102,IF(($B8-Analysis!$C$100)&lt;LOOKUP(Analysis!$C$100,$B:$B,CN:CN),CR7,0)))</f>
        <v>4.4399999999999995E-2</v>
      </c>
      <c r="CS8" s="1">
        <f>IF(OR($B8&lt;Analysis!$C$100, $B8&gt;=Analysis!$C$101),0,IF($B8=Analysis!$C$100,-CR8*CM8,CR7*CQ7))</f>
        <v>-14878.576330929674</v>
      </c>
      <c r="CT8" s="1">
        <f>IF(OR($B8&lt;Analysis!$C$100, $B8&gt;=Analysis!$C$101),0,IF($B8=Analysis!$C$100,PMT(CR8,CN8,CM8)*CN8-CU8-CQ8,IF(($B8-Analysis!$C$100+1)&lt;LOOKUP(Analysis!$C$100,$B:$B,CN:CN),IF(CT7-CS8&lt;0, CT7-CS8,0),0)))</f>
        <v>-171371.25867354678</v>
      </c>
      <c r="CU8" s="1">
        <f>IF(OR($B8&lt;Analysis!$C$100, $B8&gt;=Analysis!$C$101),0,IF($B8=Analysis!$C$100,CP8+CS8,IF(CQ7&lt;0,IF(CQ7&gt;LOOKUP(Analysis!$C$100,$B:$B,CU:CU), CQ7*(1+CR7),CU7),0)))</f>
        <v>-24923.798200000001</v>
      </c>
      <c r="CV8" s="1">
        <f>IF($B8=Analysis!$C$100,Analysis!$C$105,0)</f>
        <v>0</v>
      </c>
      <c r="CW8" s="1">
        <f>IF($B8=Analysis!$C$100,PMT(CR8,CX8,CV8)*CX8,0)</f>
        <v>0</v>
      </c>
      <c r="CX8" s="7">
        <f>IF($B8=Analysis!$C$100,Analysis!$C$107,0)</f>
        <v>0</v>
      </c>
      <c r="CY8" s="1">
        <f>IF(OR($B8&lt;Analysis!$C$100, $B8&gt;=Analysis!$C$101),0,IF($B8=Analysis!$C$100,CW8/CX8,IF(($B8-Analysis!$C$100)&lt;LOOKUP(Analysis!$C$100,$B:$B,CX:CX),CY7,0)))</f>
        <v>-6300.3134066240827</v>
      </c>
      <c r="CZ8" s="1">
        <f>IF(OR($B8&lt;Analysis!$C$100, $B8&gt;=Analysis!$C$101),0,IF($B8=Analysis!$C$100,CX8*CY8-CY8,IF(($B8-Analysis!$C$100)&lt;Analysis!$C$107,CZ7-CY8,0)))</f>
        <v>-18900.940219872253</v>
      </c>
      <c r="DA8" s="53"/>
      <c r="DB8" s="1">
        <f>IF(OR($B8&lt;Analysis!$C$100, $B8&gt;=Analysis!$C$101),0,IF($B8=2025,(Analysis!$C$109*12),IF($B8=Analysis!$C$100,(Analysis!$C$109*12)*(1+DC8)^($B8-$B$2),DB7*(1+DC8))))</f>
        <v>16492.936774787169</v>
      </c>
      <c r="DC8" s="64">
        <f>IF(OR($B8&lt;Analysis!$C$100, $B8&gt;=Analysis!$C$101),0,((1+Analysis!$C$114)/(1+$S8))-1)</f>
        <v>2.941176470588247E-2</v>
      </c>
      <c r="DD8" s="1">
        <f t="shared" si="6"/>
        <v>21934.445164730172</v>
      </c>
      <c r="DE8" s="1">
        <f t="shared" si="27"/>
        <v>-1481.5083899430033</v>
      </c>
      <c r="DF8" s="64">
        <f>IF(OR($B8&lt;Analysis!$C$100, $B8&gt;=Analysis!$C$101),0,Analysis!$C$118)</f>
        <v>3.0000000000000001E-3</v>
      </c>
      <c r="DG8" s="1">
        <f t="shared" si="28"/>
        <v>-3703.770974857508</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-8300</v>
      </c>
      <c r="DQ8" s="1">
        <f>-Analysis!$C$117*DB8</f>
        <v>-1236.9702581090376</v>
      </c>
      <c r="DR8" s="1">
        <f t="shared" si="29"/>
        <v>-18682.249622909549</v>
      </c>
      <c r="DS8" s="1">
        <f>MIN(0,-(DB8+DR8)*Analysis!$C$28)-CS8*Analysis!$C$28</f>
        <v>6592.6971722349381</v>
      </c>
      <c r="DT8" s="1">
        <f>-Analysis!$C$116*DD8/12</f>
        <v>-1827.8704303941811</v>
      </c>
      <c r="DU8" s="53"/>
      <c r="DV8" s="1">
        <f t="shared" si="30"/>
        <v>-62964.106572577643</v>
      </c>
      <c r="DW8" s="64">
        <f>IF(OR($B8&lt;Analysis!$C$100, $B8&gt;=Analysis!$C$101),0,IF($B8=Analysis!$C$100,Analysis!$C$31,DW7))</f>
        <v>0.1275</v>
      </c>
      <c r="DX8" s="1">
        <f>IF(OR($B8&lt;Analysis!$C$100, $B8&gt;=Analysis!$C$101),0,CK8+DV8)</f>
        <v>430872.02340842341</v>
      </c>
      <c r="DY8" s="1">
        <f>IF(OR($B8&lt;Analysis!$C$100, $B8&gt;=Analysis!$C$101),0,IF($B8-Analysis!$C$100&gt;3,0,IF(CK8&gt;LOOKUP(Analysis!$C$100,$B:$B, CK:CK),$V8*(LOOKUP(Analysis!$C$100,$B:$B, CK:CK)-CK8),0)))</f>
        <v>0</v>
      </c>
      <c r="DZ8" s="1">
        <f t="shared" si="49"/>
        <v>430872.02340842341</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IF($B8&lt;Analysis!$C$130,0,IF($B8=Analysis!$C$130,Analysis!$D$136,IF(($B8-Analysis!$C$130)&lt;LOOKUP(Analysis!$C$130,$B:$B,EE:EE),EI7,0)))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-118050.60508744964</v>
      </c>
      <c r="FM8" s="1">
        <f>$M8+$R8+DD8+IF(AND($B8&lt;&gt;Analysis!$C$130,$B8=Analysis!$C$101),DZ7+CQ7+CT7+CZ7,0)</f>
        <v>130170.65124003968</v>
      </c>
      <c r="FN8" s="1">
        <f t="shared" si="34"/>
        <v>12120.046152590032</v>
      </c>
      <c r="FO8" s="1">
        <f>IF(FN8 &lt; 0,
    IF(FO7 + FN8 &gt; 0,
        FO7 + FN8, IF(FT7-ABS(FO7 + FN8)*(1+$V8) &gt;= FO7 + FN8,
        0, FO7 + FN8)),
    MIN(FO7 + FN8, Analysis!$C$7))+IF(FO7&lt;0, FO7*Analysis!$C$9,0)</f>
        <v>24000</v>
      </c>
      <c r="FP8" s="53"/>
      <c r="FQ8" s="1">
        <f t="shared" si="51"/>
        <v>1053.1881787813595</v>
      </c>
      <c r="FR8" s="1">
        <f>IF(OR($B8=Analysis!$C$100, $B8=Analysis!$C$130),0,IF(FN8 &gt;= 0,
    MAX(0, FO7 + FN8 - Analysis!$C$7),
    0))</f>
        <v>12120.046152590032</v>
      </c>
      <c r="FS8" s="1">
        <f>IF(OR($B8=Analysis!$C$100, $B8=Analysis!$C$130),0,MAX(0, FS7 + FR8 - IF(FN8 &lt; 0, MIN(ABS(FN8), FS7 + FR8), 0)))</f>
        <v>27419.345328305688</v>
      </c>
      <c r="FT8" s="1">
        <f>IF(OR($B8=Analysis!$C$100, $B8=Analysis!$C$130),0,IF(FN8 &lt; 0,
    IF(FN8 + FO7 &lt; 0,
        MAX(0, FT7 - (ABS(FN8 + FO7) * (1+$V7))),
        FT7 + FQ8),
    FT7 + FR8 + FQ8))</f>
        <v>28628.190752982056</v>
      </c>
      <c r="FU8" s="1">
        <f t="shared" si="35"/>
        <v>28309.357772223666</v>
      </c>
      <c r="FV8" s="36"/>
      <c r="FW8" s="1">
        <f t="shared" si="52"/>
        <v>493836.12998100108</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-10045.221869070327</v>
      </c>
      <c r="GC8" s="1">
        <f>IF($B8&lt;Analysis!$C$159,0,IF($B8=Analysis!$C$159,-FY8-GB8,MIN(0,GC7-GB8)))</f>
        <v>-325057.84864736383</v>
      </c>
      <c r="GD8" s="64">
        <f>IF($B8&lt;Analysis!$C$159,0,IF($B8=Analysis!$C$159,Analysis!$C$160,IF(($B8-Analysis!$C$159)&lt;LOOKUP(Analysis!$C$159,$B:$B,FZ:FZ),GD7,0)))</f>
        <v>4.4399999999999995E-2</v>
      </c>
      <c r="GE8" s="1">
        <f>IF($B8&lt;Analysis!$C$159,0,IF($B8=Analysis!$C$159,-GD8*FY8,GD7*GC7))</f>
        <v>-14878.576330929674</v>
      </c>
      <c r="GF8" s="1">
        <f>IF($B8&lt;Analysis!$C$159,0,IF($B8=Analysis!$C$159,PMT(GD8,FZ8,FY8)*FZ8-GG8-GC8,IF(($B8-Analysis!$C$159+1)&lt;LOOKUP(Analysis!$C$159,$B:$B,FZ:FZ),IF(GF7-GE8&lt;0, GF7-GE8,0),0)))</f>
        <v>-171371.25867354678</v>
      </c>
      <c r="GG8" s="1">
        <f>IF($B8&lt;Analysis!$C$159,0,IF($B8=Analysis!$C$159,GB8+GE8,IF(GC7&lt;0,IF(GC7&gt;LOOKUP(Analysis!$C$159,$B:$B,GG:GG), GC7*(1+GD7),GG7),0)))</f>
        <v>-24923.798200000001</v>
      </c>
      <c r="GH8" s="1">
        <f>IF($B8=Analysis!$C$159,Analysis!$C$165,0)</f>
        <v>0</v>
      </c>
      <c r="GI8" s="1">
        <f>IF($B8=Analysis!$C$159,PMT(GD8,GJ8,GH8)*GJ8,0)</f>
        <v>0</v>
      </c>
      <c r="GJ8" s="7">
        <f>IF($B8=Analysis!$C$159,Analysis!$C$167,0)</f>
        <v>0</v>
      </c>
      <c r="GK8" s="1">
        <f>IF($B8&lt;Analysis!$C$159,0,IF($B8=Analysis!$C$159,GI8/GJ8,IF(($B8-Analysis!$C$159)&lt;LOOKUP(Analysis!$C$159,$B:$B,GJ:GJ),GK7,0)))</f>
        <v>-6300.3134066240827</v>
      </c>
      <c r="GL8" s="1">
        <f>IF($B8&lt;Analysis!$C$159,0,IF($B8=Analysis!$C$159,GJ8*GK8-GK8,IF(($B8-Analysis!$C$159)&lt;Analysis!$C$167,GL7-GK8,0)))</f>
        <v>-18900.940219872253</v>
      </c>
      <c r="GM8" s="38"/>
      <c r="GN8" s="1">
        <f>IF($B8&lt;Analysis!$C$159,0,IF($B8=2025,(Analysis!$C$109*12),IF($B8=Analysis!$C$159,(Analysis!$C$109*12)*(1+GO8)^($B8-$B$2),GN7*(1+GO8))))</f>
        <v>16492.936774787169</v>
      </c>
      <c r="GO8" s="64">
        <f>IF($B8&lt;Analysis!$C$159,0,((1+Analysis!$C$174)/(1+$S8))-1)</f>
        <v>2.941176470588247E-2</v>
      </c>
      <c r="GP8" s="1">
        <f t="shared" si="7"/>
        <v>21934.445164730172</v>
      </c>
      <c r="GQ8" s="1">
        <f t="shared" si="36"/>
        <v>-1481.5083899430033</v>
      </c>
      <c r="GR8" s="64">
        <f>IF($B8&lt;Analysis!$C$159,0,Analysis!$C$178)</f>
        <v>3.0000000000000001E-3</v>
      </c>
      <c r="GS8" s="1">
        <f t="shared" si="37"/>
        <v>-3703.770974857508</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-8300</v>
      </c>
      <c r="HC8" s="1">
        <f>-Analysis!$C$177*GN8</f>
        <v>-1236.9702581090376</v>
      </c>
      <c r="HD8" s="1">
        <f t="shared" si="38"/>
        <v>-18682.249622909549</v>
      </c>
      <c r="HE8" s="1">
        <f>MIN(0,-(GN8+HD8)*Analysis!$C$28)-GE8*Analysis!$C$28</f>
        <v>6592.6971722349381</v>
      </c>
      <c r="HF8" s="1">
        <f>-Analysis!$C$176*GP8/12</f>
        <v>-1827.8704303941811</v>
      </c>
      <c r="HG8" s="38"/>
      <c r="HH8" s="1">
        <f>IF($B8&lt;Analysis!$C$159,0,-$HI8*$FW8)</f>
        <v>-62964.106572577643</v>
      </c>
      <c r="HI8" s="64">
        <f>IF($B8&lt;Analysis!$C$159,0,IF($B8=Analysis!$C$159,Analysis!$C$31,HI7))</f>
        <v>0.1275</v>
      </c>
      <c r="HJ8" s="1">
        <f>IF($B8&lt;Analysis!$C$159,0,$FW8+HH8)</f>
        <v>430872.02340842341</v>
      </c>
      <c r="HK8" s="1">
        <f>IF($B8-Analysis!$C$159&gt;10,0,IF($FW8&gt;LOOKUP(Analysis!$C$159,$B:$B, FW:FW),$V8*(LOOKUP(Analysis!$C$159,$B:$B, FW:FW)-FW8),0))</f>
        <v>-20793.029282489035</v>
      </c>
      <c r="HL8" s="1">
        <f t="shared" si="39"/>
        <v>410078.99412593438</v>
      </c>
      <c r="HM8" s="38"/>
      <c r="HN8" s="1">
        <f t="shared" si="40"/>
        <v>-118050.60508744964</v>
      </c>
      <c r="HO8" s="1">
        <f t="shared" si="8"/>
        <v>130170.65124003968</v>
      </c>
      <c r="HP8" s="1">
        <f t="shared" si="41"/>
        <v>12120.046152590032</v>
      </c>
      <c r="HQ8" s="1">
        <f>IF(HP8 &lt; 0,
    IF(HQ7 + HP8 &gt; 0,
        HQ7 + HP8, IF(HV7-ABS(HQ7 + HP8)*(1+$V8) &gt;= HQ7 + HP8,
        0, HQ7 + HP8)),
    MIN(HQ7 + HP8, Analysis!$C$7))+IF(HQ7&lt;0, HQ7*Analysis!$C$9,0)</f>
        <v>24000</v>
      </c>
      <c r="HR8" s="38"/>
      <c r="HS8" s="1">
        <f t="shared" si="54"/>
        <v>1053.1881787813595</v>
      </c>
      <c r="HT8" s="1">
        <f>IF($B8=Analysis!$C$159,0,IF(HP8 &gt;= 0,
    MAX(0, HQ7 + HP8 - Analysis!$C$7),
    0))</f>
        <v>12120.046152590032</v>
      </c>
      <c r="HU8" s="1">
        <f>IF($B8=Analysis!$C$159,0,MAX(0, HU7 + HT8 - IF(HP8 &lt; 0, MIN(ABS(HP8), HU7 + HT8), 0)))</f>
        <v>27419.345328305688</v>
      </c>
      <c r="HV8" s="1">
        <f>IF($B8=Analysis!$C$159,0,IF(HP8 &lt; 0,
    IF(HP8 + HQ7 &lt; 0,
        MAX(0, HV7 - (ABS(HP8 + HQ7) * (1+$V7))),
        HV7 + HS8),
    HV7 + HT8 + HS8))</f>
        <v>28628.190752982056</v>
      </c>
      <c r="HW8" s="1">
        <f t="shared" si="42"/>
        <v>28309.357772223666</v>
      </c>
      <c r="HX8" s="36"/>
    </row>
    <row r="9" spans="1:232" x14ac:dyDescent="0.35">
      <c r="A9">
        <f t="shared" si="0"/>
        <v>42</v>
      </c>
      <c r="B9">
        <v>2032</v>
      </c>
      <c r="C9" s="1">
        <f>IF($B9&lt;Analysis!C$66,0,$AN9)+$AT9+$AW9+$BC9+$CF9+$CA9</f>
        <v>-212089.88028152907</v>
      </c>
      <c r="D9" s="1">
        <f>IF($B9&lt;Analysis!C$66, 0, BV9)+AT9+AW9+BC9+CG9+CA9</f>
        <v>-319856.228525877</v>
      </c>
      <c r="E9" s="1">
        <f t="shared" si="1"/>
        <v>265351.20260454051</v>
      </c>
      <c r="F9" s="1">
        <f t="shared" si="9"/>
        <v>251265.50895240257</v>
      </c>
      <c r="G9" s="1">
        <f>IF(AND($B9&gt;=Analysis!$C$100, $B9&lt;Analysis!$C$101),$CK9,0)+IF($B9&gt;=Analysis!$C$130,EB9,0)+CQ9+CT9+CZ9+EH9+EK9+EQ9+$FO9+$FT9</f>
        <v>93101.386140392104</v>
      </c>
      <c r="H9" s="1">
        <f t="shared" si="10"/>
        <v>27464.958710725266</v>
      </c>
      <c r="I9" s="1">
        <f>IF($B9&lt;Analysis!$C$159,0,$FW9)+$GC9+$GF9+$GL9+$HQ9+$HV9</f>
        <v>93101.386140392104</v>
      </c>
      <c r="J9" s="1">
        <f t="shared" si="2"/>
        <v>2841.0682728688917</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13220.201960331024</v>
      </c>
      <c r="AI9" s="1">
        <f>IF(AE9 &gt;= 0,
    MAX(0, AF8 + AE9 - Analysis!$C$7),
    0)</f>
        <v>29125.599234268433</v>
      </c>
      <c r="AJ9" s="1">
        <f t="shared" si="44"/>
        <v>187945.72904193233</v>
      </c>
      <c r="AK9" s="1">
        <f t="shared" si="20"/>
        <v>241351.20260454048</v>
      </c>
      <c r="AL9" s="1">
        <f t="shared" si="5"/>
        <v>227265.50895240257</v>
      </c>
      <c r="AM9" s="36"/>
      <c r="AN9" s="1">
        <f t="shared" si="45"/>
        <v>845226.26073998434</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-18808.449249077497</v>
      </c>
      <c r="AT9" s="1">
        <f>IF($B9&lt;Analysis!$C$66,0,IF($B9=Analysis!$C$66,-AP9-AS9,MIN(0,AT8-AS9)))</f>
        <v>-563948.21631224046</v>
      </c>
      <c r="AU9" s="64">
        <f>IF($B9&lt;Analysis!$C$66,0,IF($B9=Analysis!$C$66,Analysis!$C$72,IF(($B9-Analysis!$C$66)&lt;LOOKUP(Analysis!$C$66,$B:$B,AQ:AQ),AU8,0)))</f>
        <v>4.4399999999999995E-2</v>
      </c>
      <c r="AV9" s="1">
        <f>IF($B9&lt;Analysis!$C$66,0,IF($B9=Analysis!$C$66,-AU9*AP9,AU8*AT8))</f>
        <v>-25874.395950922513</v>
      </c>
      <c r="AW9" s="1">
        <f>IF($B9&lt;Analysis!$C$66,0,IF($B9=Analysis!$C$66,PMT(AU9,AQ9,AP9)*AQ9-AX9-AT9,IF(($B9-Analysis!$C$66+1)&lt;LOOKUP(Analysis!$C$66,$B:$B,AQ:AQ),IF(AW8-AV9&lt;0, AW8-AV9,0),0)))</f>
        <v>-281356.28219825483</v>
      </c>
      <c r="AX9" s="1">
        <f>IF($B9&lt;Analysis!$C$66,0,IF($B9=Analysis!$C$66,AS9+AV9,IF(AT8&lt;0,IF(AT8&gt;LOOKUP(Analysis!$C$66,$B:$B,AX:AX), AT8*(1+AU8),AX8),0)))</f>
        <v>-44682.845200000011</v>
      </c>
      <c r="AY9" s="1">
        <f>IF($B9=Analysis!$C$66,Analysis!$C$68,0)</f>
        <v>0</v>
      </c>
      <c r="AZ9" s="1">
        <f>IF($B9=Analysis!$C$66,PMT(AU9,BA9,AY9)*BA9,0)</f>
        <v>0</v>
      </c>
      <c r="BA9" s="7">
        <f>IF($B9=Analysis!$C$66,Analysis!$C$70,0)</f>
        <v>0</v>
      </c>
      <c r="BB9" s="1">
        <f>IF($B9&lt;Analysis!$C$66,0,IF($B9=Analysis!$C$66,AZ9/BA9,IF(($B9-Analysis!$C$66)&lt;LOOKUP(Analysis!$C$66,$B:$B,BA:BA),BB8,0)))</f>
        <v>-6300.3134066240827</v>
      </c>
      <c r="BC9" s="1">
        <f>IF($B9&lt;Analysis!$C$66,0,IF($B9=Analysis!$C$66,BA9*BB9-BB9,IF(($B9-Analysis!$C$66)&lt;Analysis!$C$70,BC8-BB9,0)))</f>
        <v>-12600.626813248171</v>
      </c>
      <c r="BD9" s="42"/>
      <c r="BE9" s="1">
        <f>IF($B9&lt;Analysis!$C$66,0,-BF9*AN9)</f>
        <v>-2535.6787822199531</v>
      </c>
      <c r="BF9" s="64">
        <f>IF($B9&lt;Analysis!$C$66,0,Analysis!$C$78)</f>
        <v>3.0000000000000001E-3</v>
      </c>
      <c r="BG9" s="1">
        <f>IF($B9&lt;Analysis!$C$66,0,-BH9*AN9)</f>
        <v>-6339.1969555498827</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-107766.348244348</v>
      </c>
      <c r="BS9" s="64">
        <f>IF($B9&lt;Analysis!C$66,0,Analysis!C$31)</f>
        <v>0.1275</v>
      </c>
      <c r="BT9" s="1">
        <f>IF($B9&lt;Analysis!$C$66,0,AN9+BR9)</f>
        <v>737459.91249563638</v>
      </c>
      <c r="BU9" s="1">
        <f>IF($B9-Analysis!$C$66&gt;3,0,IF($AN9&gt;LOOKUP(Analysis!$C$66,$B:$B, AN:AN),$V9*(LOOKUP(Analysis!$C$66,$B:$B, AN:AN)-AN9),0))</f>
        <v>0</v>
      </c>
      <c r="BV9" s="1">
        <f>BT9+BU9</f>
        <v>737459.91249563638</v>
      </c>
      <c r="BW9" s="42"/>
      <c r="BX9" s="1">
        <f>IF($B9&lt;Analysis!$C$66,$P9+$N9+$X9+$Z9,$P9+$N9+AS9+AV9+BB9+BE9+BG9+MAX(BI9,SUM(BJ9:BN9))+BP9)</f>
        <v>-122218.03434439393</v>
      </c>
      <c r="BY9" s="1">
        <f t="shared" si="24"/>
        <v>110889.05426342982</v>
      </c>
      <c r="BZ9" s="1">
        <f t="shared" si="46"/>
        <v>-11328.980080964116</v>
      </c>
      <c r="CA9" s="1">
        <f>IF(BZ9 &lt; 0,
    IF(CA8 + BZ9 &gt; 0,
        CA8 + BZ9, IF(CF8-ABS(CA8 + BZ9)*(1+$V9) &gt;= CA8 + BZ9,
        0, CA8 + BZ9)),
    MIN(CA8 + BZ9, Analysis!$C$7))+IF(CA8&lt;0, CA8*Analysis!$C$9,0)</f>
        <v>-199411.01569776994</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508360.72203926585</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-10491.229720057048</v>
      </c>
      <c r="CQ9" s="1">
        <f>IF(OR($B9&lt;Analysis!$C$100, $B9&gt;=Analysis!$C$101),0,IF($B9=Analysis!$C$100,-CM9-CP9,MIN(0,CQ8-CP9)))</f>
        <v>-314566.61892730679</v>
      </c>
      <c r="CR9" s="64">
        <f>IF(OR($B9&lt;Analysis!$C$100, $B9&gt;=Analysis!$C$101),0,IF($B9=Analysis!$C$100,Analysis!$C$102,IF(($B9-Analysis!$C$100)&lt;LOOKUP(Analysis!$C$100,$B:$B,CN:CN),CR8,0)))</f>
        <v>4.4399999999999995E-2</v>
      </c>
      <c r="CS9" s="1">
        <f>IF(OR($B9&lt;Analysis!$C$100, $B9&gt;=Analysis!$C$101),0,IF($B9=Analysis!$C$100,-CR9*CM9,CR8*CQ8))</f>
        <v>-14432.568479942953</v>
      </c>
      <c r="CT9" s="1">
        <f>IF(OR($B9&lt;Analysis!$C$100, $B9&gt;=Analysis!$C$101),0,IF($B9=Analysis!$C$100,PMT(CR9,CN9,CM9)*CN9-CU9-CQ9,IF(($B9-Analysis!$C$100+1)&lt;LOOKUP(Analysis!$C$100,$B:$B,CN:CN),IF(CT8-CS9&lt;0, CT8-CS9,0),0)))</f>
        <v>-156938.69019360383</v>
      </c>
      <c r="CU9" s="1">
        <f>IF(OR($B9&lt;Analysis!$C$100, $B9&gt;=Analysis!$C$101),0,IF($B9=Analysis!$C$100,CP9+CS9,IF(CQ8&lt;0,IF(CQ8&gt;LOOKUP(Analysis!$C$100,$B:$B,CU:CU), CQ8*(1+CR8),CU8),0)))</f>
        <v>-24923.798200000001</v>
      </c>
      <c r="CV9" s="1">
        <f>IF($B9=Analysis!$C$100,Analysis!$C$105,0)</f>
        <v>0</v>
      </c>
      <c r="CW9" s="1">
        <f>IF($B9=Analysis!$C$100,PMT(CR9,CX9,CV9)*CX9,0)</f>
        <v>0</v>
      </c>
      <c r="CX9" s="7">
        <f>IF($B9=Analysis!$C$100,Analysis!$C$107,0)</f>
        <v>0</v>
      </c>
      <c r="CY9" s="1">
        <f>IF(OR($B9&lt;Analysis!$C$100, $B9&gt;=Analysis!$C$101),0,IF($B9=Analysis!$C$100,CW9/CX9,IF(($B9-Analysis!$C$100)&lt;LOOKUP(Analysis!$C$100,$B:$B,CX:CX),CY8,0)))</f>
        <v>-6300.3134066240827</v>
      </c>
      <c r="CZ9" s="1">
        <f>IF(OR($B9&lt;Analysis!$C$100, $B9&gt;=Analysis!$C$101),0,IF($B9=Analysis!$C$100,CX9*CY9-CY9,IF(($B9-Analysis!$C$100)&lt;Analysis!$C$107,CZ8-CY9,0)))</f>
        <v>-12600.626813248171</v>
      </c>
      <c r="DA9" s="53"/>
      <c r="DB9" s="1">
        <f>IF(OR($B9&lt;Analysis!$C$100, $B9&gt;=Analysis!$C$101),0,IF($B9=2025,(Analysis!$C$109*12),IF($B9=Analysis!$C$100,(Analysis!$C$109*12)*(1+DC9)^($B9-$B$2),DB8*(1+DC9))))</f>
        <v>16978.023150516205</v>
      </c>
      <c r="DC9" s="64">
        <f>IF(OR($B9&lt;Analysis!$C$100, $B9&gt;=Analysis!$C$101),0,((1+Analysis!$C$114)/(1+$S9))-1)</f>
        <v>2.941176470588247E-2</v>
      </c>
      <c r="DD9" s="1">
        <f t="shared" si="6"/>
        <v>22463.105316634003</v>
      </c>
      <c r="DE9" s="1">
        <f t="shared" si="27"/>
        <v>-1525.0821661177977</v>
      </c>
      <c r="DF9" s="64">
        <f>IF(OR($B9&lt;Analysis!$C$100, $B9&gt;=Analysis!$C$101),0,Analysis!$C$118)</f>
        <v>3.0000000000000001E-3</v>
      </c>
      <c r="DG9" s="1">
        <f t="shared" si="28"/>
        <v>-3812.7054152944938</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-8300</v>
      </c>
      <c r="DQ9" s="1">
        <f>-Analysis!$C$117*DB9</f>
        <v>-1273.3517362887153</v>
      </c>
      <c r="DR9" s="1">
        <f t="shared" si="29"/>
        <v>-18871.139317701007</v>
      </c>
      <c r="DS9" s="1">
        <f>MIN(0,-(DB9+DR9)*Analysis!$C$28)-CS9*Analysis!$C$28</f>
        <v>6395.0710934627214</v>
      </c>
      <c r="DT9" s="1">
        <f>-Analysis!$C$116*DD9/12</f>
        <v>-1871.9254430528335</v>
      </c>
      <c r="DU9" s="53"/>
      <c r="DV9" s="1">
        <f t="shared" si="30"/>
        <v>-64815.9920600064</v>
      </c>
      <c r="DW9" s="64">
        <f>IF(OR($B9&lt;Analysis!$C$100, $B9&gt;=Analysis!$C$101),0,IF($B9=Analysis!$C$100,Analysis!$C$31,DW8))</f>
        <v>0.1275</v>
      </c>
      <c r="DX9" s="1">
        <f>IF(OR($B9&lt;Analysis!$C$100, $B9&gt;=Analysis!$C$101),0,CK9+DV9)</f>
        <v>443544.72997925943</v>
      </c>
      <c r="DY9" s="1">
        <f>IF(OR($B9&lt;Analysis!$C$100, $B9&gt;=Analysis!$C$101),0,IF($B9-Analysis!$C$100&gt;3,0,IF(CK9&gt;LOOKUP(Analysis!$C$100,$B:$B, CK:CK),$V9*(LOOKUP(Analysis!$C$100,$B:$B, CK:CK)-CK9),0)))</f>
        <v>0</v>
      </c>
      <c r="DZ9" s="1">
        <f t="shared" si="49"/>
        <v>443544.72997925943</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IF($B9&lt;Analysis!$C$130,0,IF($B9=Analysis!$C$130,Analysis!$D$136,IF(($B9-Analysis!$C$130)&lt;LOOKUP(Analysis!$C$130,$B:$B,EE:EE),EI8,0)))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-119035.56030307659</v>
      </c>
      <c r="FM9" s="1">
        <f>$M9+$R9+DD9+IF(AND($B9&lt;&gt;Analysis!$C$130,$B9=Analysis!$C$101),DZ8+CQ8+CT8+CZ8,0)</f>
        <v>133352.15958006383</v>
      </c>
      <c r="FN9" s="1">
        <f t="shared" si="34"/>
        <v>14316.599276987239</v>
      </c>
      <c r="FO9" s="1">
        <f>IF(FN9 &lt; 0,
    IF(FO8 + FN9 &gt; 0,
        FO8 + FN9, IF(FT8-ABS(FO8 + FN9)*(1+$V9) &gt;= FO8 + FN9,
        0, FO8 + FN9)),
    MIN(FO8 + FN9, Analysis!$C$7))+IF(FO8&lt;0, FO8*Analysis!$C$9,0)</f>
        <v>24000</v>
      </c>
      <c r="FP9" s="53"/>
      <c r="FQ9" s="1">
        <f t="shared" si="51"/>
        <v>1901.8100053157548</v>
      </c>
      <c r="FR9" s="1">
        <f>IF(OR($B9=Analysis!$C$100, $B9=Analysis!$C$130),0,IF(FN9 &gt;= 0,
    MAX(0, FO8 + FN9 - Analysis!$C$7),
    0))</f>
        <v>14316.599276987239</v>
      </c>
      <c r="FS9" s="1">
        <f>IF(OR($B9=Analysis!$C$100, $B9=Analysis!$C$130),0,MAX(0, FS8 + FR9 - IF(FN9 &lt; 0, MIN(ABS(FN9), FS8 + FR9), 0)))</f>
        <v>41735.944605292927</v>
      </c>
      <c r="FT9" s="1">
        <f>IF(OR($B9=Analysis!$C$100, $B9=Analysis!$C$130),0,IF(FN9 &lt; 0,
    IF(FN9 + FO8 &lt; 0,
        MAX(0, FT8 - (ABS(FN9 + FO8) * (1+$V8))),
        FT8 + FQ9),
    FT8 + FR9 + FQ9))</f>
        <v>44846.600035285053</v>
      </c>
      <c r="FU9" s="1">
        <f t="shared" si="35"/>
        <v>44026.16466562463</v>
      </c>
      <c r="FV9" s="36"/>
      <c r="FW9" s="1">
        <f t="shared" si="52"/>
        <v>508360.72203926585</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-10491.229720057048</v>
      </c>
      <c r="GC9" s="1">
        <f>IF($B9&lt;Analysis!$C$159,0,IF($B9=Analysis!$C$159,-FY9-GB9,MIN(0,GC8-GB9)))</f>
        <v>-314566.61892730679</v>
      </c>
      <c r="GD9" s="64">
        <f>IF($B9&lt;Analysis!$C$159,0,IF($B9=Analysis!$C$159,Analysis!$C$160,IF(($B9-Analysis!$C$159)&lt;LOOKUP(Analysis!$C$159,$B:$B,FZ:FZ),GD8,0)))</f>
        <v>4.4399999999999995E-2</v>
      </c>
      <c r="GE9" s="1">
        <f>IF($B9&lt;Analysis!$C$159,0,IF($B9=Analysis!$C$159,-GD9*FY9,GD8*GC8))</f>
        <v>-14432.568479942953</v>
      </c>
      <c r="GF9" s="1">
        <f>IF($B9&lt;Analysis!$C$159,0,IF($B9=Analysis!$C$159,PMT(GD9,FZ9,FY9)*FZ9-GG9-GC9,IF(($B9-Analysis!$C$159+1)&lt;LOOKUP(Analysis!$C$159,$B:$B,FZ:FZ),IF(GF8-GE9&lt;0, GF8-GE9,0),0)))</f>
        <v>-156938.69019360383</v>
      </c>
      <c r="GG9" s="1">
        <f>IF($B9&lt;Analysis!$C$159,0,IF($B9=Analysis!$C$159,GB9+GE9,IF(GC8&lt;0,IF(GC8&gt;LOOKUP(Analysis!$C$159,$B:$B,GG:GG), GC8*(1+GD8),GG8),0)))</f>
        <v>-24923.798200000001</v>
      </c>
      <c r="GH9" s="1">
        <f>IF($B9=Analysis!$C$159,Analysis!$C$165,0)</f>
        <v>0</v>
      </c>
      <c r="GI9" s="1">
        <f>IF($B9=Analysis!$C$159,PMT(GD9,GJ9,GH9)*GJ9,0)</f>
        <v>0</v>
      </c>
      <c r="GJ9" s="7">
        <f>IF($B9=Analysis!$C$159,Analysis!$C$167,0)</f>
        <v>0</v>
      </c>
      <c r="GK9" s="1">
        <f>IF($B9&lt;Analysis!$C$159,0,IF($B9=Analysis!$C$159,GI9/GJ9,IF(($B9-Analysis!$C$159)&lt;LOOKUP(Analysis!$C$159,$B:$B,GJ:GJ),GK8,0)))</f>
        <v>-6300.3134066240827</v>
      </c>
      <c r="GL9" s="1">
        <f>IF($B9&lt;Analysis!$C$159,0,IF($B9=Analysis!$C$159,GJ9*GK9-GK9,IF(($B9-Analysis!$C$159)&lt;Analysis!$C$167,GL8-GK9,0)))</f>
        <v>-12600.626813248171</v>
      </c>
      <c r="GM9" s="38"/>
      <c r="GN9" s="1">
        <f>IF($B9&lt;Analysis!$C$159,0,IF($B9=2025,(Analysis!$C$109*12),IF($B9=Analysis!$C$159,(Analysis!$C$109*12)*(1+GO9)^($B9-$B$2),GN8*(1+GO9))))</f>
        <v>16978.023150516205</v>
      </c>
      <c r="GO9" s="64">
        <f>IF($B9&lt;Analysis!$C$159,0,((1+Analysis!$C$174)/(1+$S9))-1)</f>
        <v>2.941176470588247E-2</v>
      </c>
      <c r="GP9" s="1">
        <f t="shared" si="7"/>
        <v>22463.105316634003</v>
      </c>
      <c r="GQ9" s="1">
        <f t="shared" si="36"/>
        <v>-1525.0821661177977</v>
      </c>
      <c r="GR9" s="64">
        <f>IF($B9&lt;Analysis!$C$159,0,Analysis!$C$178)</f>
        <v>3.0000000000000001E-3</v>
      </c>
      <c r="GS9" s="1">
        <f t="shared" si="37"/>
        <v>-3812.7054152944938</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-8300</v>
      </c>
      <c r="HC9" s="1">
        <f>-Analysis!$C$177*GN9</f>
        <v>-1273.3517362887153</v>
      </c>
      <c r="HD9" s="1">
        <f t="shared" si="38"/>
        <v>-18871.139317701007</v>
      </c>
      <c r="HE9" s="1">
        <f>MIN(0,-(GN9+HD9)*Analysis!$C$28)-GE9*Analysis!$C$28</f>
        <v>6395.0710934627214</v>
      </c>
      <c r="HF9" s="1">
        <f>-Analysis!$C$176*GP9/12</f>
        <v>-1871.9254430528335</v>
      </c>
      <c r="HG9" s="38"/>
      <c r="HH9" s="1">
        <f>IF($B9&lt;Analysis!$C$159,0,-$HI9*$FW9)</f>
        <v>-64815.9920600064</v>
      </c>
      <c r="HI9" s="64">
        <f>IF($B9&lt;Analysis!$C$159,0,IF($B9=Analysis!$C$159,Analysis!$C$31,HI8))</f>
        <v>0.1275</v>
      </c>
      <c r="HJ9" s="1">
        <f>IF($B9&lt;Analysis!$C$159,0,$FW9+HH9)</f>
        <v>443544.72997925943</v>
      </c>
      <c r="HK9" s="1">
        <f>IF($B9-Analysis!$C$159&gt;10,0,IF($FW9&gt;LOOKUP(Analysis!$C$159,$B:$B, FW:FW),$V9*(LOOKUP(Analysis!$C$159,$B:$B, FW:FW)-FW9),0))</f>
        <v>-24623.890437856367</v>
      </c>
      <c r="HL9" s="1">
        <f t="shared" si="39"/>
        <v>418920.83954140305</v>
      </c>
      <c r="HM9" s="38"/>
      <c r="HN9" s="1">
        <f t="shared" si="40"/>
        <v>-119035.56030307659</v>
      </c>
      <c r="HO9" s="1">
        <f t="shared" si="8"/>
        <v>133352.15958006383</v>
      </c>
      <c r="HP9" s="1">
        <f t="shared" si="41"/>
        <v>14316.599276987239</v>
      </c>
      <c r="HQ9" s="1">
        <f>IF(HP9 &lt; 0,
    IF(HQ8 + HP9 &gt; 0,
        HQ8 + HP9, IF(HV8-ABS(HQ8 + HP9)*(1+$V9) &gt;= HQ8 + HP9,
        0, HQ8 + HP9)),
    MIN(HQ8 + HP9, Analysis!$C$7))+IF(HQ8&lt;0, HQ8*Analysis!$C$9,0)</f>
        <v>24000</v>
      </c>
      <c r="HR9" s="38"/>
      <c r="HS9" s="1">
        <f t="shared" si="54"/>
        <v>1901.8100053157548</v>
      </c>
      <c r="HT9" s="1">
        <f>IF($B9=Analysis!$C$159,0,IF(HP9 &gt;= 0,
    MAX(0, HQ8 + HP9 - Analysis!$C$7),
    0))</f>
        <v>14316.599276987239</v>
      </c>
      <c r="HU9" s="1">
        <f>IF($B9=Analysis!$C$159,0,MAX(0, HU8 + HT9 - IF(HP9 &lt; 0, MIN(ABS(HP9), HU8 + HT9), 0)))</f>
        <v>41735.944605292927</v>
      </c>
      <c r="HV9" s="1">
        <f>IF($B9=Analysis!$C$159,0,IF(HP9 &lt; 0,
    IF(HP9 + HQ8 &lt; 0,
        MAX(0, HV8 - (ABS(HP9 + HQ8) * (1+$V8))),
        HV8 + HS9),
    HV8 + HT9 + HS9))</f>
        <v>44846.600035285053</v>
      </c>
      <c r="HW9" s="1">
        <f t="shared" si="42"/>
        <v>44026.16466562463</v>
      </c>
      <c r="HX9" s="36"/>
    </row>
    <row r="10" spans="1:232" x14ac:dyDescent="0.35">
      <c r="A10">
        <f t="shared" si="0"/>
        <v>43</v>
      </c>
      <c r="B10">
        <v>2033</v>
      </c>
      <c r="C10" s="1">
        <f>IF($B10&lt;Analysis!C$66,0,$AN10)+$AT10+$AW10+$BC10+$CF10+$CA10</f>
        <v>-161072.1438875217</v>
      </c>
      <c r="D10" s="1">
        <f>IF($B10&lt;Analysis!C$66, 0, BV10)+AT10+AW10+BC10+CG10+CA10</f>
        <v>-272008.09060964466</v>
      </c>
      <c r="E10" s="1">
        <f t="shared" si="1"/>
        <v>312243.52769868047</v>
      </c>
      <c r="F10" s="1">
        <f t="shared" si="9"/>
        <v>294038.17859475757</v>
      </c>
      <c r="G10" s="1">
        <f>IF(AND($B10&gt;=Analysis!$C$100, $B10&lt;Analysis!$C$101),$CK10,0)+IF($B10&gt;=Analysis!$C$130,EB10,0)+CQ10+CT10+CZ10+EH10+EK10+EQ10+$FO10+$FT10</f>
        <v>158741.41567916312</v>
      </c>
      <c r="H10" s="1">
        <f t="shared" si="10"/>
        <v>90433.143021672513</v>
      </c>
      <c r="I10" s="1">
        <f>IF($B10&lt;Analysis!$C$159,0,$FW10)+$GC10+$GF10+$GL10+$HQ10+$HV10</f>
        <v>158741.41567916312</v>
      </c>
      <c r="J10" s="1">
        <f t="shared" si="2"/>
        <v>61865.719041526216</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15619.546736625547</v>
      </c>
      <c r="AI10" s="1">
        <f>IF(AE10 &gt;= 0,
    MAX(0, AF9 + AE10 - Analysis!$C$7),
    0)</f>
        <v>31272.778357514413</v>
      </c>
      <c r="AJ10" s="1">
        <f t="shared" si="44"/>
        <v>219218.50739944674</v>
      </c>
      <c r="AK10" s="1">
        <f t="shared" si="20"/>
        <v>288243.52769868047</v>
      </c>
      <c r="AL10" s="1">
        <f t="shared" si="5"/>
        <v>270038.17859475757</v>
      </c>
      <c r="AM10" s="36"/>
      <c r="AN10" s="1">
        <f t="shared" si="45"/>
        <v>870085.85664410167</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-19643.544395736539</v>
      </c>
      <c r="AT10" s="1">
        <f>IF($B10&lt;Analysis!$C$66,0,IF($B10=Analysis!$C$66,-AP10-AS10,MIN(0,AT9-AS10)))</f>
        <v>-544304.67191650392</v>
      </c>
      <c r="AU10" s="64">
        <f>IF($B10&lt;Analysis!$C$66,0,IF($B10=Analysis!$C$66,Analysis!$C$72,IF(($B10-Analysis!$C$66)&lt;LOOKUP(Analysis!$C$66,$B:$B,AQ:AQ),AU9,0)))</f>
        <v>4.4399999999999995E-2</v>
      </c>
      <c r="AV10" s="1">
        <f>IF($B10&lt;Analysis!$C$66,0,IF($B10=Analysis!$C$66,-AU10*AP10,AU9*AT9))</f>
        <v>-25039.300804263472</v>
      </c>
      <c r="AW10" s="1">
        <f>IF($B10&lt;Analysis!$C$66,0,IF($B10=Analysis!$C$66,PMT(AU10,AQ10,AP10)*AQ10-AX10-AT10,IF(($B10-Analysis!$C$66+1)&lt;LOOKUP(Analysis!$C$66,$B:$B,AQ:AQ),IF(AW9-AV10&lt;0, AW9-AV10,0),0)))</f>
        <v>-256316.98139399136</v>
      </c>
      <c r="AX10" s="1">
        <f>IF($B10&lt;Analysis!$C$66,0,IF($B10=Analysis!$C$66,AS10+AV10,IF(AT9&lt;0,IF(AT9&gt;LOOKUP(Analysis!$C$66,$B:$B,AX:AX), AT9*(1+AU9),AX9),0)))</f>
        <v>-44682.845200000011</v>
      </c>
      <c r="AY10" s="1">
        <f>IF($B10=Analysis!$C$66,Analysis!$C$68,0)</f>
        <v>0</v>
      </c>
      <c r="AZ10" s="1">
        <f>IF($B10=Analysis!$C$66,PMT(AU10,BA10,AY10)*BA10,0)</f>
        <v>0</v>
      </c>
      <c r="BA10" s="7">
        <f>IF($B10=Analysis!$C$66,Analysis!$C$70,0)</f>
        <v>0</v>
      </c>
      <c r="BB10" s="1">
        <f>IF($B10&lt;Analysis!$C$66,0,IF($B10=Analysis!$C$66,AZ10/BA10,IF(($B10-Analysis!$C$66)&lt;LOOKUP(Analysis!$C$66,$B:$B,BA:BA),BB9,0)))</f>
        <v>-6300.3134066240827</v>
      </c>
      <c r="BC10" s="1">
        <f>IF($B10&lt;Analysis!$C$66,0,IF($B10=Analysis!$C$66,BA10*BB10-BB10,IF(($B10-Analysis!$C$66)&lt;Analysis!$C$70,BC9-BB10,0)))</f>
        <v>-6300.3134066240882</v>
      </c>
      <c r="BD10" s="42"/>
      <c r="BE10" s="1">
        <f>IF($B10&lt;Analysis!$C$66,0,-BF10*AN10)</f>
        <v>-2610.2575699323052</v>
      </c>
      <c r="BF10" s="64">
        <f>IF($B10&lt;Analysis!$C$66,0,Analysis!$C$78)</f>
        <v>3.0000000000000001E-3</v>
      </c>
      <c r="BG10" s="1">
        <f>IF($B10&lt;Analysis!$C$66,0,-BH10*AN10)</f>
        <v>-6525.6439248307624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-110935.94672212297</v>
      </c>
      <c r="BS10" s="64">
        <f>IF($B10&lt;Analysis!C$66,0,Analysis!C$31)</f>
        <v>0.1275</v>
      </c>
      <c r="BT10" s="1">
        <f>IF($B10&lt;Analysis!$C$66,0,AN10+BR10)</f>
        <v>759149.90992197872</v>
      </c>
      <c r="BU10" s="1">
        <f>IF($B10-Analysis!$C$66&gt;3,0,IF($AN10&gt;LOOKUP(Analysis!$C$66,$B:$B, AN:AN),$V10*(LOOKUP(Analysis!$C$66,$B:$B, AN:AN)-AN10),0))</f>
        <v>0</v>
      </c>
      <c r="BV10" s="1">
        <f t="shared" si="23"/>
        <v>759149.90992197872</v>
      </c>
      <c r="BW10" s="42"/>
      <c r="BX10" s="1">
        <f>IF($B10&lt;Analysis!$C$66,$P10+$N10+$X10+$Z10,$P10+$N10+AS10+AV10+BB10+BE10+BG10+MAX(BI10,SUM(BJ10:BN10))+BP10)</f>
        <v>-122479.06010138716</v>
      </c>
      <c r="BY10" s="1">
        <f t="shared" si="24"/>
        <v>113606.92324047466</v>
      </c>
      <c r="BZ10" s="1">
        <f t="shared" si="46"/>
        <v>-8872.1368609125057</v>
      </c>
      <c r="CA10" s="1">
        <f>IF(BZ10 &lt; 0,
    IF(CA9 + BZ10 &gt; 0,
        CA9 + BZ10, IF(CF9-ABS(CA9 + BZ10)*(1+$V10) &gt;= CA9 + BZ10,
        0, CA9 + BZ10)),
    MIN(CA9 + BZ10, Analysis!$C$7))+IF(CA9&lt;0, CA9*Analysis!$C$9,0)</f>
        <v>-224236.03381450402</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-19974.144882960245</v>
      </c>
      <c r="CJ10" s="1">
        <f>IF(OR($B10&lt;Analysis!$C$100, $B10&gt;=Analysis!$C$130),0,Z10)</f>
        <v>-3960</v>
      </c>
      <c r="CK10" s="1">
        <f t="shared" si="26"/>
        <v>523312.50798159727</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-10957.040319627582</v>
      </c>
      <c r="CQ10" s="1">
        <f>IF(OR($B10&lt;Analysis!$C$100, $B10&gt;=Analysis!$C$101),0,IF($B10=Analysis!$C$100,-CM10-CP10,MIN(0,CQ9-CP10)))</f>
        <v>-303609.57860767923</v>
      </c>
      <c r="CR10" s="64">
        <f>IF(OR($B10&lt;Analysis!$C$100, $B10&gt;=Analysis!$C$101),0,IF($B10=Analysis!$C$100,Analysis!$C$102,IF(($B10-Analysis!$C$100)&lt;LOOKUP(Analysis!$C$100,$B:$B,CN:CN),CR9,0)))</f>
        <v>4.4399999999999995E-2</v>
      </c>
      <c r="CS10" s="1">
        <f>IF(OR($B10&lt;Analysis!$C$100, $B10&gt;=Analysis!$C$101),0,IF($B10=Analysis!$C$100,-CR10*CM10,CR9*CQ9))</f>
        <v>-13966.757880372419</v>
      </c>
      <c r="CT10" s="1">
        <f>IF(OR($B10&lt;Analysis!$C$100, $B10&gt;=Analysis!$C$101),0,IF($B10=Analysis!$C$100,PMT(CR10,CN10,CM10)*CN10-CU10-CQ10,IF(($B10-Analysis!$C$100+1)&lt;LOOKUP(Analysis!$C$100,$B:$B,CN:CN),IF(CT9-CS10&lt;0, CT9-CS10,0),0)))</f>
        <v>-142971.9323132314</v>
      </c>
      <c r="CU10" s="1">
        <f>IF(OR($B10&lt;Analysis!$C$100, $B10&gt;=Analysis!$C$101),0,IF($B10=Analysis!$C$100,CP10+CS10,IF(CQ9&lt;0,IF(CQ9&gt;LOOKUP(Analysis!$C$100,$B:$B,CU:CU), CQ9*(1+CR9),CU9),0)))</f>
        <v>-24923.798200000001</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-6300.3134066240827</v>
      </c>
      <c r="CZ10" s="1">
        <f>IF(OR($B10&lt;Analysis!$C$100, $B10&gt;=Analysis!$C$101),0,IF($B10=Analysis!$C$100,CX10*CY10-CY10,IF(($B10-Analysis!$C$100)&lt;Analysis!$C$107,CZ9-CY10,0)))</f>
        <v>-6300.3134066240882</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23007.314296535005</v>
      </c>
      <c r="DE10" s="1">
        <f t="shared" si="27"/>
        <v>-1569.9375239447918</v>
      </c>
      <c r="DF10" s="64">
        <f>IF(OR($B10&lt;Analysis!$C$100, $B10&gt;=Analysis!$C$101),0,Analysis!$C$118)</f>
        <v>3.0000000000000001E-3</v>
      </c>
      <c r="DG10" s="1">
        <f t="shared" si="28"/>
        <v>-3924.8438098619795</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-8300</v>
      </c>
      <c r="DQ10" s="1">
        <f>-Analysis!$C$117*DB10</f>
        <v>-1310.8032579442661</v>
      </c>
      <c r="DR10" s="1">
        <f t="shared" si="29"/>
        <v>-19065.584591751038</v>
      </c>
      <c r="DS10" s="1">
        <f>MIN(0,-(DB10+DR10)*Analysis!$C$28)-CS10*Analysis!$C$28</f>
        <v>6188.6704167930184</v>
      </c>
      <c r="DT10" s="1">
        <f>-Analysis!$C$116*DD10/12</f>
        <v>-1917.276191377917</v>
      </c>
      <c r="DU10" s="53"/>
      <c r="DV10" s="1">
        <f t="shared" si="30"/>
        <v>-66722.34476765366</v>
      </c>
      <c r="DW10" s="64">
        <f>IF(OR($B10&lt;Analysis!$C$100, $B10&gt;=Analysis!$C$101),0,IF($B10=Analysis!$C$100,Analysis!$C$31,DW9))</f>
        <v>0.1275</v>
      </c>
      <c r="DX10" s="1">
        <f>IF(OR($B10&lt;Analysis!$C$100, $B10&gt;=Analysis!$C$101),0,CK10+DV10)</f>
        <v>456590.1632139436</v>
      </c>
      <c r="DY10" s="1">
        <f>IF(OR($B10&lt;Analysis!$C$100, $B10&gt;=Analysis!$C$101),0,IF($B10-Analysis!$C$100&gt;3,0,IF(CK10&gt;LOOKUP(Analysis!$C$100,$B:$B, CK:CK),$V10*(LOOKUP(Analysis!$C$100,$B:$B, CK:CK)-CK10),0)))</f>
        <v>0</v>
      </c>
      <c r="DZ10" s="1">
        <f t="shared" si="49"/>
        <v>456590.1632139436</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IF($B10&lt;Analysis!$C$130,0,IF($B10=Analysis!$C$130,Analysis!$D$136,IF(($B10-Analysis!$C$130)&lt;LOOKUP(Analysis!$C$130,$B:$B,EE:EE),EI9,0)))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-120052.44685592028</v>
      </c>
      <c r="FM10" s="1">
        <f>$M10+$R10+DD10+IF(AND($B10&lt;&gt;Analysis!$C$130,$B10=Analysis!$C$101),DZ9+CQ9+CT9+CZ9,0)</f>
        <v>136614.23753700967</v>
      </c>
      <c r="FN10" s="1">
        <f t="shared" si="34"/>
        <v>16561.790681089391</v>
      </c>
      <c r="FO10" s="1">
        <f>IF(FN10 &lt; 0,
    IF(FO9 + FN10 &gt; 0,
        FO9 + FN10, IF(FT9-ABS(FO9 + FN10)*(1+$V10) &gt;= FO9 + FN10,
        0, FO9 + FN10)),
    MIN(FO9 + FN10, Analysis!$C$7))+IF(FO9&lt;0, FO9*Analysis!$C$9,0)</f>
        <v>24000</v>
      </c>
      <c r="FP10" s="53"/>
      <c r="FQ10" s="1">
        <f t="shared" si="51"/>
        <v>2902.341308726132</v>
      </c>
      <c r="FR10" s="1">
        <f>IF(OR($B10=Analysis!$C$100, $B10=Analysis!$C$130),0,IF(FN10 &gt;= 0,
    MAX(0, FO9 + FN10 - Analysis!$C$7),
    0))</f>
        <v>16561.790681089391</v>
      </c>
      <c r="FS10" s="1">
        <f>IF(OR($B10=Analysis!$C$100, $B10=Analysis!$C$130),0,MAX(0, FS9 + FR10 - IF(FN10 &lt; 0, MIN(ABS(FN10), FS9 + FR10), 0)))</f>
        <v>58297.735286382318</v>
      </c>
      <c r="FT10" s="1">
        <f>IF(OR($B10=Analysis!$C$100, $B10=Analysis!$C$130),0,IF(FN10 &lt; 0,
    IF(FN10 + FO9 &lt; 0,
        MAX(0, FT9 - (ABS(FN10 + FO9) * (1+$V9))),
        FT9 + FQ10),
    FT9 + FR10 + FQ10))</f>
        <v>64310.732025100573</v>
      </c>
      <c r="FU10" s="1">
        <f t="shared" si="35"/>
        <v>62724.804135263636</v>
      </c>
      <c r="FV10" s="36"/>
      <c r="FW10" s="1">
        <f t="shared" si="52"/>
        <v>523312.50798159727</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-10957.040319627582</v>
      </c>
      <c r="GC10" s="1">
        <f>IF($B10&lt;Analysis!$C$159,0,IF($B10=Analysis!$C$159,-FY10-GB10,MIN(0,GC9-GB10)))</f>
        <v>-303609.57860767923</v>
      </c>
      <c r="GD10" s="64">
        <f>IF($B10&lt;Analysis!$C$159,0,IF($B10=Analysis!$C$159,Analysis!$C$160,IF(($B10-Analysis!$C$159)&lt;LOOKUP(Analysis!$C$159,$B:$B,FZ:FZ),GD9,0)))</f>
        <v>4.4399999999999995E-2</v>
      </c>
      <c r="GE10" s="1">
        <f>IF($B10&lt;Analysis!$C$159,0,IF($B10=Analysis!$C$159,-GD10*FY10,GD9*GC9))</f>
        <v>-13966.757880372419</v>
      </c>
      <c r="GF10" s="1">
        <f>IF($B10&lt;Analysis!$C$159,0,IF($B10=Analysis!$C$159,PMT(GD10,FZ10,FY10)*FZ10-GG10-GC10,IF(($B10-Analysis!$C$159+1)&lt;LOOKUP(Analysis!$C$159,$B:$B,FZ:FZ),IF(GF9-GE10&lt;0, GF9-GE10,0),0)))</f>
        <v>-142971.9323132314</v>
      </c>
      <c r="GG10" s="1">
        <f>IF($B10&lt;Analysis!$C$159,0,IF($B10=Analysis!$C$159,GB10+GE10,IF(GC9&lt;0,IF(GC9&gt;LOOKUP(Analysis!$C$159,$B:$B,GG:GG), GC9*(1+GD9),GG9),0)))</f>
        <v>-24923.798200000001</v>
      </c>
      <c r="GH10" s="1">
        <f>IF($B10=Analysis!$C$159,Analysis!$C$165,0)</f>
        <v>0</v>
      </c>
      <c r="GI10" s="1">
        <f>IF($B10=Analysis!$C$159,PMT(GD10,GJ10,GH10)*GJ10,0)</f>
        <v>0</v>
      </c>
      <c r="GJ10" s="7">
        <f>IF($B10=Analysis!$C$159,Analysis!$C$167,0)</f>
        <v>0</v>
      </c>
      <c r="GK10" s="1">
        <f>IF($B10&lt;Analysis!$C$159,0,IF($B10=Analysis!$C$159,GI10/GJ10,IF(($B10-Analysis!$C$159)&lt;LOOKUP(Analysis!$C$159,$B:$B,GJ:GJ),GK9,0)))</f>
        <v>-6300.3134066240827</v>
      </c>
      <c r="GL10" s="1">
        <f>IF($B10&lt;Analysis!$C$159,0,IF($B10=Analysis!$C$159,GJ10*GK10-GK10,IF(($B10-Analysis!$C$159)&lt;Analysis!$C$167,GL9-GK10,0)))</f>
        <v>-6300.3134066240882</v>
      </c>
      <c r="GM10" s="38"/>
      <c r="GN10" s="1">
        <f>IF($B10&lt;Analysis!$C$159,0,IF($B10=2025,(Analysis!$C$109*12),IF($B10=Analysis!$C$159,(Analysis!$C$109*12)*(1+GO10)^($B10-$B$2),GN9*(1+GO10))))</f>
        <v>17477.376772590214</v>
      </c>
      <c r="GO10" s="64">
        <f>IF($B10&lt;Analysis!$C$159,0,((1+Analysis!$C$174)/(1+$S10))-1)</f>
        <v>2.941176470588247E-2</v>
      </c>
      <c r="GP10" s="1">
        <f t="shared" si="7"/>
        <v>23007.314296535005</v>
      </c>
      <c r="GQ10" s="1">
        <f t="shared" si="36"/>
        <v>-1569.9375239447918</v>
      </c>
      <c r="GR10" s="64">
        <f>IF($B10&lt;Analysis!$C$159,0,Analysis!$C$178)</f>
        <v>3.0000000000000001E-3</v>
      </c>
      <c r="GS10" s="1">
        <f t="shared" si="37"/>
        <v>-3924.8438098619795</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-8300</v>
      </c>
      <c r="HC10" s="1">
        <f>-Analysis!$C$177*GN10</f>
        <v>-1310.8032579442661</v>
      </c>
      <c r="HD10" s="1">
        <f t="shared" si="38"/>
        <v>-19065.584591751038</v>
      </c>
      <c r="HE10" s="1">
        <f>MIN(0,-(GN10+HD10)*Analysis!$C$28)-GE10*Analysis!$C$28</f>
        <v>6188.6704167930184</v>
      </c>
      <c r="HF10" s="1">
        <f>-Analysis!$C$176*GP10/12</f>
        <v>-1917.276191377917</v>
      </c>
      <c r="HG10" s="38"/>
      <c r="HH10" s="1">
        <f>IF($B10&lt;Analysis!$C$159,0,-$HI10*$FW10)</f>
        <v>-66722.34476765366</v>
      </c>
      <c r="HI10" s="64">
        <f>IF($B10&lt;Analysis!$C$159,0,IF($B10=Analysis!$C$159,Analysis!$C$31,HI9))</f>
        <v>0.1275</v>
      </c>
      <c r="HJ10" s="1">
        <f>IF($B10&lt;Analysis!$C$159,0,$FW10+HH10)</f>
        <v>456590.1632139436</v>
      </c>
      <c r="HK10" s="1">
        <f>IF($B10-Analysis!$C$159&gt;10,0,IF($FW10&gt;LOOKUP(Analysis!$C$159,$B:$B, FW:FW),$V10*(LOOKUP(Analysis!$C$159,$B:$B, FW:FW)-FW10),0))</f>
        <v>-28567.423980146279</v>
      </c>
      <c r="HL10" s="1">
        <f t="shared" si="39"/>
        <v>428022.7392337973</v>
      </c>
      <c r="HM10" s="38"/>
      <c r="HN10" s="1">
        <f t="shared" si="40"/>
        <v>-120052.44685592028</v>
      </c>
      <c r="HO10" s="1">
        <f t="shared" si="8"/>
        <v>136614.23753700967</v>
      </c>
      <c r="HP10" s="1">
        <f t="shared" si="41"/>
        <v>16561.790681089391</v>
      </c>
      <c r="HQ10" s="1">
        <f>IF(HP10 &lt; 0,
    IF(HQ9 + HP10 &gt; 0,
        HQ9 + HP10, IF(HV9-ABS(HQ9 + HP10)*(1+$V10) &gt;= HQ9 + HP10,
        0, HQ9 + HP10)),
    MIN(HQ9 + HP10, Analysis!$C$7))+IF(HQ9&lt;0, HQ9*Analysis!$C$9,0)</f>
        <v>24000</v>
      </c>
      <c r="HR10" s="38"/>
      <c r="HS10" s="1">
        <f t="shared" si="54"/>
        <v>2902.341308726132</v>
      </c>
      <c r="HT10" s="1">
        <f>IF($B10=Analysis!$C$159,0,IF(HP10 &gt;= 0,
    MAX(0, HQ9 + HP10 - Analysis!$C$7),
    0))</f>
        <v>16561.790681089391</v>
      </c>
      <c r="HU10" s="1">
        <f>IF($B10=Analysis!$C$159,0,MAX(0, HU9 + HT10 - IF(HP10 &lt; 0, MIN(ABS(HP10), HU9 + HT10), 0)))</f>
        <v>58297.735286382318</v>
      </c>
      <c r="HV10" s="1">
        <f>IF($B10=Analysis!$C$159,0,IF(HP10 &lt; 0,
    IF(HP10 + HQ9 &lt; 0,
        MAX(0, HV9 - (ABS(HP10 + HQ9) * (1+$V9))),
        HV9 + HS10),
    HV9 + HT10 + HS10))</f>
        <v>64310.732025100573</v>
      </c>
      <c r="HW10" s="1">
        <f t="shared" si="42"/>
        <v>62724.804135263636</v>
      </c>
      <c r="HX10" s="36"/>
    </row>
    <row r="11" spans="1:232" x14ac:dyDescent="0.35">
      <c r="A11">
        <f t="shared" si="0"/>
        <v>44</v>
      </c>
      <c r="B11">
        <v>2034</v>
      </c>
      <c r="C11" s="1">
        <f>IF($B11&lt;Analysis!C$66,0,$AN11)+$AT11+$AW11+$BC11+$CF11+$CA11</f>
        <v>-108793.46392982136</v>
      </c>
      <c r="D11" s="1">
        <f>IF($B11&lt;Analysis!C$66, 0, BV11)+AT11+AW11+BC11+CG11+CA11</f>
        <v>-222992.23261435967</v>
      </c>
      <c r="E11" s="1">
        <f t="shared" si="1"/>
        <v>363873.46426930919</v>
      </c>
      <c r="F11" s="1">
        <f t="shared" si="9"/>
        <v>340878.37569523667</v>
      </c>
      <c r="G11" s="1">
        <f>IF(AND($B11&gt;=Analysis!$C$100, $B11&lt;Analysis!$C$101),$CK11,0)+IF($B11&gt;=Analysis!$C$130,EB11,0)+CQ11+CT11+CZ11+EH11+EK11+EQ11+$FO11+$FT11</f>
        <v>228265.42855531452</v>
      </c>
      <c r="H11" s="1">
        <f t="shared" si="10"/>
        <v>156926.08327940025</v>
      </c>
      <c r="I11" s="1">
        <f>IF($B11&lt;Analysis!$C$159,0,$FW11)+$GC11+$GF11+$GL11+$HQ11+$HV11</f>
        <v>228265.42855531452</v>
      </c>
      <c r="J11" s="1">
        <f t="shared" si="2"/>
        <v>124299.13947630848</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18160.149649856419</v>
      </c>
      <c r="AI11" s="1">
        <f>IF(AE11 &gt;= 0,
    MAX(0, AF10 + AE11 - Analysis!$C$7),
    0)</f>
        <v>33469.786920772298</v>
      </c>
      <c r="AJ11" s="1">
        <f t="shared" si="44"/>
        <v>252688.29432021902</v>
      </c>
      <c r="AK11" s="1">
        <f t="shared" si="20"/>
        <v>339873.46426930919</v>
      </c>
      <c r="AL11" s="1">
        <f t="shared" si="5"/>
        <v>316878.37569523667</v>
      </c>
      <c r="AM11" s="36"/>
      <c r="AN11" s="1">
        <f t="shared" si="45"/>
        <v>895676.61713363416</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-20515.717766907241</v>
      </c>
      <c r="AT11" s="1">
        <f>IF($B11&lt;Analysis!$C$66,0,IF($B11=Analysis!$C$66,-AP11-AS11,MIN(0,AT10-AS11)))</f>
        <v>-523788.95414959668</v>
      </c>
      <c r="AU11" s="64">
        <f>IF($B11&lt;Analysis!$C$66,0,IF($B11=Analysis!$C$66,Analysis!$C$72,IF(($B11-Analysis!$C$66)&lt;LOOKUP(Analysis!$C$66,$B:$B,AQ:AQ),AU10,0)))</f>
        <v>4.4399999999999995E-2</v>
      </c>
      <c r="AV11" s="1">
        <f>IF($B11&lt;Analysis!$C$66,0,IF($B11=Analysis!$C$66,-AU11*AP11,AU10*AT10))</f>
        <v>-24167.12743309277</v>
      </c>
      <c r="AW11" s="1">
        <f>IF($B11&lt;Analysis!$C$66,0,IF($B11=Analysis!$C$66,PMT(AU11,AQ11,AP11)*AQ11-AX11-AT11,IF(($B11-Analysis!$C$66+1)&lt;LOOKUP(Analysis!$C$66,$B:$B,AQ:AQ),IF(AW10-AV11&lt;0, AW10-AV11,0),0)))</f>
        <v>-232149.85396089859</v>
      </c>
      <c r="AX11" s="1">
        <f>IF($B11&lt;Analysis!$C$66,0,IF($B11=Analysis!$C$66,AS11+AV11,IF(AT10&lt;0,IF(AT10&gt;LOOKUP(Analysis!$C$66,$B:$B,AX:AX), AT10*(1+AU10),AX10),0)))</f>
        <v>-44682.845200000011</v>
      </c>
      <c r="AY11" s="1">
        <f>IF($B11=Analysis!$C$66,Analysis!$C$68,0)</f>
        <v>0</v>
      </c>
      <c r="AZ11" s="1">
        <f>IF($B11=Analysis!$C$66,PMT(AU11,BA11,AY11)*BA11,0)</f>
        <v>0</v>
      </c>
      <c r="BA11" s="7">
        <f>IF($B11=Analysis!$C$66,Analysis!$C$70,0)</f>
        <v>0</v>
      </c>
      <c r="BB11" s="1">
        <f>IF($B11&lt;Analysis!$C$66,0,IF($B11=Analysis!$C$66,AZ11/BA11,IF(($B11-Analysis!$C$66)&lt;LOOKUP(Analysis!$C$66,$B:$B,BA:BA),BB10,0)))</f>
        <v>-6300.3134066240827</v>
      </c>
      <c r="BC11" s="1">
        <f>IF($B11&lt;Analysis!$C$66,0,IF($B11=Analysis!$C$66,BA11*BB11-BB11,IF(($B11-Analysis!$C$66)&lt;Analysis!$C$70,BC10-BB11,0)))</f>
        <v>-5.4569682106375694E-12</v>
      </c>
      <c r="BD11" s="42"/>
      <c r="BE11" s="1">
        <f>IF($B11&lt;Analysis!$C$66,0,-BF11*AN11)</f>
        <v>-2687.0298514009028</v>
      </c>
      <c r="BF11" s="64">
        <f>IF($B11&lt;Analysis!$C$66,0,Analysis!$C$78)</f>
        <v>3.0000000000000001E-3</v>
      </c>
      <c r="BG11" s="1">
        <f>IF($B11&lt;Analysis!$C$66,0,-BH11*AN11)</f>
        <v>-6717.574628502256</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-114198.76868453836</v>
      </c>
      <c r="BS11" s="64">
        <f>IF($B11&lt;Analysis!C$66,0,Analysis!C$31)</f>
        <v>0.1275</v>
      </c>
      <c r="BT11" s="1">
        <f>IF($B11&lt;Analysis!$C$66,0,AN11+BR11)</f>
        <v>781477.84844909585</v>
      </c>
      <c r="BU11" s="1">
        <f>IF($B11-Analysis!$C$66&gt;3,0,IF($AN11&gt;LOOKUP(Analysis!$C$66,$B:$B, AN:AN),$V11*(LOOKUP(Analysis!$C$66,$B:$B, AN:AN)-AN11),0))</f>
        <v>0</v>
      </c>
      <c r="BV11" s="1">
        <f t="shared" si="23"/>
        <v>781477.84844909585</v>
      </c>
      <c r="BW11" s="42"/>
      <c r="BX11" s="1">
        <f>IF($B11&lt;Analysis!$C$66,$P11+$N11+$X11+$Z11,$P11+$N11+AS11+AV11+BB11+BE11+BG11+MAX(BI11,SUM(BJ11:BN11))+BP11)</f>
        <v>-122747.76308652727</v>
      </c>
      <c r="BY11" s="1">
        <f t="shared" si="24"/>
        <v>116391.40665323137</v>
      </c>
      <c r="BZ11" s="1">
        <f t="shared" si="46"/>
        <v>-6356.3564332958922</v>
      </c>
      <c r="CA11" s="1">
        <f>IF(BZ11 &lt; 0,
    IF(CA10 + BZ11 &gt; 0,
        CA10 + BZ11, IF(CF10-ABS(CA10 + BZ11)*(1+$V11) &gt;= CA10 + BZ11,
        0, CA10 + BZ11)),
    MIN(CA10 + BZ11, Analysis!$C$7))+IF(CA10&lt;0, CA10*Analysis!$C$9,0)</f>
        <v>-248531.27295296025</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-20561.619732459079</v>
      </c>
      <c r="CJ11" s="1">
        <f>IF(OR($B11&lt;Analysis!$C$100, $B11&gt;=Analysis!$C$130),0,Z11)</f>
        <v>-3960</v>
      </c>
      <c r="CK11" s="1">
        <f t="shared" si="26"/>
        <v>538704.05233399721</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-11443.532909819045</v>
      </c>
      <c r="CQ11" s="1">
        <f>IF(OR($B11&lt;Analysis!$C$100, $B11&gt;=Analysis!$C$101),0,IF($B11=Analysis!$C$100,-CM11-CP11,MIN(0,CQ10-CP11)))</f>
        <v>-292166.04569786019</v>
      </c>
      <c r="CR11" s="64">
        <f>IF(OR($B11&lt;Analysis!$C$100, $B11&gt;=Analysis!$C$101),0,IF($B11=Analysis!$C$100,Analysis!$C$102,IF(($B11-Analysis!$C$100)&lt;LOOKUP(Analysis!$C$100,$B:$B,CN:CN),CR10,0)))</f>
        <v>4.4399999999999995E-2</v>
      </c>
      <c r="CS11" s="1">
        <f>IF(OR($B11&lt;Analysis!$C$100, $B11&gt;=Analysis!$C$101),0,IF($B11=Analysis!$C$100,-CR11*CM11,CR10*CQ10))</f>
        <v>-13480.265290180956</v>
      </c>
      <c r="CT11" s="1">
        <f>IF(OR($B11&lt;Analysis!$C$100, $B11&gt;=Analysis!$C$101),0,IF($B11=Analysis!$C$100,PMT(CR11,CN11,CM11)*CN11-CU11-CQ11,IF(($B11-Analysis!$C$100+1)&lt;LOOKUP(Analysis!$C$100,$B:$B,CN:CN),IF(CT10-CS11&lt;0, CT10-CS11,0),0)))</f>
        <v>-129491.66702305045</v>
      </c>
      <c r="CU11" s="1">
        <f>IF(OR($B11&lt;Analysis!$C$100, $B11&gt;=Analysis!$C$101),0,IF($B11=Analysis!$C$100,CP11+CS11,IF(CQ10&lt;0,IF(CQ10&gt;LOOKUP(Analysis!$C$100,$B:$B,CU:CU), CQ10*(1+CR10),CU10),0)))</f>
        <v>-24923.798200000001</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-6300.3134066240827</v>
      </c>
      <c r="CZ11" s="1">
        <f>IF(OR($B11&lt;Analysis!$C$100, $B11&gt;=Analysis!$C$101),0,IF($B11=Analysis!$C$100,CX11*CY11-CY11,IF(($B11-Analysis!$C$100)&lt;Analysis!$C$107,CZ10-CY11,0)))</f>
        <v>-5.4569682106375694E-12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23567.529422903688</v>
      </c>
      <c r="DE11" s="1">
        <f t="shared" si="27"/>
        <v>-1616.1121570019916</v>
      </c>
      <c r="DF11" s="64">
        <f>IF(OR($B11&lt;Analysis!$C$100, $B11&gt;=Analysis!$C$101),0,Analysis!$C$118)</f>
        <v>3.0000000000000001E-3</v>
      </c>
      <c r="DG11" s="1">
        <f t="shared" si="28"/>
        <v>-4040.2803925049789</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-8300</v>
      </c>
      <c r="DQ11" s="1">
        <f>-Analysis!$C$117*DB11</f>
        <v>-1349.3562949426271</v>
      </c>
      <c r="DR11" s="1">
        <f t="shared" si="29"/>
        <v>-19265.748844449598</v>
      </c>
      <c r="DS11" s="1">
        <f>MIN(0,-(DB11+DR11)*Analysis!$C$28)-CS11*Analysis!$C$28</f>
        <v>5973.1055500791808</v>
      </c>
      <c r="DT11" s="1">
        <f>-Analysis!$C$116*DD11/12</f>
        <v>-1963.960785241974</v>
      </c>
      <c r="DU11" s="53"/>
      <c r="DV11" s="1">
        <f t="shared" si="30"/>
        <v>-68684.76667258465</v>
      </c>
      <c r="DW11" s="64">
        <f>IF(OR($B11&lt;Analysis!$C$100, $B11&gt;=Analysis!$C$101),0,IF($B11=Analysis!$C$100,Analysis!$C$31,DW10))</f>
        <v>0.1275</v>
      </c>
      <c r="DX11" s="1">
        <f>IF(OR($B11&lt;Analysis!$C$100, $B11&gt;=Analysis!$C$101),0,CK11+DV11)</f>
        <v>470019.28566141258</v>
      </c>
      <c r="DY11" s="1">
        <f>IF(OR($B11&lt;Analysis!$C$100, $B11&gt;=Analysis!$C$101),0,IF($B11-Analysis!$C$100&gt;3,0,IF(CK11&gt;LOOKUP(Analysis!$C$100,$B:$B, CK:CK),$V11*(LOOKUP(Analysis!$C$100,$B:$B, CK:CK)-CK11),0)))</f>
        <v>0</v>
      </c>
      <c r="DZ11" s="1">
        <f t="shared" si="49"/>
        <v>470019.28566141258</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IF($B11&lt;Analysis!$C$130,0,IF($B11=Analysis!$C$130,Analysis!$D$136,IF(($B11-Analysis!$C$130)&lt;LOOKUP(Analysis!$C$130,$B:$B,EE:EE),EI10,0)))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-121102.33541869554</v>
      </c>
      <c r="FM11" s="1">
        <f>$M11+$R11+DD11+IF(AND($B11&lt;&gt;Analysis!$C$130,$B11=Analysis!$C$101),DZ10+CQ10+CT10+CZ10,0)</f>
        <v>139958.93607613505</v>
      </c>
      <c r="FN11" s="1">
        <f t="shared" si="34"/>
        <v>18856.600657439514</v>
      </c>
      <c r="FO11" s="1">
        <f>IF(FN11 &lt; 0,
    IF(FO10 + FN11 &gt; 0,
        FO10 + FN11, IF(FT10-ABS(FO10 + FN11)*(1+$V11) &gt;= FO10 + FN11,
        0, FO10 + FN11)),
    MIN(FO10 + FN11, Analysis!$C$7))+IF(FO10&lt;0, FO10*Analysis!$C$9,0)</f>
        <v>24000</v>
      </c>
      <c r="FP11" s="53"/>
      <c r="FQ11" s="1">
        <f t="shared" si="51"/>
        <v>4051.756259687862</v>
      </c>
      <c r="FR11" s="1">
        <f>IF(OR($B11=Analysis!$C$100, $B11=Analysis!$C$130),0,IF(FN11 &gt;= 0,
    MAX(0, FO10 + FN11 - Analysis!$C$7),
    0))</f>
        <v>18856.600657439514</v>
      </c>
      <c r="FS11" s="1">
        <f>IF(OR($B11=Analysis!$C$100, $B11=Analysis!$C$130),0,MAX(0, FS10 + FR11 - IF(FN11 &lt; 0, MIN(ABS(FN11), FS10 + FR11), 0)))</f>
        <v>77154.335943821832</v>
      </c>
      <c r="FT11" s="1">
        <f>IF(OR($B11=Analysis!$C$100, $B11=Analysis!$C$130),0,IF(FN11 &lt; 0,
    IF(FN11 + FO10 &lt; 0,
        MAX(0, FT10 - (ABS(FN11 + FO10) * (1+$V10))),
        FT10 + FQ11),
    FT10 + FR11 + FQ11))</f>
        <v>87219.088942227943</v>
      </c>
      <c r="FU11" s="1">
        <f t="shared" si="35"/>
        <v>84564.510338898326</v>
      </c>
      <c r="FV11" s="36"/>
      <c r="FW11" s="1">
        <f t="shared" si="52"/>
        <v>538704.05233399721</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-11443.532909819045</v>
      </c>
      <c r="GC11" s="1">
        <f>IF($B11&lt;Analysis!$C$159,0,IF($B11=Analysis!$C$159,-FY11-GB11,MIN(0,GC10-GB11)))</f>
        <v>-292166.04569786019</v>
      </c>
      <c r="GD11" s="64">
        <f>IF($B11&lt;Analysis!$C$159,0,IF($B11=Analysis!$C$159,Analysis!$C$160,IF(($B11-Analysis!$C$159)&lt;LOOKUP(Analysis!$C$159,$B:$B,FZ:FZ),GD10,0)))</f>
        <v>4.4399999999999995E-2</v>
      </c>
      <c r="GE11" s="1">
        <f>IF($B11&lt;Analysis!$C$159,0,IF($B11=Analysis!$C$159,-GD11*FY11,GD10*GC10))</f>
        <v>-13480.265290180956</v>
      </c>
      <c r="GF11" s="1">
        <f>IF($B11&lt;Analysis!$C$159,0,IF($B11=Analysis!$C$159,PMT(GD11,FZ11,FY11)*FZ11-GG11-GC11,IF(($B11-Analysis!$C$159+1)&lt;LOOKUP(Analysis!$C$159,$B:$B,FZ:FZ),IF(GF10-GE11&lt;0, GF10-GE11,0),0)))</f>
        <v>-129491.66702305045</v>
      </c>
      <c r="GG11" s="1">
        <f>IF($B11&lt;Analysis!$C$159,0,IF($B11=Analysis!$C$159,GB11+GE11,IF(GC10&lt;0,IF(GC10&gt;LOOKUP(Analysis!$C$159,$B:$B,GG:GG), GC10*(1+GD10),GG10),0)))</f>
        <v>-24923.798200000001</v>
      </c>
      <c r="GH11" s="1">
        <f>IF($B11=Analysis!$C$159,Analysis!$C$165,0)</f>
        <v>0</v>
      </c>
      <c r="GI11" s="1">
        <f>IF($B11=Analysis!$C$159,PMT(GD11,GJ11,GH11)*GJ11,0)</f>
        <v>0</v>
      </c>
      <c r="GJ11" s="7">
        <f>IF($B11=Analysis!$C$159,Analysis!$C$167,0)</f>
        <v>0</v>
      </c>
      <c r="GK11" s="1">
        <f>IF($B11&lt;Analysis!$C$159,0,IF($B11=Analysis!$C$159,GI11/GJ11,IF(($B11-Analysis!$C$159)&lt;LOOKUP(Analysis!$C$159,$B:$B,GJ:GJ),GK10,0)))</f>
        <v>-6300.3134066240827</v>
      </c>
      <c r="GL11" s="1">
        <f>IF($B11&lt;Analysis!$C$159,0,IF($B11=Analysis!$C$159,GJ11*GK11-GK11,IF(($B11-Analysis!$C$159)&lt;Analysis!$C$167,GL10-GK11,0)))</f>
        <v>-5.4569682106375694E-12</v>
      </c>
      <c r="GM11" s="38"/>
      <c r="GN11" s="1">
        <f>IF($B11&lt;Analysis!$C$159,0,IF($B11=2025,(Analysis!$C$109*12),IF($B11=Analysis!$C$159,(Analysis!$C$109*12)*(1+GO11)^($B11-$B$2),GN10*(1+GO11))))</f>
        <v>17991.417265901695</v>
      </c>
      <c r="GO11" s="64">
        <f>IF($B11&lt;Analysis!$C$159,0,((1+Analysis!$C$174)/(1+$S11))-1)</f>
        <v>2.941176470588247E-2</v>
      </c>
      <c r="GP11" s="1">
        <f t="shared" si="7"/>
        <v>23567.529422903688</v>
      </c>
      <c r="GQ11" s="1">
        <f t="shared" si="36"/>
        <v>-1616.1121570019916</v>
      </c>
      <c r="GR11" s="64">
        <f>IF($B11&lt;Analysis!$C$159,0,Analysis!$C$178)</f>
        <v>3.0000000000000001E-3</v>
      </c>
      <c r="GS11" s="1">
        <f t="shared" si="37"/>
        <v>-4040.2803925049789</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-8300</v>
      </c>
      <c r="HC11" s="1">
        <f>-Analysis!$C$177*GN11</f>
        <v>-1349.3562949426271</v>
      </c>
      <c r="HD11" s="1">
        <f t="shared" si="38"/>
        <v>-19265.748844449598</v>
      </c>
      <c r="HE11" s="1">
        <f>MIN(0,-(GN11+HD11)*Analysis!$C$28)-GE11*Analysis!$C$28</f>
        <v>5973.1055500791808</v>
      </c>
      <c r="HF11" s="1">
        <f>-Analysis!$C$176*GP11/12</f>
        <v>-1963.960785241974</v>
      </c>
      <c r="HG11" s="38"/>
      <c r="HH11" s="1">
        <f>IF($B11&lt;Analysis!$C$159,0,-$HI11*$FW11)</f>
        <v>-68684.76667258465</v>
      </c>
      <c r="HI11" s="64">
        <f>IF($B11&lt;Analysis!$C$159,0,IF($B11=Analysis!$C$159,Analysis!$C$31,HI10))</f>
        <v>0.1275</v>
      </c>
      <c r="HJ11" s="1">
        <f>IF($B11&lt;Analysis!$C$159,0,$FW11+HH11)</f>
        <v>470019.28566141258</v>
      </c>
      <c r="HK11" s="1">
        <f>IF($B11-Analysis!$C$159&gt;10,0,IF($FW11&gt;LOOKUP(Analysis!$C$159,$B:$B, FW:FW),$V11*(LOOKUP(Analysis!$C$159,$B:$B, FW:FW)-FW11),0))</f>
        <v>-32626.943803091763</v>
      </c>
      <c r="HL11" s="1">
        <f t="shared" si="39"/>
        <v>437392.34185832081</v>
      </c>
      <c r="HM11" s="38"/>
      <c r="HN11" s="1">
        <f t="shared" si="40"/>
        <v>-121102.33541869554</v>
      </c>
      <c r="HO11" s="1">
        <f t="shared" si="8"/>
        <v>139958.93607613505</v>
      </c>
      <c r="HP11" s="1">
        <f t="shared" si="41"/>
        <v>18856.600657439514</v>
      </c>
      <c r="HQ11" s="1">
        <f>IF(HP11 &lt; 0,
    IF(HQ10 + HP11 &gt; 0,
        HQ10 + HP11, IF(HV10-ABS(HQ10 + HP11)*(1+$V11) &gt;= HQ10 + HP11,
        0, HQ10 + HP11)),
    MIN(HQ10 + HP11, Analysis!$C$7))+IF(HQ10&lt;0, HQ10*Analysis!$C$9,0)</f>
        <v>24000</v>
      </c>
      <c r="HR11" s="38"/>
      <c r="HS11" s="1">
        <f t="shared" si="54"/>
        <v>4051.756259687862</v>
      </c>
      <c r="HT11" s="1">
        <f>IF($B11=Analysis!$C$159,0,IF(HP11 &gt;= 0,
    MAX(0, HQ10 + HP11 - Analysis!$C$7),
    0))</f>
        <v>18856.600657439514</v>
      </c>
      <c r="HU11" s="1">
        <f>IF($B11=Analysis!$C$159,0,MAX(0, HU10 + HT11 - IF(HP11 &lt; 0, MIN(ABS(HP11), HU10 + HT11), 0)))</f>
        <v>77154.335943821832</v>
      </c>
      <c r="HV11" s="1">
        <f>IF($B11=Analysis!$C$159,0,IF(HP11 &lt; 0,
    IF(HP11 + HQ10 &lt; 0,
        MAX(0, HV10 - (ABS(HP11 + HQ10) * (1+$V10))),
        HV10 + HS11),
    HV10 + HT11 + HS11))</f>
        <v>87219.088942227943</v>
      </c>
      <c r="HW11" s="1">
        <f t="shared" si="42"/>
        <v>84564.510338898326</v>
      </c>
      <c r="HX11" s="36"/>
    </row>
    <row r="12" spans="1:232" x14ac:dyDescent="0.35">
      <c r="A12">
        <f t="shared" si="0"/>
        <v>45</v>
      </c>
      <c r="B12">
        <v>2035</v>
      </c>
      <c r="C12" s="1">
        <f>IF($B12&lt;Analysis!C$66,0,$AN12)+$AT12+$AW12+$BC12+$CF12+$CA12</f>
        <v>-56555.974413536402</v>
      </c>
      <c r="D12" s="1">
        <f>IF($B12&lt;Analysis!C$66, 0, BV12)+AT12+AW12+BC12+CG12+CA12</f>
        <v>-174113.5304123259</v>
      </c>
      <c r="E12" s="1">
        <f t="shared" si="1"/>
        <v>418995.20299716713</v>
      </c>
      <c r="F12" s="1">
        <f t="shared" si="9"/>
        <v>390506.11223463929</v>
      </c>
      <c r="G12" s="1">
        <f>IF(AND($B12&gt;=Analysis!$C$100, $B12&lt;Analysis!$C$101),$CK12,0)+IF($B12&gt;=Analysis!$C$130,EB12,0)+CQ12+CT12+CZ12+EH12+EK12+EQ12+$FO12+$FT12</f>
        <v>300454.96487344697</v>
      </c>
      <c r="H12" s="1">
        <f t="shared" si="10"/>
        <v>225685.59626564369</v>
      </c>
      <c r="I12" s="1">
        <f>IF($B12&lt;Analysis!$C$159,0,$FW12)+$GC12+$GF12+$GL12+$HQ12+$HV12</f>
        <v>300454.96487344697</v>
      </c>
      <c r="J12" s="1">
        <f t="shared" si="2"/>
        <v>188879.73499775506</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20830.340051015432</v>
      </c>
      <c r="AI12" s="1">
        <f>IF(AE12 &gt;= 0,
    MAX(0, AF11 + AE12 - Analysis!$C$7),
    0)</f>
        <v>34291.398676842495</v>
      </c>
      <c r="AJ12" s="1">
        <f t="shared" si="44"/>
        <v>286979.69299706153</v>
      </c>
      <c r="AK12" s="1">
        <f t="shared" si="20"/>
        <v>394995.20299716713</v>
      </c>
      <c r="AL12" s="1">
        <f t="shared" si="5"/>
        <v>366506.11223463929</v>
      </c>
      <c r="AM12" s="36"/>
      <c r="AN12" s="1">
        <f t="shared" si="45"/>
        <v>922020.04704932938</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-21426.61563575792</v>
      </c>
      <c r="AT12" s="1">
        <f>IF($B12&lt;Analysis!$C$66,0,IF($B12=Analysis!$C$66,-AP12-AS12,MIN(0,AT11-AS12)))</f>
        <v>-502362.33851383877</v>
      </c>
      <c r="AU12" s="64">
        <f>IF($B12&lt;Analysis!$C$66,0,IF($B12=Analysis!$C$66,Analysis!$C$72,IF(($B12-Analysis!$C$66)&lt;LOOKUP(Analysis!$C$66,$B:$B,AQ:AQ),AU11,0)))</f>
        <v>4.4399999999999995E-2</v>
      </c>
      <c r="AV12" s="1">
        <f>IF($B12&lt;Analysis!$C$66,0,IF($B12=Analysis!$C$66,-AU12*AP12,AU11*AT11))</f>
        <v>-23256.22956424209</v>
      </c>
      <c r="AW12" s="1">
        <f>IF($B12&lt;Analysis!$C$66,0,IF($B12=Analysis!$C$66,PMT(AU12,AQ12,AP12)*AQ12-AX12-AT12,IF(($B12-Analysis!$C$66+1)&lt;LOOKUP(Analysis!$C$66,$B:$B,AQ:AQ),IF(AW11-AV12&lt;0, AW11-AV12,0),0)))</f>
        <v>-208893.62439665649</v>
      </c>
      <c r="AX12" s="1">
        <f>IF($B12&lt;Analysis!$C$66,0,IF($B12=Analysis!$C$66,AS12+AV12,IF(AT11&lt;0,IF(AT11&gt;LOOKUP(Analysis!$C$66,$B:$B,AX:AX), AT11*(1+AU11),AX11),0)))</f>
        <v>-44682.845200000011</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-2766.0601411479884</v>
      </c>
      <c r="BF12" s="64">
        <f>IF($B12&lt;Analysis!$C$66,0,Analysis!$C$78)</f>
        <v>3.0000000000000001E-3</v>
      </c>
      <c r="BG12" s="1">
        <f>IF($B12&lt;Analysis!$C$66,0,-BH12*AN12)</f>
        <v>-6915.1503528699704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-117557.5559987895</v>
      </c>
      <c r="BS12" s="64">
        <f>IF($B12&lt;Analysis!C$66,0,Analysis!C$31)</f>
        <v>0.1275</v>
      </c>
      <c r="BT12" s="1">
        <f>IF($B12&lt;Analysis!$C$66,0,AN12+BR12)</f>
        <v>804462.49105053989</v>
      </c>
      <c r="BU12" s="1">
        <f>IF($B12-Analysis!$C$66&gt;3,0,IF($AN12&gt;LOOKUP(Analysis!$C$66,$B:$B, AN:AN),$V12*(LOOKUP(Analysis!$C$66,$B:$B, AN:AN)-AN12),0))</f>
        <v>0</v>
      </c>
      <c r="BV12" s="1">
        <f t="shared" si="23"/>
        <v>804462.49105053989</v>
      </c>
      <c r="BW12" s="42"/>
      <c r="BX12" s="1">
        <f>IF($B12&lt;Analysis!$C$66,$P12+$N12+$X12+$Z12,$P12+$N12+AS12+AV12+BB12+BE12+BG12+MAX(BI12,SUM(BJ12:BN12))+BP12)</f>
        <v>-116724.05569401797</v>
      </c>
      <c r="BY12" s="1">
        <f t="shared" si="24"/>
        <v>117817.77193084449</v>
      </c>
      <c r="BZ12" s="1">
        <f t="shared" si="46"/>
        <v>1093.7162368265272</v>
      </c>
      <c r="CA12" s="1">
        <f>IF(BZ12 &lt; 0,
    IF(CA11 + BZ12 &gt; 0,
        CA11 + BZ12, IF(CF11-ABS(CA11 + BZ12)*(1+$V12) &gt;= CA11 + BZ12,
        0, CA11 + BZ12)),
    MIN(CA11 + BZ12, Analysis!$C$7))+IF(CA11&lt;0, CA11*Analysis!$C$9,0)</f>
        <v>-267320.05855237052</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26"/>
        <v>554548.28916735016</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-11951.625771015009</v>
      </c>
      <c r="CQ12" s="1">
        <f>IF(OR($B12&lt;Analysis!$C$100, $B12&gt;=Analysis!$C$101),0,IF($B12=Analysis!$C$100,-CM12-CP12,MIN(0,CQ11-CP12)))</f>
        <v>-280214.41992684518</v>
      </c>
      <c r="CR12" s="64">
        <f>IF(OR($B12&lt;Analysis!$C$100, $B12&gt;=Analysis!$C$101),0,IF($B12=Analysis!$C$100,Analysis!$C$102,IF(($B12-Analysis!$C$100)&lt;LOOKUP(Analysis!$C$100,$B:$B,CN:CN),CR11,0)))</f>
        <v>4.4399999999999995E-2</v>
      </c>
      <c r="CS12" s="1">
        <f>IF(OR($B12&lt;Analysis!$C$100, $B12&gt;=Analysis!$C$101),0,IF($B12=Analysis!$C$100,-CR12*CM12,CR11*CQ11))</f>
        <v>-12972.172428984992</v>
      </c>
      <c r="CT12" s="1">
        <f>IF(OR($B12&lt;Analysis!$C$100, $B12&gt;=Analysis!$C$101),0,IF($B12=Analysis!$C$100,PMT(CR12,CN12,CM12)*CN12-CU12-CQ12,IF(($B12-Analysis!$C$100+1)&lt;LOOKUP(Analysis!$C$100,$B:$B,CN:CN),IF(CT11-CS12&lt;0, CT11-CS12,0),0)))</f>
        <v>-116519.49459406546</v>
      </c>
      <c r="CU12" s="1">
        <f>IF(OR($B12&lt;Analysis!$C$100, $B12&gt;=Analysis!$C$101),0,IF($B12=Analysis!$C$100,CP12+CS12,IF(CQ11&lt;0,IF(CQ11&gt;LOOKUP(Analysis!$C$100,$B:$B,CU:CU), CQ11*(1+CR11),CU11),0)))</f>
        <v>-24923.798200000001</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24144.221464753799</v>
      </c>
      <c r="DE12" s="1">
        <f t="shared" si="27"/>
        <v>-1663.6448675020506</v>
      </c>
      <c r="DF12" s="64">
        <f>IF(OR($B12&lt;Analysis!$C$100, $B12&gt;=Analysis!$C$101),0,Analysis!$C$118)</f>
        <v>3.0000000000000001E-3</v>
      </c>
      <c r="DG12" s="1">
        <f t="shared" si="28"/>
        <v>-4159.1121687551258</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-8300</v>
      </c>
      <c r="DQ12" s="1">
        <f>-Analysis!$C$117*DB12</f>
        <v>-1389.0432447938811</v>
      </c>
      <c r="DR12" s="1">
        <f t="shared" si="29"/>
        <v>-19471.800281051059</v>
      </c>
      <c r="DS12" s="1">
        <f>MIN(0,-(DB12+DR12)*Analysis!$C$28)-CS12*Analysis!$C$28</f>
        <v>5747.9696032832489</v>
      </c>
      <c r="DT12" s="1">
        <f>-Analysis!$C$116*DD12/12</f>
        <v>-2012.0184553961499</v>
      </c>
      <c r="DU12" s="53"/>
      <c r="DV12" s="1">
        <f t="shared" si="30"/>
        <v>-70704.906868837148</v>
      </c>
      <c r="DW12" s="64">
        <f>IF(OR($B12&lt;Analysis!$C$100, $B12&gt;=Analysis!$C$101),0,IF($B12=Analysis!$C$100,Analysis!$C$31,DW11))</f>
        <v>0.1275</v>
      </c>
      <c r="DX12" s="1">
        <f>IF(OR($B12&lt;Analysis!$C$100, $B12&gt;=Analysis!$C$101),0,CK12+DV12)</f>
        <v>483843.38229851302</v>
      </c>
      <c r="DY12" s="1">
        <f>IF(OR($B12&lt;Analysis!$C$100, $B12&gt;=Analysis!$C$101),0,IF($B12-Analysis!$C$100&gt;3,0,IF(CK12&gt;LOOKUP(Analysis!$C$100,$B:$B, CK:CK),$V12*(LOOKUP(Analysis!$C$100,$B:$B, CK:CK)-CK12),0)))</f>
        <v>0</v>
      </c>
      <c r="DZ12" s="1">
        <f t="shared" si="49"/>
        <v>483843.38229851302</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IF($B12&lt;Analysis!$C$130,0,IF($B12=Analysis!$C$130,Analysis!$D$136,IF(($B12-Analysis!$C$130)&lt;LOOKUP(Analysis!$C$130,$B:$B,EE:EE),EI11,0)))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-115886.02058716596</v>
      </c>
      <c r="FM12" s="1">
        <f>$M12+$R12+DD12+IF(AND($B12&lt;&gt;Analysis!$C$130,$B12=Analysis!$C$101),DZ11+CQ11+CT11+CZ11,0)</f>
        <v>141961.99339559829</v>
      </c>
      <c r="FN12" s="1">
        <f t="shared" si="34"/>
        <v>26075.972808432329</v>
      </c>
      <c r="FO12" s="1">
        <f>IF(FN12 &lt; 0,
    IF(FO11 + FN12 &gt; 0,
        FO11 + FN12, IF(FT11-ABS(FO11 + FN12)*(1+$V12) &gt;= FO11 + FN12,
        0, FO11 + FN12)),
    MIN(FO11 + FN12, Analysis!$C$7))+IF(FO11&lt;0, FO11*Analysis!$C$9,0)</f>
        <v>24000</v>
      </c>
      <c r="FP12" s="53"/>
      <c r="FQ12" s="1">
        <f t="shared" si="51"/>
        <v>5345.5284763472091</v>
      </c>
      <c r="FR12" s="1">
        <f>IF(OR($B12=Analysis!$C$100, $B12=Analysis!$C$130),0,IF(FN12 &gt;= 0,
    MAX(0, FO11 + FN12 - Analysis!$C$7),
    0))</f>
        <v>26075.972808432329</v>
      </c>
      <c r="FS12" s="1">
        <f>IF(OR($B12=Analysis!$C$100, $B12=Analysis!$C$130),0,MAX(0, FS11 + FR12 - IF(FN12 &lt; 0, MIN(ABS(FN12), FS11 + FR12), 0)))</f>
        <v>103230.30875225416</v>
      </c>
      <c r="FT12" s="1">
        <f>IF(OR($B12=Analysis!$C$100, $B12=Analysis!$C$130),0,IF(FN12 &lt; 0,
    IF(FN12 + FO11 &lt; 0,
        MAX(0, FT11 - (ABS(FN12 + FO11) * (1+$V11))),
        FT11 + FQ12),
    FT11 + FR12 + FQ12))</f>
        <v>118640.59022700749</v>
      </c>
      <c r="FU12" s="1">
        <f>IF(FT12-FS12&gt;0, FT12-$V12*(FT12-FS12),FT12)</f>
        <v>114576.1284880413</v>
      </c>
      <c r="FV12" s="36"/>
      <c r="FW12" s="1">
        <f t="shared" si="52"/>
        <v>554548.28916735016</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-11951.625771015009</v>
      </c>
      <c r="GC12" s="1">
        <f>IF($B12&lt;Analysis!$C$159,0,IF($B12=Analysis!$C$159,-FY12-GB12,MIN(0,GC11-GB12)))</f>
        <v>-280214.41992684518</v>
      </c>
      <c r="GD12" s="64">
        <f>IF($B12&lt;Analysis!$C$159,0,IF($B12=Analysis!$C$159,Analysis!$C$160,IF(($B12-Analysis!$C$159)&lt;LOOKUP(Analysis!$C$159,$B:$B,FZ:FZ),GD11,0)))</f>
        <v>4.4399999999999995E-2</v>
      </c>
      <c r="GE12" s="1">
        <f>IF($B12&lt;Analysis!$C$159,0,IF($B12=Analysis!$C$159,-GD12*FY12,GD11*GC11))</f>
        <v>-12972.172428984992</v>
      </c>
      <c r="GF12" s="1">
        <f>IF($B12&lt;Analysis!$C$159,0,IF($B12=Analysis!$C$159,PMT(GD12,FZ12,FY12)*FZ12-GG12-GC12,IF(($B12-Analysis!$C$159+1)&lt;LOOKUP(Analysis!$C$159,$B:$B,FZ:FZ),IF(GF11-GE12&lt;0, GF11-GE12,0),0)))</f>
        <v>-116519.49459406546</v>
      </c>
      <c r="GG12" s="1">
        <f>IF($B12&lt;Analysis!$C$159,0,IF($B12=Analysis!$C$159,GB12+GE12,IF(GC11&lt;0,IF(GC11&gt;LOOKUP(Analysis!$C$159,$B:$B,GG:GG), GC11*(1+GD11),GG11),0)))</f>
        <v>-24923.798200000001</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24144.221464753799</v>
      </c>
      <c r="GQ12" s="1">
        <f t="shared" si="36"/>
        <v>-1663.6448675020506</v>
      </c>
      <c r="GR12" s="64">
        <f>IF($B12&lt;Analysis!$C$159,0,Analysis!$C$178)</f>
        <v>3.0000000000000001E-3</v>
      </c>
      <c r="GS12" s="1">
        <f t="shared" si="37"/>
        <v>-4159.1121687551258</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-8300</v>
      </c>
      <c r="HC12" s="1">
        <f>-Analysis!$C$177*GN12</f>
        <v>-1389.0432447938811</v>
      </c>
      <c r="HD12" s="1">
        <f t="shared" si="38"/>
        <v>-19471.800281051059</v>
      </c>
      <c r="HE12" s="1">
        <f>MIN(0,-(GN12+HD12)*Analysis!$C$28)-GE12*Analysis!$C$28</f>
        <v>5747.9696032832489</v>
      </c>
      <c r="HF12" s="1">
        <f>-Analysis!$C$176*GP12/12</f>
        <v>-2012.0184553961499</v>
      </c>
      <c r="HG12" s="38"/>
      <c r="HH12" s="1">
        <f>IF($B12&lt;Analysis!$C$159,0,-$HI12*$FW12)</f>
        <v>-70704.906868837148</v>
      </c>
      <c r="HI12" s="64">
        <f>IF($B12&lt;Analysis!$C$159,0,IF($B12=Analysis!$C$159,Analysis!$C$31,HI11))</f>
        <v>0.1275</v>
      </c>
      <c r="HJ12" s="1">
        <f>IF($B12&lt;Analysis!$C$159,0,$FW12+HH12)</f>
        <v>483843.38229851302</v>
      </c>
      <c r="HK12" s="1">
        <f>IF($B12-Analysis!$C$159&gt;10,0,IF($FW12&gt;LOOKUP(Analysis!$C$159,$B:$B, FW:FW),$V12*(LOOKUP(Analysis!$C$159,$B:$B, FW:FW)-FW12),0))</f>
        <v>-36805.861267888606</v>
      </c>
      <c r="HL12" s="1">
        <f t="shared" si="39"/>
        <v>447037.5210306244</v>
      </c>
      <c r="HM12" s="38"/>
      <c r="HN12" s="1">
        <f t="shared" si="40"/>
        <v>-115886.02058716596</v>
      </c>
      <c r="HO12" s="1">
        <f t="shared" si="8"/>
        <v>141961.99339559829</v>
      </c>
      <c r="HP12" s="1">
        <f t="shared" si="41"/>
        <v>26075.972808432329</v>
      </c>
      <c r="HQ12" s="1">
        <f>IF(HP12 &lt; 0,
    IF(HQ11 + HP12 &gt; 0,
        HQ11 + HP12, IF(HV11-ABS(HQ11 + HP12)*(1+$V12) &gt;= HQ11 + HP12,
        0, HQ11 + HP12)),
    MIN(HQ11 + HP12, Analysis!$C$7))+IF(HQ11&lt;0, HQ11*Analysis!$C$9,0)</f>
        <v>24000</v>
      </c>
      <c r="HR12" s="38"/>
      <c r="HS12" s="1">
        <f t="shared" si="54"/>
        <v>5345.5284763472091</v>
      </c>
      <c r="HT12" s="1">
        <f>IF($B12=Analysis!$C$159,0,IF(HP12 &gt;= 0,
    MAX(0, HQ11 + HP12 - Analysis!$C$7),
    0))</f>
        <v>26075.972808432329</v>
      </c>
      <c r="HU12" s="1">
        <f>IF($B12=Analysis!$C$159,0,MAX(0, HU11 + HT12 - IF(HP12 &lt; 0, MIN(ABS(HP12), HU11 + HT12), 0)))</f>
        <v>103230.30875225416</v>
      </c>
      <c r="HV12" s="1">
        <f>IF($B12=Analysis!$C$159,0,IF(HP12 &lt; 0,
    IF(HP12 + HQ11 &lt; 0,
        MAX(0, HV11 - (ABS(HP12 + HQ11) * (1+$V11))),
        HV11 + HS12),
    HV11 + HT12 + HS12))</f>
        <v>118640.59022700749</v>
      </c>
      <c r="HW12" s="1">
        <f>IF(HV12-HU12&gt;0, HV12-$V12*(HV12-HU12),HV12)</f>
        <v>114576.1284880413</v>
      </c>
      <c r="HX12" s="36"/>
    </row>
    <row r="13" spans="1:232" x14ac:dyDescent="0.35">
      <c r="A13">
        <f t="shared" si="0"/>
        <v>46</v>
      </c>
      <c r="B13">
        <v>2036</v>
      </c>
      <c r="C13" s="1">
        <f>IF($B13&lt;Analysis!C$66,0,$AN13)+$AT13+$AW13+$BC13+$CF13+$CA13</f>
        <v>-7637.6772238455596</v>
      </c>
      <c r="D13" s="1">
        <f>IF($B13&lt;Analysis!C$66, 0, BV13)+AT13+AW13+BC13+CG13+CA13</f>
        <v>-128652.80839907011</v>
      </c>
      <c r="E13" s="1">
        <f t="shared" si="1"/>
        <v>473889.44147897937</v>
      </c>
      <c r="F13" s="1">
        <f t="shared" si="9"/>
        <v>439193.90837324585</v>
      </c>
      <c r="G13" s="1">
        <f>IF(AND($B13&gt;=Analysis!$C$100, $B13&lt;Analysis!$C$101),$CK13,0)+IF($B13&gt;=Analysis!$C$130,EB13,0)+CQ13+CT13+CZ13+EH13+EK13+EQ13+$FO13+$FT13</f>
        <v>372001.14499395556</v>
      </c>
      <c r="H13" s="1">
        <f t="shared" si="10"/>
        <v>293288.05593415548</v>
      </c>
      <c r="I13" s="1">
        <f>IF($B13&lt;Analysis!$C$159,0,$FW13)+$GC13+$GF13+$GL13+$HQ13+$HV13</f>
        <v>372001.14499395556</v>
      </c>
      <c r="J13" s="1">
        <f t="shared" si="2"/>
        <v>293288.05593415548</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23531.534950542798</v>
      </c>
      <c r="AI13" s="1">
        <f>IF(AE13 &gt;= 0,
    MAX(0, AF12 + AE13 - Analysis!$C$7),
    0)</f>
        <v>31362.70353126945</v>
      </c>
      <c r="AJ13" s="1">
        <f t="shared" si="44"/>
        <v>318342.39652833098</v>
      </c>
      <c r="AK13" s="1">
        <f t="shared" si="20"/>
        <v>449889.44147897937</v>
      </c>
      <c r="AL13" s="1">
        <f t="shared" si="5"/>
        <v>415193.90837324585</v>
      </c>
      <c r="AM13" s="36"/>
      <c r="AN13" s="1">
        <f t="shared" si="45"/>
        <v>949138.28372725099</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-22377.957369985572</v>
      </c>
      <c r="AT13" s="1">
        <f>IF($B13&lt;Analysis!$C$66,0,IF($B13=Analysis!$C$66,-AP13-AS13,MIN(0,AT12-AS13)))</f>
        <v>-479984.38114385318</v>
      </c>
      <c r="AU13" s="64">
        <f>IF($B13&lt;Analysis!$C$66,0,IF($B13=Analysis!$C$66,Analysis!$C$72,IF(($B13-Analysis!$C$66)&lt;LOOKUP(Analysis!$C$66,$B:$B,AQ:AQ),AU12,0)))</f>
        <v>4.4399999999999995E-2</v>
      </c>
      <c r="AV13" s="1">
        <f>IF($B13&lt;Analysis!$C$66,0,IF($B13=Analysis!$C$66,-AU13*AP13,AU12*AT12))</f>
        <v>-22304.887830014439</v>
      </c>
      <c r="AW13" s="1">
        <f>IF($B13&lt;Analysis!$C$66,0,IF($B13=Analysis!$C$66,PMT(AU13,AQ13,AP13)*AQ13-AX13-AT13,IF(($B13-Analysis!$C$66+1)&lt;LOOKUP(Analysis!$C$66,$B:$B,AQ:AQ),IF(AW12-AV13&lt;0, AW12-AV13,0),0)))</f>
        <v>-186588.73656664207</v>
      </c>
      <c r="AX13" s="1">
        <f>IF($B13&lt;Analysis!$C$66,0,IF($B13=Analysis!$C$66,AS13+AV13,IF(AT12&lt;0,IF(AT12&gt;LOOKUP(Analysis!$C$66,$B:$B,AX:AX), AT12*(1+AU12),AX12),0)))</f>
        <v>-44682.845200000011</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-2847.414851181753</v>
      </c>
      <c r="BF13" s="64">
        <f>IF($B13&lt;Analysis!$C$66,0,Analysis!$C$78)</f>
        <v>3.0000000000000001E-3</v>
      </c>
      <c r="BG13" s="1">
        <f>IF($B13&lt;Analysis!$C$66,0,-BH13*AN13)</f>
        <v>-7118.5371279543824</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-121015.13117522451</v>
      </c>
      <c r="BS13" s="64">
        <f>IF($B13&lt;Analysis!C$66,0,Analysis!C$31)</f>
        <v>0.1275</v>
      </c>
      <c r="BT13" s="1">
        <f>IF($B13&lt;Analysis!$C$66,0,AN13+BR13)</f>
        <v>828123.15255202644</v>
      </c>
      <c r="BU13" s="1">
        <f>IF($B13-Analysis!$C$66&gt;3,0,IF($AN13&gt;LOOKUP(Analysis!$C$66,$B:$B, AN:AN),$V13*(LOOKUP(Analysis!$C$66,$B:$B, AN:AN)-AN13),0))</f>
        <v>0</v>
      </c>
      <c r="BV13" s="1">
        <f t="shared" si="23"/>
        <v>828123.15255202644</v>
      </c>
      <c r="BW13" s="42"/>
      <c r="BX13" s="1">
        <f>IF($B13&lt;Analysis!$C$66,$P13+$N13+$X13+$Z13,$P13+$N13+AS13+AV13+BB13+BE13+BG13+MAX(BI13,SUM(BJ13:BN13))+BP13)</f>
        <v>-120758.79717913613</v>
      </c>
      <c r="BY13" s="1">
        <f t="shared" si="24"/>
        <v>119261.61717509503</v>
      </c>
      <c r="BZ13" s="1">
        <f t="shared" si="46"/>
        <v>-1497.1800040411035</v>
      </c>
      <c r="CA13" s="1">
        <f>IF(BZ13 &lt; 0,
    IF(CA12 + BZ13 &gt; 0,
        CA12 + BZ13, IF(CF12-ABS(CA12 + BZ13)*(1+$V13) &gt;= CA12 + BZ13,
        0, CA12 + BZ13)),
    MIN(CA12 + BZ13, Analysis!$C$7))+IF(CA12&lt;0, CA12*Analysis!$C$9,0)</f>
        <v>-290202.8432406013</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-21788.913643825585</v>
      </c>
      <c r="CJ13" s="1">
        <f>IF(OR($B13&lt;Analysis!$C$100, $B13&gt;=Analysis!$C$130),0,Z13)</f>
        <v>-3960</v>
      </c>
      <c r="CK13" s="1">
        <f t="shared" si="26"/>
        <v>570858.5329663899</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-12482.277955248077</v>
      </c>
      <c r="CQ13" s="1">
        <f>IF(OR($B13&lt;Analysis!$C$100, $B13&gt;=Analysis!$C$101),0,IF($B13=Analysis!$C$100,-CM13-CP13,MIN(0,CQ12-CP13)))</f>
        <v>-267732.1419715971</v>
      </c>
      <c r="CR13" s="64">
        <f>IF(OR($B13&lt;Analysis!$C$100, $B13&gt;=Analysis!$C$101),0,IF($B13=Analysis!$C$100,Analysis!$C$102,IF(($B13-Analysis!$C$100)&lt;LOOKUP(Analysis!$C$100,$B:$B,CN:CN),CR12,0)))</f>
        <v>4.4399999999999995E-2</v>
      </c>
      <c r="CS13" s="1">
        <f>IF(OR($B13&lt;Analysis!$C$100, $B13&gt;=Analysis!$C$101),0,IF($B13=Analysis!$C$100,-CR13*CM13,CR12*CQ12))</f>
        <v>-12441.520244751924</v>
      </c>
      <c r="CT13" s="1">
        <f>IF(OR($B13&lt;Analysis!$C$100, $B13&gt;=Analysis!$C$101),0,IF($B13=Analysis!$C$100,PMT(CR13,CN13,CM13)*CN13-CU13-CQ13,IF(($B13-Analysis!$C$100+1)&lt;LOOKUP(Analysis!$C$100,$B:$B,CN:CN),IF(CT12-CS13&lt;0, CT12-CS13,0),0)))</f>
        <v>-104077.97434931353</v>
      </c>
      <c r="CU13" s="1">
        <f>IF(OR($B13&lt;Analysis!$C$100, $B13&gt;=Analysis!$C$101),0,IF($B13=Analysis!$C$100,CP13+CS13,IF(CQ12&lt;0,IF(CQ12&gt;LOOKUP(Analysis!$C$100,$B:$B,CU:CU), CQ12*(1+CR12),CU12),0)))</f>
        <v>-24923.798200000001</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24737.875037246558</v>
      </c>
      <c r="DE13" s="1">
        <f t="shared" si="27"/>
        <v>-1712.5755988991698</v>
      </c>
      <c r="DF13" s="64">
        <f>IF(OR($B13&lt;Analysis!$C$100, $B13&gt;=Analysis!$C$101),0,Analysis!$C$118)</f>
        <v>3.0000000000000001E-3</v>
      </c>
      <c r="DG13" s="1">
        <f t="shared" si="28"/>
        <v>-4281.4389972479239</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-8300</v>
      </c>
      <c r="DQ13" s="1">
        <f>-Analysis!$C$117*DB13</f>
        <v>-1429.8974578760542</v>
      </c>
      <c r="DR13" s="1">
        <f t="shared" si="29"/>
        <v>-19683.912054023145</v>
      </c>
      <c r="DS13" s="1">
        <f>MIN(0,-(DB13+DR13)*Analysis!$C$28)-CS13*Analysis!$C$28</f>
        <v>5512.8376204495771</v>
      </c>
      <c r="DT13" s="1">
        <f>-Analysis!$C$116*DD13/12</f>
        <v>-2061.4895864372133</v>
      </c>
      <c r="DU13" s="53"/>
      <c r="DV13" s="1">
        <f t="shared" si="30"/>
        <v>-72784.462953214708</v>
      </c>
      <c r="DW13" s="64">
        <f>IF(OR($B13&lt;Analysis!$C$100, $B13&gt;=Analysis!$C$101),0,IF($B13=Analysis!$C$100,Analysis!$C$31,DW12))</f>
        <v>0.1275</v>
      </c>
      <c r="DX13" s="1">
        <f>IF(OR($B13&lt;Analysis!$C$100, $B13&gt;=Analysis!$C$101),0,CK13+DV13)</f>
        <v>498074.07001317519</v>
      </c>
      <c r="DY13" s="1">
        <f>IF(OR($B13&lt;Analysis!$C$100, $B13&gt;=Analysis!$C$101),0,IF($B13-Analysis!$C$100&gt;3,0,IF(CK13&gt;LOOKUP(Analysis!$C$100,$B:$B, CK:CK),$V13*(LOOKUP(Analysis!$C$100,$B:$B, CK:CK)-CK13),0)))</f>
        <v>0</v>
      </c>
      <c r="DZ13" s="1">
        <f t="shared" si="49"/>
        <v>498074.07001317519</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IF($B13&lt;Analysis!$C$130,0,IF($B13=Analysis!$C$130,Analysis!$D$136,IF(($B13-Analysis!$C$130)&lt;LOOKUP(Analysis!$C$130,$B:$B,EE:EE),EI12,0)))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-120755.27586383637</v>
      </c>
      <c r="FM13" s="1">
        <f>$M13+$R13+DD13+IF(AND($B13&lt;&gt;Analysis!$C$130,$B13=Analysis!$C$101),DZ12+CQ12+CT12+CZ12,0)</f>
        <v>143999.49221234157</v>
      </c>
      <c r="FN13" s="1">
        <f t="shared" si="34"/>
        <v>23244.216348505201</v>
      </c>
      <c r="FO13" s="1">
        <f>IF(FN13 &lt; 0,
    IF(FO12 + FN13 &gt; 0,
        FO12 + FN13, IF(FT12-ABS(FO12 + FN13)*(1+$V13) &gt;= FO12 + FN13,
        0, FO12 + FN13)),
    MIN(FO12 + FN13, Analysis!$C$7))+IF(FO12&lt;0, FO12*Analysis!$C$9,0)</f>
        <v>24000</v>
      </c>
      <c r="FP13" s="53"/>
      <c r="FQ13" s="1">
        <f t="shared" si="51"/>
        <v>7067.9217729635957</v>
      </c>
      <c r="FR13" s="1">
        <f>IF(OR($B13=Analysis!$C$100, $B13=Analysis!$C$130),0,IF(FN13 &gt;= 0,
    MAX(0, FO12 + FN13 - Analysis!$C$7),
    0))</f>
        <v>23244.216348505201</v>
      </c>
      <c r="FS13" s="1">
        <f>IF(OR($B13=Analysis!$C$100, $B13=Analysis!$C$130),0,MAX(0, FS12 + FR13 - IF(FN13 &lt; 0, MIN(ABS(FN13), FS12 + FR13), 0)))</f>
        <v>126474.52510075936</v>
      </c>
      <c r="FT13" s="1">
        <f>IF(OR($B13=Analysis!$C$100, $B13=Analysis!$C$130),0,IF(FN13 &lt; 0,
    IF(FN13 + FO12 &lt; 0,
        MAX(0, FT12 - (ABS(FN13 + FO12) * (1+$V12))),
        FT12 + FQ13),
    FT12 + FR13 + FQ13))</f>
        <v>148952.72834847629</v>
      </c>
      <c r="FU13" s="1">
        <f t="shared" ref="FU13:FU16" si="55">IF(FT13-FS13&gt;0, FT13-$V13*(FT13-FS13),FT13)</f>
        <v>143024.10224189094</v>
      </c>
      <c r="FV13" s="36"/>
      <c r="FW13" s="1">
        <f t="shared" si="52"/>
        <v>570858.5329663899</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-12482.277955248077</v>
      </c>
      <c r="GC13" s="1">
        <f>IF($B13&lt;Analysis!$C$159,0,IF($B13=Analysis!$C$159,-FY13-GB13,MIN(0,GC12-GB13)))</f>
        <v>-267732.1419715971</v>
      </c>
      <c r="GD13" s="64">
        <f>IF($B13&lt;Analysis!$C$159,0,IF($B13=Analysis!$C$159,Analysis!$C$160,IF(($B13-Analysis!$C$159)&lt;LOOKUP(Analysis!$C$159,$B:$B,FZ:FZ),GD12,0)))</f>
        <v>4.4399999999999995E-2</v>
      </c>
      <c r="GE13" s="1">
        <f>IF($B13&lt;Analysis!$C$159,0,IF($B13=Analysis!$C$159,-GD13*FY13,GD12*GC12))</f>
        <v>-12441.520244751924</v>
      </c>
      <c r="GF13" s="1">
        <f>IF($B13&lt;Analysis!$C$159,0,IF($B13=Analysis!$C$159,PMT(GD13,FZ13,FY13)*FZ13-GG13-GC13,IF(($B13-Analysis!$C$159+1)&lt;LOOKUP(Analysis!$C$159,$B:$B,FZ:FZ),IF(GF12-GE13&lt;0, GF12-GE13,0),0)))</f>
        <v>-104077.97434931353</v>
      </c>
      <c r="GG13" s="1">
        <f>IF($B13&lt;Analysis!$C$159,0,IF($B13=Analysis!$C$159,GB13+GE13,IF(GC12&lt;0,IF(GC12&gt;LOOKUP(Analysis!$C$159,$B:$B,GG:GG), GC12*(1+GD12),GG12),0)))</f>
        <v>-24923.798200000001</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24737.875037246558</v>
      </c>
      <c r="GQ13" s="1">
        <f t="shared" si="36"/>
        <v>-1712.5755988991698</v>
      </c>
      <c r="GR13" s="64">
        <f>IF($B13&lt;Analysis!$C$159,0,Analysis!$C$178)</f>
        <v>3.0000000000000001E-3</v>
      </c>
      <c r="GS13" s="1">
        <f t="shared" si="37"/>
        <v>-4281.4389972479239</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-8300</v>
      </c>
      <c r="HC13" s="1">
        <f>-Analysis!$C$177*GN13</f>
        <v>-1429.8974578760542</v>
      </c>
      <c r="HD13" s="1">
        <f t="shared" si="38"/>
        <v>-19683.912054023145</v>
      </c>
      <c r="HE13" s="1">
        <f>MIN(0,-(GN13+HD13)*Analysis!$C$28)-GE13*Analysis!$C$28</f>
        <v>5512.8376204495771</v>
      </c>
      <c r="HF13" s="1">
        <f>-Analysis!$C$176*GP13/12</f>
        <v>-2061.4895864372133</v>
      </c>
      <c r="HG13" s="38"/>
      <c r="HH13" s="1">
        <f>IF($B13&lt;Analysis!$C$159,0,-$HI13*$FW13)</f>
        <v>-72784.462953214708</v>
      </c>
      <c r="HI13" s="64">
        <f>IF($B13&lt;Analysis!$C$159,0,IF($B13=Analysis!$C$159,Analysis!$C$31,HI12))</f>
        <v>0.1275</v>
      </c>
      <c r="HJ13" s="1">
        <f>IF($B13&lt;Analysis!$C$159,0,$FW13+HH13)</f>
        <v>498074.07001317519</v>
      </c>
      <c r="HK13" s="1">
        <f>IF($B13-Analysis!$C$159&gt;10,0,IF($FW13&gt;LOOKUP(Analysis!$C$159,$B:$B, FW:FW),$V13*(LOOKUP(Analysis!$C$159,$B:$B, FW:FW)-FW13),0))</f>
        <v>0</v>
      </c>
      <c r="HL13" s="1">
        <f t="shared" si="39"/>
        <v>498074.07001317519</v>
      </c>
      <c r="HM13" s="38"/>
      <c r="HN13" s="1">
        <f t="shared" si="40"/>
        <v>-120755.27586383637</v>
      </c>
      <c r="HO13" s="1">
        <f t="shared" si="8"/>
        <v>143999.49221234157</v>
      </c>
      <c r="HP13" s="1">
        <f t="shared" si="41"/>
        <v>23244.216348505201</v>
      </c>
      <c r="HQ13" s="1">
        <f>IF(HP13 &lt; 0,
    IF(HQ12 + HP13 &gt; 0,
        HQ12 + HP13, IF(HV12-ABS(HQ12 + HP13)*(1+$V13) &gt;= HQ12 + HP13,
        0, HQ12 + HP13)),
    MIN(HQ12 + HP13, Analysis!$C$7))+IF(HQ12&lt;0, HQ12*Analysis!$C$9,0)</f>
        <v>24000</v>
      </c>
      <c r="HR13" s="38"/>
      <c r="HS13" s="1">
        <f t="shared" si="54"/>
        <v>7067.9217729635957</v>
      </c>
      <c r="HT13" s="1">
        <f>IF($B13=Analysis!$C$159,0,IF(HP13 &gt;= 0,
    MAX(0, HQ12 + HP13 - Analysis!$C$7),
    0))</f>
        <v>23244.216348505201</v>
      </c>
      <c r="HU13" s="1">
        <f>IF($B13=Analysis!$C$159,0,MAX(0, HU12 + HT13 - IF(HP13 &lt; 0, MIN(ABS(HP13), HU12 + HT13), 0)))</f>
        <v>126474.52510075936</v>
      </c>
      <c r="HV13" s="1">
        <f>IF($B13=Analysis!$C$159,0,IF(HP13 &lt; 0,
    IF(HP13 + HQ12 &lt; 0,
        MAX(0, HV12 - (ABS(HP13 + HQ12) * (1+$V12))),
        HV12 + HS13),
    HV12 + HT13 + HS13))</f>
        <v>148952.72834847629</v>
      </c>
      <c r="HW13" s="1">
        <f t="shared" ref="HW13:HW16" si="56">IF(HV13-HU13&gt;0, HV13-$V13*(HV13-HU13),HV13)</f>
        <v>143024.10224189094</v>
      </c>
      <c r="HX13" s="36"/>
    </row>
    <row r="14" spans="1:232" x14ac:dyDescent="0.35">
      <c r="A14">
        <f t="shared" si="0"/>
        <v>47</v>
      </c>
      <c r="B14">
        <v>2037</v>
      </c>
      <c r="C14" s="1">
        <f>IF($B14&lt;Analysis!C$66,0,$AN14)+$AT14+$AW14+$BC14+$CF14+$CA14</f>
        <v>41416.015578681137</v>
      </c>
      <c r="D14" s="1">
        <f>IF($B14&lt;Analysis!C$66, 0, BV14)+AT14+AW14+BC14+CG14+CA14</f>
        <v>-83158.384160520509</v>
      </c>
      <c r="E14" s="1">
        <f t="shared" si="1"/>
        <v>532103.4119152088</v>
      </c>
      <c r="F14" s="1">
        <f t="shared" si="9"/>
        <v>490542.31389360322</v>
      </c>
      <c r="G14" s="1">
        <f>IF(AND($B14&gt;=Analysis!$C$100, $B14&lt;Analysis!$C$101),$CK14,0)+IF($B14&gt;=Analysis!$C$130,EB14,0)+CQ14+CT14+CZ14+EH14+EK14+EQ14+$FO14+$FT14</f>
        <v>446494.46754681721</v>
      </c>
      <c r="H14" s="1">
        <f t="shared" si="10"/>
        <v>363367.55690688884</v>
      </c>
      <c r="I14" s="1">
        <f>IF($B14&lt;Analysis!$C$159,0,$FW14)+$GC14+$GF14+$GL14+$HQ14+$HV14</f>
        <v>446494.46754681721</v>
      </c>
      <c r="J14" s="1">
        <f t="shared" si="2"/>
        <v>363367.55690688884</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26030.577880083558</v>
      </c>
      <c r="AI14" s="1">
        <f>IF(AE14 &gt;= 0,
    MAX(0, AF13 + AE14 - Analysis!$C$7),
    0)</f>
        <v>32183.392556145831</v>
      </c>
      <c r="AJ14" s="1">
        <f t="shared" si="44"/>
        <v>350525.78908447683</v>
      </c>
      <c r="AK14" s="1">
        <f t="shared" si="20"/>
        <v>508103.4119152088</v>
      </c>
      <c r="AL14" s="1">
        <f t="shared" si="5"/>
        <v>466542.31389360322</v>
      </c>
      <c r="AM14" s="36"/>
      <c r="AN14" s="1">
        <f t="shared" si="45"/>
        <v>977054.11560158199</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-23371.538677212931</v>
      </c>
      <c r="AT14" s="1">
        <f>IF($B14&lt;Analysis!$C$66,0,IF($B14=Analysis!$C$66,-AP14-AS14,MIN(0,AT13-AS14)))</f>
        <v>-456612.84246664023</v>
      </c>
      <c r="AU14" s="64">
        <f>IF($B14&lt;Analysis!$C$66,0,IF($B14=Analysis!$C$66,Analysis!$C$72,IF(($B14-Analysis!$C$66)&lt;LOOKUP(Analysis!$C$66,$B:$B,AQ:AQ),AU13,0)))</f>
        <v>4.4399999999999995E-2</v>
      </c>
      <c r="AV14" s="1">
        <f>IF($B14&lt;Analysis!$C$66,0,IF($B14=Analysis!$C$66,-AU14*AP14,AU13*AT13))</f>
        <v>-21311.306522787079</v>
      </c>
      <c r="AW14" s="1">
        <f>IF($B14&lt;Analysis!$C$66,0,IF($B14=Analysis!$C$66,PMT(AU14,AQ14,AP14)*AQ14-AX14-AT14,IF(($B14-Analysis!$C$66+1)&lt;LOOKUP(Analysis!$C$66,$B:$B,AQ:AQ),IF(AW13-AV14&lt;0, AW13-AV14,0),0)))</f>
        <v>-165277.43004385498</v>
      </c>
      <c r="AX14" s="1">
        <f>IF($B14&lt;Analysis!$C$66,0,IF($B14=Analysis!$C$66,AS14+AV14,IF(AT13&lt;0,IF(AT13&gt;LOOKUP(Analysis!$C$66,$B:$B,AX:AX), AT13*(1+AU13),AX13),0)))</f>
        <v>-44682.845200000011</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-2931.162346804746</v>
      </c>
      <c r="BF14" s="64">
        <f>IF($B14&lt;Analysis!$C$66,0,Analysis!$C$78)</f>
        <v>3.0000000000000001E-3</v>
      </c>
      <c r="BG14" s="1">
        <f>IF($B14&lt;Analysis!$C$66,0,-BH14*AN14)</f>
        <v>-7327.9058670118648</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-124574.3997392017</v>
      </c>
      <c r="BS14" s="64">
        <f>IF($B14&lt;Analysis!C$66,0,Analysis!C$31)</f>
        <v>0.1275</v>
      </c>
      <c r="BT14" s="1">
        <f>IF($B14&lt;Analysis!$C$66,0,AN14+BR14)</f>
        <v>852479.71586238034</v>
      </c>
      <c r="BU14" s="1">
        <f>IF($B14-Analysis!$C$66&gt;3,0,IF($AN14&gt;LOOKUP(Analysis!$C$66,$B:$B, AN:AN),$V14*(LOOKUP(Analysis!$C$66,$B:$B, AN:AN)-AN14),0))</f>
        <v>0</v>
      </c>
      <c r="BV14" s="1">
        <f t="shared" si="23"/>
        <v>852479.71586238034</v>
      </c>
      <c r="BW14" s="42"/>
      <c r="BX14" s="1">
        <f>IF($B14&lt;Analysis!$C$66,$P14+$N14+$X14+$Z14,$P14+$N14+AS14+AV14+BB14+BE14+BG14+MAX(BI14,SUM(BJ14:BN14))+BP14)</f>
        <v>-121051.91341381663</v>
      </c>
      <c r="BY14" s="1">
        <f t="shared" si="24"/>
        <v>120723.1566012604</v>
      </c>
      <c r="BZ14" s="1">
        <f t="shared" si="46"/>
        <v>-328.75681255622476</v>
      </c>
      <c r="CA14" s="1">
        <f>IF(BZ14 &lt; 0,
    IF(CA13 + BZ14 &gt; 0,
        CA13 + BZ14, IF(CF13-ABS(CA13 + BZ14)*(1+$V14) &gt;= CA13 + BZ14,
        0, CA13 + BZ14)),
    MIN(CA13 + BZ14, Analysis!$C$7))+IF(CA13&lt;0, CA13*Analysis!$C$9,0)</f>
        <v>-313747.82751240564</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-22429.764045114574</v>
      </c>
      <c r="CJ14" s="1">
        <f>IF(OR($B14&lt;Analysis!$C$100, $B14&gt;=Analysis!$C$130),0,Z14)</f>
        <v>-3960</v>
      </c>
      <c r="CK14" s="1">
        <f t="shared" si="26"/>
        <v>587648.48981834261</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-13036.491096461092</v>
      </c>
      <c r="CQ14" s="1">
        <f>IF(OR($B14&lt;Analysis!$C$100, $B14&gt;=Analysis!$C$101),0,IF($B14=Analysis!$C$100,-CM14-CP14,MIN(0,CQ13-CP14)))</f>
        <v>-254695.65087513599</v>
      </c>
      <c r="CR14" s="64">
        <f>IF(OR($B14&lt;Analysis!$C$100, $B14&gt;=Analysis!$C$101),0,IF($B14=Analysis!$C$100,Analysis!$C$102,IF(($B14-Analysis!$C$100)&lt;LOOKUP(Analysis!$C$100,$B:$B,CN:CN),CR13,0)))</f>
        <v>4.4399999999999995E-2</v>
      </c>
      <c r="CS14" s="1">
        <f>IF(OR($B14&lt;Analysis!$C$100, $B14&gt;=Analysis!$C$101),0,IF($B14=Analysis!$C$100,-CR14*CM14,CR13*CQ13))</f>
        <v>-11887.307103538909</v>
      </c>
      <c r="CT14" s="1">
        <f>IF(OR($B14&lt;Analysis!$C$100, $B14&gt;=Analysis!$C$101),0,IF($B14=Analysis!$C$100,PMT(CR14,CN14,CM14)*CN14-CU14-CQ14,IF(($B14-Analysis!$C$100+1)&lt;LOOKUP(Analysis!$C$100,$B:$B,CN:CN),IF(CT13-CS14&lt;0, CT13-CS14,0),0)))</f>
        <v>-92190.667245774617</v>
      </c>
      <c r="CU14" s="1">
        <f>IF(OR($B14&lt;Analysis!$C$100, $B14&gt;=Analysis!$C$101),0,IF($B14=Analysis!$C$100,CP14+CS14,IF(CQ13&lt;0,IF(CQ13&gt;LOOKUP(Analysis!$C$100,$B:$B,CU:CU), CQ13*(1+CR13),CU13),0)))</f>
        <v>-24923.798200000001</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25348.989008930286</v>
      </c>
      <c r="DE14" s="1">
        <f t="shared" si="27"/>
        <v>-1762.9454694550279</v>
      </c>
      <c r="DF14" s="64">
        <f>IF(OR($B14&lt;Analysis!$C$100, $B14&gt;=Analysis!$C$101),0,Analysis!$C$118)</f>
        <v>3.0000000000000001E-3</v>
      </c>
      <c r="DG14" s="1">
        <f t="shared" si="28"/>
        <v>-4407.3636736375693</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-8300</v>
      </c>
      <c r="DQ14" s="1">
        <f>-Analysis!$C$117*DB14</f>
        <v>-1471.9532654606442</v>
      </c>
      <c r="DR14" s="1">
        <f t="shared" si="29"/>
        <v>-19902.262408553241</v>
      </c>
      <c r="DS14" s="1">
        <f>MIN(0,-(DB14+DR14)*Analysis!$C$28)-CS14*Analysis!$C$28</f>
        <v>5267.2657775780899</v>
      </c>
      <c r="DT14" s="1">
        <f>-Analysis!$C$116*DD14/12</f>
        <v>-2112.4157507441905</v>
      </c>
      <c r="DU14" s="53"/>
      <c r="DV14" s="1">
        <f t="shared" si="30"/>
        <v>-74925.182451838686</v>
      </c>
      <c r="DW14" s="64">
        <f>IF(OR($B14&lt;Analysis!$C$100, $B14&gt;=Analysis!$C$101),0,IF($B14=Analysis!$C$100,Analysis!$C$31,DW13))</f>
        <v>0.1275</v>
      </c>
      <c r="DX14" s="1">
        <f>IF(OR($B14&lt;Analysis!$C$100, $B14&gt;=Analysis!$C$101),0,CK14+DV14)</f>
        <v>512723.30736650393</v>
      </c>
      <c r="DY14" s="1">
        <f>IF(OR($B14&lt;Analysis!$C$100, $B14&gt;=Analysis!$C$101),0,IF($B14-Analysis!$C$100&gt;3,0,IF(CK14&gt;LOOKUP(Analysis!$C$100,$B:$B, CK:CK),$V14*(LOOKUP(Analysis!$C$100,$B:$B, CK:CK)-CK14),0)))</f>
        <v>0</v>
      </c>
      <c r="DZ14" s="1">
        <f t="shared" si="49"/>
        <v>512723.30736650393</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IF($B14&lt;Analysis!$C$130,0,IF($B14=Analysis!$C$130,Analysis!$D$136,IF(($B14-Analysis!$C$130)&lt;LOOKUP(Analysis!$C$130,$B:$B,EE:EE),EI13,0)))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-121910.97462683391</v>
      </c>
      <c r="FM14" s="1">
        <f>$M14+$R14+DD14+IF(AND($B14&lt;&gt;Analysis!$C$130,$B14=Analysis!$C$101),DZ13+CQ13+CT13+CZ13,0)</f>
        <v>146072.1456101907</v>
      </c>
      <c r="FN14" s="1">
        <f t="shared" si="34"/>
        <v>24161.170983356787</v>
      </c>
      <c r="FO14" s="1">
        <f>IF(FN14 &lt; 0,
    IF(FO13 + FN14 &gt; 0,
        FO13 + FN14, IF(FT13-ABS(FO13 + FN14)*(1+$V14) &gt;= FO13 + FN14,
        0, FO13 + FN14)),
    MIN(FO13 + FN14, Analysis!$C$7))+IF(FO13&lt;0, FO13*Analysis!$C$9,0)</f>
        <v>24000</v>
      </c>
      <c r="FP14" s="53"/>
      <c r="FQ14" s="1">
        <f t="shared" si="51"/>
        <v>8618.3965175522044</v>
      </c>
      <c r="FR14" s="1">
        <f>IF(OR($B14=Analysis!$C$100, $B14=Analysis!$C$130),0,IF(FN14 &gt;= 0,
    MAX(0, FO13 + FN14 - Analysis!$C$7),
    0))</f>
        <v>24161.170983356787</v>
      </c>
      <c r="FS14" s="1">
        <f>IF(OR($B14=Analysis!$C$100, $B14=Analysis!$C$130),0,MAX(0, FS13 + FR14 - IF(FN14 &lt; 0, MIN(ABS(FN14), FS13 + FR14), 0)))</f>
        <v>150635.69608411615</v>
      </c>
      <c r="FT14" s="1">
        <f>IF(OR($B14=Analysis!$C$100, $B14=Analysis!$C$130),0,IF(FN14 &lt; 0,
    IF(FN14 + FO13 &lt; 0,
        MAX(0, FT13 - (ABS(FN14 + FO13) * (1+$V13))),
        FT13 + FQ14),
    FT13 + FR14 + FQ14))</f>
        <v>181732.29584938526</v>
      </c>
      <c r="FU14" s="1">
        <f t="shared" si="55"/>
        <v>173530.56766129553</v>
      </c>
      <c r="FV14" s="36"/>
      <c r="FW14" s="1">
        <f t="shared" si="52"/>
        <v>587648.48981834261</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-13036.491096461092</v>
      </c>
      <c r="GC14" s="1">
        <f>IF($B14&lt;Analysis!$C$159,0,IF($B14=Analysis!$C$159,-FY14-GB14,MIN(0,GC13-GB14)))</f>
        <v>-254695.65087513599</v>
      </c>
      <c r="GD14" s="64">
        <f>IF($B14&lt;Analysis!$C$159,0,IF($B14=Analysis!$C$159,Analysis!$C$160,IF(($B14-Analysis!$C$159)&lt;LOOKUP(Analysis!$C$159,$B:$B,FZ:FZ),GD13,0)))</f>
        <v>4.4399999999999995E-2</v>
      </c>
      <c r="GE14" s="1">
        <f>IF($B14&lt;Analysis!$C$159,0,IF($B14=Analysis!$C$159,-GD14*FY14,GD13*GC13))</f>
        <v>-11887.307103538909</v>
      </c>
      <c r="GF14" s="1">
        <f>IF($B14&lt;Analysis!$C$159,0,IF($B14=Analysis!$C$159,PMT(GD14,FZ14,FY14)*FZ14-GG14-GC14,IF(($B14-Analysis!$C$159+1)&lt;LOOKUP(Analysis!$C$159,$B:$B,FZ:FZ),IF(GF13-GE14&lt;0, GF13-GE14,0),0)))</f>
        <v>-92190.667245774617</v>
      </c>
      <c r="GG14" s="1">
        <f>IF($B14&lt;Analysis!$C$159,0,IF($B14=Analysis!$C$159,GB14+GE14,IF(GC13&lt;0,IF(GC13&gt;LOOKUP(Analysis!$C$159,$B:$B,GG:GG), GC13*(1+GD13),GG13),0)))</f>
        <v>-24923.798200000001</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25348.989008930286</v>
      </c>
      <c r="GQ14" s="1">
        <f t="shared" si="36"/>
        <v>-1762.9454694550279</v>
      </c>
      <c r="GR14" s="64">
        <f>IF($B14&lt;Analysis!$C$159,0,Analysis!$C$178)</f>
        <v>3.0000000000000001E-3</v>
      </c>
      <c r="GS14" s="1">
        <f t="shared" si="37"/>
        <v>-4407.3636736375693</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-8300</v>
      </c>
      <c r="HC14" s="1">
        <f>-Analysis!$C$177*GN14</f>
        <v>-1471.9532654606442</v>
      </c>
      <c r="HD14" s="1">
        <f t="shared" si="38"/>
        <v>-19902.262408553241</v>
      </c>
      <c r="HE14" s="1">
        <f>MIN(0,-(GN14+HD14)*Analysis!$C$28)-GE14*Analysis!$C$28</f>
        <v>5267.2657775780899</v>
      </c>
      <c r="HF14" s="1">
        <f>-Analysis!$C$176*GP14/12</f>
        <v>-2112.4157507441905</v>
      </c>
      <c r="HG14" s="38"/>
      <c r="HH14" s="1">
        <f>IF($B14&lt;Analysis!$C$159,0,-$HI14*$FW14)</f>
        <v>-74925.182451838686</v>
      </c>
      <c r="HI14" s="64">
        <f>IF($B14&lt;Analysis!$C$159,0,IF($B14=Analysis!$C$159,Analysis!$C$31,HI13))</f>
        <v>0.1275</v>
      </c>
      <c r="HJ14" s="1">
        <f>IF($B14&lt;Analysis!$C$159,0,$FW14+HH14)</f>
        <v>512723.30736650393</v>
      </c>
      <c r="HK14" s="1">
        <f>IF($B14-Analysis!$C$159&gt;10,0,IF($FW14&gt;LOOKUP(Analysis!$C$159,$B:$B, FW:FW),$V14*(LOOKUP(Analysis!$C$159,$B:$B, FW:FW)-FW14),0))</f>
        <v>0</v>
      </c>
      <c r="HL14" s="1">
        <f t="shared" si="39"/>
        <v>512723.30736650393</v>
      </c>
      <c r="HM14" s="38"/>
      <c r="HN14" s="1">
        <f t="shared" si="40"/>
        <v>-121910.97462683391</v>
      </c>
      <c r="HO14" s="1">
        <f t="shared" si="8"/>
        <v>146072.1456101907</v>
      </c>
      <c r="HP14" s="1">
        <f t="shared" si="41"/>
        <v>24161.170983356787</v>
      </c>
      <c r="HQ14" s="1">
        <f>IF(HP14 &lt; 0,
    IF(HQ13 + HP14 &gt; 0,
        HQ13 + HP14, IF(HV13-ABS(HQ13 + HP14)*(1+$V14) &gt;= HQ13 + HP14,
        0, HQ13 + HP14)),
    MIN(HQ13 + HP14, Analysis!$C$7))+IF(HQ13&lt;0, HQ13*Analysis!$C$9,0)</f>
        <v>24000</v>
      </c>
      <c r="HR14" s="38"/>
      <c r="HS14" s="1">
        <f t="shared" si="54"/>
        <v>8618.3965175522044</v>
      </c>
      <c r="HT14" s="1">
        <f>IF($B14=Analysis!$C$159,0,IF(HP14 &gt;= 0,
    MAX(0, HQ13 + HP14 - Analysis!$C$7),
    0))</f>
        <v>24161.170983356787</v>
      </c>
      <c r="HU14" s="1">
        <f>IF($B14=Analysis!$C$159,0,MAX(0, HU13 + HT14 - IF(HP14 &lt; 0, MIN(ABS(HP14), HU13 + HT14), 0)))</f>
        <v>150635.69608411615</v>
      </c>
      <c r="HV14" s="1">
        <f>IF($B14=Analysis!$C$159,0,IF(HP14 &lt; 0,
    IF(HP14 + HQ13 &lt; 0,
        MAX(0, HV13 - (ABS(HP14 + HQ13) * (1+$V13))),
        HV13 + HS14),
    HV13 + HT14 + HS14))</f>
        <v>181732.29584938526</v>
      </c>
      <c r="HW14" s="1">
        <f t="shared" si="56"/>
        <v>173530.56766129553</v>
      </c>
      <c r="HX14" s="36"/>
    </row>
    <row r="15" spans="1:232" x14ac:dyDescent="0.35">
      <c r="A15">
        <f t="shared" si="0"/>
        <v>48</v>
      </c>
      <c r="B15">
        <v>2038</v>
      </c>
      <c r="C15" s="1">
        <f>IF($B15&lt;Analysis!C$66,0,$AN15)+$AT15+$AW15+$BC15+$CF15+$CA15</f>
        <v>86834.876666258846</v>
      </c>
      <c r="D15" s="1">
        <f>IF($B15&lt;Analysis!C$66, 0, BV15)+AT15+AW15+BC15+CG15+CA15</f>
        <v>-41403.476006448851</v>
      </c>
      <c r="E15" s="1">
        <f t="shared" si="1"/>
        <v>589884.3565052069</v>
      </c>
      <c r="F15" s="1">
        <f t="shared" si="9"/>
        <v>540799.05109439127</v>
      </c>
      <c r="G15" s="1">
        <f>IF(AND($B15&gt;=Analysis!$C$100, $B15&lt;Analysis!$C$101),$CK15,0)+IF($B15&gt;=Analysis!$C$130,EB15,0)+CQ15+CT15+CZ15+EH15+EK15+EQ15+$FO15+$FT15</f>
        <v>520198.07870518812</v>
      </c>
      <c r="H15" s="1">
        <f t="shared" si="10"/>
        <v>432176.31854244985</v>
      </c>
      <c r="I15" s="1">
        <f>IF($B15&lt;Analysis!$C$159,0,$FW15)+$GC15+$GF15+$GL15+$HQ15+$HV15</f>
        <v>520198.07870518812</v>
      </c>
      <c r="J15" s="1">
        <f t="shared" si="2"/>
        <v>432176.31854244985</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28527.800527810869</v>
      </c>
      <c r="AI15" s="1">
        <f>IF(AE15 &gt;= 0,
    MAX(0, AF14 + AE15 - Analysis!$C$7),
    0)</f>
        <v>29253.144062187319</v>
      </c>
      <c r="AJ15" s="1">
        <f t="shared" si="44"/>
        <v>379778.93314666417</v>
      </c>
      <c r="AK15" s="1">
        <f t="shared" si="20"/>
        <v>565884.3565052069</v>
      </c>
      <c r="AL15" s="1">
        <f t="shared" si="5"/>
        <v>516799.05109439127</v>
      </c>
      <c r="AM15" s="36"/>
      <c r="AN15" s="1">
        <f t="shared" si="45"/>
        <v>1005791.0013545698</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-24409.234994481187</v>
      </c>
      <c r="AT15" s="1">
        <f>IF($B15&lt;Analysis!$C$66,0,IF($B15=Analysis!$C$66,-AP15-AS15,MIN(0,AT14-AS15)))</f>
        <v>-432203.60747215903</v>
      </c>
      <c r="AU15" s="64">
        <f>IF($B15&lt;Analysis!$C$66,0,IF($B15=Analysis!$C$66,Analysis!$C$72,IF(($B15-Analysis!$C$66)&lt;LOOKUP(Analysis!$C$66,$B:$B,AQ:AQ),AU14,0)))</f>
        <v>4.4399999999999995E-2</v>
      </c>
      <c r="AV15" s="1">
        <f>IF($B15&lt;Analysis!$C$66,0,IF($B15=Analysis!$C$66,-AU15*AP15,AU14*AT14))</f>
        <v>-20273.610205518824</v>
      </c>
      <c r="AW15" s="1">
        <f>IF($B15&lt;Analysis!$C$66,0,IF($B15=Analysis!$C$66,PMT(AU15,AQ15,AP15)*AQ15-AX15-AT15,IF(($B15-Analysis!$C$66+1)&lt;LOOKUP(Analysis!$C$66,$B:$B,AQ:AQ),IF(AW14-AV15&lt;0, AW14-AV15,0),0)))</f>
        <v>-145003.81983833615</v>
      </c>
      <c r="AX15" s="1">
        <f>IF($B15&lt;Analysis!$C$66,0,IF($B15=Analysis!$C$66,AS15+AV15,IF(AT14&lt;0,IF(AT14&gt;LOOKUP(Analysis!$C$66,$B:$B,AX:AX), AT14*(1+AU14),AX14),0)))</f>
        <v>-44682.845200000011</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-3017.3730040637097</v>
      </c>
      <c r="BF15" s="64">
        <f>IF($B15&lt;Analysis!$C$66,0,Analysis!$C$78)</f>
        <v>3.0000000000000001E-3</v>
      </c>
      <c r="BG15" s="1">
        <f>IF($B15&lt;Analysis!$C$66,0,-BH15*AN15)</f>
        <v>-7543.4325101592731</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-128238.35267270765</v>
      </c>
      <c r="BS15" s="64">
        <f>IF($B15&lt;Analysis!C$66,0,Analysis!C$31)</f>
        <v>0.1275</v>
      </c>
      <c r="BT15" s="1">
        <f>IF($B15&lt;Analysis!$C$66,0,AN15+BR15)</f>
        <v>877552.64868186216</v>
      </c>
      <c r="BU15" s="1">
        <f>IF($B15-Analysis!$C$66&gt;3,0,IF($AN15&gt;LOOKUP(Analysis!$C$66,$B:$B, AN:AN),$V15*(LOOKUP(Analysis!$C$66,$B:$B, AN:AN)-AN15),0))</f>
        <v>0</v>
      </c>
      <c r="BV15" s="1">
        <f t="shared" si="23"/>
        <v>877552.64868186216</v>
      </c>
      <c r="BW15" s="42"/>
      <c r="BX15" s="1">
        <f>IF($B15&lt;Analysis!$C$66,$P15+$N15+$X15+$Z15,$P15+$N15+AS15+AV15+BB15+BE15+BG15+MAX(BI15,SUM(BJ15:BN15))+BP15)</f>
        <v>-125103.650714223</v>
      </c>
      <c r="BY15" s="1">
        <f t="shared" si="24"/>
        <v>122202.60704980526</v>
      </c>
      <c r="BZ15" s="1">
        <f t="shared" si="46"/>
        <v>-2901.0436644177389</v>
      </c>
      <c r="CA15" s="1">
        <f>IF(BZ15 &lt; 0,
    IF(CA14 + BZ15 &gt; 0,
        CA14 + BZ15, IF(CF14-ABS(CA14 + BZ15)*(1+$V15) &gt;= CA14 + BZ15,
        0, CA14 + BZ15)),
    MIN(CA14 + BZ15, Analysis!$C$7))+IF(CA14&lt;0, CA14*Analysis!$C$9,0)</f>
        <v>-341748.69737781584</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-23089.462987617946</v>
      </c>
      <c r="CJ15" s="1">
        <f>IF(OR($B15&lt;Analysis!$C$100, $B15&gt;=Analysis!$C$130),0,Z15)</f>
        <v>-3960</v>
      </c>
      <c r="CK15" s="1">
        <f t="shared" si="26"/>
        <v>604932.26893064682</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-13615.311301143964</v>
      </c>
      <c r="CQ15" s="1">
        <f>IF(OR($B15&lt;Analysis!$C$100, $B15&gt;=Analysis!$C$101),0,IF($B15=Analysis!$C$100,-CM15-CP15,MIN(0,CQ14-CP15)))</f>
        <v>-241080.33957399204</v>
      </c>
      <c r="CR15" s="64">
        <f>IF(OR($B15&lt;Analysis!$C$100, $B15&gt;=Analysis!$C$101),0,IF($B15=Analysis!$C$100,Analysis!$C$102,IF(($B15-Analysis!$C$100)&lt;LOOKUP(Analysis!$C$100,$B:$B,CN:CN),CR14,0)))</f>
        <v>4.4399999999999995E-2</v>
      </c>
      <c r="CS15" s="1">
        <f>IF(OR($B15&lt;Analysis!$C$100, $B15&gt;=Analysis!$C$101),0,IF($B15=Analysis!$C$100,-CR15*CM15,CR14*CQ14))</f>
        <v>-11308.486898856037</v>
      </c>
      <c r="CT15" s="1">
        <f>IF(OR($B15&lt;Analysis!$C$100, $B15&gt;=Analysis!$C$101),0,IF($B15=Analysis!$C$100,PMT(CR15,CN15,CM15)*CN15-CU15-CQ15,IF(($B15-Analysis!$C$100+1)&lt;LOOKUP(Analysis!$C$100,$B:$B,CN:CN),IF(CT14-CS15&lt;0, CT14-CS15,0),0)))</f>
        <v>-80882.180346918583</v>
      </c>
      <c r="CU15" s="1">
        <f>IF(OR($B15&lt;Analysis!$C$100, $B15&gt;=Analysis!$C$101),0,IF($B15=Analysis!$C$100,CP15+CS15,IF(CQ14&lt;0,IF(CQ14&gt;LOOKUP(Analysis!$C$100,$B:$B,CU:CU), CQ14*(1+CR14),CU14),0)))</f>
        <v>-24923.798200000001</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25978.076920957647</v>
      </c>
      <c r="DE15" s="1">
        <f t="shared" si="27"/>
        <v>-1814.7968067919405</v>
      </c>
      <c r="DF15" s="64">
        <f>IF(OR($B15&lt;Analysis!$C$100, $B15&gt;=Analysis!$C$101),0,Analysis!$C$118)</f>
        <v>3.0000000000000001E-3</v>
      </c>
      <c r="DG15" s="1">
        <f t="shared" si="28"/>
        <v>-4536.9920169798506</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-8300</v>
      </c>
      <c r="DQ15" s="1">
        <f>-Analysis!$C$117*DB15</f>
        <v>-1515.246008562428</v>
      </c>
      <c r="DR15" s="1">
        <f t="shared" si="29"/>
        <v>-20127.034832334219</v>
      </c>
      <c r="DS15" s="1">
        <f>MIN(0,-(DB15+DR15)*Analysis!$C$28)-CS15*Analysis!$C$28</f>
        <v>4977.0062605035773</v>
      </c>
      <c r="DT15" s="1">
        <f>-Analysis!$C$116*DD15/12</f>
        <v>-2164.8397434131371</v>
      </c>
      <c r="DU15" s="53"/>
      <c r="DV15" s="1">
        <f t="shared" si="30"/>
        <v>-77128.864288657467</v>
      </c>
      <c r="DW15" s="64">
        <f>IF(OR($B15&lt;Analysis!$C$100, $B15&gt;=Analysis!$C$101),0,IF($B15=Analysis!$C$100,Analysis!$C$31,DW14))</f>
        <v>0.1275</v>
      </c>
      <c r="DX15" s="1">
        <f>IF(OR($B15&lt;Analysis!$C$100, $B15&gt;=Analysis!$C$101),0,CK15+DV15)</f>
        <v>527803.40464198939</v>
      </c>
      <c r="DY15" s="1">
        <f>IF(OR($B15&lt;Analysis!$C$100, $B15&gt;=Analysis!$C$101),0,IF($B15-Analysis!$C$100&gt;3,0,IF(CK15&gt;LOOKUP(Analysis!$C$100,$B:$B, CK:CK),$V15*(LOOKUP(Analysis!$C$100,$B:$B, CK:CK)-CK15),0)))</f>
        <v>0</v>
      </c>
      <c r="DZ15" s="1">
        <f t="shared" si="49"/>
        <v>527803.40464198939</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IF($B15&lt;Analysis!$C$130,0,IF($B15=Analysis!$C$130,Analysis!$D$136,IF(($B15-Analysis!$C$130)&lt;LOOKUP(Analysis!$C$130,$B:$B,EE:EE),EI14,0)))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-126888.12950286172</v>
      </c>
      <c r="FM15" s="1">
        <f>$M15+$R15+DD15+IF(AND($B15&lt;&gt;Analysis!$C$130,$B15=Analysis!$C$101),DZ14+CQ14+CT14+CZ14,0)</f>
        <v>148180.68397076291</v>
      </c>
      <c r="FN15" s="1">
        <f t="shared" si="34"/>
        <v>21292.554467901195</v>
      </c>
      <c r="FO15" s="1">
        <f>IF(FN15 &lt; 0,
    IF(FO14 + FN15 &gt; 0,
        FO14 + FN15, IF(FT14-ABS(FO14 + FN15)*(1+$V15) &gt;= FO14 + FN15,
        0, FO14 + FN15)),
    MIN(FO14 + FN15, Analysis!$C$7))+IF(FO14&lt;0, FO14*Analysis!$C$9,0)</f>
        <v>24000</v>
      </c>
      <c r="FP15" s="53"/>
      <c r="FQ15" s="1">
        <f t="shared" si="51"/>
        <v>10203.479378165521</v>
      </c>
      <c r="FR15" s="1">
        <f>IF(OR($B15=Analysis!$C$100, $B15=Analysis!$C$130),0,IF(FN15 &gt;= 0,
    MAX(0, FO14 + FN15 - Analysis!$C$7),
    0))</f>
        <v>21292.554467901195</v>
      </c>
      <c r="FS15" s="1">
        <f>IF(OR($B15=Analysis!$C$100, $B15=Analysis!$C$130),0,MAX(0, FS14 + FR15 - IF(FN15 &lt; 0, MIN(ABS(FN15), FS14 + FR15), 0)))</f>
        <v>171928.25055201736</v>
      </c>
      <c r="FT15" s="1">
        <f>IF(OR($B15=Analysis!$C$100, $B15=Analysis!$C$130),0,IF(FN15 &lt; 0,
    IF(FN15 + FO14 &lt; 0,
        MAX(0, FT14 - (ABS(FN15 + FO14) * (1+$V14))),
        FT14 + FQ15),
    FT14 + FR15 + FQ15))</f>
        <v>213228.32969545198</v>
      </c>
      <c r="FU15" s="1">
        <f t="shared" si="55"/>
        <v>202335.43382137109</v>
      </c>
      <c r="FV15" s="36"/>
      <c r="FW15" s="1">
        <f t="shared" si="52"/>
        <v>604932.26893064682</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-13615.311301143964</v>
      </c>
      <c r="GC15" s="1">
        <f>IF($B15&lt;Analysis!$C$159,0,IF($B15=Analysis!$C$159,-FY15-GB15,MIN(0,GC14-GB15)))</f>
        <v>-241080.33957399204</v>
      </c>
      <c r="GD15" s="64">
        <f>IF($B15&lt;Analysis!$C$159,0,IF($B15=Analysis!$C$159,Analysis!$C$160,IF(($B15-Analysis!$C$159)&lt;LOOKUP(Analysis!$C$159,$B:$B,FZ:FZ),GD14,0)))</f>
        <v>4.4399999999999995E-2</v>
      </c>
      <c r="GE15" s="1">
        <f>IF($B15&lt;Analysis!$C$159,0,IF($B15=Analysis!$C$159,-GD15*FY15,GD14*GC14))</f>
        <v>-11308.486898856037</v>
      </c>
      <c r="GF15" s="1">
        <f>IF($B15&lt;Analysis!$C$159,0,IF($B15=Analysis!$C$159,PMT(GD15,FZ15,FY15)*FZ15-GG15-GC15,IF(($B15-Analysis!$C$159+1)&lt;LOOKUP(Analysis!$C$159,$B:$B,FZ:FZ),IF(GF14-GE15&lt;0, GF14-GE15,0),0)))</f>
        <v>-80882.180346918583</v>
      </c>
      <c r="GG15" s="1">
        <f>IF($B15&lt;Analysis!$C$159,0,IF($B15=Analysis!$C$159,GB15+GE15,IF(GC14&lt;0,IF(GC14&gt;LOOKUP(Analysis!$C$159,$B:$B,GG:GG), GC14*(1+GD14),GG14),0)))</f>
        <v>-24923.798200000001</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25978.076920957647</v>
      </c>
      <c r="GQ15" s="1">
        <f t="shared" si="36"/>
        <v>-1814.7968067919405</v>
      </c>
      <c r="GR15" s="64">
        <f>IF($B15&lt;Analysis!$C$159,0,Analysis!$C$178)</f>
        <v>3.0000000000000001E-3</v>
      </c>
      <c r="GS15" s="1">
        <f t="shared" si="37"/>
        <v>-4536.9920169798506</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-8300</v>
      </c>
      <c r="HC15" s="1">
        <f>-Analysis!$C$177*GN15</f>
        <v>-1515.246008562428</v>
      </c>
      <c r="HD15" s="1">
        <f t="shared" si="38"/>
        <v>-20127.034832334219</v>
      </c>
      <c r="HE15" s="1">
        <f>MIN(0,-(GN15+HD15)*Analysis!$C$28)-GE15*Analysis!$C$28</f>
        <v>4977.0062605035773</v>
      </c>
      <c r="HF15" s="1">
        <f>-Analysis!$C$176*GP15/12</f>
        <v>-2164.8397434131371</v>
      </c>
      <c r="HG15" s="38"/>
      <c r="HH15" s="1">
        <f>IF($B15&lt;Analysis!$C$159,0,-$HI15*$FW15)</f>
        <v>-77128.864288657467</v>
      </c>
      <c r="HI15" s="64">
        <f>IF($B15&lt;Analysis!$C$159,0,IF($B15=Analysis!$C$159,Analysis!$C$31,HI14))</f>
        <v>0.1275</v>
      </c>
      <c r="HJ15" s="1">
        <f>IF($B15&lt;Analysis!$C$159,0,$FW15+HH15)</f>
        <v>527803.40464198939</v>
      </c>
      <c r="HK15" s="1">
        <f>IF($B15-Analysis!$C$159&gt;10,0,IF($FW15&gt;LOOKUP(Analysis!$C$159,$B:$B, FW:FW),$V15*(LOOKUP(Analysis!$C$159,$B:$B, FW:FW)-FW15),0))</f>
        <v>0</v>
      </c>
      <c r="HL15" s="1">
        <f t="shared" si="39"/>
        <v>527803.40464198939</v>
      </c>
      <c r="HM15" s="38"/>
      <c r="HN15" s="1">
        <f t="shared" si="40"/>
        <v>-126888.12950286172</v>
      </c>
      <c r="HO15" s="1">
        <f t="shared" si="8"/>
        <v>148180.68397076291</v>
      </c>
      <c r="HP15" s="1">
        <f t="shared" si="41"/>
        <v>21292.554467901195</v>
      </c>
      <c r="HQ15" s="1">
        <f>IF(HP15 &lt; 0,
    IF(HQ14 + HP15 &gt; 0,
        HQ14 + HP15, IF(HV14-ABS(HQ14 + HP15)*(1+$V15) &gt;= HQ14 + HP15,
        0, HQ14 + HP15)),
    MIN(HQ14 + HP15, Analysis!$C$7))+IF(HQ14&lt;0, HQ14*Analysis!$C$9,0)</f>
        <v>24000</v>
      </c>
      <c r="HR15" s="38"/>
      <c r="HS15" s="1">
        <f t="shared" si="54"/>
        <v>10203.479378165521</v>
      </c>
      <c r="HT15" s="1">
        <f>IF($B15=Analysis!$C$159,0,IF(HP15 &gt;= 0,
    MAX(0, HQ14 + HP15 - Analysis!$C$7),
    0))</f>
        <v>21292.554467901195</v>
      </c>
      <c r="HU15" s="1">
        <f>IF($B15=Analysis!$C$159,0,MAX(0, HU14 + HT15 - IF(HP15 &lt; 0, MIN(ABS(HP15), HU14 + HT15), 0)))</f>
        <v>171928.25055201736</v>
      </c>
      <c r="HV15" s="1">
        <f>IF($B15=Analysis!$C$159,0,IF(HP15 &lt; 0,
    IF(HP15 + HQ14 &lt; 0,
        MAX(0, HV14 - (ABS(HP15 + HQ14) * (1+$V14))),
        HV14 + HS15),
    HV14 + HT15 + HS15))</f>
        <v>213228.32969545198</v>
      </c>
      <c r="HW15" s="1">
        <f t="shared" si="56"/>
        <v>202335.43382137109</v>
      </c>
      <c r="HX15" s="36"/>
    </row>
    <row r="16" spans="1:232" x14ac:dyDescent="0.35">
      <c r="A16">
        <f t="shared" si="0"/>
        <v>49</v>
      </c>
      <c r="B16">
        <v>2039</v>
      </c>
      <c r="C16" s="1">
        <f>IF($B16&lt;Analysis!C$66,0,$AN16)+$AT16+$AW16+$BC16+$CF16+$CA16</f>
        <v>132045.83972860908</v>
      </c>
      <c r="D16" s="1">
        <f>IF($B16&lt;Analysis!C$66, 0, BV16)+AT16+AW16+BC16+CG16+CA16</f>
        <v>35.770800821832381</v>
      </c>
      <c r="E16" s="1">
        <f t="shared" si="1"/>
        <v>650757.84191216214</v>
      </c>
      <c r="F16" s="1">
        <f t="shared" si="9"/>
        <v>593548.54533855396</v>
      </c>
      <c r="G16" s="1">
        <f>IF(AND($B16&gt;=Analysis!$C$100, $B16&lt;Analysis!$C$101),$CK16,0)+IF($B16&gt;=Analysis!$C$130,EB16,0)+CQ16+CT16+CZ16+EH16+EK16+EQ16+$FO16+$FT16</f>
        <v>596564.95490764105</v>
      </c>
      <c r="H16" s="1">
        <f t="shared" si="10"/>
        <v>503213.53430203785</v>
      </c>
      <c r="I16" s="1">
        <f>IF($B16&lt;Analysis!$C$159,0,$FW16)+$GC16+$GF16+$GL16+$HQ16+$HV16</f>
        <v>596564.95490764105</v>
      </c>
      <c r="J16" s="1">
        <f t="shared" si="2"/>
        <v>503213.53430203785</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30801.862228597252</v>
      </c>
      <c r="AI16" s="1">
        <f>IF(AE16 &gt;= 0,
    MAX(0, AF15 + AE16 - Analysis!$C$7),
    0)</f>
        <v>30071.623178357928</v>
      </c>
      <c r="AJ16" s="1">
        <f t="shared" si="44"/>
        <v>409850.55632502213</v>
      </c>
      <c r="AK16" s="1">
        <f t="shared" si="20"/>
        <v>626757.84191216214</v>
      </c>
      <c r="AL16" s="1">
        <f t="shared" si="5"/>
        <v>569548.54533855396</v>
      </c>
      <c r="AM16" s="36"/>
      <c r="AN16" s="1">
        <f t="shared" si="45"/>
        <v>1035373.0896297044</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-25493.005028236152</v>
      </c>
      <c r="AT16" s="1">
        <f>IF($B16&lt;Analysis!$C$66,0,IF($B16=Analysis!$C$66,-AP16-AS16,MIN(0,AT15-AS16)))</f>
        <v>-406710.60244392289</v>
      </c>
      <c r="AU16" s="64">
        <f>IF($B16&lt;Analysis!$C$66,0,IF($B16=Analysis!$C$66,Analysis!$C$72,IF(($B16-Analysis!$C$66)&lt;LOOKUP(Analysis!$C$66,$B:$B,AQ:AQ),AU15,0)))</f>
        <v>4.4399999999999995E-2</v>
      </c>
      <c r="AV16" s="1">
        <f>IF($B16&lt;Analysis!$C$66,0,IF($B16=Analysis!$C$66,-AU16*AP16,AU15*AT15))</f>
        <v>-19189.840171763859</v>
      </c>
      <c r="AW16" s="1">
        <f>IF($B16&lt;Analysis!$C$66,0,IF($B16=Analysis!$C$66,PMT(AU16,AQ16,AP16)*AQ16-AX16-AT16,IF(($B16-Analysis!$C$66+1)&lt;LOOKUP(Analysis!$C$66,$B:$B,AQ:AQ),IF(AW15-AV16&lt;0, AW15-AV16,0),0)))</f>
        <v>-125813.97966657228</v>
      </c>
      <c r="AX16" s="1">
        <f>IF($B16&lt;Analysis!$C$66,0,IF($B16=Analysis!$C$66,AS16+AV16,IF(AT15&lt;0,IF(AT15&gt;LOOKUP(Analysis!$C$66,$B:$B,AX:AX), AT15*(1+AU15),AX15),0)))</f>
        <v>-44682.845200000011</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-3106.1192688891133</v>
      </c>
      <c r="BF16" s="64">
        <f>IF($B16&lt;Analysis!$C$66,0,Analysis!$C$78)</f>
        <v>3.0000000000000001E-3</v>
      </c>
      <c r="BG16" s="1">
        <f>IF($B16&lt;Analysis!$C$66,0,-BH16*AN16)</f>
        <v>-7765.2981722227823</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-132010.0689277873</v>
      </c>
      <c r="BS16" s="64">
        <f>IF($B16&lt;Analysis!C$66,0,Analysis!C$31)</f>
        <v>0.1275</v>
      </c>
      <c r="BT16" s="1">
        <f>IF($B16&lt;Analysis!$C$66,0,AN16+BR16)</f>
        <v>903363.02070191712</v>
      </c>
      <c r="BU16" s="1">
        <f>IF($B16-Analysis!$C$66&gt;3,0,IF($AN16&gt;LOOKUP(Analysis!$C$66,$B:$B, AN:AN),$V16*(LOOKUP(Analysis!$C$66,$B:$B, AN:AN)-AN16),0))</f>
        <v>0</v>
      </c>
      <c r="BV16" s="1">
        <f t="shared" si="23"/>
        <v>903363.02070191712</v>
      </c>
      <c r="BW16" s="42"/>
      <c r="BX16" s="1">
        <f>IF($B16&lt;Analysis!$C$66,$P16+$N16+$X16+$Z16,$P16+$N16+AS16+AV16+BB16+BE16+BG16+MAX(BI16,SUM(BJ16:BN16))+BP16)</f>
        <v>-125414.26264111191</v>
      </c>
      <c r="BY16" s="1">
        <f t="shared" si="24"/>
        <v>123700.18801855287</v>
      </c>
      <c r="BZ16" s="1">
        <f t="shared" si="46"/>
        <v>-1714.074622559041</v>
      </c>
      <c r="CA16" s="1">
        <f>IF(BZ16 &lt; 0,
    IF(CA15 + BZ16 &gt; 0,
        CA15 + BZ16, IF(CF15-ABS(CA15 + BZ16)*(1+$V16) &gt;= CA15 + BZ16,
        0, CA15 + BZ16)),
    MIN(CA15 + BZ16, Analysis!$C$7))+IF(CA15&lt;0, CA15*Analysis!$C$9,0)</f>
        <v>-370802.6677906001</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-23768.564840194947</v>
      </c>
      <c r="CJ16" s="1">
        <f>IF(OR($B16&lt;Analysis!$C$100, $B16&gt;=Analysis!$C$130),0,Z16)</f>
        <v>-3960</v>
      </c>
      <c r="CK16" s="1">
        <f t="shared" si="26"/>
        <v>622724.39448743057</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-14219.831122914757</v>
      </c>
      <c r="CQ16" s="1">
        <f>IF(OR($B16&lt;Analysis!$C$100, $B16&gt;=Analysis!$C$101),0,IF($B16=Analysis!$C$100,-CM16-CP16,MIN(0,CQ15-CP16)))</f>
        <v>-226860.50845107727</v>
      </c>
      <c r="CR16" s="64">
        <f>IF(OR($B16&lt;Analysis!$C$100, $B16&gt;=Analysis!$C$101),0,IF($B16=Analysis!$C$100,Analysis!$C$102,IF(($B16-Analysis!$C$100)&lt;LOOKUP(Analysis!$C$100,$B:$B,CN:CN),CR15,0)))</f>
        <v>4.4399999999999995E-2</v>
      </c>
      <c r="CS16" s="1">
        <f>IF(OR($B16&lt;Analysis!$C$100, $B16&gt;=Analysis!$C$101),0,IF($B16=Analysis!$C$100,-CR16*CM16,CR15*CQ15))</f>
        <v>-10703.967077085244</v>
      </c>
      <c r="CT16" s="1">
        <f>IF(OR($B16&lt;Analysis!$C$100, $B16&gt;=Analysis!$C$101),0,IF($B16=Analysis!$C$100,PMT(CR16,CN16,CM16)*CN16-CU16-CQ16,IF(($B16-Analysis!$C$100+1)&lt;LOOKUP(Analysis!$C$100,$B:$B,CN:CN),IF(CT15-CS16&lt;0, CT15-CS16,0),0)))</f>
        <v>-70178.213269833344</v>
      </c>
      <c r="CU16" s="1">
        <f>IF(OR($B16&lt;Analysis!$C$100, $B16&gt;=Analysis!$C$101),0,IF($B16=Analysis!$C$100,CP16+CS16,IF(CQ15&lt;0,IF(CQ15&gt;LOOKUP(Analysis!$C$100,$B:$B,CU:CU), CQ15*(1+CR15),CU15),0)))</f>
        <v>-24923.798200000001</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26625.667418632875</v>
      </c>
      <c r="DE16" s="1">
        <f t="shared" si="27"/>
        <v>-1868.1731834622917</v>
      </c>
      <c r="DF16" s="64">
        <f>IF(OR($B16&lt;Analysis!$C$100, $B16&gt;=Analysis!$C$101),0,Analysis!$C$118)</f>
        <v>3.0000000000000001E-3</v>
      </c>
      <c r="DG16" s="1">
        <f t="shared" si="28"/>
        <v>-4670.4329586557287</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-8300</v>
      </c>
      <c r="DQ16" s="1">
        <f>-Analysis!$C$117*DB16</f>
        <v>-1559.8120676377937</v>
      </c>
      <c r="DR16" s="1">
        <f t="shared" si="29"/>
        <v>-20358.418209755815</v>
      </c>
      <c r="DS16" s="1">
        <f>MIN(0,-(DB16+DR16)*Analysis!$C$28)-CS16*Analysis!$C$28</f>
        <v>4548.3732249951872</v>
      </c>
      <c r="DT16" s="1">
        <f>-Analysis!$C$116*DD16/12</f>
        <v>-2218.8056182194064</v>
      </c>
      <c r="DU16" s="53"/>
      <c r="DV16" s="1">
        <f t="shared" si="30"/>
        <v>-79397.360297147403</v>
      </c>
      <c r="DW16" s="64">
        <f>IF(OR($B16&lt;Analysis!$C$100, $B16&gt;=Analysis!$C$101),0,IF($B16=Analysis!$C$100,Analysis!$C$31,DW15))</f>
        <v>0.1275</v>
      </c>
      <c r="DX16" s="1">
        <f>IF(OR($B16&lt;Analysis!$C$100, $B16&gt;=Analysis!$C$101),0,CK16+DV16)</f>
        <v>543327.03419028316</v>
      </c>
      <c r="DY16" s="1">
        <f>IF(OR($B16&lt;Analysis!$C$100, $B16&gt;=Analysis!$C$101),0,IF($B16-Analysis!$C$100&gt;3,0,IF(CK16&gt;LOOKUP(Analysis!$C$100,$B:$B, CK:CK),$V16*(LOOKUP(Analysis!$C$100,$B:$B, CK:CK)-CK16),0)))</f>
        <v>0</v>
      </c>
      <c r="DZ16" s="1">
        <f t="shared" si="49"/>
        <v>543327.03419028316</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IF($B16&lt;Analysis!$C$130,0,IF($B16=Analysis!$C$130,Analysis!$D$136,IF(($B16-Analysis!$C$130)&lt;LOOKUP(Analysis!$C$130,$B:$B,EE:EE),EI15,0)))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-128281.21364317497</v>
      </c>
      <c r="FM16" s="1">
        <f>$M16+$R16+DD16+IF(AND($B16&lt;&gt;Analysis!$C$130,$B16=Analysis!$C$101),DZ15+CQ15+CT15+CZ15,0)</f>
        <v>150325.85543718573</v>
      </c>
      <c r="FN16" s="1">
        <f t="shared" si="34"/>
        <v>22044.641794010764</v>
      </c>
      <c r="FO16" s="1">
        <f>IF(FN16 &lt; 0,
    IF(FO15 + FN16 &gt; 0,
        FO15 + FN16, IF(FT15-ABS(FO15 + FN16)*(1+$V16) &gt;= FO15 + FN16,
        0, FO15 + FN16)),
    MIN(FO15 + FN16, Analysis!$C$7))+IF(FO15&lt;0, FO15*Analysis!$C$9,0)</f>
        <v>24000</v>
      </c>
      <c r="FP16" s="53"/>
      <c r="FQ16" s="1">
        <f t="shared" si="51"/>
        <v>11606.310651658368</v>
      </c>
      <c r="FR16" s="1">
        <f>IF(OR($B16=Analysis!$C$100, $B16=Analysis!$C$130),0,IF(FN16 &gt;= 0,
    MAX(0, FO15 + FN16 - Analysis!$C$7),
    0))</f>
        <v>22044.641794010764</v>
      </c>
      <c r="FS16" s="1">
        <f>IF(OR($B16=Analysis!$C$100, $B16=Analysis!$C$130),0,MAX(0, FS15 + FR16 - IF(FN16 &lt; 0, MIN(ABS(FN16), FS15 + FR16), 0)))</f>
        <v>193972.89234602812</v>
      </c>
      <c r="FT16" s="1">
        <f>IF(OR($B16=Analysis!$C$100, $B16=Analysis!$C$130),0,IF(FN16 &lt; 0,
    IF(FN16 + FO15 &lt; 0,
        MAX(0, FT15 - (ABS(FN16 + FO15) * (1+$V15))),
        FT15 + FQ16),
    FT15 + FR16 + FQ16))</f>
        <v>246879.2821411211</v>
      </c>
      <c r="FU16" s="1">
        <f t="shared" si="55"/>
        <v>232925.22183266532</v>
      </c>
      <c r="FV16" s="36"/>
      <c r="FW16" s="1">
        <f t="shared" si="52"/>
        <v>622724.39448743057</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-14219.831122914757</v>
      </c>
      <c r="GC16" s="1">
        <f>IF($B16&lt;Analysis!$C$159,0,IF($B16=Analysis!$C$159,-FY16-GB16,MIN(0,GC15-GB16)))</f>
        <v>-226860.50845107727</v>
      </c>
      <c r="GD16" s="64">
        <f>IF($B16&lt;Analysis!$C$159,0,IF($B16=Analysis!$C$159,Analysis!$C$160,IF(($B16-Analysis!$C$159)&lt;LOOKUP(Analysis!$C$159,$B:$B,FZ:FZ),GD15,0)))</f>
        <v>4.4399999999999995E-2</v>
      </c>
      <c r="GE16" s="1">
        <f>IF($B16&lt;Analysis!$C$159,0,IF($B16=Analysis!$C$159,-GD16*FY16,GD15*GC15))</f>
        <v>-10703.967077085244</v>
      </c>
      <c r="GF16" s="1">
        <f>IF($B16&lt;Analysis!$C$159,0,IF($B16=Analysis!$C$159,PMT(GD16,FZ16,FY16)*FZ16-GG16-GC16,IF(($B16-Analysis!$C$159+1)&lt;LOOKUP(Analysis!$C$159,$B:$B,FZ:FZ),IF(GF15-GE16&lt;0, GF15-GE16,0),0)))</f>
        <v>-70178.213269833344</v>
      </c>
      <c r="GG16" s="1">
        <f>IF($B16&lt;Analysis!$C$159,0,IF($B16=Analysis!$C$159,GB16+GE16,IF(GC15&lt;0,IF(GC15&gt;LOOKUP(Analysis!$C$159,$B:$B,GG:GG), GC15*(1+GD15),GG15),0)))</f>
        <v>-24923.798200000001</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26625.667418632875</v>
      </c>
      <c r="GQ16" s="1">
        <f t="shared" si="36"/>
        <v>-1868.1731834622917</v>
      </c>
      <c r="GR16" s="64">
        <f>IF($B16&lt;Analysis!$C$159,0,Analysis!$C$178)</f>
        <v>3.0000000000000001E-3</v>
      </c>
      <c r="GS16" s="1">
        <f t="shared" si="37"/>
        <v>-4670.4329586557287</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-8300</v>
      </c>
      <c r="HC16" s="1">
        <f>-Analysis!$C$177*GN16</f>
        <v>-1559.8120676377937</v>
      </c>
      <c r="HD16" s="1">
        <f t="shared" si="38"/>
        <v>-20358.418209755815</v>
      </c>
      <c r="HE16" s="1">
        <f>MIN(0,-(GN16+HD16)*Analysis!$C$28)-GE16*Analysis!$C$28</f>
        <v>4548.3732249951872</v>
      </c>
      <c r="HF16" s="1">
        <f>-Analysis!$C$176*GP16/12</f>
        <v>-2218.8056182194064</v>
      </c>
      <c r="HG16" s="38"/>
      <c r="HH16" s="1">
        <f>IF($B16&lt;Analysis!$C$159,0,-$HI16*$FW16)</f>
        <v>-79397.360297147403</v>
      </c>
      <c r="HI16" s="64">
        <f>IF($B16&lt;Analysis!$C$159,0,IF($B16=Analysis!$C$159,Analysis!$C$31,HI15))</f>
        <v>0.1275</v>
      </c>
      <c r="HJ16" s="1">
        <f>IF($B16&lt;Analysis!$C$159,0,$FW16+HH16)</f>
        <v>543327.03419028316</v>
      </c>
      <c r="HK16" s="1">
        <f>IF($B16-Analysis!$C$159&gt;10,0,IF($FW16&gt;LOOKUP(Analysis!$C$159,$B:$B, FW:FW),$V16*(LOOKUP(Analysis!$C$159,$B:$B, FW:FW)-FW16),0))</f>
        <v>0</v>
      </c>
      <c r="HL16" s="1">
        <f t="shared" si="39"/>
        <v>543327.03419028316</v>
      </c>
      <c r="HM16" s="38"/>
      <c r="HN16" s="1">
        <f t="shared" si="40"/>
        <v>-128281.21364317497</v>
      </c>
      <c r="HO16" s="1">
        <f t="shared" si="8"/>
        <v>150325.85543718573</v>
      </c>
      <c r="HP16" s="1">
        <f t="shared" si="41"/>
        <v>22044.641794010764</v>
      </c>
      <c r="HQ16" s="1">
        <f>IF(HP16 &lt; 0,
    IF(HQ15 + HP16 &gt; 0,
        HQ15 + HP16, IF(HV15-ABS(HQ15 + HP16)*(1+$V16) &gt;= HQ15 + HP16,
        0, HQ15 + HP16)),
    MIN(HQ15 + HP16, Analysis!$C$7))+IF(HQ15&lt;0, HQ15*Analysis!$C$9,0)</f>
        <v>24000</v>
      </c>
      <c r="HR16" s="38"/>
      <c r="HS16" s="1">
        <f t="shared" si="54"/>
        <v>11606.310651658368</v>
      </c>
      <c r="HT16" s="1">
        <f>IF($B16=Analysis!$C$159,0,IF(HP16 &gt;= 0,
    MAX(0, HQ15 + HP16 - Analysis!$C$7),
    0))</f>
        <v>22044.641794010764</v>
      </c>
      <c r="HU16" s="1">
        <f>IF($B16=Analysis!$C$159,0,MAX(0, HU15 + HT16 - IF(HP16 &lt; 0, MIN(ABS(HP16), HU15 + HT16), 0)))</f>
        <v>193972.89234602812</v>
      </c>
      <c r="HV16" s="1">
        <f>IF($B16=Analysis!$C$159,0,IF(HP16 &lt; 0,
    IF(HP16 + HQ15 &lt; 0,
        MAX(0, HV15 - (ABS(HP16 + HQ15) * (1+$V15))),
        HV15 + HS16),
    HV15 + HT16 + HS16))</f>
        <v>246879.2821411211</v>
      </c>
      <c r="HW16" s="1">
        <f t="shared" si="56"/>
        <v>232925.22183266532</v>
      </c>
      <c r="HX16" s="36"/>
    </row>
    <row r="17" spans="1:232" x14ac:dyDescent="0.35">
      <c r="A17">
        <f t="shared" si="0"/>
        <v>50</v>
      </c>
      <c r="B17">
        <v>2040</v>
      </c>
      <c r="C17" s="1">
        <f>IF($B17&lt;Analysis!C$66,0,$AN17)+$AT17+$AW17+$BC17+$CF17+$CA17</f>
        <v>176998.73268269404</v>
      </c>
      <c r="D17" s="1">
        <f>IF($B17&lt;Analysis!C$66, 0, BV17)+AT17+AW17+BC17+CG17+CA17</f>
        <v>41106.014668795338</v>
      </c>
      <c r="E17" s="1">
        <f t="shared" si="1"/>
        <v>714687.17090717575</v>
      </c>
      <c r="F17" s="1">
        <f t="shared" si="9"/>
        <v>648763.35078528314</v>
      </c>
      <c r="G17" s="1">
        <f>IF(AND($B17&gt;=Analysis!$C$100, $B17&lt;Analysis!$C$101),$CK17,0)+IF($B17&gt;=Analysis!$C$130,EB17,0)+CQ17+CT17+CZ17+EH17+EK17+EQ17+$FO17+$FT17</f>
        <v>675608.07378404343</v>
      </c>
      <c r="H17" s="1">
        <f t="shared" si="10"/>
        <v>576488.79465790768</v>
      </c>
      <c r="I17" s="1">
        <f>IF($B17&lt;Analysis!$C$159,0,$FW17)+$GC17+$GF17+$GL17+$HQ17+$HV17</f>
        <v>675608.07378404343</v>
      </c>
      <c r="J17" s="1">
        <f t="shared" si="2"/>
        <v>576488.79465790768</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33040.847576433989</v>
      </c>
      <c r="AI17" s="1">
        <f>IF(AE17 &gt;= 0,
    MAX(0, AF16 + AE17 - Analysis!$C$7),
    0)</f>
        <v>30888.48141857954</v>
      </c>
      <c r="AJ17" s="1">
        <f t="shared" si="44"/>
        <v>440739.03774360166</v>
      </c>
      <c r="AK17" s="1">
        <f t="shared" si="20"/>
        <v>690687.17090717575</v>
      </c>
      <c r="AL17" s="1">
        <f t="shared" si="5"/>
        <v>624763.35078528314</v>
      </c>
      <c r="AM17" s="36"/>
      <c r="AN17" s="1">
        <f t="shared" si="45"/>
        <v>1065825.2393246959</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-26624.894451489836</v>
      </c>
      <c r="AT17" s="1">
        <f>IF($B17&lt;Analysis!$C$66,0,IF($B17=Analysis!$C$66,-AP17-AS17,MIN(0,AT16-AS17)))</f>
        <v>-380085.70799243305</v>
      </c>
      <c r="AU17" s="64">
        <f>IF($B17&lt;Analysis!$C$66,0,IF($B17=Analysis!$C$66,Analysis!$C$72,IF(($B17-Analysis!$C$66)&lt;LOOKUP(Analysis!$C$66,$B:$B,AQ:AQ),AU16,0)))</f>
        <v>4.4399999999999995E-2</v>
      </c>
      <c r="AV17" s="1">
        <f>IF($B17&lt;Analysis!$C$66,0,IF($B17=Analysis!$C$66,-AU17*AP17,AU16*AT16))</f>
        <v>-18057.950748510175</v>
      </c>
      <c r="AW17" s="1">
        <f>IF($B17&lt;Analysis!$C$66,0,IF($B17=Analysis!$C$66,PMT(AU17,AQ17,AP17)*AQ17-AX17-AT17,IF(($B17-Analysis!$C$66+1)&lt;LOOKUP(Analysis!$C$66,$B:$B,AQ:AQ),IF(AW16-AV17&lt;0, AW16-AV17,0),0)))</f>
        <v>-107756.0289180621</v>
      </c>
      <c r="AX17" s="1">
        <f>IF($B17&lt;Analysis!$C$66,0,IF($B17=Analysis!$C$66,AS17+AV17,IF(AT16&lt;0,IF(AT16&gt;LOOKUP(Analysis!$C$66,$B:$B,AX:AX), AT16*(1+AU16),AX16),0)))</f>
        <v>-44682.845200000011</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-3197.4757179740877</v>
      </c>
      <c r="BF17" s="64">
        <f>IF($B17&lt;Analysis!$C$66,0,Analysis!$C$78)</f>
        <v>3.0000000000000001E-3</v>
      </c>
      <c r="BG17" s="1">
        <f>IF($B17&lt;Analysis!$C$66,0,-BH17*AN17)</f>
        <v>-7993.6892949352186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-135892.71801389873</v>
      </c>
      <c r="BS17" s="64">
        <f>IF($B17&lt;Analysis!C$66,0,Analysis!C$31)</f>
        <v>0.1275</v>
      </c>
      <c r="BT17" s="1">
        <f>IF($B17&lt;Analysis!$C$66,0,AN17+BR17)</f>
        <v>929932.52131079719</v>
      </c>
      <c r="BU17" s="1">
        <f>IF($B17-Analysis!$C$66&gt;3,0,IF($AN17&gt;LOOKUP(Analysis!$C$66,$B:$B, AN:AN),$V17*(LOOKUP(Analysis!$C$66,$B:$B, AN:AN)-AN17),0))</f>
        <v>0</v>
      </c>
      <c r="BV17" s="1">
        <f t="shared" si="23"/>
        <v>929932.52131079719</v>
      </c>
      <c r="BW17" s="42"/>
      <c r="BX17" s="1">
        <f>IF($B17&lt;Analysis!$C$66,$P17+$N17+$X17+$Z17,$P17+$N17+AS17+AV17+BB17+BE17+BG17+MAX(BI17,SUM(BJ17:BN17))+BP17)</f>
        <v>-125734.01021290931</v>
      </c>
      <c r="BY17" s="1">
        <f t="shared" si="24"/>
        <v>125216.12169525081</v>
      </c>
      <c r="BZ17" s="1">
        <f t="shared" si="46"/>
        <v>-517.88851765850268</v>
      </c>
      <c r="CA17" s="1">
        <f>IF(BZ17 &lt; 0,
    IF(CA16 + BZ17 &gt; 0,
        CA16 + BZ17, IF(CF16-ABS(CA16 + BZ17)*(1+$V17) &gt;= CA16 + BZ17,
        0, CA16 + BZ17)),
    MIN(CA16 + BZ17, Analysis!$C$7))+IF(CA16&lt;0, CA16*Analysis!$C$9,0)</f>
        <v>-400984.76973150665</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26"/>
        <v>641039.81785470806</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-14851.191624772171</v>
      </c>
      <c r="CQ17" s="1">
        <f>IF(OR($B17&lt;Analysis!$C$100, $B17&gt;=Analysis!$C$101),0,IF($B17=Analysis!$C$100,-CM17-CP17,MIN(0,CQ16-CP17)))</f>
        <v>-212009.31682630509</v>
      </c>
      <c r="CR17" s="64">
        <f>IF(OR($B17&lt;Analysis!$C$100, $B17&gt;=Analysis!$C$101),0,IF($B17=Analysis!$C$100,Analysis!$C$102,IF(($B17-Analysis!$C$100)&lt;LOOKUP(Analysis!$C$100,$B:$B,CN:CN),CR16,0)))</f>
        <v>4.4399999999999995E-2</v>
      </c>
      <c r="CS17" s="1">
        <f>IF(OR($B17&lt;Analysis!$C$100, $B17&gt;=Analysis!$C$101),0,IF($B17=Analysis!$C$100,-CR17*CM17,CR16*CQ16))</f>
        <v>-10072.60657522783</v>
      </c>
      <c r="CT17" s="1">
        <f>IF(OR($B17&lt;Analysis!$C$100, $B17&gt;=Analysis!$C$101),0,IF($B17=Analysis!$C$100,PMT(CR17,CN17,CM17)*CN17-CU17-CQ17,IF(($B17-Analysis!$C$100+1)&lt;LOOKUP(Analysis!$C$100,$B:$B,CN:CN),IF(CT16-CS17&lt;0, CT16-CS17,0),0)))</f>
        <v>-60105.606694605514</v>
      </c>
      <c r="CU17" s="1">
        <f>IF(OR($B17&lt;Analysis!$C$100, $B17&gt;=Analysis!$C$101),0,IF($B17=Analysis!$C$100,CP17+CS17,IF(CQ16&lt;0,IF(CQ16&gt;LOOKUP(Analysis!$C$100,$B:$B,CU:CU), CQ16*(1+CR16),CU16),0)))</f>
        <v>-24923.798200000001</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27292.304695651488</v>
      </c>
      <c r="DE17" s="1">
        <f t="shared" si="27"/>
        <v>-1923.1194535641241</v>
      </c>
      <c r="DF17" s="64">
        <f>IF(OR($B17&lt;Analysis!$C$100, $B17&gt;=Analysis!$C$101),0,Analysis!$C$118)</f>
        <v>3.0000000000000001E-3</v>
      </c>
      <c r="DG17" s="1">
        <f t="shared" si="28"/>
        <v>-4807.7986339103099</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-8300</v>
      </c>
      <c r="DQ17" s="1">
        <f>-Analysis!$C$117*DB17</f>
        <v>-1605.6888931565525</v>
      </c>
      <c r="DR17" s="1">
        <f t="shared" si="29"/>
        <v>-20596.606980630986</v>
      </c>
      <c r="DS17" s="1">
        <f>MIN(0,-(DB17+DR17)*Analysis!$C$28)-CS17*Analysis!$C$28</f>
        <v>4103.1185458321288</v>
      </c>
      <c r="DT17" s="1">
        <f>-Analysis!$C$116*DD17/12</f>
        <v>-2274.3587246376242</v>
      </c>
      <c r="DU17" s="53"/>
      <c r="DV17" s="1">
        <f t="shared" si="30"/>
        <v>-81732.576776475282</v>
      </c>
      <c r="DW17" s="64">
        <f>IF(OR($B17&lt;Analysis!$C$100, $B17&gt;=Analysis!$C$101),0,IF($B17=Analysis!$C$100,Analysis!$C$31,DW16))</f>
        <v>0.1275</v>
      </c>
      <c r="DX17" s="1">
        <f>IF(OR($B17&lt;Analysis!$C$100, $B17&gt;=Analysis!$C$101),0,CK17+DV17)</f>
        <v>559307.24107823276</v>
      </c>
      <c r="DY17" s="1">
        <f>IF(OR($B17&lt;Analysis!$C$100, $B17&gt;=Analysis!$C$101),0,IF($B17-Analysis!$C$100&gt;3,0,IF(CK17&gt;LOOKUP(Analysis!$C$100,$B:$B, CK:CK),$V17*(LOOKUP(Analysis!$C$100,$B:$B, CK:CK)-CK17),0)))</f>
        <v>0</v>
      </c>
      <c r="DZ17" s="1">
        <f t="shared" si="49"/>
        <v>559307.24107823276</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IF($B17&lt;Analysis!$C$130,0,IF($B17=Analysis!$C$130,Analysis!$D$136,IF(($B17-Analysis!$C$130)&lt;LOOKUP(Analysis!$C$130,$B:$B,EE:EE),EI16,0)))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-129719.28563610774</v>
      </c>
      <c r="FM17" s="1">
        <f>$M17+$R17+DD17+IF(AND($B17&lt;&gt;Analysis!$C$130,$B17=Analysis!$C$101),DZ16+CQ16+CT16+CZ16,0)</f>
        <v>152508.42639090231</v>
      </c>
      <c r="FN17" s="1">
        <f t="shared" si="34"/>
        <v>22789.140754794571</v>
      </c>
      <c r="FO17" s="1">
        <f>IF(FN17 &lt; 0,
    IF(FO16 + FN17 &gt; 0,
        FO16 + FN17, IF(FT16-ABS(FO16 + FN17)*(1+$V17) &gt;= FO16 + FN17,
        0, FO16 + FN17)),
    MIN(FO16 + FN17, Analysis!$C$7))+IF(FO16&lt;0, FO16*Analysis!$C$9,0)</f>
        <v>24000</v>
      </c>
      <c r="FP17" s="53"/>
      <c r="FQ17" s="1">
        <f t="shared" si="51"/>
        <v>13014.756554330297</v>
      </c>
      <c r="FR17" s="1">
        <f>IF(OR($B17=Analysis!$C$100, $B17=Analysis!$C$130),0,IF(FN17 &gt;= 0,
    MAX(0, FO16 + FN17 - Analysis!$C$7),
    0))</f>
        <v>22789.140754794571</v>
      </c>
      <c r="FS17" s="1">
        <f>IF(OR($B17=Analysis!$C$100, $B17=Analysis!$C$130),0,MAX(0, FS16 + FR17 - IF(FN17 &lt; 0, MIN(ABS(FN17), FS16 + FR17), 0)))</f>
        <v>216762.03310082271</v>
      </c>
      <c r="FT17" s="1">
        <f>IF(OR($B17=Analysis!$C$100, $B17=Analysis!$C$130),0,IF(FN17 &lt; 0,
    IF(FN17 + FO16 &lt; 0,
        MAX(0, FT16 - (ABS(FN17 + FO16) * (1+$V16))),
        FT16 + FQ17),
    FT16 + FR17 + FQ17))</f>
        <v>282683.17945024598</v>
      </c>
      <c r="FU17" s="1">
        <f>IF(FT17-FS17&gt;0, FT17-$V17*(FT17-FS17),FT17)</f>
        <v>265296.47710058559</v>
      </c>
      <c r="FV17" s="36"/>
      <c r="FW17" s="1">
        <f t="shared" si="52"/>
        <v>641039.81785470806</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-14851.191624772171</v>
      </c>
      <c r="GC17" s="1">
        <f>IF($B17&lt;Analysis!$C$159,0,IF($B17=Analysis!$C$159,-FY17-GB17,MIN(0,GC16-GB17)))</f>
        <v>-212009.31682630509</v>
      </c>
      <c r="GD17" s="64">
        <f>IF($B17&lt;Analysis!$C$159,0,IF($B17=Analysis!$C$159,Analysis!$C$160,IF(($B17-Analysis!$C$159)&lt;LOOKUP(Analysis!$C$159,$B:$B,FZ:FZ),GD16,0)))</f>
        <v>4.4399999999999995E-2</v>
      </c>
      <c r="GE17" s="1">
        <f>IF($B17&lt;Analysis!$C$159,0,IF($B17=Analysis!$C$159,-GD17*FY17,GD16*GC16))</f>
        <v>-10072.60657522783</v>
      </c>
      <c r="GF17" s="1">
        <f>IF($B17&lt;Analysis!$C$159,0,IF($B17=Analysis!$C$159,PMT(GD17,FZ17,FY17)*FZ17-GG17-GC17,IF(($B17-Analysis!$C$159+1)&lt;LOOKUP(Analysis!$C$159,$B:$B,FZ:FZ),IF(GF16-GE17&lt;0, GF16-GE17,0),0)))</f>
        <v>-60105.606694605514</v>
      </c>
      <c r="GG17" s="1">
        <f>IF($B17&lt;Analysis!$C$159,0,IF($B17=Analysis!$C$159,GB17+GE17,IF(GC16&lt;0,IF(GC16&gt;LOOKUP(Analysis!$C$159,$B:$B,GG:GG), GC16*(1+GD16),GG16),0)))</f>
        <v>-24923.798200000001</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27292.304695651488</v>
      </c>
      <c r="GQ17" s="1">
        <f t="shared" si="36"/>
        <v>-1923.1194535641241</v>
      </c>
      <c r="GR17" s="64">
        <f>IF($B17&lt;Analysis!$C$159,0,Analysis!$C$178)</f>
        <v>3.0000000000000001E-3</v>
      </c>
      <c r="GS17" s="1">
        <f t="shared" si="37"/>
        <v>-4807.7986339103099</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-8300</v>
      </c>
      <c r="HC17" s="1">
        <f>-Analysis!$C$177*GN17</f>
        <v>-1605.6888931565525</v>
      </c>
      <c r="HD17" s="1">
        <f t="shared" si="38"/>
        <v>-20596.606980630986</v>
      </c>
      <c r="HE17" s="1">
        <f>MIN(0,-(GN17+HD17)*Analysis!$C$28)-GE17*Analysis!$C$28</f>
        <v>4103.1185458321288</v>
      </c>
      <c r="HF17" s="1">
        <f>-Analysis!$C$176*GP17/12</f>
        <v>-2274.3587246376242</v>
      </c>
      <c r="HG17" s="38"/>
      <c r="HH17" s="1">
        <f>IF($B17&lt;Analysis!$C$159,0,-$HI17*$FW17)</f>
        <v>-81732.576776475282</v>
      </c>
      <c r="HI17" s="64">
        <f>IF($B17&lt;Analysis!$C$159,0,IF($B17=Analysis!$C$159,Analysis!$C$31,HI16))</f>
        <v>0.1275</v>
      </c>
      <c r="HJ17" s="1">
        <f>IF($B17&lt;Analysis!$C$159,0,$FW17+HH17)</f>
        <v>559307.24107823276</v>
      </c>
      <c r="HK17" s="1">
        <f>IF($B17-Analysis!$C$159&gt;10,0,IF($FW17&gt;LOOKUP(Analysis!$C$159,$B:$B, FW:FW),$V17*(LOOKUP(Analysis!$C$159,$B:$B, FW:FW)-FW17),0))</f>
        <v>0</v>
      </c>
      <c r="HL17" s="1">
        <f t="shared" si="39"/>
        <v>559307.24107823276</v>
      </c>
      <c r="HM17" s="38"/>
      <c r="HN17" s="1">
        <f t="shared" si="40"/>
        <v>-129719.28563610774</v>
      </c>
      <c r="HO17" s="1">
        <f t="shared" si="8"/>
        <v>152508.42639090231</v>
      </c>
      <c r="HP17" s="1">
        <f t="shared" si="41"/>
        <v>22789.140754794571</v>
      </c>
      <c r="HQ17" s="1">
        <f>IF(HP17 &lt; 0,
    IF(HQ16 + HP17 &gt; 0,
        HQ16 + HP17, IF(HV16-ABS(HQ16 + HP17)*(1+$V17) &gt;= HQ16 + HP17,
        0, HQ16 + HP17)),
    MIN(HQ16 + HP17, Analysis!$C$7))+IF(HQ16&lt;0, HQ16*Analysis!$C$9,0)</f>
        <v>24000</v>
      </c>
      <c r="HR17" s="38"/>
      <c r="HS17" s="1">
        <f t="shared" si="54"/>
        <v>13014.756554330297</v>
      </c>
      <c r="HT17" s="1">
        <f>IF($B17=Analysis!$C$159,0,IF(HP17 &gt;= 0,
    MAX(0, HQ16 + HP17 - Analysis!$C$7),
    0))</f>
        <v>22789.140754794571</v>
      </c>
      <c r="HU17" s="1">
        <f>IF($B17=Analysis!$C$159,0,MAX(0, HU16 + HT17 - IF(HP17 &lt; 0, MIN(ABS(HP17), HU16 + HT17), 0)))</f>
        <v>216762.03310082271</v>
      </c>
      <c r="HV17" s="1">
        <f>IF($B17=Analysis!$C$159,0,IF(HP17 &lt; 0,
    IF(HP17 + HQ16 &lt; 0,
        MAX(0, HV16 - (ABS(HP17 + HQ16) * (1+$V16))),
        HV16 + HS17),
    HV16 + HT17 + HS17))</f>
        <v>282683.17945024598</v>
      </c>
      <c r="HW17" s="1">
        <f>IF(HV17-HU17&gt;0, HV17-$V17*(HV17-HU17),HV17)</f>
        <v>265296.47710058559</v>
      </c>
      <c r="HX17" s="36"/>
    </row>
    <row r="18" spans="1:232" x14ac:dyDescent="0.35">
      <c r="A18">
        <f t="shared" si="0"/>
        <v>51</v>
      </c>
      <c r="B18">
        <v>2041</v>
      </c>
      <c r="C18" s="1">
        <f>IF($B18&lt;Analysis!C$66,0,$AN18)+$AT18+$AW18+$BC18+$CF18+$CA18</f>
        <v>221638.0683262645</v>
      </c>
      <c r="D18" s="1">
        <f>IF($B18&lt;Analysis!C$66, 0, BV18)+AT18+AW18+BC18+CG18+CA18</f>
        <v>81748.505664898199</v>
      </c>
      <c r="E18" s="1">
        <f t="shared" si="1"/>
        <v>781617.50755653845</v>
      </c>
      <c r="F18" s="1">
        <f t="shared" si="9"/>
        <v>706402.57135039428</v>
      </c>
      <c r="G18" s="1">
        <f>IF(AND($B18&gt;=Analysis!$C$100, $B18&lt;Analysis!$C$101),$CK18,0)+IF($B18&gt;=Analysis!$C$130,EB18,0)+CQ18+CT18+CZ18+EH18+EK18+EQ18+$FO18+$FT18</f>
        <v>757328.95328696934</v>
      </c>
      <c r="H18" s="1">
        <f t="shared" si="10"/>
        <v>652003.12388123223</v>
      </c>
      <c r="I18" s="1">
        <f>IF($B18&lt;Analysis!$C$159,0,$FW18)+$GC18+$GF18+$GL18+$HQ18+$HV18</f>
        <v>757328.95328696934</v>
      </c>
      <c r="J18" s="1">
        <f t="shared" si="2"/>
        <v>652003.12388123223</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35226.980414223814</v>
      </c>
      <c r="AI18" s="1">
        <f>IF(AE18 &gt;= 0,
    MAX(0, AF17 + AE18 - Analysis!$C$7),
    0)</f>
        <v>31703.356235138839</v>
      </c>
      <c r="AJ18" s="1">
        <f t="shared" si="44"/>
        <v>472442.3939787405</v>
      </c>
      <c r="AK18" s="1">
        <f t="shared" si="20"/>
        <v>757617.50755653845</v>
      </c>
      <c r="AL18" s="1">
        <f t="shared" si="5"/>
        <v>682402.57135039428</v>
      </c>
      <c r="AM18" s="36"/>
      <c r="AN18" s="1">
        <f t="shared" si="45"/>
        <v>1097173.0404813047</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-27807.039765135985</v>
      </c>
      <c r="AT18" s="1">
        <f>IF($B18&lt;Analysis!$C$66,0,IF($B18=Analysis!$C$66,-AP18-AS18,MIN(0,AT17-AS18)))</f>
        <v>-352278.66822729708</v>
      </c>
      <c r="AU18" s="64">
        <f>IF($B18&lt;Analysis!$C$66,0,IF($B18=Analysis!$C$66,Analysis!$C$72,IF(($B18-Analysis!$C$66)&lt;LOOKUP(Analysis!$C$66,$B:$B,AQ:AQ),AU17,0)))</f>
        <v>4.4399999999999995E-2</v>
      </c>
      <c r="AV18" s="1">
        <f>IF($B18&lt;Analysis!$C$66,0,IF($B18=Analysis!$C$66,-AU18*AP18,AU17*AT17))</f>
        <v>-16875.805434864025</v>
      </c>
      <c r="AW18" s="1">
        <f>IF($B18&lt;Analysis!$C$66,0,IF($B18=Analysis!$C$66,PMT(AU18,AQ18,AP18)*AQ18-AX18-AT18,IF(($B18-Analysis!$C$66+1)&lt;LOOKUP(Analysis!$C$66,$B:$B,AQ:AQ),IF(AW17-AV18&lt;0, AW17-AV18,0),0)))</f>
        <v>-90880.223483198075</v>
      </c>
      <c r="AX18" s="1">
        <f>IF($B18&lt;Analysis!$C$66,0,IF($B18=Analysis!$C$66,AS18+AV18,IF(AT17&lt;0,IF(AT17&gt;LOOKUP(Analysis!$C$66,$B:$B,AX:AX), AT17*(1+AU17),AX17),0)))</f>
        <v>-44682.845200000011</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-3291.5191214439142</v>
      </c>
      <c r="BF18" s="64">
        <f>IF($B18&lt;Analysis!$C$66,0,Analysis!$C$78)</f>
        <v>3.0000000000000001E-3</v>
      </c>
      <c r="BG18" s="1">
        <f>IF($B18&lt;Analysis!$C$66,0,-BH18*AN18)</f>
        <v>-8228.7978036097848</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-139889.56266136636</v>
      </c>
      <c r="BS18" s="64">
        <f>IF($B18&lt;Analysis!C$66,0,Analysis!C$31)</f>
        <v>0.1275</v>
      </c>
      <c r="BT18" s="1">
        <f>IF($B18&lt;Analysis!$C$66,0,AN18+BR18)</f>
        <v>957283.47781993845</v>
      </c>
      <c r="BU18" s="1">
        <f>IF($B18-Analysis!$C$66&gt;3,0,IF($AN18&gt;LOOKUP(Analysis!$C$66,$B:$B, AN:AN),$V18*(LOOKUP(Analysis!$C$66,$B:$B, AN:AN)-AN18),0))</f>
        <v>0</v>
      </c>
      <c r="BV18" s="1">
        <f t="shared" si="23"/>
        <v>957283.47781993845</v>
      </c>
      <c r="BW18" s="42"/>
      <c r="BX18" s="1">
        <f>IF($B18&lt;Analysis!$C$66,$P18+$N18+$X18+$Z18,$P18+$N18+AS18+AV18+BB18+BE18+BG18+MAX(BI18,SUM(BJ18:BN18))+BP18)</f>
        <v>-126063.1621250537</v>
      </c>
      <c r="BY18" s="1">
        <f t="shared" si="24"/>
        <v>126750.63299053574</v>
      </c>
      <c r="BZ18" s="1">
        <f t="shared" si="46"/>
        <v>687.47086548204243</v>
      </c>
      <c r="CA18" s="1">
        <f>IF(BZ18 &lt; 0,
    IF(CA17 + BZ18 &gt; 0,
        CA17 + BZ18, IF(CF17-ABS(CA17 + BZ18)*(1+$V18) &gt;= CA17 + BZ18,
        0, CA17 + BZ18)),
    MIN(CA17 + BZ18, Analysis!$C$7))+IF(CA17&lt;0, CA17*Analysis!$C$9,0)</f>
        <v>-432376.08044454514</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26"/>
        <v>659893.93014455249</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-15510.584532912057</v>
      </c>
      <c r="CQ18" s="1">
        <f>IF(OR($B18&lt;Analysis!$C$100, $B18&gt;=Analysis!$C$101),0,IF($B18=Analysis!$C$100,-CM18-CP18,MIN(0,CQ17-CP18)))</f>
        <v>-196498.73229339303</v>
      </c>
      <c r="CR18" s="64">
        <f>IF(OR($B18&lt;Analysis!$C$100, $B18&gt;=Analysis!$C$101),0,IF($B18=Analysis!$C$100,Analysis!$C$102,IF(($B18-Analysis!$C$100)&lt;LOOKUP(Analysis!$C$100,$B:$B,CN:CN),CR17,0)))</f>
        <v>4.4399999999999995E-2</v>
      </c>
      <c r="CS18" s="1">
        <f>IF(OR($B18&lt;Analysis!$C$100, $B18&gt;=Analysis!$C$101),0,IF($B18=Analysis!$C$100,-CR18*CM18,CR17*CQ17))</f>
        <v>-9413.2136670879445</v>
      </c>
      <c r="CT18" s="1">
        <f>IF(OR($B18&lt;Analysis!$C$100, $B18&gt;=Analysis!$C$101),0,IF($B18=Analysis!$C$100,PMT(CR18,CN18,CM18)*CN18-CU18-CQ18,IF(($B18-Analysis!$C$100+1)&lt;LOOKUP(Analysis!$C$100,$B:$B,CN:CN),IF(CT17-CS18&lt;0, CT17-CS18,0),0)))</f>
        <v>-50692.393027517566</v>
      </c>
      <c r="CU18" s="1">
        <f>IF(OR($B18&lt;Analysis!$C$100, $B18&gt;=Analysis!$C$101),0,IF($B18=Analysis!$C$100,CP18+CS18,IF(CQ17&lt;0,IF(CQ17&gt;LOOKUP(Analysis!$C$100,$B:$B,CU:CU), CQ17*(1+CR17),CU17),0)))</f>
        <v>-24923.798200000001</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27978.548951405948</v>
      </c>
      <c r="DE18" s="1">
        <f t="shared" si="27"/>
        <v>-1979.6817904336576</v>
      </c>
      <c r="DF18" s="64">
        <f>IF(OR($B18&lt;Analysis!$C$100, $B18&gt;=Analysis!$C$101),0,Analysis!$C$118)</f>
        <v>3.0000000000000001E-3</v>
      </c>
      <c r="DG18" s="1">
        <f t="shared" si="28"/>
        <v>-4949.2044760841436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-8300</v>
      </c>
      <c r="DQ18" s="1">
        <f>-Analysis!$C$117*DB18</f>
        <v>-1652.9150370729219</v>
      </c>
      <c r="DR18" s="1">
        <f t="shared" si="29"/>
        <v>-20841.801303590724</v>
      </c>
      <c r="DS18" s="1">
        <f>MIN(0,-(DB18+DR18)*Analysis!$C$28)-CS18*Analysis!$C$28</f>
        <v>3640.5750944808956</v>
      </c>
      <c r="DT18" s="1">
        <f>-Analysis!$C$116*DD18/12</f>
        <v>-2331.5457459504955</v>
      </c>
      <c r="DU18" s="53"/>
      <c r="DV18" s="1">
        <f t="shared" si="30"/>
        <v>-84136.47609343045</v>
      </c>
      <c r="DW18" s="64">
        <f>IF(OR($B18&lt;Analysis!$C$100, $B18&gt;=Analysis!$C$101),0,IF($B18=Analysis!$C$100,Analysis!$C$31,DW17))</f>
        <v>0.1275</v>
      </c>
      <c r="DX18" s="1">
        <f>IF(OR($B18&lt;Analysis!$C$100, $B18&gt;=Analysis!$C$101),0,CK18+DV18)</f>
        <v>575757.45405112207</v>
      </c>
      <c r="DY18" s="1">
        <f>IF(OR($B18&lt;Analysis!$C$100, $B18&gt;=Analysis!$C$101),0,IF($B18-Analysis!$C$100&gt;3,0,IF(CK18&gt;LOOKUP(Analysis!$C$100,$B:$B, CK:CK),$V18*(LOOKUP(Analysis!$C$100,$B:$B, CK:CK)-CK18),0)))</f>
        <v>0</v>
      </c>
      <c r="DZ18" s="1">
        <f t="shared" si="49"/>
        <v>575757.45405112207</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IF($B18&lt;Analysis!$C$130,0,IF($B18=Analysis!$C$130,Analysis!$D$136,IF(($B18-Analysis!$C$130)&lt;LOOKUP(Analysis!$C$130,$B:$B,EE:EE),EI17,0)))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-131203.84691045721</v>
      </c>
      <c r="FM18" s="1">
        <f>$M18+$R18+DD18+IF(AND($B18&lt;&gt;Analysis!$C$130,$B18=Analysis!$C$101),DZ17+CQ17+CT17+CZ17,0)</f>
        <v>154729.1819419417</v>
      </c>
      <c r="FN18" s="1">
        <f t="shared" si="34"/>
        <v>23525.335031484487</v>
      </c>
      <c r="FO18" s="1">
        <f>IF(FN18 &lt; 0,
    IF(FO17 + FN18 &gt; 0,
        FO17 + FN18, IF(FT17-ABS(FO17 + FN18)*(1+$V18) &gt;= FO17 + FN18,
        0, FO17 + FN18)),
    MIN(FO17 + FN18, Analysis!$C$7))+IF(FO17&lt;0, FO17*Analysis!$C$9,0)</f>
        <v>24000</v>
      </c>
      <c r="FP18" s="53"/>
      <c r="FQ18" s="1">
        <f t="shared" si="51"/>
        <v>14417.633981596913</v>
      </c>
      <c r="FR18" s="1">
        <f>IF(OR($B18=Analysis!$C$100, $B18=Analysis!$C$130),0,IF(FN18 &gt;= 0,
    MAX(0, FO17 + FN18 - Analysis!$C$7),
    0))</f>
        <v>23525.335031484487</v>
      </c>
      <c r="FS18" s="1">
        <f>IF(OR($B18=Analysis!$C$100, $B18=Analysis!$C$130),0,MAX(0, FS17 + FR18 - IF(FN18 &lt; 0, MIN(ABS(FN18), FS17 + FR18), 0)))</f>
        <v>240287.36813230719</v>
      </c>
      <c r="FT18" s="1">
        <f>IF(OR($B18=Analysis!$C$100, $B18=Analysis!$C$130),0,IF(FN18 &lt; 0,
    IF(FN18 + FO17 &lt; 0,
        MAX(0, FT17 - (ABS(FN18 + FO17) * (1+$V17))),
        FT17 + FQ18),
    FT17 + FR18 + FQ18))</f>
        <v>320626.14846332738</v>
      </c>
      <c r="FU18" s="1">
        <f>IF(FT18-FS18&gt;0, FT18-$V18*(FT18-FS18),FT18)</f>
        <v>299436.79515102081</v>
      </c>
      <c r="FV18" s="36"/>
      <c r="FW18" s="1">
        <f t="shared" si="52"/>
        <v>659893.93014455249</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-15510.584532912057</v>
      </c>
      <c r="GC18" s="1">
        <f>IF($B18&lt;Analysis!$C$159,0,IF($B18=Analysis!$C$159,-FY18-GB18,MIN(0,GC17-GB18)))</f>
        <v>-196498.73229339303</v>
      </c>
      <c r="GD18" s="64">
        <f>IF($B18&lt;Analysis!$C$159,0,IF($B18=Analysis!$C$159,Analysis!$C$160,IF(($B18-Analysis!$C$159)&lt;LOOKUP(Analysis!$C$159,$B:$B,FZ:FZ),GD17,0)))</f>
        <v>4.4399999999999995E-2</v>
      </c>
      <c r="GE18" s="1">
        <f>IF($B18&lt;Analysis!$C$159,0,IF($B18=Analysis!$C$159,-GD18*FY18,GD17*GC17))</f>
        <v>-9413.2136670879445</v>
      </c>
      <c r="GF18" s="1">
        <f>IF($B18&lt;Analysis!$C$159,0,IF($B18=Analysis!$C$159,PMT(GD18,FZ18,FY18)*FZ18-GG18-GC18,IF(($B18-Analysis!$C$159+1)&lt;LOOKUP(Analysis!$C$159,$B:$B,FZ:FZ),IF(GF17-GE18&lt;0, GF17-GE18,0),0)))</f>
        <v>-50692.393027517566</v>
      </c>
      <c r="GG18" s="1">
        <f>IF($B18&lt;Analysis!$C$159,0,IF($B18=Analysis!$C$159,GB18+GE18,IF(GC17&lt;0,IF(GC17&gt;LOOKUP(Analysis!$C$159,$B:$B,GG:GG), GC17*(1+GD17),GG17),0)))</f>
        <v>-24923.798200000001</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27978.548951405948</v>
      </c>
      <c r="GQ18" s="1">
        <f t="shared" si="36"/>
        <v>-1979.6817904336576</v>
      </c>
      <c r="GR18" s="64">
        <f>IF($B18&lt;Analysis!$C$159,0,Analysis!$C$178)</f>
        <v>3.0000000000000001E-3</v>
      </c>
      <c r="GS18" s="1">
        <f t="shared" si="37"/>
        <v>-4949.2044760841436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-8300</v>
      </c>
      <c r="HC18" s="1">
        <f>-Analysis!$C$177*GN18</f>
        <v>-1652.9150370729219</v>
      </c>
      <c r="HD18" s="1">
        <f t="shared" si="38"/>
        <v>-20841.801303590724</v>
      </c>
      <c r="HE18" s="1">
        <f>MIN(0,-(GN18+HD18)*Analysis!$C$28)-GE18*Analysis!$C$28</f>
        <v>3640.5750944808956</v>
      </c>
      <c r="HF18" s="1">
        <f>-Analysis!$C$176*GP18/12</f>
        <v>-2331.5457459504955</v>
      </c>
      <c r="HG18" s="38"/>
      <c r="HH18" s="1">
        <f>IF($B18&lt;Analysis!$C$159,0,-$HI18*$FW18)</f>
        <v>-84136.47609343045</v>
      </c>
      <c r="HI18" s="64">
        <f>IF($B18&lt;Analysis!$C$159,0,IF($B18=Analysis!$C$159,Analysis!$C$31,HI17))</f>
        <v>0.1275</v>
      </c>
      <c r="HJ18" s="1">
        <f>IF($B18&lt;Analysis!$C$159,0,$FW18+HH18)</f>
        <v>575757.45405112207</v>
      </c>
      <c r="HK18" s="1">
        <f>IF($B18-Analysis!$C$159&gt;10,0,IF($FW18&gt;LOOKUP(Analysis!$C$159,$B:$B, FW:FW),$V18*(LOOKUP(Analysis!$C$159,$B:$B, FW:FW)-FW18),0))</f>
        <v>0</v>
      </c>
      <c r="HL18" s="1">
        <f t="shared" si="39"/>
        <v>575757.45405112207</v>
      </c>
      <c r="HM18" s="38"/>
      <c r="HN18" s="1">
        <f t="shared" si="40"/>
        <v>-131203.84691045721</v>
      </c>
      <c r="HO18" s="1">
        <f t="shared" si="8"/>
        <v>154729.1819419417</v>
      </c>
      <c r="HP18" s="1">
        <f t="shared" si="41"/>
        <v>23525.335031484487</v>
      </c>
      <c r="HQ18" s="1">
        <f>IF(HP18 &lt; 0,
    IF(HQ17 + HP18 &gt; 0,
        HQ17 + HP18, IF(HV17-ABS(HQ17 + HP18)*(1+$V18) &gt;= HQ17 + HP18,
        0, HQ17 + HP18)),
    MIN(HQ17 + HP18, Analysis!$C$7))+IF(HQ17&lt;0, HQ17*Analysis!$C$9,0)</f>
        <v>24000</v>
      </c>
      <c r="HR18" s="38"/>
      <c r="HS18" s="1">
        <f t="shared" si="54"/>
        <v>14417.633981596913</v>
      </c>
      <c r="HT18" s="1">
        <f>IF($B18=Analysis!$C$159,0,IF(HP18 &gt;= 0,
    MAX(0, HQ17 + HP18 - Analysis!$C$7),
    0))</f>
        <v>23525.335031484487</v>
      </c>
      <c r="HU18" s="1">
        <f>IF($B18=Analysis!$C$159,0,MAX(0, HU17 + HT18 - IF(HP18 &lt; 0, MIN(ABS(HP18), HU17 + HT18), 0)))</f>
        <v>240287.36813230719</v>
      </c>
      <c r="HV18" s="1">
        <f>IF($B18=Analysis!$C$159,0,IF(HP18 &lt; 0,
    IF(HP18 + HQ17 &lt; 0,
        MAX(0, HV17 - (ABS(HP18 + HQ17) * (1+$V17))),
        HV17 + HS18),
    HV17 + HT18 + HS18))</f>
        <v>320626.14846332738</v>
      </c>
      <c r="HW18" s="1">
        <f>IF(HV18-HU18&gt;0, HV18-$V18*(HV18-HU18),HV18)</f>
        <v>299436.79515102081</v>
      </c>
      <c r="HX18" s="36"/>
    </row>
    <row r="19" spans="1:232" x14ac:dyDescent="0.35">
      <c r="A19">
        <f t="shared" si="0"/>
        <v>52</v>
      </c>
      <c r="B19">
        <v>2042</v>
      </c>
      <c r="C19" s="1">
        <f>IF($B19&lt;Analysis!C$66,0,$AN19)+$AT19+$AW19+$BC19+$CF19+$CA19</f>
        <v>265902.57699448615</v>
      </c>
      <c r="D19" s="1">
        <f>IF($B19&lt;Analysis!C$66, 0, BV19)+AT19+AW19+BC19+CG19+CA19</f>
        <v>121898.6154313148</v>
      </c>
      <c r="E19" s="1">
        <f t="shared" si="1"/>
        <v>851475.22030811093</v>
      </c>
      <c r="F19" s="1">
        <f t="shared" si="9"/>
        <v>766411.37322351581</v>
      </c>
      <c r="G19" s="1">
        <f>IF(AND($B19&gt;=Analysis!$C$100, $B19&lt;Analysis!$C$101),$CK19,0)+IF($B19&gt;=Analysis!$C$130,EB19,0)+CQ19+CT19+CZ19+EH19+EK19+EQ19+$FO19+$FT19</f>
        <v>841717.05881313095</v>
      </c>
      <c r="H19" s="1">
        <f t="shared" si="10"/>
        <v>729748.53663551388</v>
      </c>
      <c r="I19" s="1">
        <f>IF($B19&lt;Analysis!$C$159,0,$FW19)+$GC19+$GF19+$GL19+$HQ19+$HV19</f>
        <v>841717.05881313095</v>
      </c>
      <c r="J19" s="1">
        <f t="shared" si="2"/>
        <v>729748.53663551388</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37341.842193178993</v>
      </c>
      <c r="AI19" s="1">
        <f>IF(AE19 &gt;= 0,
    MAX(0, AF18 + AE19 - Analysis!$C$7),
    0)</f>
        <v>32515.870558393523</v>
      </c>
      <c r="AJ19" s="1">
        <f t="shared" si="44"/>
        <v>504958.26453713403</v>
      </c>
      <c r="AK19" s="1">
        <f t="shared" si="20"/>
        <v>827475.22030811093</v>
      </c>
      <c r="AL19" s="1">
        <f t="shared" si="5"/>
        <v>742411.37322351581</v>
      </c>
      <c r="AM19" s="36"/>
      <c r="AN19" s="1">
        <f t="shared" si="45"/>
        <v>1129442.8357895785</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-29041.672330708025</v>
      </c>
      <c r="AT19" s="1">
        <f>IF($B19&lt;Analysis!$C$66,0,IF($B19=Analysis!$C$66,-AP19-AS19,MIN(0,AT18-AS19)))</f>
        <v>-323236.99589658907</v>
      </c>
      <c r="AU19" s="64">
        <f>IF($B19&lt;Analysis!$C$66,0,IF($B19=Analysis!$C$66,Analysis!$C$72,IF(($B19-Analysis!$C$66)&lt;LOOKUP(Analysis!$C$66,$B:$B,AQ:AQ),AU18,0)))</f>
        <v>4.4399999999999995E-2</v>
      </c>
      <c r="AV19" s="1">
        <f>IF($B19&lt;Analysis!$C$66,0,IF($B19=Analysis!$C$66,-AU19*AP19,AU18*AT18))</f>
        <v>-15641.172869291988</v>
      </c>
      <c r="AW19" s="1">
        <f>IF($B19&lt;Analysis!$C$66,0,IF($B19=Analysis!$C$66,PMT(AU19,AQ19,AP19)*AQ19-AX19-AT19,IF(($B19-Analysis!$C$66+1)&lt;LOOKUP(Analysis!$C$66,$B:$B,AQ:AQ),IF(AW18-AV19&lt;0, AW18-AV19,0),0)))</f>
        <v>-75239.050613906089</v>
      </c>
      <c r="AX19" s="1">
        <f>IF($B19&lt;Analysis!$C$66,0,IF($B19=Analysis!$C$66,AS19+AV19,IF(AT18&lt;0,IF(AT18&gt;LOOKUP(Analysis!$C$66,$B:$B,AX:AX), AT18*(1+AU18),AX18),0)))</f>
        <v>-44682.845200000011</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-3388.3285073687357</v>
      </c>
      <c r="BF19" s="64">
        <f>IF($B19&lt;Analysis!$C$66,0,Analysis!$C$78)</f>
        <v>3.0000000000000001E-3</v>
      </c>
      <c r="BG19" s="1">
        <f>IF($B19&lt;Analysis!$C$66,0,-BH19*AN19)</f>
        <v>-8470.8212684218379</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-144003.96156317127</v>
      </c>
      <c r="BS19" s="64">
        <f>IF($B19&lt;Analysis!C$66,0,Analysis!C$31)</f>
        <v>0.1275</v>
      </c>
      <c r="BT19" s="1">
        <f>IF($B19&lt;Analysis!$C$66,0,AN19+BR19)</f>
        <v>985438.87422640726</v>
      </c>
      <c r="BU19" s="1">
        <f>IF($B19-Analysis!$C$66&gt;3,0,IF($AN19&gt;LOOKUP(Analysis!$C$66,$B:$B, AN:AN),$V19*(LOOKUP(Analysis!$C$66,$B:$B, AN:AN)-AN19),0))</f>
        <v>0</v>
      </c>
      <c r="BV19" s="1">
        <f t="shared" si="23"/>
        <v>985438.87422640726</v>
      </c>
      <c r="BW19" s="42"/>
      <c r="BX19" s="1">
        <f>IF($B19&lt;Analysis!$C$66,$P19+$N19+$X19+$Z19,$P19+$N19+AS19+AV19+BB19+BE19+BG19+MAX(BI19,SUM(BJ19:BN19))+BP19)</f>
        <v>-126401.99497579059</v>
      </c>
      <c r="BY19" s="1">
        <f t="shared" si="24"/>
        <v>128303.9495713021</v>
      </c>
      <c r="BZ19" s="1">
        <f t="shared" si="46"/>
        <v>1901.9545955115173</v>
      </c>
      <c r="CA19" s="1">
        <f>IF(BZ19 &lt; 0,
    IF(CA18 + BZ19 &gt; 0,
        CA18 + BZ19, IF(CF18-ABS(CA18 + BZ19)*(1+$V19) &gt;= CA18 + BZ19,
        0, CA18 + BZ19)),
    MIN(CA18 + BZ19, Analysis!$C$7))+IF(CA18&lt;0, CA18*Analysis!$C$9,0)</f>
        <v>-465064.21228459722</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-25928.079012908576</v>
      </c>
      <c r="CJ19" s="1">
        <f>IF(OR($B19&lt;Analysis!$C$100, $B19&gt;=Analysis!$C$130),0,Z19)</f>
        <v>-3960</v>
      </c>
      <c r="CK19" s="1">
        <f t="shared" si="26"/>
        <v>679302.57514880411</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-16199.254486173351</v>
      </c>
      <c r="CQ19" s="1">
        <f>IF(OR($B19&lt;Analysis!$C$100, $B19&gt;=Analysis!$C$101),0,IF($B19=Analysis!$C$100,-CM19-CP19,MIN(0,CQ18-CP19)))</f>
        <v>-180299.47780721966</v>
      </c>
      <c r="CR19" s="64">
        <f>IF(OR($B19&lt;Analysis!$C$100, $B19&gt;=Analysis!$C$101),0,IF($B19=Analysis!$C$100,Analysis!$C$102,IF(($B19-Analysis!$C$100)&lt;LOOKUP(Analysis!$C$100,$B:$B,CN:CN),CR18,0)))</f>
        <v>4.4399999999999995E-2</v>
      </c>
      <c r="CS19" s="1">
        <f>IF(OR($B19&lt;Analysis!$C$100, $B19&gt;=Analysis!$C$101),0,IF($B19=Analysis!$C$100,-CR19*CM19,CR18*CQ18))</f>
        <v>-8724.5437138266498</v>
      </c>
      <c r="CT19" s="1">
        <f>IF(OR($B19&lt;Analysis!$C$100, $B19&gt;=Analysis!$C$101),0,IF($B19=Analysis!$C$100,PMT(CR19,CN19,CM19)*CN19-CU19-CQ19,IF(($B19-Analysis!$C$100+1)&lt;LOOKUP(Analysis!$C$100,$B:$B,CN:CN),IF(CT18-CS19&lt;0, CT18-CS19,0),0)))</f>
        <v>-41967.849313690916</v>
      </c>
      <c r="CU19" s="1">
        <f>IF(OR($B19&lt;Analysis!$C$100, $B19&gt;=Analysis!$C$101),0,IF($B19=Analysis!$C$100,CP19+CS19,IF(CQ18&lt;0,IF(CQ18&gt;LOOKUP(Analysis!$C$100,$B:$B,CU:CU), CQ18*(1+CR18),CU18),0)))</f>
        <v>-24923.798200000001</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28684.976861741423</v>
      </c>
      <c r="DE19" s="1">
        <f t="shared" si="27"/>
        <v>-2037.9077254464123</v>
      </c>
      <c r="DF19" s="64">
        <f>IF(OR($B19&lt;Analysis!$C$100, $B19&gt;=Analysis!$C$101),0,Analysis!$C$118)</f>
        <v>3.0000000000000001E-3</v>
      </c>
      <c r="DG19" s="1">
        <f t="shared" si="28"/>
        <v>-5094.7693136160306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-8300</v>
      </c>
      <c r="DQ19" s="1">
        <f>-Analysis!$C$117*DB19</f>
        <v>-1701.5301852221257</v>
      </c>
      <c r="DR19" s="1">
        <f t="shared" si="29"/>
        <v>-21094.207224284572</v>
      </c>
      <c r="DS19" s="1">
        <f>MIN(0,-(DB19+DR19)*Analysis!$C$28)-CS19*Analysis!$C$28</f>
        <v>3160.048206384763</v>
      </c>
      <c r="DT19" s="1">
        <f>-Analysis!$C$116*DD19/12</f>
        <v>-2390.4147384784519</v>
      </c>
      <c r="DU19" s="53"/>
      <c r="DV19" s="1">
        <f t="shared" si="30"/>
        <v>-86611.078331472527</v>
      </c>
      <c r="DW19" s="64">
        <f>IF(OR($B19&lt;Analysis!$C$100, $B19&gt;=Analysis!$C$101),0,IF($B19=Analysis!$C$100,Analysis!$C$31,DW18))</f>
        <v>0.1275</v>
      </c>
      <c r="DX19" s="1">
        <f>IF(OR($B19&lt;Analysis!$C$100, $B19&gt;=Analysis!$C$101),0,CK19+DV19)</f>
        <v>592691.49681733153</v>
      </c>
      <c r="DY19" s="1">
        <f>IF(OR($B19&lt;Analysis!$C$100, $B19&gt;=Analysis!$C$101),0,IF($B19-Analysis!$C$100&gt;3,0,IF(CK19&gt;LOOKUP(Analysis!$C$100,$B:$B, CK:CK),$V19*(LOOKUP(Analysis!$C$100,$B:$B, CK:CK)-CK19),0)))</f>
        <v>0</v>
      </c>
      <c r="DZ19" s="1">
        <f t="shared" si="49"/>
        <v>592691.49681733153</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IF($B19&lt;Analysis!$C$130,0,IF($B19=Analysis!$C$130,Analysis!$D$136,IF(($B19-Analysis!$C$130)&lt;LOOKUP(Analysis!$C$130,$B:$B,EE:EE),EI18,0)))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-132736.45096928685</v>
      </c>
      <c r="FM19" s="1">
        <f>$M19+$R19+DD19+IF(AND($B19&lt;&gt;Analysis!$C$130,$B19=Analysis!$C$101),DZ18+CQ18+CT18+CZ18,0)</f>
        <v>156988.92643304353</v>
      </c>
      <c r="FN19" s="1">
        <f t="shared" si="34"/>
        <v>24252.47546375668</v>
      </c>
      <c r="FO19" s="1">
        <f>IF(FN19 &lt; 0,
    IF(FO18 + FN19 &gt; 0,
        FO18 + FN19, IF(FT18-ABS(FO18 + FN19)*(1+$V19) &gt;= FO18 + FN19,
        0, FO18 + FN19)),
    MIN(FO18 + FN19, Analysis!$C$7))+IF(FO18&lt;0, FO18*Analysis!$C$9,0)</f>
        <v>24000</v>
      </c>
      <c r="FP19" s="53"/>
      <c r="FQ19" s="1">
        <f t="shared" si="51"/>
        <v>15803.186858153305</v>
      </c>
      <c r="FR19" s="1">
        <f>IF(OR($B19=Analysis!$C$100, $B19=Analysis!$C$130),0,IF(FN19 &gt;= 0,
    MAX(0, FO18 + FN19 - Analysis!$C$7),
    0))</f>
        <v>24252.47546375668</v>
      </c>
      <c r="FS19" s="1">
        <f>IF(OR($B19=Analysis!$C$100, $B19=Analysis!$C$130),0,MAX(0, FS18 + FR19 - IF(FN19 &lt; 0, MIN(ABS(FN19), FS18 + FR19), 0)))</f>
        <v>264539.8435960639</v>
      </c>
      <c r="FT19" s="1">
        <f>IF(OR($B19=Analysis!$C$100, $B19=Analysis!$C$130),0,IF(FN19 &lt; 0,
    IF(FN19 + FO18 &lt; 0,
        MAX(0, FT18 - (ABS(FN19 + FO18) * (1+$V18))),
        FT18 + FQ19),
    FT18 + FR19 + FQ19))</f>
        <v>360681.81078523735</v>
      </c>
      <c r="FU19" s="1">
        <f t="shared" ref="FU19:FU52" si="57">IF(FT19-FS19&gt;0, FT19-$V19*(FT19-FS19),FT19)</f>
        <v>335324.36693909287</v>
      </c>
      <c r="FV19" s="36"/>
      <c r="FW19" s="1">
        <f t="shared" si="52"/>
        <v>679302.57514880411</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-16199.254486173351</v>
      </c>
      <c r="GC19" s="1">
        <f>IF($B19&lt;Analysis!$C$159,0,IF($B19=Analysis!$C$159,-FY19-GB19,MIN(0,GC18-GB19)))</f>
        <v>-180299.47780721966</v>
      </c>
      <c r="GD19" s="64">
        <f>IF($B19&lt;Analysis!$C$159,0,IF($B19=Analysis!$C$159,Analysis!$C$160,IF(($B19-Analysis!$C$159)&lt;LOOKUP(Analysis!$C$159,$B:$B,FZ:FZ),GD18,0)))</f>
        <v>4.4399999999999995E-2</v>
      </c>
      <c r="GE19" s="1">
        <f>IF($B19&lt;Analysis!$C$159,0,IF($B19=Analysis!$C$159,-GD19*FY19,GD18*GC18))</f>
        <v>-8724.5437138266498</v>
      </c>
      <c r="GF19" s="1">
        <f>IF($B19&lt;Analysis!$C$159,0,IF($B19=Analysis!$C$159,PMT(GD19,FZ19,FY19)*FZ19-GG19-GC19,IF(($B19-Analysis!$C$159+1)&lt;LOOKUP(Analysis!$C$159,$B:$B,FZ:FZ),IF(GF18-GE19&lt;0, GF18-GE19,0),0)))</f>
        <v>-41967.849313690916</v>
      </c>
      <c r="GG19" s="1">
        <f>IF($B19&lt;Analysis!$C$159,0,IF($B19=Analysis!$C$159,GB19+GE19,IF(GC18&lt;0,IF(GC18&gt;LOOKUP(Analysis!$C$159,$B:$B,GG:GG), GC18*(1+GD18),GG18),0)))</f>
        <v>-24923.798200000001</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28684.976861741423</v>
      </c>
      <c r="GQ19" s="1">
        <f t="shared" si="36"/>
        <v>-2037.9077254464123</v>
      </c>
      <c r="GR19" s="64">
        <f>IF($B19&lt;Analysis!$C$159,0,Analysis!$C$178)</f>
        <v>3.0000000000000001E-3</v>
      </c>
      <c r="GS19" s="1">
        <f t="shared" si="37"/>
        <v>-5094.7693136160306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-8300</v>
      </c>
      <c r="HC19" s="1">
        <f>-Analysis!$C$177*GN19</f>
        <v>-1701.5301852221257</v>
      </c>
      <c r="HD19" s="1">
        <f t="shared" si="38"/>
        <v>-21094.207224284572</v>
      </c>
      <c r="HE19" s="1">
        <f>MIN(0,-(GN19+HD19)*Analysis!$C$28)-GE19*Analysis!$C$28</f>
        <v>3160.048206384763</v>
      </c>
      <c r="HF19" s="1">
        <f>-Analysis!$C$176*GP19/12</f>
        <v>-2390.4147384784519</v>
      </c>
      <c r="HG19" s="38"/>
      <c r="HH19" s="1">
        <f>IF($B19&lt;Analysis!$C$159,0,-$HI19*$FW19)</f>
        <v>-86611.078331472527</v>
      </c>
      <c r="HI19" s="64">
        <f>IF($B19&lt;Analysis!$C$159,0,IF($B19=Analysis!$C$159,Analysis!$C$31,HI18))</f>
        <v>0.1275</v>
      </c>
      <c r="HJ19" s="1">
        <f>IF($B19&lt;Analysis!$C$159,0,$FW19+HH19)</f>
        <v>592691.49681733153</v>
      </c>
      <c r="HK19" s="1">
        <f>IF($B19-Analysis!$C$159&gt;10,0,IF($FW19&gt;LOOKUP(Analysis!$C$159,$B:$B, FW:FW),$V19*(LOOKUP(Analysis!$C$159,$B:$B, FW:FW)-FW19),0))</f>
        <v>0</v>
      </c>
      <c r="HL19" s="1">
        <f t="shared" si="39"/>
        <v>592691.49681733153</v>
      </c>
      <c r="HM19" s="38"/>
      <c r="HN19" s="1">
        <f t="shared" si="40"/>
        <v>-132736.45096928685</v>
      </c>
      <c r="HO19" s="1">
        <f t="shared" si="8"/>
        <v>156988.92643304353</v>
      </c>
      <c r="HP19" s="1">
        <f t="shared" si="41"/>
        <v>24252.47546375668</v>
      </c>
      <c r="HQ19" s="1">
        <f>IF(HP19 &lt; 0,
    IF(HQ18 + HP19 &gt; 0,
        HQ18 + HP19, IF(HV18-ABS(HQ18 + HP19)*(1+$V19) &gt;= HQ18 + HP19,
        0, HQ18 + HP19)),
    MIN(HQ18 + HP19, Analysis!$C$7))+IF(HQ18&lt;0, HQ18*Analysis!$C$9,0)</f>
        <v>24000</v>
      </c>
      <c r="HR19" s="38"/>
      <c r="HS19" s="1">
        <f t="shared" si="54"/>
        <v>15803.186858153305</v>
      </c>
      <c r="HT19" s="1">
        <f>IF($B19=Analysis!$C$159,0,IF(HP19 &gt;= 0,
    MAX(0, HQ18 + HP19 - Analysis!$C$7),
    0))</f>
        <v>24252.47546375668</v>
      </c>
      <c r="HU19" s="1">
        <f>IF($B19=Analysis!$C$159,0,MAX(0, HU18 + HT19 - IF(HP19 &lt; 0, MIN(ABS(HP19), HU18 + HT19), 0)))</f>
        <v>264539.8435960639</v>
      </c>
      <c r="HV19" s="1">
        <f>IF($B19=Analysis!$C$159,0,IF(HP19 &lt; 0,
    IF(HP19 + HQ18 &lt; 0,
        MAX(0, HV18 - (ABS(HP19 + HQ18) * (1+$V18))),
        HV18 + HS19),
    HV18 + HT19 + HS19))</f>
        <v>360681.81078523735</v>
      </c>
      <c r="HW19" s="1">
        <f t="shared" ref="HW19:HW52" si="58">IF(HV19-HU19&gt;0, HV19-$V19*(HV19-HU19),HV19)</f>
        <v>335324.36693909287</v>
      </c>
      <c r="HX19" s="36"/>
    </row>
    <row r="20" spans="1:232" x14ac:dyDescent="0.35">
      <c r="A20">
        <f t="shared" si="0"/>
        <v>53</v>
      </c>
      <c r="B20">
        <v>2043</v>
      </c>
      <c r="C20" s="1">
        <f>IF($B20&lt;Analysis!C$66,0,$AN20)+$AT20+$AW20+$BC20+$CF20+$CA20</f>
        <v>309724.70054257795</v>
      </c>
      <c r="D20" s="1">
        <f>IF($B20&lt;Analysis!C$66, 0, BV20)+AT20+AW20+BC20+CG20+CA20</f>
        <v>161485.3283451958</v>
      </c>
      <c r="E20" s="1">
        <f t="shared" si="1"/>
        <v>924167.34882575355</v>
      </c>
      <c r="F20" s="1">
        <f t="shared" si="9"/>
        <v>828720.58836965472</v>
      </c>
      <c r="G20" s="1">
        <f>IF(AND($B20&gt;=Analysis!$C$100, $B20&lt;Analysis!$C$101),$CK20,0)+IF($B20&gt;=Analysis!$C$130,EB20,0)+CQ20+CT20+CZ20+EH20+EK20+EQ20+$FO20+$FT20</f>
        <v>928749.28251459333</v>
      </c>
      <c r="H20" s="1">
        <f t="shared" si="10"/>
        <v>809707.64741163375</v>
      </c>
      <c r="I20" s="1">
        <f>IF($B20&lt;Analysis!$C$159,0,$FW20)+$GC20+$GF20+$GL20+$HQ20+$HV20</f>
        <v>928749.28251459333</v>
      </c>
      <c r="J20" s="1">
        <f t="shared" si="2"/>
        <v>809707.64741163375</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39366.496195274536</v>
      </c>
      <c r="AI20" s="1">
        <f>IF(AE20 &gt;= 0,
    MAX(0, AF19 + AE20 - Analysis!$C$7),
    0)</f>
        <v>33325.632322368052</v>
      </c>
      <c r="AJ20" s="1">
        <f t="shared" si="44"/>
        <v>538283.89685950207</v>
      </c>
      <c r="AK20" s="1">
        <f t="shared" si="20"/>
        <v>900167.34882575355</v>
      </c>
      <c r="AL20" s="1">
        <f t="shared" si="5"/>
        <v>804720.58836965472</v>
      </c>
      <c r="AM20" s="36"/>
      <c r="AN20" s="1">
        <f t="shared" si="45"/>
        <v>1162661.7427245663</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-30331.122582191456</v>
      </c>
      <c r="AT20" s="1">
        <f>IF($B20&lt;Analysis!$C$66,0,IF($B20=Analysis!$C$66,-AP20-AS20,MIN(0,AT19-AS20)))</f>
        <v>-292905.87331439764</v>
      </c>
      <c r="AU20" s="64">
        <f>IF($B20&lt;Analysis!$C$66,0,IF($B20=Analysis!$C$66,Analysis!$C$72,IF(($B20-Analysis!$C$66)&lt;LOOKUP(Analysis!$C$66,$B:$B,AQ:AQ),AU19,0)))</f>
        <v>4.4399999999999995E-2</v>
      </c>
      <c r="AV20" s="1">
        <f>IF($B20&lt;Analysis!$C$66,0,IF($B20=Analysis!$C$66,-AU20*AP20,AU19*AT19))</f>
        <v>-14351.722617808553</v>
      </c>
      <c r="AW20" s="1">
        <f>IF($B20&lt;Analysis!$C$66,0,IF($B20=Analysis!$C$66,PMT(AU20,AQ20,AP20)*AQ20-AX20-AT20,IF(($B20-Analysis!$C$66+1)&lt;LOOKUP(Analysis!$C$66,$B:$B,AQ:AQ),IF(AW19-AV20&lt;0, AW19-AV20,0),0)))</f>
        <v>-60887.327996097534</v>
      </c>
      <c r="AX20" s="1">
        <f>IF($B20&lt;Analysis!$C$66,0,IF($B20=Analysis!$C$66,AS20+AV20,IF(AT19&lt;0,IF(AT19&gt;LOOKUP(Analysis!$C$66,$B:$B,AX:AX), AT19*(1+AU19),AX19),0)))</f>
        <v>-44682.845200000011</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-3487.9852281736989</v>
      </c>
      <c r="BF20" s="64">
        <f>IF($B20&lt;Analysis!$C$66,0,Analysis!$C$78)</f>
        <v>3.0000000000000001E-3</v>
      </c>
      <c r="BG20" s="1">
        <f>IF($B20&lt;Analysis!$C$66,0,-BH20*AN20)</f>
        <v>-8719.9630704342471</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-148239.37219738221</v>
      </c>
      <c r="BS20" s="64">
        <f>IF($B20&lt;Analysis!C$66,0,Analysis!C$31)</f>
        <v>0.1275</v>
      </c>
      <c r="BT20" s="1">
        <f>IF($B20&lt;Analysis!$C$66,0,AN20+BR20)</f>
        <v>1014422.3705271841</v>
      </c>
      <c r="BU20" s="1">
        <f>IF($B20-Analysis!$C$66&gt;3,0,IF($AN20&gt;LOOKUP(Analysis!$C$66,$B:$B, AN:AN),$V20*(LOOKUP(Analysis!$C$66,$B:$B, AN:AN)-AN20),0))</f>
        <v>0</v>
      </c>
      <c r="BV20" s="1">
        <f t="shared" si="23"/>
        <v>1014422.3705271841</v>
      </c>
      <c r="BW20" s="42"/>
      <c r="BX20" s="1">
        <f>IF($B20&lt;Analysis!$C$66,$P20+$N20+$X20+$Z20,$P20+$N20+AS20+AV20+BB20+BE20+BG20+MAX(BI20,SUM(BJ20:BN20))+BP20)</f>
        <v>-126750.79349860795</v>
      </c>
      <c r="BY20" s="1">
        <f t="shared" si="24"/>
        <v>129876.30189447982</v>
      </c>
      <c r="BZ20" s="1">
        <f t="shared" si="46"/>
        <v>3125.5083958718751</v>
      </c>
      <c r="CA20" s="1">
        <f>IF(BZ20 &lt; 0,
    IF(CA19 + BZ20 &gt; 0,
        CA19 + BZ20, IF(CF19-ABS(CA19 + BZ20)*(1+$V20) &gt;= CA19 + BZ20,
        0, CA19 + BZ20)),
    MIN(CA19 + BZ20, Analysis!$C$7))+IF(CA19&lt;0, CA19*Analysis!$C$9,0)</f>
        <v>-499143.84087149316</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-26690.669572111772</v>
      </c>
      <c r="CJ20" s="1">
        <f>IF(OR($B20&lt;Analysis!$C$100, $B20&gt;=Analysis!$C$130),0,Z20)</f>
        <v>-3960</v>
      </c>
      <c r="CK20" s="1">
        <f t="shared" si="26"/>
        <v>699282.06265318079</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-16918.50138535945</v>
      </c>
      <c r="CQ20" s="1">
        <f>IF(OR($B20&lt;Analysis!$C$100, $B20&gt;=Analysis!$C$101),0,IF($B20=Analysis!$C$100,-CM20-CP20,MIN(0,CQ19-CP20)))</f>
        <v>-163380.97642186022</v>
      </c>
      <c r="CR20" s="64">
        <f>IF(OR($B20&lt;Analysis!$C$100, $B20&gt;=Analysis!$C$101),0,IF($B20=Analysis!$C$100,Analysis!$C$102,IF(($B20-Analysis!$C$100)&lt;LOOKUP(Analysis!$C$100,$B:$B,CN:CN),CR19,0)))</f>
        <v>4.4399999999999995E-2</v>
      </c>
      <c r="CS20" s="1">
        <f>IF(OR($B20&lt;Analysis!$C$100, $B20&gt;=Analysis!$C$101),0,IF($B20=Analysis!$C$100,-CR20*CM20,CR19*CQ19))</f>
        <v>-8005.2968146405519</v>
      </c>
      <c r="CT20" s="1">
        <f>IF(OR($B20&lt;Analysis!$C$100, $B20&gt;=Analysis!$C$101),0,IF($B20=Analysis!$C$100,PMT(CR20,CN20,CM20)*CN20-CU20-CQ20,IF(($B20-Analysis!$C$100+1)&lt;LOOKUP(Analysis!$C$100,$B:$B,CN:CN),IF(CT19-CS20&lt;0, CT19-CS20,0),0)))</f>
        <v>-33962.552499050362</v>
      </c>
      <c r="CU20" s="1">
        <f>IF(OR($B20&lt;Analysis!$C$100, $B20&gt;=Analysis!$C$101),0,IF($B20=Analysis!$C$100,CP20+CS20,IF(CQ19&lt;0,IF(CQ19&gt;LOOKUP(Analysis!$C$100,$B:$B,CU:CU), CQ19*(1+CR19),CU19),0)))</f>
        <v>-24923.798200000001</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29412.182063557349</v>
      </c>
      <c r="DE20" s="1">
        <f t="shared" si="27"/>
        <v>-2097.8461879595425</v>
      </c>
      <c r="DF20" s="64">
        <f>IF(OR($B20&lt;Analysis!$C$100, $B20&gt;=Analysis!$C$101),0,Analysis!$C$118)</f>
        <v>3.0000000000000001E-3</v>
      </c>
      <c r="DG20" s="1">
        <f t="shared" si="28"/>
        <v>-5244.6154698988557</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-8300</v>
      </c>
      <c r="DQ20" s="1">
        <f>-Analysis!$C$117*DB20</f>
        <v>-1751.5751906698356</v>
      </c>
      <c r="DR20" s="1">
        <f t="shared" si="29"/>
        <v>-21354.036848528234</v>
      </c>
      <c r="DS20" s="1">
        <f>MIN(0,-(DB20+DR20)*Analysis!$C$28)-CS20*Analysis!$C$28</f>
        <v>2660.8145196727</v>
      </c>
      <c r="DT20" s="1">
        <f>-Analysis!$C$116*DD20/12</f>
        <v>-2451.0151719631126</v>
      </c>
      <c r="DU20" s="53"/>
      <c r="DV20" s="1">
        <f t="shared" si="30"/>
        <v>-89158.462988280546</v>
      </c>
      <c r="DW20" s="64">
        <f>IF(OR($B20&lt;Analysis!$C$100, $B20&gt;=Analysis!$C$101),0,IF($B20=Analysis!$C$100,Analysis!$C$31,DW19))</f>
        <v>0.1275</v>
      </c>
      <c r="DX20" s="1">
        <f>IF(OR($B20&lt;Analysis!$C$100, $B20&gt;=Analysis!$C$101),0,CK20+DV20)</f>
        <v>610123.59966490022</v>
      </c>
      <c r="DY20" s="1">
        <f>IF(OR($B20&lt;Analysis!$C$100, $B20&gt;=Analysis!$C$101),0,IF($B20-Analysis!$C$100&gt;3,0,IF(CK20&gt;LOOKUP(Analysis!$C$100,$B:$B, CK:CK),$V20*(LOOKUP(Analysis!$C$100,$B:$B, CK:CK)-CK20),0)))</f>
        <v>0</v>
      </c>
      <c r="DZ20" s="1">
        <f t="shared" si="49"/>
        <v>610123.59966490022</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IF($B20&lt;Analysis!$C$130,0,IF($B20=Analysis!$C$130,Analysis!$D$136,IF(($B20-Analysis!$C$130)&lt;LOOKUP(Analysis!$C$130,$B:$B,EE:EE),EI19,0)))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-134318.70527293038</v>
      </c>
      <c r="FM20" s="1">
        <f>$M20+$R20+DD20+IF(AND($B20&lt;&gt;Analysis!$C$130,$B20=Analysis!$C$101),DZ19+CQ19+CT19+CZ19,0)</f>
        <v>159288.48395803716</v>
      </c>
      <c r="FN20" s="1">
        <f t="shared" si="34"/>
        <v>24969.778685106779</v>
      </c>
      <c r="FO20" s="1">
        <f>IF(FN20 &lt; 0,
    IF(FO19 + FN20 &gt; 0,
        FO19 + FN20, IF(FT19-ABS(FO19 + FN20)*(1+$V20) &gt;= FO19 + FN20,
        0, FO19 + FN20)),
    MIN(FO19 + FN20, Analysis!$C$7))+IF(FO19&lt;0, FO19*Analysis!$C$9,0)</f>
        <v>24000</v>
      </c>
      <c r="FP20" s="53"/>
      <c r="FQ20" s="1">
        <f t="shared" si="51"/>
        <v>17159.159311978976</v>
      </c>
      <c r="FR20" s="1">
        <f>IF(OR($B20=Analysis!$C$100, $B20=Analysis!$C$130),0,IF(FN20 &gt;= 0,
    MAX(0, FO19 + FN20 - Analysis!$C$7),
    0))</f>
        <v>24969.778685106779</v>
      </c>
      <c r="FS20" s="1">
        <f>IF(OR($B20=Analysis!$C$100, $B20=Analysis!$C$130),0,MAX(0, FS19 + FR20 - IF(FN20 &lt; 0, MIN(ABS(FN20), FS19 + FR20), 0)))</f>
        <v>289509.62228117068</v>
      </c>
      <c r="FT20" s="1">
        <f>IF(OR($B20=Analysis!$C$100, $B20=Analysis!$C$130),0,IF(FN20 &lt; 0,
    IF(FN20 + FO19 &lt; 0,
        MAX(0, FT19 - (ABS(FN20 + FO19) * (1+$V19))),
        FT19 + FQ20),
    FT19 + FR20 + FQ20))</f>
        <v>402810.74878232309</v>
      </c>
      <c r="FU20" s="1">
        <f t="shared" si="57"/>
        <v>372927.57666764414</v>
      </c>
      <c r="FV20" s="36"/>
      <c r="FW20" s="1">
        <f t="shared" si="52"/>
        <v>699282.06265318079</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-16918.50138535945</v>
      </c>
      <c r="GC20" s="1">
        <f>IF($B20&lt;Analysis!$C$159,0,IF($B20=Analysis!$C$159,-FY20-GB20,MIN(0,GC19-GB20)))</f>
        <v>-163380.97642186022</v>
      </c>
      <c r="GD20" s="64">
        <f>IF($B20&lt;Analysis!$C$159,0,IF($B20=Analysis!$C$159,Analysis!$C$160,IF(($B20-Analysis!$C$159)&lt;LOOKUP(Analysis!$C$159,$B:$B,FZ:FZ),GD19,0)))</f>
        <v>4.4399999999999995E-2</v>
      </c>
      <c r="GE20" s="1">
        <f>IF($B20&lt;Analysis!$C$159,0,IF($B20=Analysis!$C$159,-GD20*FY20,GD19*GC19))</f>
        <v>-8005.2968146405519</v>
      </c>
      <c r="GF20" s="1">
        <f>IF($B20&lt;Analysis!$C$159,0,IF($B20=Analysis!$C$159,PMT(GD20,FZ20,FY20)*FZ20-GG20-GC20,IF(($B20-Analysis!$C$159+1)&lt;LOOKUP(Analysis!$C$159,$B:$B,FZ:FZ),IF(GF19-GE20&lt;0, GF19-GE20,0),0)))</f>
        <v>-33962.552499050362</v>
      </c>
      <c r="GG20" s="1">
        <f>IF($B20&lt;Analysis!$C$159,0,IF($B20=Analysis!$C$159,GB20+GE20,IF(GC19&lt;0,IF(GC19&gt;LOOKUP(Analysis!$C$159,$B:$B,GG:GG), GC19*(1+GD19),GG19),0)))</f>
        <v>-24923.798200000001</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29412.182063557349</v>
      </c>
      <c r="GQ20" s="1">
        <f t="shared" si="36"/>
        <v>-2097.8461879595425</v>
      </c>
      <c r="GR20" s="64">
        <f>IF($B20&lt;Analysis!$C$159,0,Analysis!$C$178)</f>
        <v>3.0000000000000001E-3</v>
      </c>
      <c r="GS20" s="1">
        <f t="shared" si="37"/>
        <v>-5244.6154698988557</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-8300</v>
      </c>
      <c r="HC20" s="1">
        <f>-Analysis!$C$177*GN20</f>
        <v>-1751.5751906698356</v>
      </c>
      <c r="HD20" s="1">
        <f t="shared" si="38"/>
        <v>-21354.036848528234</v>
      </c>
      <c r="HE20" s="1">
        <f>MIN(0,-(GN20+HD20)*Analysis!$C$28)-GE20*Analysis!$C$28</f>
        <v>2660.8145196727</v>
      </c>
      <c r="HF20" s="1">
        <f>-Analysis!$C$176*GP20/12</f>
        <v>-2451.0151719631126</v>
      </c>
      <c r="HG20" s="38"/>
      <c r="HH20" s="1">
        <f>IF($B20&lt;Analysis!$C$159,0,-$HI20*$FW20)</f>
        <v>-89158.462988280546</v>
      </c>
      <c r="HI20" s="64">
        <f>IF($B20&lt;Analysis!$C$159,0,IF($B20=Analysis!$C$159,Analysis!$C$31,HI19))</f>
        <v>0.1275</v>
      </c>
      <c r="HJ20" s="1">
        <f>IF($B20&lt;Analysis!$C$159,0,$FW20+HH20)</f>
        <v>610123.59966490022</v>
      </c>
      <c r="HK20" s="1">
        <f>IF($B20-Analysis!$C$159&gt;10,0,IF($FW20&gt;LOOKUP(Analysis!$C$159,$B:$B, FW:FW),$V20*(LOOKUP(Analysis!$C$159,$B:$B, FW:FW)-FW20),0))</f>
        <v>0</v>
      </c>
      <c r="HL20" s="1">
        <f t="shared" si="39"/>
        <v>610123.59966490022</v>
      </c>
      <c r="HM20" s="38"/>
      <c r="HN20" s="1">
        <f t="shared" si="40"/>
        <v>-134318.70527293038</v>
      </c>
      <c r="HO20" s="1">
        <f t="shared" si="8"/>
        <v>159288.48395803716</v>
      </c>
      <c r="HP20" s="1">
        <f t="shared" si="41"/>
        <v>24969.778685106779</v>
      </c>
      <c r="HQ20" s="1">
        <f>IF(HP20 &lt; 0,
    IF(HQ19 + HP20 &gt; 0,
        HQ19 + HP20, IF(HV19-ABS(HQ19 + HP20)*(1+$V20) &gt;= HQ19 + HP20,
        0, HQ19 + HP20)),
    MIN(HQ19 + HP20, Analysis!$C$7))+IF(HQ19&lt;0, HQ19*Analysis!$C$9,0)</f>
        <v>24000</v>
      </c>
      <c r="HR20" s="38"/>
      <c r="HS20" s="1">
        <f t="shared" si="54"/>
        <v>17159.159311978976</v>
      </c>
      <c r="HT20" s="1">
        <f>IF($B20=Analysis!$C$159,0,IF(HP20 &gt;= 0,
    MAX(0, HQ19 + HP20 - Analysis!$C$7),
    0))</f>
        <v>24969.778685106779</v>
      </c>
      <c r="HU20" s="1">
        <f>IF($B20=Analysis!$C$159,0,MAX(0, HU19 + HT20 - IF(HP20 &lt; 0, MIN(ABS(HP20), HU19 + HT20), 0)))</f>
        <v>289509.62228117068</v>
      </c>
      <c r="HV20" s="1">
        <f>IF($B20=Analysis!$C$159,0,IF(HP20 &lt; 0,
    IF(HP20 + HQ19 &lt; 0,
        MAX(0, HV19 - (ABS(HP20 + HQ19) * (1+$V19))),
        HV19 + HS20),
    HV19 + HT20 + HS20))</f>
        <v>402810.74878232309</v>
      </c>
      <c r="HW20" s="1">
        <f t="shared" si="58"/>
        <v>372927.57666764414</v>
      </c>
      <c r="HX20" s="36"/>
    </row>
    <row r="21" spans="1:232" x14ac:dyDescent="0.35">
      <c r="A21">
        <f t="shared" si="0"/>
        <v>54</v>
      </c>
      <c r="B21">
        <v>2044</v>
      </c>
      <c r="C21" s="1">
        <f>IF($B21&lt;Analysis!C$66,0,$AN21)+$AT21+$AW21+$BC21+$CF21+$CA21</f>
        <v>348780.04452212236</v>
      </c>
      <c r="D21" s="1">
        <f>IF($B21&lt;Analysis!C$66, 0, BV21)+AT21+AW21+BC21+CG21+CA21</f>
        <v>196180.69078952307</v>
      </c>
      <c r="E21" s="1">
        <f t="shared" si="1"/>
        <v>995331.20698917622</v>
      </c>
      <c r="F21" s="1">
        <f t="shared" si="9"/>
        <v>888996.41815359634</v>
      </c>
      <c r="G21" s="1">
        <f>IF(AND($B21&gt;=Analysis!$C$100, $B21&lt;Analysis!$C$101),$CK21,0)+IF($B21&gt;=Analysis!$C$130,EB21,0)+CQ21+CT21+CZ21+EH21+EK21+EQ21+$FO21+$FT21</f>
        <v>1014139.5042790282</v>
      </c>
      <c r="H21" s="1">
        <f t="shared" si="10"/>
        <v>887603.33977031207</v>
      </c>
      <c r="I21" s="1">
        <f>IF($B21&lt;Analysis!$C$159,0,$FW21)+$GC21+$GF21+$GL21+$HQ21+$HV21</f>
        <v>1014139.5042790282</v>
      </c>
      <c r="J21" s="1">
        <f t="shared" si="2"/>
        <v>887603.33977031207</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41281.62418760587</v>
      </c>
      <c r="AI21" s="1">
        <f>IF(AE21 &gt;= 0,
    MAX(0, AF20 + AE21 - Analysis!$C$7),
    0)</f>
        <v>29882.233975816707</v>
      </c>
      <c r="AJ21" s="1">
        <f t="shared" si="44"/>
        <v>568166.13083531882</v>
      </c>
      <c r="AK21" s="1">
        <f t="shared" si="20"/>
        <v>971331.20698917622</v>
      </c>
      <c r="AL21" s="1">
        <f t="shared" si="5"/>
        <v>864996.41815359634</v>
      </c>
      <c r="AM21" s="36"/>
      <c r="AN21" s="1">
        <f t="shared" si="45"/>
        <v>1196857.6763341124</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-31677.824424840757</v>
      </c>
      <c r="AT21" s="1">
        <f>IF($B21&lt;Analysis!$C$66,0,IF($B21=Analysis!$C$66,-AP21-AS21,MIN(0,AT20-AS21)))</f>
        <v>-261228.0488895569</v>
      </c>
      <c r="AU21" s="64">
        <f>IF($B21&lt;Analysis!$C$66,0,IF($B21=Analysis!$C$66,Analysis!$C$72,IF(($B21-Analysis!$C$66)&lt;LOOKUP(Analysis!$C$66,$B:$B,AQ:AQ),AU20,0)))</f>
        <v>4.4399999999999995E-2</v>
      </c>
      <c r="AV21" s="1">
        <f>IF($B21&lt;Analysis!$C$66,0,IF($B21=Analysis!$C$66,-AU21*AP21,AU20*AT20))</f>
        <v>-13005.020775159253</v>
      </c>
      <c r="AW21" s="1">
        <f>IF($B21&lt;Analysis!$C$66,0,IF($B21=Analysis!$C$66,PMT(AU21,AQ21,AP21)*AQ21-AX21-AT21,IF(($B21-Analysis!$C$66+1)&lt;LOOKUP(Analysis!$C$66,$B:$B,AQ:AQ),IF(AW20-AV21&lt;0, AW20-AV21,0),0)))</f>
        <v>-47882.307220938281</v>
      </c>
      <c r="AX21" s="1">
        <f>IF($B21&lt;Analysis!$C$66,0,IF($B21=Analysis!$C$66,AS21+AV21,IF(AT20&lt;0,IF(AT20&gt;LOOKUP(Analysis!$C$66,$B:$B,AX:AX), AT20*(1+AU20),AX20),0)))</f>
        <v>-44682.845200000011</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-3590.5730290023375</v>
      </c>
      <c r="BF21" s="64">
        <f>IF($B21&lt;Analysis!$C$66,0,Analysis!$C$78)</f>
        <v>3.0000000000000001E-3</v>
      </c>
      <c r="BG21" s="1">
        <f>IF($B21&lt;Analysis!$C$66,0,-BH21*AN21)</f>
        <v>-8976.4325725058425</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-152599.35373259932</v>
      </c>
      <c r="BS21" s="64">
        <f>IF($B21&lt;Analysis!C$66,0,Analysis!C$31)</f>
        <v>0.1275</v>
      </c>
      <c r="BT21" s="1">
        <f>IF($B21&lt;Analysis!$C$66,0,AN21+BR21)</f>
        <v>1044258.3226015131</v>
      </c>
      <c r="BU21" s="1">
        <f>IF($B21-Analysis!$C$66&gt;3,0,IF($AN21&gt;LOOKUP(Analysis!$C$66,$B:$B, AN:AN),$V21*(LOOKUP(Analysis!$C$66,$B:$B, AN:AN)-AN21),0))</f>
        <v>0</v>
      </c>
      <c r="BV21" s="1">
        <f t="shared" si="23"/>
        <v>1044258.3226015131</v>
      </c>
      <c r="BW21" s="42"/>
      <c r="BX21" s="1">
        <f>IF($B21&lt;Analysis!$C$66,$P21+$N21+$X21+$Z21,$P21+$N21+AS21+AV21+BB21+BE21+BG21+MAX(BI21,SUM(BJ21:BN21))+BP21)</f>
        <v>-131359.85080150818</v>
      </c>
      <c r="BY21" s="1">
        <f t="shared" si="24"/>
        <v>131467.92324122589</v>
      </c>
      <c r="BZ21" s="1">
        <f t="shared" si="46"/>
        <v>108.07243971771095</v>
      </c>
      <c r="CA21" s="1">
        <f>IF(BZ21 &lt; 0,
    IF(CA20 + BZ21 &gt; 0,
        CA20 + BZ21, IF(CF20-ABS(CA20 + BZ21)*(1+$V21) &gt;= CA20 + BZ21,
        0, CA20 + BZ21)),
    MIN(CA20 + BZ21, Analysis!$C$7))+IF(CA20&lt;0, CA20*Analysis!$C$9,0)</f>
        <v>-538967.27570149489</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-27475.689265409179</v>
      </c>
      <c r="CJ21" s="1">
        <f>IF(OR($B21&lt;Analysis!$C$100, $B21&gt;=Analysis!$C$130),0,Z21)</f>
        <v>-3960</v>
      </c>
      <c r="CK21" s="1">
        <f t="shared" si="26"/>
        <v>719849.18214298028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-17669.682846869408</v>
      </c>
      <c r="CQ21" s="1">
        <f>IF(OR($B21&lt;Analysis!$C$100, $B21&gt;=Analysis!$C$101),0,IF($B21=Analysis!$C$100,-CM21-CP21,MIN(0,CQ20-CP21)))</f>
        <v>-145711.29357499082</v>
      </c>
      <c r="CR21" s="64">
        <f>IF(OR($B21&lt;Analysis!$C$100, $B21&gt;=Analysis!$C$101),0,IF($B21=Analysis!$C$100,Analysis!$C$102,IF(($B21-Analysis!$C$100)&lt;LOOKUP(Analysis!$C$100,$B:$B,CN:CN),CR20,0)))</f>
        <v>4.4399999999999995E-2</v>
      </c>
      <c r="CS21" s="1">
        <f>IF(OR($B21&lt;Analysis!$C$100, $B21&gt;=Analysis!$C$101),0,IF($B21=Analysis!$C$100,-CR21*CM21,CR20*CQ20))</f>
        <v>-7254.1153531305927</v>
      </c>
      <c r="CT21" s="1">
        <f>IF(OR($B21&lt;Analysis!$C$100, $B21&gt;=Analysis!$C$101),0,IF($B21=Analysis!$C$100,PMT(CR21,CN21,CM21)*CN21-CU21-CQ21,IF(($B21-Analysis!$C$100+1)&lt;LOOKUP(Analysis!$C$100,$B:$B,CN:CN),IF(CT20-CS21&lt;0, CT20-CS21,0),0)))</f>
        <v>-26708.437145919768</v>
      </c>
      <c r="CU21" s="1">
        <f>IF(OR($B21&lt;Analysis!$C$100, $B21&gt;=Analysis!$C$101),0,IF($B21=Analysis!$C$100,CP21+CS21,IF(CQ20&lt;0,IF(CQ20&gt;LOOKUP(Analysis!$C$100,$B:$B,CU:CU), CQ20*(1+CR20),CU20),0)))</f>
        <v>-24923.798200000001</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30160.775653661982</v>
      </c>
      <c r="DE21" s="1">
        <f t="shared" si="27"/>
        <v>-2159.5475464289407</v>
      </c>
      <c r="DF21" s="64">
        <f>IF(OR($B21&lt;Analysis!$C$100, $B21&gt;=Analysis!$C$101),0,Analysis!$C$118)</f>
        <v>3.0000000000000001E-3</v>
      </c>
      <c r="DG21" s="1">
        <f t="shared" si="28"/>
        <v>-5398.8688660723519</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-8300</v>
      </c>
      <c r="DQ21" s="1">
        <f>-Analysis!$C$117*DB21</f>
        <v>-1803.092108042478</v>
      </c>
      <c r="DR21" s="1">
        <f t="shared" si="29"/>
        <v>-21621.508520543768</v>
      </c>
      <c r="DS21" s="1">
        <f>MIN(0,-(DB21+DR21)*Analysis!$C$28)-CS21*Analysis!$C$28</f>
        <v>2142.1207641101487</v>
      </c>
      <c r="DT21" s="1">
        <f>-Analysis!$C$116*DD21/12</f>
        <v>-2513.3979711384986</v>
      </c>
      <c r="DU21" s="53"/>
      <c r="DV21" s="1">
        <f t="shared" si="30"/>
        <v>-91780.770723229987</v>
      </c>
      <c r="DW21" s="64">
        <f>IF(OR($B21&lt;Analysis!$C$100, $B21&gt;=Analysis!$C$101),0,IF($B21=Analysis!$C$100,Analysis!$C$31,DW20))</f>
        <v>0.1275</v>
      </c>
      <c r="DX21" s="1">
        <f>IF(OR($B21&lt;Analysis!$C$100, $B21&gt;=Analysis!$C$101),0,CK21+DV21)</f>
        <v>628068.41141975031</v>
      </c>
      <c r="DY21" s="1">
        <f>IF(OR($B21&lt;Analysis!$C$100, $B21&gt;=Analysis!$C$101),0,IF($B21-Analysis!$C$100&gt;3,0,IF(CK21&gt;LOOKUP(Analysis!$C$100,$B:$B, CK:CK),$V21*(LOOKUP(Analysis!$C$100,$B:$B, CK:CK)-CK21),0)))</f>
        <v>0</v>
      </c>
      <c r="DZ21" s="1">
        <f t="shared" si="49"/>
        <v>628068.41141975031</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IF($B21&lt;Analysis!$C$130,0,IF($B21=Analysis!$C$130,Analysis!$D$136,IF(($B21-Analysis!$C$130)&lt;LOOKUP(Analysis!$C$130,$B:$B,EE:EE),EI20,0)))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-140202.27319298129</v>
      </c>
      <c r="FM21" s="1">
        <f>$M21+$R21+DD21+IF(AND($B21&lt;&gt;Analysis!$C$130,$B21=Analysis!$C$101),DZ20+CQ20+CT20+CZ20,0)</f>
        <v>161628.69889488787</v>
      </c>
      <c r="FN21" s="1">
        <f t="shared" si="34"/>
        <v>21426.425701906584</v>
      </c>
      <c r="FO21" s="1">
        <f>IF(FN21 &lt; 0,
    IF(FO20 + FN21 &gt; 0,
        FO20 + FN21, IF(FT20-ABS(FO20 + FN21)*(1+$V21) &gt;= FO20 + FN21,
        0, FO20 + FN21)),
    MIN(FO20 + FN21, Analysis!$C$7))+IF(FO20&lt;0, FO20*Analysis!$C$9,0)</f>
        <v>24000</v>
      </c>
      <c r="FP21" s="53"/>
      <c r="FQ21" s="1">
        <f t="shared" si="51"/>
        <v>18472.878372728905</v>
      </c>
      <c r="FR21" s="1">
        <f>IF(OR($B21=Analysis!$C$100, $B21=Analysis!$C$130),0,IF(FN21 &gt;= 0,
    MAX(0, FO20 + FN21 - Analysis!$C$7),
    0))</f>
        <v>21426.425701906584</v>
      </c>
      <c r="FS21" s="1">
        <f>IF(OR($B21=Analysis!$C$100, $B21=Analysis!$C$130),0,MAX(0, FS20 + FR21 - IF(FN21 &lt; 0, MIN(ABS(FN21), FS20 + FR21), 0)))</f>
        <v>310936.04798307724</v>
      </c>
      <c r="FT21" s="1">
        <f>IF(OR($B21=Analysis!$C$100, $B21=Analysis!$C$130),0,IF(FN21 &lt; 0,
    IF(FN21 + FO20 &lt; 0,
        MAX(0, FT20 - (ABS(FN21 + FO20) * (1+$V20))),
        FT20 + FQ21),
    FT20 + FR21 + FQ21))</f>
        <v>442710.05285695853</v>
      </c>
      <c r="FU21" s="1">
        <f t="shared" si="57"/>
        <v>407954.65907147236</v>
      </c>
      <c r="FV21" s="36"/>
      <c r="FW21" s="1">
        <f t="shared" si="52"/>
        <v>719849.18214298028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-17669.682846869408</v>
      </c>
      <c r="GC21" s="1">
        <f>IF($B21&lt;Analysis!$C$159,0,IF($B21=Analysis!$C$159,-FY21-GB21,MIN(0,GC20-GB21)))</f>
        <v>-145711.29357499082</v>
      </c>
      <c r="GD21" s="64">
        <f>IF($B21&lt;Analysis!$C$159,0,IF($B21=Analysis!$C$159,Analysis!$C$160,IF(($B21-Analysis!$C$159)&lt;LOOKUP(Analysis!$C$159,$B:$B,FZ:FZ),GD20,0)))</f>
        <v>4.4399999999999995E-2</v>
      </c>
      <c r="GE21" s="1">
        <f>IF($B21&lt;Analysis!$C$159,0,IF($B21=Analysis!$C$159,-GD21*FY21,GD20*GC20))</f>
        <v>-7254.1153531305927</v>
      </c>
      <c r="GF21" s="1">
        <f>IF($B21&lt;Analysis!$C$159,0,IF($B21=Analysis!$C$159,PMT(GD21,FZ21,FY21)*FZ21-GG21-GC21,IF(($B21-Analysis!$C$159+1)&lt;LOOKUP(Analysis!$C$159,$B:$B,FZ:FZ),IF(GF20-GE21&lt;0, GF20-GE21,0),0)))</f>
        <v>-26708.437145919768</v>
      </c>
      <c r="GG21" s="1">
        <f>IF($B21&lt;Analysis!$C$159,0,IF($B21=Analysis!$C$159,GB21+GE21,IF(GC20&lt;0,IF(GC20&gt;LOOKUP(Analysis!$C$159,$B:$B,GG:GG), GC20*(1+GD20),GG20),0)))</f>
        <v>-24923.798200000001</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30160.775653661982</v>
      </c>
      <c r="GQ21" s="1">
        <f t="shared" si="36"/>
        <v>-2159.5475464289407</v>
      </c>
      <c r="GR21" s="64">
        <f>IF($B21&lt;Analysis!$C$159,0,Analysis!$C$178)</f>
        <v>3.0000000000000001E-3</v>
      </c>
      <c r="GS21" s="1">
        <f t="shared" si="37"/>
        <v>-5398.8688660723519</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-8300</v>
      </c>
      <c r="HC21" s="1">
        <f>-Analysis!$C$177*GN21</f>
        <v>-1803.092108042478</v>
      </c>
      <c r="HD21" s="1">
        <f t="shared" si="38"/>
        <v>-21621.508520543768</v>
      </c>
      <c r="HE21" s="1">
        <f>MIN(0,-(GN21+HD21)*Analysis!$C$28)-GE21*Analysis!$C$28</f>
        <v>2142.1207641101487</v>
      </c>
      <c r="HF21" s="1">
        <f>-Analysis!$C$176*GP21/12</f>
        <v>-2513.3979711384986</v>
      </c>
      <c r="HG21" s="38"/>
      <c r="HH21" s="1">
        <f>IF($B21&lt;Analysis!$C$159,0,-$HI21*$FW21)</f>
        <v>-91780.770723229987</v>
      </c>
      <c r="HI21" s="64">
        <f>IF($B21&lt;Analysis!$C$159,0,IF($B21=Analysis!$C$159,Analysis!$C$31,HI20))</f>
        <v>0.1275</v>
      </c>
      <c r="HJ21" s="1">
        <f>IF($B21&lt;Analysis!$C$159,0,$FW21+HH21)</f>
        <v>628068.41141975031</v>
      </c>
      <c r="HK21" s="1">
        <f>IF($B21-Analysis!$C$159&gt;10,0,IF($FW21&gt;LOOKUP(Analysis!$C$159,$B:$B, FW:FW),$V21*(LOOKUP(Analysis!$C$159,$B:$B, FW:FW)-FW21),0))</f>
        <v>0</v>
      </c>
      <c r="HL21" s="1">
        <f t="shared" si="39"/>
        <v>628068.41141975031</v>
      </c>
      <c r="HM21" s="38"/>
      <c r="HN21" s="1">
        <f t="shared" si="40"/>
        <v>-140202.27319298129</v>
      </c>
      <c r="HO21" s="1">
        <f t="shared" si="8"/>
        <v>161628.69889488787</v>
      </c>
      <c r="HP21" s="1">
        <f t="shared" si="41"/>
        <v>21426.425701906584</v>
      </c>
      <c r="HQ21" s="1">
        <f>IF(HP21 &lt; 0,
    IF(HQ20 + HP21 &gt; 0,
        HQ20 + HP21, IF(HV20-ABS(HQ20 + HP21)*(1+$V21) &gt;= HQ20 + HP21,
        0, HQ20 + HP21)),
    MIN(HQ20 + HP21, Analysis!$C$7))+IF(HQ20&lt;0, HQ20*Analysis!$C$9,0)</f>
        <v>24000</v>
      </c>
      <c r="HR21" s="38"/>
      <c r="HS21" s="1">
        <f t="shared" si="54"/>
        <v>18472.878372728905</v>
      </c>
      <c r="HT21" s="1">
        <f>IF($B21=Analysis!$C$159,0,IF(HP21 &gt;= 0,
    MAX(0, HQ20 + HP21 - Analysis!$C$7),
    0))</f>
        <v>21426.425701906584</v>
      </c>
      <c r="HU21" s="1">
        <f>IF($B21=Analysis!$C$159,0,MAX(0, HU20 + HT21 - IF(HP21 &lt; 0, MIN(ABS(HP21), HU20 + HT21), 0)))</f>
        <v>310936.04798307724</v>
      </c>
      <c r="HV21" s="1">
        <f>IF($B21=Analysis!$C$159,0,IF(HP21 &lt; 0,
    IF(HP21 + HQ20 &lt; 0,
        MAX(0, HV20 - (ABS(HP21 + HQ20) * (1+$V20))),
        HV20 + HS21),
    HV20 + HT21 + HS21))</f>
        <v>442710.05285695853</v>
      </c>
      <c r="HW21" s="1">
        <f t="shared" si="58"/>
        <v>407954.65907147236</v>
      </c>
      <c r="HX21" s="36"/>
    </row>
    <row r="22" spans="1:232" x14ac:dyDescent="0.35">
      <c r="A22">
        <f t="shared" si="0"/>
        <v>55</v>
      </c>
      <c r="B22">
        <v>2045</v>
      </c>
      <c r="C22" s="1">
        <f>IF($B22&lt;Analysis!C$66,0,$AN22)+$AT22+$AW22+$BC22+$CF22+$CA22</f>
        <v>435285.65865667944</v>
      </c>
      <c r="D22" s="1">
        <f>IF($B22&lt;Analysis!C$66, 0, BV22)+AT22+AW22+BC22+CG22+CA22</f>
        <v>278198.08863782708</v>
      </c>
      <c r="E22" s="1">
        <f t="shared" si="1"/>
        <v>1117285.3879814148</v>
      </c>
      <c r="F22" s="1">
        <f t="shared" si="9"/>
        <v>999640.98450131982</v>
      </c>
      <c r="G22" s="1">
        <f>IF(AND($B22&gt;=Analysis!$C$100, $B22&lt;Analysis!$C$101),$CK22,0)+IF($B22&gt;=Analysis!$C$130,EB22,0)+CQ22+CT22+CZ22+EH22+EK22+EQ22+$FO22+$FT22</f>
        <v>1150289.4978545709</v>
      </c>
      <c r="H22" s="1">
        <f t="shared" si="10"/>
        <v>1015899.2409948617</v>
      </c>
      <c r="I22" s="1">
        <f>IF($B22&lt;Analysis!$C$159,0,$FW22)+$GC22+$GF22+$GL22+$HQ22+$HV22</f>
        <v>1150289.4978545709</v>
      </c>
      <c r="J22" s="1">
        <f t="shared" si="2"/>
        <v>1015899.2409948617</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42880.055524228235</v>
      </c>
      <c r="AI22" s="1">
        <f>IF(AE22 &gt;= 0,
    MAX(0, AF21 + AE22 - Analysis!$C$7),
    0)</f>
        <v>79074.125468010549</v>
      </c>
      <c r="AJ22" s="1">
        <f t="shared" si="44"/>
        <v>647240.25630332937</v>
      </c>
      <c r="AK22" s="1">
        <f t="shared" si="20"/>
        <v>1093285.3879814148</v>
      </c>
      <c r="AL22" s="1">
        <f t="shared" si="5"/>
        <v>975640.98450131982</v>
      </c>
      <c r="AM22" s="36"/>
      <c r="AN22" s="1">
        <f t="shared" si="45"/>
        <v>1232059.3726968805</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-33084.319829303684</v>
      </c>
      <c r="AT22" s="1">
        <f>IF($B22&lt;Analysis!$C$66,0,IF($B22=Analysis!$C$66,-AP22-AS22,MIN(0,AT21-AS22)))</f>
        <v>-228143.72906025322</v>
      </c>
      <c r="AU22" s="64">
        <f>IF($B22&lt;Analysis!$C$66,0,IF($B22=Analysis!$C$66,Analysis!$C$72,IF(($B22-Analysis!$C$66)&lt;LOOKUP(Analysis!$C$66,$B:$B,AQ:AQ),AU21,0)))</f>
        <v>4.4399999999999995E-2</v>
      </c>
      <c r="AV22" s="1">
        <f>IF($B22&lt;Analysis!$C$66,0,IF($B22=Analysis!$C$66,-AU22*AP22,AU21*AT21))</f>
        <v>-11598.525370696325</v>
      </c>
      <c r="AW22" s="1">
        <f>IF($B22&lt;Analysis!$C$66,0,IF($B22=Analysis!$C$66,PMT(AU22,AQ22,AP22)*AQ22-AX22-AT22,IF(($B22-Analysis!$C$66+1)&lt;LOOKUP(Analysis!$C$66,$B:$B,AQ:AQ),IF(AW21-AV22&lt;0, AW21-AV22,0),0)))</f>
        <v>-36283.781850241954</v>
      </c>
      <c r="AX22" s="1">
        <f>IF($B22&lt;Analysis!$C$66,0,IF($B22=Analysis!$C$66,AS22+AV22,IF(AT21&lt;0,IF(AT21&gt;LOOKUP(Analysis!$C$66,$B:$B,AX:AX), AT21*(1+AU21),AX21),0)))</f>
        <v>-44682.845200000011</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-3696.1781180906414</v>
      </c>
      <c r="BF22" s="64">
        <f>IF($B22&lt;Analysis!$C$66,0,Analysis!$C$78)</f>
        <v>3.0000000000000001E-3</v>
      </c>
      <c r="BG22" s="1">
        <f>IF($B22&lt;Analysis!$C$66,0,-BH22*AN22)</f>
        <v>-9240.4452952266038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-157087.57001885228</v>
      </c>
      <c r="BS22" s="64">
        <f>IF($B22&lt;Analysis!C$66,0,Analysis!C$31)</f>
        <v>0.1275</v>
      </c>
      <c r="BT22" s="1">
        <f>IF($B22&lt;Analysis!$C$66,0,AN22+BR22)</f>
        <v>1074971.8026780281</v>
      </c>
      <c r="BU22" s="1">
        <f>IF($B22-Analysis!$C$66&gt;3,0,IF($AN22&gt;LOOKUP(Analysis!$C$66,$B:$B, AN:AN),$V22*(LOOKUP(Analysis!$C$66,$B:$B, AN:AN)-AN22),0))</f>
        <v>0</v>
      </c>
      <c r="BV22" s="1">
        <f t="shared" si="23"/>
        <v>1074971.8026780281</v>
      </c>
      <c r="BW22" s="42"/>
      <c r="BX22" s="1">
        <f>IF($B22&lt;Analysis!$C$66,$P22+$N22+$X22+$Z22,$P22+$N22+AS22+AV22+BB22+BE22+BG22+MAX(BI22,SUM(BJ22:BN22))+BP22)</f>
        <v>-131729.46861331724</v>
      </c>
      <c r="BY22" s="1">
        <f t="shared" si="24"/>
        <v>181467.92324122589</v>
      </c>
      <c r="BZ22" s="1">
        <f t="shared" si="46"/>
        <v>49738.45462790865</v>
      </c>
      <c r="CA22" s="1">
        <f>IF(BZ22 &lt; 0,
    IF(CA21 + BZ22 &gt; 0,
        CA21 + BZ22, IF(CF21-ABS(CA21 + BZ22)*(1+$V22) &gt;= CA21 + BZ22,
        0, CA21 + BZ22)),
    MIN(CA21 + BZ22, Analysis!$C$7))+IF(CA21&lt;0, CA21*Analysis!$C$9,0)</f>
        <v>-532346.20312970586</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-28283.797773215334</v>
      </c>
      <c r="CJ22" s="1">
        <f>IF(OR($B22&lt;Analysis!$C$100, $B22&gt;=Analysis!$C$130),0,Z22)</f>
        <v>-3960</v>
      </c>
      <c r="CK22" s="1">
        <f t="shared" si="26"/>
        <v>741021.21691189159</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-18454.216765270408</v>
      </c>
      <c r="CQ22" s="1">
        <f>IF(OR($B22&lt;Analysis!$C$100, $B22&gt;=Analysis!$C$101),0,IF($B22=Analysis!$C$100,-CM22-CP22,MIN(0,CQ21-CP22)))</f>
        <v>-127257.07680972041</v>
      </c>
      <c r="CR22" s="64">
        <f>IF(OR($B22&lt;Analysis!$C$100, $B22&gt;=Analysis!$C$101),0,IF($B22=Analysis!$C$100,Analysis!$C$102,IF(($B22-Analysis!$C$100)&lt;LOOKUP(Analysis!$C$100,$B:$B,CN:CN),CR21,0)))</f>
        <v>4.4399999999999995E-2</v>
      </c>
      <c r="CS22" s="1">
        <f>IF(OR($B22&lt;Analysis!$C$100, $B22&gt;=Analysis!$C$101),0,IF($B22=Analysis!$C$100,-CR22*CM22,CR21*CQ21))</f>
        <v>-6469.5814347295918</v>
      </c>
      <c r="CT22" s="1">
        <f>IF(OR($B22&lt;Analysis!$C$100, $B22&gt;=Analysis!$C$101),0,IF($B22=Analysis!$C$100,PMT(CR22,CN22,CM22)*CN22-CU22-CQ22,IF(($B22-Analysis!$C$100+1)&lt;LOOKUP(Analysis!$C$100,$B:$B,CN:CN),IF(CT21-CS22&lt;0, CT21-CS22,0),0)))</f>
        <v>-20238.855711190175</v>
      </c>
      <c r="CU22" s="1">
        <f>IF(OR($B22&lt;Analysis!$C$100, $B22&gt;=Analysis!$C$101),0,IF($B22=Analysis!$C$100,CP22+CS22,IF(CQ21&lt;0,IF(CQ21&gt;LOOKUP(Analysis!$C$100,$B:$B,CU:CU), CQ21*(1+CR21),CU21),0)))</f>
        <v>-24923.798200000001</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30931.386702299103</v>
      </c>
      <c r="DE22" s="1">
        <f t="shared" si="27"/>
        <v>-2223.0636507356749</v>
      </c>
      <c r="DF22" s="64">
        <f>IF(OR($B22&lt;Analysis!$C$100, $B22&gt;=Analysis!$C$101),0,Analysis!$C$118)</f>
        <v>3.0000000000000001E-3</v>
      </c>
      <c r="DG22" s="1">
        <f t="shared" si="28"/>
        <v>-5557.6591268391867</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-8300</v>
      </c>
      <c r="DQ22" s="1">
        <f>-Analysis!$C$117*DB22</f>
        <v>-1856.124228867257</v>
      </c>
      <c r="DR22" s="1">
        <f t="shared" si="29"/>
        <v>-21896.84700644212</v>
      </c>
      <c r="DS22" s="1">
        <f>MIN(0,-(DB22+DR22)*Analysis!$C$28)-CS22*Analysis!$C$28</f>
        <v>1603.1824981354305</v>
      </c>
      <c r="DT22" s="1">
        <f>-Analysis!$C$116*DD22/12</f>
        <v>-2577.6155585249253</v>
      </c>
      <c r="DU22" s="53"/>
      <c r="DV22" s="1">
        <f t="shared" si="30"/>
        <v>-94480.20515626618</v>
      </c>
      <c r="DW22" s="64">
        <f>IF(OR($B22&lt;Analysis!$C$100, $B22&gt;=Analysis!$C$101),0,IF($B22=Analysis!$C$100,Analysis!$C$31,DW21))</f>
        <v>0.1275</v>
      </c>
      <c r="DX22" s="1">
        <f>IF(OR($B22&lt;Analysis!$C$100, $B22&gt;=Analysis!$C$101),0,CK22+DV22)</f>
        <v>646541.01175562537</v>
      </c>
      <c r="DY22" s="1">
        <f>IF(OR($B22&lt;Analysis!$C$100, $B22&gt;=Analysis!$C$101),0,IF($B22-Analysis!$C$100&gt;3,0,IF(CK22&gt;LOOKUP(Analysis!$C$100,$B:$B, CK:CK),$V22*(LOOKUP(Analysis!$C$100,$B:$B, CK:CK)-CK22),0)))</f>
        <v>0</v>
      </c>
      <c r="DZ22" s="1">
        <f t="shared" si="49"/>
        <v>646541.01175562537</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IF($B22&lt;Analysis!$C$130,0,IF($B22=Analysis!$C$130,Analysis!$D$136,IF(($B22-Analysis!$C$130)&lt;LOOKUP(Analysis!$C$130,$B:$B,EE:EE),EI21,0)))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-141888.87604004698</v>
      </c>
      <c r="FM22" s="1">
        <f>$M22+$R22+DD22+IF(AND($B22&lt;&gt;Analysis!$C$130,$B22=Analysis!$C$101),DZ21+CQ21+CT21+CZ21,0)</f>
        <v>212399.309943525</v>
      </c>
      <c r="FN22" s="1">
        <f t="shared" si="34"/>
        <v>70510.433903478028</v>
      </c>
      <c r="FO22" s="1">
        <f>IF(FN22 &lt; 0,
    IF(FO21 + FN22 &gt; 0,
        FO21 + FN22, IF(FT21-ABS(FO21 + FN22)*(1+$V22) &gt;= FO21 + FN22,
        0, FO21 + FN22)),
    MIN(FO21 + FN22, Analysis!$C$7))+IF(FO21&lt;0, FO21*Analysis!$C$9,0)</f>
        <v>24000</v>
      </c>
      <c r="FP22" s="53"/>
      <c r="FQ22" s="1">
        <f t="shared" si="51"/>
        <v>19543.726703153206</v>
      </c>
      <c r="FR22" s="1">
        <f>IF(OR($B22=Analysis!$C$100, $B22=Analysis!$C$130),0,IF(FN22 &gt;= 0,
    MAX(0, FO21 + FN22 - Analysis!$C$7),
    0))</f>
        <v>70510.433903478028</v>
      </c>
      <c r="FS22" s="1">
        <f>IF(OR($B22=Analysis!$C$100, $B22=Analysis!$C$130),0,MAX(0, FS21 + FR22 - IF(FN22 &lt; 0, MIN(ABS(FN22), FS21 + FR22), 0)))</f>
        <v>381446.48188655527</v>
      </c>
      <c r="FT22" s="1">
        <f>IF(OR($B22=Analysis!$C$100, $B22=Analysis!$C$130),0,IF(FN22 &lt; 0,
    IF(FN22 + FO21 &lt; 0,
        MAX(0, FT21 - (ABS(FN22 + FO21) * (1+$V21))),
        FT21 + FQ22),
    FT21 + FR22 + FQ22))</f>
        <v>532764.21346358978</v>
      </c>
      <c r="FU22" s="1">
        <f t="shared" si="57"/>
        <v>492854.16176014696</v>
      </c>
      <c r="FV22" s="36"/>
      <c r="FW22" s="1">
        <f t="shared" si="52"/>
        <v>741021.21691189159</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-18454.216765270408</v>
      </c>
      <c r="GC22" s="1">
        <f>IF($B22&lt;Analysis!$C$159,0,IF($B22=Analysis!$C$159,-FY22-GB22,MIN(0,GC21-GB22)))</f>
        <v>-127257.07680972041</v>
      </c>
      <c r="GD22" s="64">
        <f>IF($B22&lt;Analysis!$C$159,0,IF($B22=Analysis!$C$159,Analysis!$C$160,IF(($B22-Analysis!$C$159)&lt;LOOKUP(Analysis!$C$159,$B:$B,FZ:FZ),GD21,0)))</f>
        <v>4.4399999999999995E-2</v>
      </c>
      <c r="GE22" s="1">
        <f>IF($B22&lt;Analysis!$C$159,0,IF($B22=Analysis!$C$159,-GD22*FY22,GD21*GC21))</f>
        <v>-6469.5814347295918</v>
      </c>
      <c r="GF22" s="1">
        <f>IF($B22&lt;Analysis!$C$159,0,IF($B22=Analysis!$C$159,PMT(GD22,FZ22,FY22)*FZ22-GG22-GC22,IF(($B22-Analysis!$C$159+1)&lt;LOOKUP(Analysis!$C$159,$B:$B,FZ:FZ),IF(GF21-GE22&lt;0, GF21-GE22,0),0)))</f>
        <v>-20238.855711190175</v>
      </c>
      <c r="GG22" s="1">
        <f>IF($B22&lt;Analysis!$C$159,0,IF($B22=Analysis!$C$159,GB22+GE22,IF(GC21&lt;0,IF(GC21&gt;LOOKUP(Analysis!$C$159,$B:$B,GG:GG), GC21*(1+GD21),GG21),0)))</f>
        <v>-24923.798200000001</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30931.386702299103</v>
      </c>
      <c r="GQ22" s="1">
        <f t="shared" si="36"/>
        <v>-2223.0636507356749</v>
      </c>
      <c r="GR22" s="64">
        <f>IF($B22&lt;Analysis!$C$159,0,Analysis!$C$178)</f>
        <v>3.0000000000000001E-3</v>
      </c>
      <c r="GS22" s="1">
        <f t="shared" si="37"/>
        <v>-5557.6591268391867</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-8300</v>
      </c>
      <c r="HC22" s="1">
        <f>-Analysis!$C$177*GN22</f>
        <v>-1856.124228867257</v>
      </c>
      <c r="HD22" s="1">
        <f t="shared" si="38"/>
        <v>-21896.84700644212</v>
      </c>
      <c r="HE22" s="1">
        <f>MIN(0,-(GN22+HD22)*Analysis!$C$28)-GE22*Analysis!$C$28</f>
        <v>1603.1824981354305</v>
      </c>
      <c r="HF22" s="1">
        <f>-Analysis!$C$176*GP22/12</f>
        <v>-2577.6155585249253</v>
      </c>
      <c r="HG22" s="38"/>
      <c r="HH22" s="1">
        <f>IF($B22&lt;Analysis!$C$159,0,-$HI22*$FW22)</f>
        <v>-94480.20515626618</v>
      </c>
      <c r="HI22" s="64">
        <f>IF($B22&lt;Analysis!$C$159,0,IF($B22=Analysis!$C$159,Analysis!$C$31,HI21))</f>
        <v>0.1275</v>
      </c>
      <c r="HJ22" s="1">
        <f>IF($B22&lt;Analysis!$C$159,0,$FW22+HH22)</f>
        <v>646541.01175562537</v>
      </c>
      <c r="HK22" s="1">
        <f>IF($B22-Analysis!$C$159&gt;10,0,IF($FW22&gt;LOOKUP(Analysis!$C$159,$B:$B, FW:FW),$V22*(LOOKUP(Analysis!$C$159,$B:$B, FW:FW)-FW22),0))</f>
        <v>0</v>
      </c>
      <c r="HL22" s="1">
        <f t="shared" si="39"/>
        <v>646541.01175562537</v>
      </c>
      <c r="HM22" s="38"/>
      <c r="HN22" s="1">
        <f t="shared" si="40"/>
        <v>-141888.87604004698</v>
      </c>
      <c r="HO22" s="1">
        <f t="shared" si="8"/>
        <v>212399.309943525</v>
      </c>
      <c r="HP22" s="1">
        <f t="shared" si="41"/>
        <v>70510.433903478028</v>
      </c>
      <c r="HQ22" s="1">
        <f>IF(HP22 &lt; 0,
    IF(HQ21 + HP22 &gt; 0,
        HQ21 + HP22, IF(HV21-ABS(HQ21 + HP22)*(1+$V22) &gt;= HQ21 + HP22,
        0, HQ21 + HP22)),
    MIN(HQ21 + HP22, Analysis!$C$7))+IF(HQ21&lt;0, HQ21*Analysis!$C$9,0)</f>
        <v>24000</v>
      </c>
      <c r="HR22" s="38"/>
      <c r="HS22" s="1">
        <f t="shared" si="54"/>
        <v>19543.726703153206</v>
      </c>
      <c r="HT22" s="1">
        <f>IF($B22=Analysis!$C$159,0,IF(HP22 &gt;= 0,
    MAX(0, HQ21 + HP22 - Analysis!$C$7),
    0))</f>
        <v>70510.433903478028</v>
      </c>
      <c r="HU22" s="1">
        <f>IF($B22=Analysis!$C$159,0,MAX(0, HU21 + HT22 - IF(HP22 &lt; 0, MIN(ABS(HP22), HU21 + HT22), 0)))</f>
        <v>381446.48188655527</v>
      </c>
      <c r="HV22" s="1">
        <f>IF($B22=Analysis!$C$159,0,IF(HP22 &lt; 0,
    IF(HP22 + HQ21 &lt; 0,
        MAX(0, HV21 - (ABS(HP22 + HQ21) * (1+$V21))),
        HV21 + HS22),
    HV21 + HT22 + HS22))</f>
        <v>532764.21346358978</v>
      </c>
      <c r="HW22" s="1">
        <f t="shared" si="58"/>
        <v>492854.16176014696</v>
      </c>
      <c r="HX22" s="36"/>
    </row>
    <row r="23" spans="1:232" x14ac:dyDescent="0.35">
      <c r="A23">
        <f t="shared" si="0"/>
        <v>56</v>
      </c>
      <c r="B23">
        <v>2046</v>
      </c>
      <c r="C23" s="1">
        <f>IF($B23&lt;Analysis!C$66,0,$AN23)+$AT23+$AW23+$BC23+$CF23+$CA23</f>
        <v>468725.81368372845</v>
      </c>
      <c r="D23" s="1">
        <f>IF($B23&lt;Analysis!C$66, 0, BV23)+AT23+AW23+BC23+CG23+CA23</f>
        <v>307018.02101726294</v>
      </c>
      <c r="E23" s="1">
        <f t="shared" si="1"/>
        <v>1187667.2366441698</v>
      </c>
      <c r="F23" s="1">
        <f t="shared" si="9"/>
        <v>1057787.5762696173</v>
      </c>
      <c r="G23" s="1">
        <f>IF(AND($B23&gt;=Analysis!$C$100, $B23&lt;Analysis!$C$101),$CK23,0)+IF($B23&gt;=Analysis!$C$130,EB23,0)+CQ23+CT23+CZ23+EH23+EK23+EQ23+$FO23+$FT23</f>
        <v>1234926.2454055513</v>
      </c>
      <c r="H23" s="1">
        <f t="shared" si="10"/>
        <v>1091794.8484205517</v>
      </c>
      <c r="I23" s="1">
        <f>IF($B23&lt;Analysis!$C$159,0,$FW23)+$GC23+$GF23+$GL23+$HQ23+$HV23</f>
        <v>1234926.2454055513</v>
      </c>
      <c r="J23" s="1">
        <f t="shared" si="2"/>
        <v>1091794.8484205517</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46389.59959983905</v>
      </c>
      <c r="AI23" s="1">
        <f>IF(AE23 &gt;= 0,
    MAX(0, AF22 + AE23 - Analysis!$C$7),
    0)</f>
        <v>23992.249062915973</v>
      </c>
      <c r="AJ23" s="1">
        <f t="shared" si="44"/>
        <v>671232.50536624528</v>
      </c>
      <c r="AK23" s="1">
        <f t="shared" si="20"/>
        <v>1163667.2366441698</v>
      </c>
      <c r="AL23" s="1">
        <f t="shared" si="5"/>
        <v>1033787.5762696172</v>
      </c>
      <c r="AM23" s="36"/>
      <c r="AN23" s="1">
        <f t="shared" si="45"/>
        <v>1268296.4130703183</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-34553.263629724766</v>
      </c>
      <c r="AT23" s="1">
        <f>IF($B23&lt;Analysis!$C$66,0,IF($B23=Analysis!$C$66,-AP23-AS23,MIN(0,AT22-AS23)))</f>
        <v>-193590.46543052845</v>
      </c>
      <c r="AU23" s="64">
        <f>IF($B23&lt;Analysis!$C$66,0,IF($B23=Analysis!$C$66,Analysis!$C$72,IF(($B23-Analysis!$C$66)&lt;LOOKUP(Analysis!$C$66,$B:$B,AQ:AQ),AU22,0)))</f>
        <v>4.4399999999999995E-2</v>
      </c>
      <c r="AV23" s="1">
        <f>IF($B23&lt;Analysis!$C$66,0,IF($B23=Analysis!$C$66,-AU23*AP23,AU22*AT22))</f>
        <v>-10129.581570275242</v>
      </c>
      <c r="AW23" s="1">
        <f>IF($B23&lt;Analysis!$C$66,0,IF($B23=Analysis!$C$66,PMT(AU23,AQ23,AP23)*AQ23-AX23-AT23,IF(($B23-Analysis!$C$66+1)&lt;LOOKUP(Analysis!$C$66,$B:$B,AQ:AQ),IF(AW22-AV23&lt;0, AW22-AV23,0),0)))</f>
        <v>-26154.20027996671</v>
      </c>
      <c r="AX23" s="1">
        <f>IF($B23&lt;Analysis!$C$66,0,IF($B23=Analysis!$C$66,AS23+AV23,IF(AT22&lt;0,IF(AT22&gt;LOOKUP(Analysis!$C$66,$B:$B,AX:AX), AT22*(1+AU22),AX22),0)))</f>
        <v>-44682.845200000011</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-3804.8892392109551</v>
      </c>
      <c r="BF23" s="64">
        <f>IF($B23&lt;Analysis!$C$66,0,Analysis!$C$78)</f>
        <v>3.0000000000000001E-3</v>
      </c>
      <c r="BG23" s="1">
        <f>IF($B23&lt;Analysis!$C$66,0,-BH23*AN23)</f>
        <v>-9512.2230980273871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-161707.7926664656</v>
      </c>
      <c r="BS23" s="64">
        <f>IF($B23&lt;Analysis!C$66,0,Analysis!C$31)</f>
        <v>0.1275</v>
      </c>
      <c r="BT23" s="1">
        <f>IF($B23&lt;Analysis!$C$66,0,AN23+BR23)</f>
        <v>1106588.6204038528</v>
      </c>
      <c r="BU23" s="1">
        <f>IF($B23-Analysis!$C$66&gt;3,0,IF($AN23&gt;LOOKUP(Analysis!$C$66,$B:$B, AN:AN),$V23*(LOOKUP(Analysis!$C$66,$B:$B, AN:AN)-AN23),0))</f>
        <v>0</v>
      </c>
      <c r="BV23" s="1">
        <f t="shared" si="23"/>
        <v>1106588.6204038528</v>
      </c>
      <c r="BW23" s="42"/>
      <c r="BX23" s="1">
        <f>IF($B23&lt;Analysis!$C$66,$P23+$N23+$X23+$Z23,$P23+$N23+AS23+AV23+BB23+BE23+BG23+MAX(BI23,SUM(BJ23:BN23))+BP23)</f>
        <v>-136359.95753723834</v>
      </c>
      <c r="BY23" s="1">
        <f t="shared" si="24"/>
        <v>131467.92324122589</v>
      </c>
      <c r="BZ23" s="1">
        <f t="shared" si="46"/>
        <v>-4892.0342960124544</v>
      </c>
      <c r="CA23" s="1">
        <f>IF(BZ23 &lt; 0,
    IF(CA22 + BZ23 &gt; 0,
        CA22 + BZ23, IF(CF22-ABS(CA22 + BZ23)*(1+$V23) &gt;= CA22 + BZ23,
        0, CA22 + BZ23)),
    MIN(CA22 + BZ23, Analysis!$C$7))+IF(CA22&lt;0, CA22*Analysis!$C$9,0)</f>
        <v>-579825.93367609475</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-29115.674178309906</v>
      </c>
      <c r="CJ23" s="1">
        <f>IF(OR($B23&lt;Analysis!$C$100, $B23&gt;=Analysis!$C$130),0,Z23)</f>
        <v>-3960</v>
      </c>
      <c r="CK23" s="1">
        <f t="shared" si="26"/>
        <v>762815.9585857708</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-19273.583989648418</v>
      </c>
      <c r="CQ23" s="1">
        <f>IF(OR($B23&lt;Analysis!$C$100, $B23&gt;=Analysis!$C$101),0,IF($B23=Analysis!$C$100,-CM23-CP23,MIN(0,CQ22-CP23)))</f>
        <v>-107983.49282007199</v>
      </c>
      <c r="CR23" s="64">
        <f>IF(OR($B23&lt;Analysis!$C$100, $B23&gt;=Analysis!$C$101),0,IF($B23=Analysis!$C$100,Analysis!$C$102,IF(($B23-Analysis!$C$100)&lt;LOOKUP(Analysis!$C$100,$B:$B,CN:CN),CR22,0)))</f>
        <v>4.4399999999999995E-2</v>
      </c>
      <c r="CS23" s="1">
        <f>IF(OR($B23&lt;Analysis!$C$100, $B23&gt;=Analysis!$C$101),0,IF($B23=Analysis!$C$100,-CR23*CM23,CR22*CQ22))</f>
        <v>-5650.2142103515853</v>
      </c>
      <c r="CT23" s="1">
        <f>IF(OR($B23&lt;Analysis!$C$100, $B23&gt;=Analysis!$C$101),0,IF($B23=Analysis!$C$100,PMT(CR23,CN23,CM23)*CN23-CU23-CQ23,IF(($B23-Analysis!$C$100+1)&lt;LOOKUP(Analysis!$C$100,$B:$B,CN:CN),IF(CT22-CS23&lt;0, CT22-CS23,0),0)))</f>
        <v>-14588.64150083859</v>
      </c>
      <c r="CU23" s="1">
        <f>IF(OR($B23&lt;Analysis!$C$100, $B23&gt;=Analysis!$C$101),0,IF($B23=Analysis!$C$100,CP23+CS23,IF(CQ22&lt;0,IF(CQ22&gt;LOOKUP(Analysis!$C$100,$B:$B,CU:CU), CQ22*(1+CR22),CU22),0)))</f>
        <v>-24923.798200000001</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31724.66278177849</v>
      </c>
      <c r="DE23" s="1">
        <f t="shared" si="27"/>
        <v>-2288.4478757573124</v>
      </c>
      <c r="DF23" s="64">
        <f>IF(OR($B23&lt;Analysis!$C$100, $B23&gt;=Analysis!$C$101),0,Analysis!$C$118)</f>
        <v>3.0000000000000001E-3</v>
      </c>
      <c r="DG23" s="1">
        <f t="shared" si="28"/>
        <v>-5721.1196893932811</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-8300</v>
      </c>
      <c r="DQ23" s="1">
        <f>-Analysis!$C$117*DB23</f>
        <v>-1910.7161179515883</v>
      </c>
      <c r="DR23" s="1">
        <f t="shared" si="29"/>
        <v>-22180.283683102185</v>
      </c>
      <c r="DS23" s="1">
        <f>MIN(0,-(DB23+DR23)*Analysis!$C$28)-CS23*Analysis!$C$28</f>
        <v>1043.1827917313815</v>
      </c>
      <c r="DT23" s="1">
        <f>-Analysis!$C$116*DD23/12</f>
        <v>-2643.7218984815408</v>
      </c>
      <c r="DU23" s="53"/>
      <c r="DV23" s="1">
        <f t="shared" si="30"/>
        <v>-97259.034719685777</v>
      </c>
      <c r="DW23" s="64">
        <f>IF(OR($B23&lt;Analysis!$C$100, $B23&gt;=Analysis!$C$101),0,IF($B23=Analysis!$C$100,Analysis!$C$31,DW22))</f>
        <v>0.1275</v>
      </c>
      <c r="DX23" s="1">
        <f>IF(OR($B23&lt;Analysis!$C$100, $B23&gt;=Analysis!$C$101),0,CK23+DV23)</f>
        <v>665556.92386608501</v>
      </c>
      <c r="DY23" s="1">
        <f>IF(OR($B23&lt;Analysis!$C$100, $B23&gt;=Analysis!$C$101),0,IF($B23-Analysis!$C$100&gt;3,0,IF(CK23&gt;LOOKUP(Analysis!$C$100,$B:$B, CK:CK),$V23*(LOOKUP(Analysis!$C$100,$B:$B, CK:CK)-CK23),0)))</f>
        <v>0</v>
      </c>
      <c r="DZ23" s="1">
        <f t="shared" si="49"/>
        <v>665556.92386608501</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IF($B23&lt;Analysis!$C$130,0,IF($B23=Analysis!$C$130,Analysis!$D$136,IF(($B23-Analysis!$C$130)&lt;LOOKUP(Analysis!$C$130,$B:$B,EE:EE),EI22,0)))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-147880.29516816227</v>
      </c>
      <c r="FM23" s="1">
        <f>$M23+$R23+DD23+IF(AND($B23&lt;&gt;Analysis!$C$130,$B23=Analysis!$C$101),DZ22+CQ22+CT22+CZ22,0)</f>
        <v>163192.58602300438</v>
      </c>
      <c r="FN23" s="1">
        <f t="shared" si="34"/>
        <v>15312.290854842111</v>
      </c>
      <c r="FO23" s="1">
        <f>IF(FN23 &lt; 0,
    IF(FO22 + FN23 &gt; 0,
        FO22 + FN23, IF(FT22-ABS(FO22 + FN23)*(1+$V23) &gt;= FO22 + FN23,
        0, FO22 + FN23)),
    MIN(FO22 + FN23, Analysis!$C$7))+IF(FO22&lt;0, FO22*Analysis!$C$9,0)</f>
        <v>24000</v>
      </c>
      <c r="FP23" s="53"/>
      <c r="FQ23" s="1">
        <f t="shared" si="51"/>
        <v>22605.916822259078</v>
      </c>
      <c r="FR23" s="1">
        <f>IF(OR($B23=Analysis!$C$100, $B23=Analysis!$C$130),0,IF(FN23 &gt;= 0,
    MAX(0, FO22 + FN23 - Analysis!$C$7),
    0))</f>
        <v>15312.290854842111</v>
      </c>
      <c r="FS23" s="1">
        <f>IF(OR($B23=Analysis!$C$100, $B23=Analysis!$C$130),0,MAX(0, FS22 + FR23 - IF(FN23 &lt; 0, MIN(ABS(FN23), FS22 + FR23), 0)))</f>
        <v>396758.77274139738</v>
      </c>
      <c r="FT23" s="1">
        <f>IF(OR($B23=Analysis!$C$100, $B23=Analysis!$C$130),0,IF(FN23 &lt; 0,
    IF(FN23 + FO22 &lt; 0,
        MAX(0, FT22 - (ABS(FN23 + FO22) * (1+$V22))),
        FT22 + FQ23),
    FT22 + FR23 + FQ23))</f>
        <v>570682.42114069103</v>
      </c>
      <c r="FU23" s="1">
        <f t="shared" si="57"/>
        <v>524810.05887537729</v>
      </c>
      <c r="FV23" s="36"/>
      <c r="FW23" s="1">
        <f t="shared" si="52"/>
        <v>762815.9585857708</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-19273.583989648418</v>
      </c>
      <c r="GC23" s="1">
        <f>IF($B23&lt;Analysis!$C$159,0,IF($B23=Analysis!$C$159,-FY23-GB23,MIN(0,GC22-GB23)))</f>
        <v>-107983.49282007199</v>
      </c>
      <c r="GD23" s="64">
        <f>IF($B23&lt;Analysis!$C$159,0,IF($B23=Analysis!$C$159,Analysis!$C$160,IF(($B23-Analysis!$C$159)&lt;LOOKUP(Analysis!$C$159,$B:$B,FZ:FZ),GD22,0)))</f>
        <v>4.4399999999999995E-2</v>
      </c>
      <c r="GE23" s="1">
        <f>IF($B23&lt;Analysis!$C$159,0,IF($B23=Analysis!$C$159,-GD23*FY23,GD22*GC22))</f>
        <v>-5650.2142103515853</v>
      </c>
      <c r="GF23" s="1">
        <f>IF($B23&lt;Analysis!$C$159,0,IF($B23=Analysis!$C$159,PMT(GD23,FZ23,FY23)*FZ23-GG23-GC23,IF(($B23-Analysis!$C$159+1)&lt;LOOKUP(Analysis!$C$159,$B:$B,FZ:FZ),IF(GF22-GE23&lt;0, GF22-GE23,0),0)))</f>
        <v>-14588.64150083859</v>
      </c>
      <c r="GG23" s="1">
        <f>IF($B23&lt;Analysis!$C$159,0,IF($B23=Analysis!$C$159,GB23+GE23,IF(GC22&lt;0,IF(GC22&gt;LOOKUP(Analysis!$C$159,$B:$B,GG:GG), GC22*(1+GD22),GG22),0)))</f>
        <v>-24923.798200000001</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31724.66278177849</v>
      </c>
      <c r="GQ23" s="1">
        <f t="shared" si="36"/>
        <v>-2288.4478757573124</v>
      </c>
      <c r="GR23" s="64">
        <f>IF($B23&lt;Analysis!$C$159,0,Analysis!$C$178)</f>
        <v>3.0000000000000001E-3</v>
      </c>
      <c r="GS23" s="1">
        <f t="shared" si="37"/>
        <v>-5721.1196893932811</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-8300</v>
      </c>
      <c r="HC23" s="1">
        <f>-Analysis!$C$177*GN23</f>
        <v>-1910.7161179515883</v>
      </c>
      <c r="HD23" s="1">
        <f t="shared" si="38"/>
        <v>-22180.283683102185</v>
      </c>
      <c r="HE23" s="1">
        <f>MIN(0,-(GN23+HD23)*Analysis!$C$28)-GE23*Analysis!$C$28</f>
        <v>1043.1827917313815</v>
      </c>
      <c r="HF23" s="1">
        <f>-Analysis!$C$176*GP23/12</f>
        <v>-2643.7218984815408</v>
      </c>
      <c r="HG23" s="38"/>
      <c r="HH23" s="1">
        <f>IF($B23&lt;Analysis!$C$159,0,-$HI23*$FW23)</f>
        <v>-97259.034719685777</v>
      </c>
      <c r="HI23" s="64">
        <f>IF($B23&lt;Analysis!$C$159,0,IF($B23=Analysis!$C$159,Analysis!$C$31,HI22))</f>
        <v>0.1275</v>
      </c>
      <c r="HJ23" s="1">
        <f>IF($B23&lt;Analysis!$C$159,0,$FW23+HH23)</f>
        <v>665556.92386608501</v>
      </c>
      <c r="HK23" s="1">
        <f>IF($B23-Analysis!$C$159&gt;10,0,IF($FW23&gt;LOOKUP(Analysis!$C$159,$B:$B, FW:FW),$V23*(LOOKUP(Analysis!$C$159,$B:$B, FW:FW)-FW23),0))</f>
        <v>0</v>
      </c>
      <c r="HL23" s="1">
        <f t="shared" si="39"/>
        <v>665556.92386608501</v>
      </c>
      <c r="HM23" s="38"/>
      <c r="HN23" s="1">
        <f t="shared" si="40"/>
        <v>-147880.29516816227</v>
      </c>
      <c r="HO23" s="1">
        <f t="shared" si="8"/>
        <v>163192.58602300438</v>
      </c>
      <c r="HP23" s="1">
        <f t="shared" si="41"/>
        <v>15312.290854842111</v>
      </c>
      <c r="HQ23" s="1">
        <f>IF(HP23 &lt; 0,
    IF(HQ22 + HP23 &gt; 0,
        HQ22 + HP23, IF(HV22-ABS(HQ22 + HP23)*(1+$V23) &gt;= HQ22 + HP23,
        0, HQ22 + HP23)),
    MIN(HQ22 + HP23, Analysis!$C$7))+IF(HQ22&lt;0, HQ22*Analysis!$C$9,0)</f>
        <v>24000</v>
      </c>
      <c r="HR23" s="38"/>
      <c r="HS23" s="1">
        <f t="shared" si="54"/>
        <v>22605.916822259078</v>
      </c>
      <c r="HT23" s="1">
        <f>IF($B23=Analysis!$C$159,0,IF(HP23 &gt;= 0,
    MAX(0, HQ22 + HP23 - Analysis!$C$7),
    0))</f>
        <v>15312.290854842111</v>
      </c>
      <c r="HU23" s="1">
        <f>IF($B23=Analysis!$C$159,0,MAX(0, HU22 + HT23 - IF(HP23 &lt; 0, MIN(ABS(HP23), HU22 + HT23), 0)))</f>
        <v>396758.77274139738</v>
      </c>
      <c r="HV23" s="1">
        <f>IF($B23=Analysis!$C$159,0,IF(HP23 &lt; 0,
    IF(HP23 + HQ22 &lt; 0,
        MAX(0, HV22 - (ABS(HP23 + HQ22) * (1+$V22))),
        HV22 + HS23),
    HV22 + HT23 + HS23))</f>
        <v>570682.42114069103</v>
      </c>
      <c r="HW23" s="1">
        <f t="shared" si="58"/>
        <v>524810.05887537729</v>
      </c>
      <c r="HX23" s="36"/>
    </row>
    <row r="24" spans="1:232" x14ac:dyDescent="0.35">
      <c r="A24">
        <f t="shared" si="0"/>
        <v>57</v>
      </c>
      <c r="B24">
        <v>2047</v>
      </c>
      <c r="C24" s="1">
        <f>IF($B24&lt;Analysis!C$66,0,$AN24)+$AT24+$AW24+$BC24+$CF24+$CA24</f>
        <v>499041.70579754259</v>
      </c>
      <c r="D24" s="1">
        <f>IF($B24&lt;Analysis!C$66, 0, BV24)+AT24+AW24+BC24+CG24+CA24</f>
        <v>332577.80158206332</v>
      </c>
      <c r="E24" s="1">
        <f t="shared" si="1"/>
        <v>1258184.282270076</v>
      </c>
      <c r="F24" s="1">
        <f t="shared" si="9"/>
        <v>1115807.8462413133</v>
      </c>
      <c r="G24" s="1">
        <f>IF(AND($B24&gt;=Analysis!$C$100, $B24&lt;Analysis!$C$101),$CK24,0)+IF($B24&gt;=Analysis!$C$130,EB24,0)+CQ24+CT24+CZ24+EH24+EK24+EQ24+$FO24+$FT24</f>
        <v>1319853.1523830183</v>
      </c>
      <c r="H24" s="1">
        <f t="shared" si="10"/>
        <v>1167732.5619008329</v>
      </c>
      <c r="I24" s="1">
        <f>IF($B24&lt;Analysis!$C$159,0,$FW24)+$GC24+$GF24+$GL24+$HQ24+$HV24</f>
        <v>1319853.1523830183</v>
      </c>
      <c r="J24" s="1">
        <f t="shared" si="2"/>
        <v>1167732.5619008329</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47381.139921175694</v>
      </c>
      <c r="AI24" s="1">
        <f>IF(AE24 &gt;= 0,
    MAX(0, AF23 + AE24 - Analysis!$C$7),
    0)</f>
        <v>23135.905704730394</v>
      </c>
      <c r="AJ24" s="1">
        <f t="shared" si="44"/>
        <v>694368.41107097571</v>
      </c>
      <c r="AK24" s="1">
        <f t="shared" si="20"/>
        <v>1234184.282270076</v>
      </c>
      <c r="AL24" s="1">
        <f t="shared" si="5"/>
        <v>1091807.8462413133</v>
      </c>
      <c r="AM24" s="36"/>
      <c r="AN24" s="1">
        <f t="shared" si="45"/>
        <v>1305599.2487488573</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-36087.428534884544</v>
      </c>
      <c r="AT24" s="1">
        <f>IF($B24&lt;Analysis!$C$66,0,IF($B24=Analysis!$C$66,-AP24-AS24,MIN(0,AT23-AS24)))</f>
        <v>-157503.03689564392</v>
      </c>
      <c r="AU24" s="64">
        <f>IF($B24&lt;Analysis!$C$66,0,IF($B24=Analysis!$C$66,Analysis!$C$72,IF(($B24-Analysis!$C$66)&lt;LOOKUP(Analysis!$C$66,$B:$B,AQ:AQ),AU23,0)))</f>
        <v>4.4399999999999995E-2</v>
      </c>
      <c r="AV24" s="1">
        <f>IF($B24&lt;Analysis!$C$66,0,IF($B24=Analysis!$C$66,-AU24*AP24,AU23*AT23))</f>
        <v>-8595.4166651154628</v>
      </c>
      <c r="AW24" s="1">
        <f>IF($B24&lt;Analysis!$C$66,0,IF($B24=Analysis!$C$66,PMT(AU24,AQ24,AP24)*AQ24-AX24-AT24,IF(($B24-Analysis!$C$66+1)&lt;LOOKUP(Analysis!$C$66,$B:$B,AQ:AQ),IF(AW23-AV24&lt;0, AW23-AV24,0),0)))</f>
        <v>-17558.783614851247</v>
      </c>
      <c r="AX24" s="1">
        <f>IF($B24&lt;Analysis!$C$66,0,IF($B24=Analysis!$C$66,AS24+AV24,IF(AT23&lt;0,IF(AT23&gt;LOOKUP(Analysis!$C$66,$B:$B,AX:AX), AT23*(1+AU23),AX23),0)))</f>
        <v>-44682.845200000011</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-3916.7977462465719</v>
      </c>
      <c r="BF24" s="64">
        <f>IF($B24&lt;Analysis!$C$66,0,Analysis!$C$78)</f>
        <v>3.0000000000000001E-3</v>
      </c>
      <c r="BG24" s="1">
        <f>IF($B24&lt;Analysis!$C$66,0,-BH24*AN24)</f>
        <v>-9791.9943656164287</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-166463.9042154793</v>
      </c>
      <c r="BS24" s="64">
        <f>IF($B24&lt;Analysis!C$66,0,Analysis!C$31)</f>
        <v>0.1275</v>
      </c>
      <c r="BT24" s="1">
        <f>IF($B24&lt;Analysis!$C$66,0,AN24+BR24)</f>
        <v>1139135.344533378</v>
      </c>
      <c r="BU24" s="1">
        <f>IF($B24-Analysis!$C$66&gt;3,0,IF($AN24&gt;LOOKUP(Analysis!$C$66,$B:$B, AN:AN),$V24*(LOOKUP(Analysis!$C$66,$B:$B, AN:AN)-AN24),0))</f>
        <v>0</v>
      </c>
      <c r="BV24" s="1">
        <f t="shared" si="23"/>
        <v>1139135.344533378</v>
      </c>
      <c r="BW24" s="42"/>
      <c r="BX24" s="1">
        <f>IF($B24&lt;Analysis!$C$66,$P24+$N24+$X24+$Z24,$P24+$N24+AS24+AV24+BB24+BE24+BG24+MAX(BI24,SUM(BJ24:BN24))+BP24)</f>
        <v>-136751.63731186301</v>
      </c>
      <c r="BY24" s="1">
        <f t="shared" si="24"/>
        <v>131467.92324122589</v>
      </c>
      <c r="BZ24" s="1">
        <f t="shared" si="46"/>
        <v>-5283.7140706371283</v>
      </c>
      <c r="CA24" s="1">
        <f>IF(BZ24 &lt; 0,
    IF(CA23 + BZ24 &gt; 0,
        CA23 + BZ24, IF(CF23-ABS(CA23 + BZ24)*(1+$V24) &gt;= CA23 + BZ24,
        0, CA23 + BZ24)),
    MIN(CA23 + BZ24, Analysis!$C$7))+IF(CA23&lt;0, CA23*Analysis!$C$9,0)</f>
        <v>-631495.72244081949</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-29972.017536495496</v>
      </c>
      <c r="CJ24" s="1">
        <f>IF(OR($B24&lt;Analysis!$C$100, $B24&gt;=Analysis!$C$130),0,Z24)</f>
        <v>-3960</v>
      </c>
      <c r="CK24" s="1">
        <f t="shared" si="26"/>
        <v>785251.72207358771</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-20129.331118788807</v>
      </c>
      <c r="CQ24" s="1">
        <f>IF(OR($B24&lt;Analysis!$C$100, $B24&gt;=Analysis!$C$101),0,IF($B24=Analysis!$C$100,-CM24-CP24,MIN(0,CQ23-CP24)))</f>
        <v>-87854.161701283185</v>
      </c>
      <c r="CR24" s="64">
        <f>IF(OR($B24&lt;Analysis!$C$100, $B24&gt;=Analysis!$C$101),0,IF($B24=Analysis!$C$100,Analysis!$C$102,IF(($B24-Analysis!$C$100)&lt;LOOKUP(Analysis!$C$100,$B:$B,CN:CN),CR23,0)))</f>
        <v>4.4399999999999995E-2</v>
      </c>
      <c r="CS24" s="1">
        <f>IF(OR($B24&lt;Analysis!$C$100, $B24&gt;=Analysis!$C$101),0,IF($B24=Analysis!$C$100,-CR24*CM24,CR23*CQ23))</f>
        <v>-4794.4670812111954</v>
      </c>
      <c r="CT24" s="1">
        <f>IF(OR($B24&lt;Analysis!$C$100, $B24&gt;=Analysis!$C$101),0,IF($B24=Analysis!$C$100,PMT(CR24,CN24,CM24)*CN24-CU24-CQ24,IF(($B24-Analysis!$C$100+1)&lt;LOOKUP(Analysis!$C$100,$B:$B,CN:CN),IF(CT23-CS24&lt;0, CT23-CS24,0),0)))</f>
        <v>-9794.1744196273939</v>
      </c>
      <c r="CU24" s="1">
        <f>IF(OR($B24&lt;Analysis!$C$100, $B24&gt;=Analysis!$C$101),0,IF($B24=Analysis!$C$100,CP24+CS24,IF(CQ23&lt;0,IF(CQ23&gt;LOOKUP(Analysis!$C$100,$B:$B,CU:CU), CQ23*(1+CR23),CU23),0)))</f>
        <v>-24923.798200000001</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32541.270510654329</v>
      </c>
      <c r="DE24" s="1">
        <f t="shared" si="27"/>
        <v>-2355.7551662207634</v>
      </c>
      <c r="DF24" s="64">
        <f>IF(OR($B24&lt;Analysis!$C$100, $B24&gt;=Analysis!$C$101),0,Analysis!$C$118)</f>
        <v>3.0000000000000001E-3</v>
      </c>
      <c r="DG24" s="1">
        <f t="shared" si="28"/>
        <v>-5889.387915551908</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-8300</v>
      </c>
      <c r="DQ24" s="1">
        <f>-Analysis!$C$117*DB24</f>
        <v>-1966.9136508325173</v>
      </c>
      <c r="DR24" s="1">
        <f t="shared" si="29"/>
        <v>-22472.05673260519</v>
      </c>
      <c r="DS24" s="1">
        <f>MIN(0,-(DB24+DR24)*Analysis!$C$28)-CS24*Analysis!$C$28</f>
        <v>461.27085278352683</v>
      </c>
      <c r="DT24" s="1">
        <f>-Analysis!$C$116*DD24/12</f>
        <v>-2711.7725425545273</v>
      </c>
      <c r="DU24" s="53"/>
      <c r="DV24" s="1">
        <f t="shared" si="30"/>
        <v>-100119.59456438244</v>
      </c>
      <c r="DW24" s="64">
        <f>IF(OR($B24&lt;Analysis!$C$100, $B24&gt;=Analysis!$C$101),0,IF($B24=Analysis!$C$100,Analysis!$C$31,DW23))</f>
        <v>0.1275</v>
      </c>
      <c r="DX24" s="1">
        <f>IF(OR($B24&lt;Analysis!$C$100, $B24&gt;=Analysis!$C$101),0,CK24+DV24)</f>
        <v>685132.12750920525</v>
      </c>
      <c r="DY24" s="1">
        <f>IF(OR($B24&lt;Analysis!$C$100, $B24&gt;=Analysis!$C$101),0,IF($B24-Analysis!$C$100&gt;3,0,IF(CK24&gt;LOOKUP(Analysis!$C$100,$B:$B, CK:CK),$V24*(LOOKUP(Analysis!$C$100,$B:$B, CK:CK)-CK24),0)))</f>
        <v>0</v>
      </c>
      <c r="DZ24" s="1">
        <f t="shared" si="49"/>
        <v>685132.12750920525</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IF($B24&lt;Analysis!$C$130,0,IF($B24=Analysis!$C$130,Analysis!$D$136,IF(($B24-Analysis!$C$130)&lt;LOOKUP(Analysis!$C$130,$B:$B,EE:EE),EI23,0)))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-149678.37415887168</v>
      </c>
      <c r="FM24" s="1">
        <f>$M24+$R24+DD24+IF(AND($B24&lt;&gt;Analysis!$C$130,$B24=Analysis!$C$101),DZ23+CQ23+CT23+CZ23,0)</f>
        <v>164009.1937518802</v>
      </c>
      <c r="FN24" s="1">
        <f t="shared" si="34"/>
        <v>14330.81959300852</v>
      </c>
      <c r="FO24" s="1">
        <f>IF(FN24 &lt; 0,
    IF(FO23 + FN24 &gt; 0,
        FO23 + FN24, IF(FT23-ABS(FO23 + FN24)*(1+$V24) &gt;= FO23 + FN24,
        0, FO23 + FN24)),
    MIN(FO23 + FN24, Analysis!$C$7))+IF(FO23&lt;0, FO23*Analysis!$C$9,0)</f>
        <v>24000</v>
      </c>
      <c r="FP24" s="53"/>
      <c r="FQ24" s="1">
        <f t="shared" si="51"/>
        <v>23236.525696641791</v>
      </c>
      <c r="FR24" s="1">
        <f>IF(OR($B24=Analysis!$C$100, $B24=Analysis!$C$130),0,IF(FN24 &gt;= 0,
    MAX(0, FO23 + FN24 - Analysis!$C$7),
    0))</f>
        <v>14330.81959300852</v>
      </c>
      <c r="FS24" s="1">
        <f>IF(OR($B24=Analysis!$C$100, $B24=Analysis!$C$130),0,MAX(0, FS23 + FR24 - IF(FN24 &lt; 0, MIN(ABS(FN24), FS23 + FR24), 0)))</f>
        <v>411089.59233440587</v>
      </c>
      <c r="FT24" s="1">
        <f>IF(OR($B24=Analysis!$C$100, $B24=Analysis!$C$130),0,IF(FN24 &lt; 0,
    IF(FN24 + FO23 &lt; 0,
        MAX(0, FT23 - (ABS(FN24 + FO23) * (1+$V23))),
        FT23 + FQ24),
    FT23 + FR24 + FQ24))</f>
        <v>608249.76643034129</v>
      </c>
      <c r="FU24" s="1">
        <f t="shared" si="57"/>
        <v>556248.77051253826</v>
      </c>
      <c r="FV24" s="36"/>
      <c r="FW24" s="1">
        <f t="shared" si="52"/>
        <v>785251.72207358771</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-20129.331118788807</v>
      </c>
      <c r="GC24" s="1">
        <f>IF($B24&lt;Analysis!$C$159,0,IF($B24=Analysis!$C$159,-FY24-GB24,MIN(0,GC23-GB24)))</f>
        <v>-87854.161701283185</v>
      </c>
      <c r="GD24" s="64">
        <f>IF($B24&lt;Analysis!$C$159,0,IF($B24=Analysis!$C$159,Analysis!$C$160,IF(($B24-Analysis!$C$159)&lt;LOOKUP(Analysis!$C$159,$B:$B,FZ:FZ),GD23,0)))</f>
        <v>4.4399999999999995E-2</v>
      </c>
      <c r="GE24" s="1">
        <f>IF($B24&lt;Analysis!$C$159,0,IF($B24=Analysis!$C$159,-GD24*FY24,GD23*GC23))</f>
        <v>-4794.4670812111954</v>
      </c>
      <c r="GF24" s="1">
        <f>IF($B24&lt;Analysis!$C$159,0,IF($B24=Analysis!$C$159,PMT(GD24,FZ24,FY24)*FZ24-GG24-GC24,IF(($B24-Analysis!$C$159+1)&lt;LOOKUP(Analysis!$C$159,$B:$B,FZ:FZ),IF(GF23-GE24&lt;0, GF23-GE24,0),0)))</f>
        <v>-9794.1744196273939</v>
      </c>
      <c r="GG24" s="1">
        <f>IF($B24&lt;Analysis!$C$159,0,IF($B24=Analysis!$C$159,GB24+GE24,IF(GC23&lt;0,IF(GC23&gt;LOOKUP(Analysis!$C$159,$B:$B,GG:GG), GC23*(1+GD23),GG23),0)))</f>
        <v>-24923.798200000001</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32541.270510654329</v>
      </c>
      <c r="GQ24" s="1">
        <f t="shared" si="36"/>
        <v>-2355.7551662207634</v>
      </c>
      <c r="GR24" s="64">
        <f>IF($B24&lt;Analysis!$C$159,0,Analysis!$C$178)</f>
        <v>3.0000000000000001E-3</v>
      </c>
      <c r="GS24" s="1">
        <f t="shared" si="37"/>
        <v>-5889.387915551908</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-8300</v>
      </c>
      <c r="HC24" s="1">
        <f>-Analysis!$C$177*GN24</f>
        <v>-1966.9136508325173</v>
      </c>
      <c r="HD24" s="1">
        <f t="shared" si="38"/>
        <v>-22472.05673260519</v>
      </c>
      <c r="HE24" s="1">
        <f>MIN(0,-(GN24+HD24)*Analysis!$C$28)-GE24*Analysis!$C$28</f>
        <v>461.27085278352683</v>
      </c>
      <c r="HF24" s="1">
        <f>-Analysis!$C$176*GP24/12</f>
        <v>-2711.7725425545273</v>
      </c>
      <c r="HG24" s="38"/>
      <c r="HH24" s="1">
        <f>IF($B24&lt;Analysis!$C$159,0,-$HI24*$FW24)</f>
        <v>-100119.59456438244</v>
      </c>
      <c r="HI24" s="64">
        <f>IF($B24&lt;Analysis!$C$159,0,IF($B24=Analysis!$C$159,Analysis!$C$31,HI23))</f>
        <v>0.1275</v>
      </c>
      <c r="HJ24" s="1">
        <f>IF($B24&lt;Analysis!$C$159,0,$FW24+HH24)</f>
        <v>685132.12750920525</v>
      </c>
      <c r="HK24" s="1">
        <f>IF($B24-Analysis!$C$159&gt;10,0,IF($FW24&gt;LOOKUP(Analysis!$C$159,$B:$B, FW:FW),$V24*(LOOKUP(Analysis!$C$159,$B:$B, FW:FW)-FW24),0))</f>
        <v>0</v>
      </c>
      <c r="HL24" s="1">
        <f t="shared" si="39"/>
        <v>685132.12750920525</v>
      </c>
      <c r="HM24" s="38"/>
      <c r="HN24" s="1">
        <f t="shared" si="40"/>
        <v>-149678.37415887168</v>
      </c>
      <c r="HO24" s="1">
        <f t="shared" si="8"/>
        <v>164009.1937518802</v>
      </c>
      <c r="HP24" s="1">
        <f t="shared" si="41"/>
        <v>14330.81959300852</v>
      </c>
      <c r="HQ24" s="1">
        <f>IF(HP24 &lt; 0,
    IF(HQ23 + HP24 &gt; 0,
        HQ23 + HP24, IF(HV23-ABS(HQ23 + HP24)*(1+$V24) &gt;= HQ23 + HP24,
        0, HQ23 + HP24)),
    MIN(HQ23 + HP24, Analysis!$C$7))+IF(HQ23&lt;0, HQ23*Analysis!$C$9,0)</f>
        <v>24000</v>
      </c>
      <c r="HR24" s="38"/>
      <c r="HS24" s="1">
        <f t="shared" si="54"/>
        <v>23236.525696641791</v>
      </c>
      <c r="HT24" s="1">
        <f>IF($B24=Analysis!$C$159,0,IF(HP24 &gt;= 0,
    MAX(0, HQ23 + HP24 - Analysis!$C$7),
    0))</f>
        <v>14330.81959300852</v>
      </c>
      <c r="HU24" s="1">
        <f>IF($B24=Analysis!$C$159,0,MAX(0, HU23 + HT24 - IF(HP24 &lt; 0, MIN(ABS(HP24), HU23 + HT24), 0)))</f>
        <v>411089.59233440587</v>
      </c>
      <c r="HV24" s="1">
        <f>IF($B24=Analysis!$C$159,0,IF(HP24 &lt; 0,
    IF(HP24 + HQ23 &lt; 0,
        MAX(0, HV23 - (ABS(HP24 + HQ23) * (1+$V23))),
        HV23 + HS24),
    HV23 + HT24 + HS24))</f>
        <v>608249.76643034129</v>
      </c>
      <c r="HW24" s="1">
        <f t="shared" si="58"/>
        <v>556248.77051253826</v>
      </c>
      <c r="HX24" s="36"/>
    </row>
    <row r="25" spans="1:232" x14ac:dyDescent="0.35">
      <c r="A25">
        <f t="shared" si="0"/>
        <v>58</v>
      </c>
      <c r="B25">
        <v>2048</v>
      </c>
      <c r="C25" s="1">
        <f>IF($B25&lt;Analysis!C$66,0,$AN25)+$AT25+$AW25+$BC25+$CF25+$CA25</f>
        <v>525917.95726802223</v>
      </c>
      <c r="D25" s="1">
        <f>IF($B25&lt;Analysis!C$66, 0, BV25)+AT25+AW25+BC25+CG25+CA25</f>
        <v>354558.05586973461</v>
      </c>
      <c r="E25" s="1">
        <f t="shared" si="1"/>
        <v>1328575.3021546253</v>
      </c>
      <c r="F25" s="1">
        <f t="shared" si="9"/>
        <v>1173502.8262425456</v>
      </c>
      <c r="G25" s="1">
        <f>IF(AND($B25&gt;=Analysis!$C$100, $B25&lt;Analysis!$C$101),$CK25,0)+IF($B25&gt;=Analysis!$C$130,EB25,0)+CQ25+CT25+CZ25+EH25+EK25+EQ25+$FO25+$FT25</f>
        <v>1404910.8324061995</v>
      </c>
      <c r="H25" s="1">
        <f t="shared" si="10"/>
        <v>1243588.4894340925</v>
      </c>
      <c r="I25" s="1">
        <f>IF($B25&lt;Analysis!$C$159,0,$FW25)+$GC25+$GF25+$GL25+$HQ25+$HV25</f>
        <v>1404910.8324061995</v>
      </c>
      <c r="J25" s="1">
        <f t="shared" si="2"/>
        <v>1243588.4894340925</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48136.644107363063</v>
      </c>
      <c r="AI25" s="1">
        <f>IF(AE25 &gt;= 0,
    MAX(0, AF24 + AE25 - Analysis!$C$7),
    0)</f>
        <v>22254.375777186404</v>
      </c>
      <c r="AJ25" s="1">
        <f t="shared" si="44"/>
        <v>716622.78684816207</v>
      </c>
      <c r="AK25" s="1">
        <f t="shared" si="20"/>
        <v>1304575.3021546253</v>
      </c>
      <c r="AL25" s="1">
        <f t="shared" si="5"/>
        <v>1149502.8262425456</v>
      </c>
      <c r="AM25" s="36"/>
      <c r="AN25" s="1">
        <f t="shared" si="45"/>
        <v>1343999.2266532355</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-37689.710361833422</v>
      </c>
      <c r="AT25" s="1">
        <f>IF($B25&lt;Analysis!$C$66,0,IF($B25=Analysis!$C$66,-AP25-AS25,MIN(0,AT24-AS25)))</f>
        <v>-119813.3265338105</v>
      </c>
      <c r="AU25" s="64">
        <f>IF($B25&lt;Analysis!$C$66,0,IF($B25=Analysis!$C$66,Analysis!$C$72,IF(($B25-Analysis!$C$66)&lt;LOOKUP(Analysis!$C$66,$B:$B,AQ:AQ),AU24,0)))</f>
        <v>4.4399999999999995E-2</v>
      </c>
      <c r="AV25" s="1">
        <f>IF($B25&lt;Analysis!$C$66,0,IF($B25=Analysis!$C$66,-AU25*AP25,AU24*AT24))</f>
        <v>-6993.1348381665894</v>
      </c>
      <c r="AW25" s="1">
        <f>IF($B25&lt;Analysis!$C$66,0,IF($B25=Analysis!$C$66,PMT(AU25,AQ25,AP25)*AQ25-AX25-AT25,IF(($B25-Analysis!$C$66+1)&lt;LOOKUP(Analysis!$C$66,$B:$B,AQ:AQ),IF(AW24-AV25&lt;0, AW24-AV25,0),0)))</f>
        <v>-10565.648776684659</v>
      </c>
      <c r="AX25" s="1">
        <f>IF($B25&lt;Analysis!$C$66,0,IF($B25=Analysis!$C$66,AS25+AV25,IF(AT24&lt;0,IF(AT24&gt;LOOKUP(Analysis!$C$66,$B:$B,AX:AX), AT24*(1+AU24),AX24),0)))</f>
        <v>-44682.845200000011</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-4031.9976799597066</v>
      </c>
      <c r="BF25" s="64">
        <f>IF($B25&lt;Analysis!$C$66,0,Analysis!$C$78)</f>
        <v>3.0000000000000001E-3</v>
      </c>
      <c r="BG25" s="1">
        <f>IF($B25&lt;Analysis!$C$66,0,-BH25*AN25)</f>
        <v>-10079.994199899265</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-171359.90139828753</v>
      </c>
      <c r="BS25" s="64">
        <f>IF($B25&lt;Analysis!C$66,0,Analysis!C$31)</f>
        <v>0.1275</v>
      </c>
      <c r="BT25" s="1">
        <f>IF($B25&lt;Analysis!$C$66,0,AN25+BR25)</f>
        <v>1172639.3252549479</v>
      </c>
      <c r="BU25" s="1">
        <f>IF($B25-Analysis!$C$66&gt;3,0,IF($AN25&gt;LOOKUP(Analysis!$C$66,$B:$B, AN:AN),$V25*(LOOKUP(Analysis!$C$66,$B:$B, AN:AN)-AN25),0))</f>
        <v>0</v>
      </c>
      <c r="BV25" s="1">
        <f t="shared" si="23"/>
        <v>1172639.3252549479</v>
      </c>
      <c r="BW25" s="42"/>
      <c r="BX25" s="1">
        <f>IF($B25&lt;Analysis!$C$66,$P25+$N25+$X25+$Z25,$P25+$N25+AS25+AV25+BB25+BE25+BG25+MAX(BI25,SUM(BJ25:BN25))+BP25)</f>
        <v>-137154.83707985899</v>
      </c>
      <c r="BY25" s="1">
        <f t="shared" si="24"/>
        <v>131467.92324122589</v>
      </c>
      <c r="BZ25" s="1">
        <f t="shared" si="46"/>
        <v>-5686.9138386331033</v>
      </c>
      <c r="CA25" s="1">
        <f>IF(BZ25 &lt; 0,
    IF(CA24 + BZ25 &gt; 0,
        CA24 + BZ25, IF(CF24-ABS(CA24 + BZ25)*(1+$V25) &gt;= CA24 + BZ25,
        0, CA24 + BZ25)),
    MIN(CA24 + BZ25, Analysis!$C$7))+IF(CA24&lt;0, CA24*Analysis!$C$9,0)</f>
        <v>-687702.29407471814</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-30853.547464039486</v>
      </c>
      <c r="CJ25" s="1">
        <f>IF(OR($B25&lt;Analysis!$C$100, $B25&gt;=Analysis!$C$130),0,Z25)</f>
        <v>-3960</v>
      </c>
      <c r="CK25" s="1">
        <f t="shared" si="26"/>
        <v>808347.36095810507</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-21023.073420463028</v>
      </c>
      <c r="CQ25" s="1">
        <f>IF(OR($B25&lt;Analysis!$C$100, $B25&gt;=Analysis!$C$101),0,IF($B25=Analysis!$C$100,-CM25-CP25,MIN(0,CQ24-CP25)))</f>
        <v>-66831.088280820157</v>
      </c>
      <c r="CR25" s="64">
        <f>IF(OR($B25&lt;Analysis!$C$100, $B25&gt;=Analysis!$C$101),0,IF($B25=Analysis!$C$100,Analysis!$C$102,IF(($B25-Analysis!$C$100)&lt;LOOKUP(Analysis!$C$100,$B:$B,CN:CN),CR24,0)))</f>
        <v>4.4399999999999995E-2</v>
      </c>
      <c r="CS25" s="1">
        <f>IF(OR($B25&lt;Analysis!$C$100, $B25&gt;=Analysis!$C$101),0,IF($B25=Analysis!$C$100,-CR25*CM25,CR24*CQ24))</f>
        <v>-3900.7247795369731</v>
      </c>
      <c r="CT25" s="1">
        <f>IF(OR($B25&lt;Analysis!$C$100, $B25&gt;=Analysis!$C$101),0,IF($B25=Analysis!$C$100,PMT(CR25,CN25,CM25)*CN25-CU25-CQ25,IF(($B25-Analysis!$C$100+1)&lt;LOOKUP(Analysis!$C$100,$B:$B,CN:CN),IF(CT24-CS25&lt;0, CT24-CS25,0),0)))</f>
        <v>-5893.4496400904209</v>
      </c>
      <c r="CU25" s="1">
        <f>IF(OR($B25&lt;Analysis!$C$100, $B25&gt;=Analysis!$C$101),0,IF($B25=Analysis!$C$100,CP25+CS25,IF(CQ24&lt;0,IF(CQ24&gt;LOOKUP(Analysis!$C$100,$B:$B,CU:CU), CQ24*(1+CR24),CU24),0)))</f>
        <v>-24923.798200000001</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33381.896113908871</v>
      </c>
      <c r="DE25" s="1">
        <f t="shared" si="27"/>
        <v>-2425.0420828743154</v>
      </c>
      <c r="DF25" s="64">
        <f>IF(OR($B25&lt;Analysis!$C$100, $B25&gt;=Analysis!$C$101),0,Analysis!$C$118)</f>
        <v>3.0000000000000001E-3</v>
      </c>
      <c r="DG25" s="1">
        <f t="shared" si="28"/>
        <v>-6062.6052071857875</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-8300</v>
      </c>
      <c r="DQ25" s="1">
        <f>-Analysis!$C$117*DB25</f>
        <v>-2024.7640523275916</v>
      </c>
      <c r="DR25" s="1">
        <f t="shared" si="29"/>
        <v>-22772.411342387695</v>
      </c>
      <c r="DS25" s="1">
        <f>MIN(0,-(DB25+DR25)*Analysis!$C$28)-CS25*Analysis!$C$28</f>
        <v>-143.43940552659137</v>
      </c>
      <c r="DT25" s="1">
        <f>-Analysis!$C$116*DD25/12</f>
        <v>-2781.8246761590726</v>
      </c>
      <c r="DU25" s="53"/>
      <c r="DV25" s="1">
        <f t="shared" si="30"/>
        <v>-103064.2885221584</v>
      </c>
      <c r="DW25" s="64">
        <f>IF(OR($B25&lt;Analysis!$C$100, $B25&gt;=Analysis!$C$101),0,IF($B25=Analysis!$C$100,Analysis!$C$31,DW24))</f>
        <v>0.1275</v>
      </c>
      <c r="DX25" s="1">
        <f>IF(OR($B25&lt;Analysis!$C$100, $B25&gt;=Analysis!$C$101),0,CK25+DV25)</f>
        <v>705283.07243594667</v>
      </c>
      <c r="DY25" s="1">
        <f>IF(OR($B25&lt;Analysis!$C$100, $B25&gt;=Analysis!$C$101),0,IF($B25-Analysis!$C$100&gt;3,0,IF(CK25&gt;LOOKUP(Analysis!$C$100,$B:$B, CK:CK),$V25*(LOOKUP(Analysis!$C$100,$B:$B, CK:CK)-CK25),0)))</f>
        <v>0</v>
      </c>
      <c r="DZ25" s="1">
        <f t="shared" si="49"/>
        <v>705283.07243594667</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IF($B25&lt;Analysis!$C$130,0,IF($B25=Analysis!$C$130,Analysis!$D$136,IF(($B25-Analysis!$C$130)&lt;LOOKUP(Analysis!$C$130,$B:$B,EE:EE),EI24,0)))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-151535.02108811284</v>
      </c>
      <c r="FM25" s="1">
        <f>$M25+$R25+DD25+IF(AND($B25&lt;&gt;Analysis!$C$130,$B25=Analysis!$C$101),DZ24+CQ24+CT24+CZ24,0)</f>
        <v>164849.81935513476</v>
      </c>
      <c r="FN25" s="1">
        <f t="shared" si="34"/>
        <v>13314.798267021921</v>
      </c>
      <c r="FO25" s="1">
        <f>IF(FN25 &lt; 0,
    IF(FO24 + FN25 &gt; 0,
        FO24 + FN25, IF(FT24-ABS(FO24 + FN25)*(1+$V25) &gt;= FO24 + FN25,
        0, FO24 + FN25)),
    MIN(FO24 + FN25, Analysis!$C$7))+IF(FO24&lt;0, FO24*Analysis!$C$9,0)</f>
        <v>24000</v>
      </c>
      <c r="FP25" s="53"/>
      <c r="FQ25" s="1">
        <f t="shared" si="51"/>
        <v>23723.444671641762</v>
      </c>
      <c r="FR25" s="1">
        <f>IF(OR($B25=Analysis!$C$100, $B25=Analysis!$C$130),0,IF(FN25 &gt;= 0,
    MAX(0, FO24 + FN25 - Analysis!$C$7),
    0))</f>
        <v>13314.798267021921</v>
      </c>
      <c r="FS25" s="1">
        <f>IF(OR($B25=Analysis!$C$100, $B25=Analysis!$C$130),0,MAX(0, FS24 + FR25 - IF(FN25 &lt; 0, MIN(ABS(FN25), FS24 + FR25), 0)))</f>
        <v>424404.39060142776</v>
      </c>
      <c r="FT25" s="1">
        <f>IF(OR($B25=Analysis!$C$100, $B25=Analysis!$C$130),0,IF(FN25 &lt; 0,
    IF(FN25 + FO24 &lt; 0,
        MAX(0, FT24 - (ABS(FN25 + FO24) * (1+$V24))),
        FT24 + FQ25),
    FT24 + FR25 + FQ25))</f>
        <v>645288.00936900498</v>
      </c>
      <c r="FU25" s="1">
        <f t="shared" si="57"/>
        <v>587029.9549190565</v>
      </c>
      <c r="FV25" s="36"/>
      <c r="FW25" s="1">
        <f t="shared" si="52"/>
        <v>808347.36095810507</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-21023.073420463028</v>
      </c>
      <c r="GC25" s="1">
        <f>IF($B25&lt;Analysis!$C$159,0,IF($B25=Analysis!$C$159,-FY25-GB25,MIN(0,GC24-GB25)))</f>
        <v>-66831.088280820157</v>
      </c>
      <c r="GD25" s="64">
        <f>IF($B25&lt;Analysis!$C$159,0,IF($B25=Analysis!$C$159,Analysis!$C$160,IF(($B25-Analysis!$C$159)&lt;LOOKUP(Analysis!$C$159,$B:$B,FZ:FZ),GD24,0)))</f>
        <v>4.4399999999999995E-2</v>
      </c>
      <c r="GE25" s="1">
        <f>IF($B25&lt;Analysis!$C$159,0,IF($B25=Analysis!$C$159,-GD25*FY25,GD24*GC24))</f>
        <v>-3900.7247795369731</v>
      </c>
      <c r="GF25" s="1">
        <f>IF($B25&lt;Analysis!$C$159,0,IF($B25=Analysis!$C$159,PMT(GD25,FZ25,FY25)*FZ25-GG25-GC25,IF(($B25-Analysis!$C$159+1)&lt;LOOKUP(Analysis!$C$159,$B:$B,FZ:FZ),IF(GF24-GE25&lt;0, GF24-GE25,0),0)))</f>
        <v>-5893.4496400904209</v>
      </c>
      <c r="GG25" s="1">
        <f>IF($B25&lt;Analysis!$C$159,0,IF($B25=Analysis!$C$159,GB25+GE25,IF(GC24&lt;0,IF(GC24&gt;LOOKUP(Analysis!$C$159,$B:$B,GG:GG), GC24*(1+GD24),GG24),0)))</f>
        <v>-24923.798200000001</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33381.896113908871</v>
      </c>
      <c r="GQ25" s="1">
        <f t="shared" si="36"/>
        <v>-2425.0420828743154</v>
      </c>
      <c r="GR25" s="64">
        <f>IF($B25&lt;Analysis!$C$159,0,Analysis!$C$178)</f>
        <v>3.0000000000000001E-3</v>
      </c>
      <c r="GS25" s="1">
        <f t="shared" si="37"/>
        <v>-6062.6052071857875</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-8300</v>
      </c>
      <c r="HC25" s="1">
        <f>-Analysis!$C$177*GN25</f>
        <v>-2024.7640523275916</v>
      </c>
      <c r="HD25" s="1">
        <f t="shared" si="38"/>
        <v>-22772.411342387695</v>
      </c>
      <c r="HE25" s="1">
        <f>MIN(0,-(GN25+HD25)*Analysis!$C$28)-GE25*Analysis!$C$28</f>
        <v>-143.43940552659137</v>
      </c>
      <c r="HF25" s="1">
        <f>-Analysis!$C$176*GP25/12</f>
        <v>-2781.8246761590726</v>
      </c>
      <c r="HG25" s="38"/>
      <c r="HH25" s="1">
        <f>IF($B25&lt;Analysis!$C$159,0,-$HI25*$FW25)</f>
        <v>-103064.2885221584</v>
      </c>
      <c r="HI25" s="64">
        <f>IF($B25&lt;Analysis!$C$159,0,IF($B25=Analysis!$C$159,Analysis!$C$31,HI24))</f>
        <v>0.1275</v>
      </c>
      <c r="HJ25" s="1">
        <f>IF($B25&lt;Analysis!$C$159,0,$FW25+HH25)</f>
        <v>705283.07243594667</v>
      </c>
      <c r="HK25" s="1">
        <f>IF($B25-Analysis!$C$159&gt;10,0,IF($FW25&gt;LOOKUP(Analysis!$C$159,$B:$B, FW:FW),$V25*(LOOKUP(Analysis!$C$159,$B:$B, FW:FW)-FW25),0))</f>
        <v>0</v>
      </c>
      <c r="HL25" s="1">
        <f t="shared" si="39"/>
        <v>705283.07243594667</v>
      </c>
      <c r="HM25" s="38"/>
      <c r="HN25" s="1">
        <f t="shared" si="40"/>
        <v>-151535.02108811284</v>
      </c>
      <c r="HO25" s="1">
        <f t="shared" si="8"/>
        <v>164849.81935513476</v>
      </c>
      <c r="HP25" s="1">
        <f t="shared" si="41"/>
        <v>13314.798267021921</v>
      </c>
      <c r="HQ25" s="1">
        <f>IF(HP25 &lt; 0,
    IF(HQ24 + HP25 &gt; 0,
        HQ24 + HP25, IF(HV24-ABS(HQ24 + HP25)*(1+$V25) &gt;= HQ24 + HP25,
        0, HQ24 + HP25)),
    MIN(HQ24 + HP25, Analysis!$C$7))+IF(HQ24&lt;0, HQ24*Analysis!$C$9,0)</f>
        <v>24000</v>
      </c>
      <c r="HR25" s="38"/>
      <c r="HS25" s="1">
        <f t="shared" si="54"/>
        <v>23723.444671641762</v>
      </c>
      <c r="HT25" s="1">
        <f>IF($B25=Analysis!$C$159,0,IF(HP25 &gt;= 0,
    MAX(0, HQ24 + HP25 - Analysis!$C$7),
    0))</f>
        <v>13314.798267021921</v>
      </c>
      <c r="HU25" s="1">
        <f>IF($B25=Analysis!$C$159,0,MAX(0, HU24 + HT25 - IF(HP25 &lt; 0, MIN(ABS(HP25), HU24 + HT25), 0)))</f>
        <v>424404.39060142776</v>
      </c>
      <c r="HV25" s="1">
        <f>IF($B25=Analysis!$C$159,0,IF(HP25 &lt; 0,
    IF(HP25 + HQ24 &lt; 0,
        MAX(0, HV24 - (ABS(HP25 + HQ24) * (1+$V24))),
        HV24 + HS25),
    HV24 + HT25 + HS25))</f>
        <v>645288.00936900498</v>
      </c>
      <c r="HW25" s="1">
        <f t="shared" si="58"/>
        <v>587029.9549190565</v>
      </c>
      <c r="HX25" s="36"/>
    </row>
    <row r="26" spans="1:232" x14ac:dyDescent="0.35">
      <c r="A26">
        <f t="shared" si="0"/>
        <v>59</v>
      </c>
      <c r="B26">
        <v>2049</v>
      </c>
      <c r="C26" s="1">
        <f>IF($B26&lt;Analysis!C$66,0,$AN26)+$AT26+$AW26+$BC26+$CF26+$CA26</f>
        <v>549012.03553792275</v>
      </c>
      <c r="D26" s="1">
        <f>IF($B26&lt;Analysis!C$66, 0, BV26)+AT26+AW26+BC26+CG26+CA26</f>
        <v>372612.13703968562</v>
      </c>
      <c r="E26" s="1">
        <f t="shared" si="1"/>
        <v>1398567.8969063496</v>
      </c>
      <c r="F26" s="1">
        <f t="shared" si="9"/>
        <v>1230665.1238825696</v>
      </c>
      <c r="G26" s="1">
        <f>IF(AND($B26&gt;=Analysis!$C$100, $B26&lt;Analysis!$C$101),$CK26,0)+IF($B26&gt;=Analysis!$C$130,EB26,0)+CQ26+CT26+CZ26+EH26+EK26+EQ26+$FO26+$FT26</f>
        <v>1489934.3432277658</v>
      </c>
      <c r="H26" s="1">
        <f t="shared" si="10"/>
        <v>1319234.389494041</v>
      </c>
      <c r="I26" s="1">
        <f>IF($B26&lt;Analysis!$C$159,0,$FW26)+$GC26+$GF26+$GL26+$HQ26+$HV26</f>
        <v>1489934.3432277658</v>
      </c>
      <c r="J26" s="1">
        <f t="shared" si="2"/>
        <v>1319234.389494041</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48645.676252892015</v>
      </c>
      <c r="AI26" s="1">
        <f>IF(AE26 &gt;= 0,
    MAX(0, AF25 + AE26 - Analysis!$C$7),
    0)</f>
        <v>21346.918498832296</v>
      </c>
      <c r="AJ26" s="1">
        <f t="shared" si="44"/>
        <v>737969.70534699433</v>
      </c>
      <c r="AK26" s="1">
        <f t="shared" si="20"/>
        <v>1374567.8969063496</v>
      </c>
      <c r="AL26" s="1">
        <f t="shared" si="5"/>
        <v>1206665.1238825696</v>
      </c>
      <c r="AM26" s="36"/>
      <c r="AN26" s="1">
        <f t="shared" si="45"/>
        <v>1383528.6156724484</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-39363.133501898825</v>
      </c>
      <c r="AT26" s="1">
        <f>IF($B26&lt;Analysis!$C$66,0,IF($B26=Analysis!$C$66,-AP26-AS26,MIN(0,AT25-AS26)))</f>
        <v>-80450.19303191168</v>
      </c>
      <c r="AU26" s="64">
        <f>IF($B26&lt;Analysis!$C$66,0,IF($B26=Analysis!$C$66,Analysis!$C$72,IF(($B26-Analysis!$C$66)&lt;LOOKUP(Analysis!$C$66,$B:$B,AQ:AQ),AU25,0)))</f>
        <v>4.4399999999999995E-2</v>
      </c>
      <c r="AV26" s="1">
        <f>IF($B26&lt;Analysis!$C$66,0,IF($B26=Analysis!$C$66,-AU26*AP26,AU25*AT25))</f>
        <v>-5319.7116981011859</v>
      </c>
      <c r="AW26" s="1">
        <f>IF($B26&lt;Analysis!$C$66,0,IF($B26=Analysis!$C$66,PMT(AU26,AQ26,AP26)*AQ26-AX26-AT26,IF(($B26-Analysis!$C$66+1)&lt;LOOKUP(Analysis!$C$66,$B:$B,AQ:AQ),IF(AW25-AV26&lt;0, AW25-AV26,0),0)))</f>
        <v>-5245.9370785834726</v>
      </c>
      <c r="AX26" s="1">
        <f>IF($B26&lt;Analysis!$C$66,0,IF($B26=Analysis!$C$66,AS26+AV26,IF(AT25&lt;0,IF(AT25&gt;LOOKUP(Analysis!$C$66,$B:$B,AX:AX), AT25*(1+AU25),AX25),0)))</f>
        <v>-44682.845200000011</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-4150.5858470173453</v>
      </c>
      <c r="BF26" s="64">
        <f>IF($B26&lt;Analysis!$C$66,0,Analysis!$C$78)</f>
        <v>3.0000000000000001E-3</v>
      </c>
      <c r="BG26" s="1">
        <f>IF($B26&lt;Analysis!$C$66,0,-BH26*AN26)</f>
        <v>-10376.464617543363</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-176399.89849823716</v>
      </c>
      <c r="BS26" s="64">
        <f>IF($B26&lt;Analysis!C$66,0,Analysis!C$31)</f>
        <v>0.1275</v>
      </c>
      <c r="BT26" s="1">
        <f>IF($B26&lt;Analysis!$C$66,0,AN26+BR26)</f>
        <v>1207128.7171742113</v>
      </c>
      <c r="BU26" s="1">
        <f>IF($B26-Analysis!$C$66&gt;3,0,IF($AN26&gt;LOOKUP(Analysis!$C$66,$B:$B, AN:AN),$V26*(LOOKUP(Analysis!$C$66,$B:$B, AN:AN)-AN26),0))</f>
        <v>0</v>
      </c>
      <c r="BV26" s="1">
        <f t="shared" si="23"/>
        <v>1207128.7171742113</v>
      </c>
      <c r="BW26" s="42"/>
      <c r="BX26" s="1">
        <f>IF($B26&lt;Analysis!$C$66,$P26+$N26+$X26+$Z26,$P26+$N26+AS26+AV26+BB26+BE26+BG26+MAX(BI26,SUM(BJ26:BN26))+BP26)</f>
        <v>-137569.89566456072</v>
      </c>
      <c r="BY26" s="1">
        <f t="shared" si="24"/>
        <v>131467.92324122589</v>
      </c>
      <c r="BZ26" s="1">
        <f t="shared" si="46"/>
        <v>-6101.9724233348388</v>
      </c>
      <c r="CA26" s="1">
        <f>IF(BZ26 &lt; 0,
    IF(CA25 + BZ26 &gt; 0,
        CA25 + BZ26, IF(CF25-ABS(CA25 + BZ26)*(1+$V26) &gt;= CA25 + BZ26,
        0, CA25 + BZ26)),
    MIN(CA25 + BZ26, Analysis!$C$7))+IF(CA25&lt;0, CA25*Analysis!$C$9,0)</f>
        <v>-748820.4500240304</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-31761.00474239359</v>
      </c>
      <c r="CJ26" s="1">
        <f>IF(OR($B26&lt;Analysis!$C$100, $B26&gt;=Analysis!$C$130),0,Z26)</f>
        <v>-3960</v>
      </c>
      <c r="CK26" s="1">
        <f t="shared" si="26"/>
        <v>832122.28333922592</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-21956.497880331586</v>
      </c>
      <c r="CQ26" s="1">
        <f>IF(OR($B26&lt;Analysis!$C$100, $B26&gt;=Analysis!$C$101),0,IF($B26=Analysis!$C$100,-CM26-CP26,MIN(0,CQ25-CP26)))</f>
        <v>-44874.590400488567</v>
      </c>
      <c r="CR26" s="64">
        <f>IF(OR($B26&lt;Analysis!$C$100, $B26&gt;=Analysis!$C$101),0,IF($B26=Analysis!$C$100,Analysis!$C$102,IF(($B26-Analysis!$C$100)&lt;LOOKUP(Analysis!$C$100,$B:$B,CN:CN),CR25,0)))</f>
        <v>4.4399999999999995E-2</v>
      </c>
      <c r="CS26" s="1">
        <f>IF(OR($B26&lt;Analysis!$C$100, $B26&gt;=Analysis!$C$101),0,IF($B26=Analysis!$C$100,-CR26*CM26,CR25*CQ25))</f>
        <v>-2967.3003196684144</v>
      </c>
      <c r="CT26" s="1">
        <f>IF(OR($B26&lt;Analysis!$C$100, $B26&gt;=Analysis!$C$101),0,IF($B26=Analysis!$C$100,PMT(CR26,CN26,CM26)*CN26-CU26-CQ26,IF(($B26-Analysis!$C$100+1)&lt;LOOKUP(Analysis!$C$100,$B:$B,CN:CN),IF(CT25-CS26&lt;0, CT25-CS26,0),0)))</f>
        <v>-2926.1493204220064</v>
      </c>
      <c r="CU26" s="1">
        <f>IF(OR($B26&lt;Analysis!$C$100, $B26&gt;=Analysis!$C$101),0,IF($B26=Analysis!$C$100,CP26+CS26,IF(CQ25&lt;0,IF(CQ25&gt;LOOKUP(Analysis!$C$100,$B:$B,CU:CU), CQ25*(1+CR25),CU25),0)))</f>
        <v>-24923.798200000001</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34247.245999612074</v>
      </c>
      <c r="DE26" s="1">
        <f t="shared" si="27"/>
        <v>-2496.3668500176777</v>
      </c>
      <c r="DF26" s="64">
        <f>IF(OR($B26&lt;Analysis!$C$100, $B26&gt;=Analysis!$C$101),0,Analysis!$C$118)</f>
        <v>3.0000000000000001E-3</v>
      </c>
      <c r="DG26" s="1">
        <f t="shared" si="28"/>
        <v>-6240.9171250441941</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-8300</v>
      </c>
      <c r="DQ26" s="1">
        <f>-Analysis!$C$117*DB26</f>
        <v>-2084.3159362195797</v>
      </c>
      <c r="DR26" s="1">
        <f t="shared" si="29"/>
        <v>-23081.599911281453</v>
      </c>
      <c r="DS26" s="1">
        <f>MIN(0,-(DB26+DR26)*Analysis!$C$28)-CS26*Analysis!$C$28</f>
        <v>-771.87085885139163</v>
      </c>
      <c r="DT26" s="1">
        <f>-Analysis!$C$116*DD26/12</f>
        <v>-2853.9371666343395</v>
      </c>
      <c r="DU26" s="53"/>
      <c r="DV26" s="1">
        <f t="shared" si="30"/>
        <v>-106095.59112575131</v>
      </c>
      <c r="DW26" s="64">
        <f>IF(OR($B26&lt;Analysis!$C$100, $B26&gt;=Analysis!$C$101),0,IF($B26=Analysis!$C$100,Analysis!$C$31,DW25))</f>
        <v>0.1275</v>
      </c>
      <c r="DX26" s="1">
        <f>IF(OR($B26&lt;Analysis!$C$100, $B26&gt;=Analysis!$C$101),0,CK26+DV26)</f>
        <v>726026.69221347466</v>
      </c>
      <c r="DY26" s="1">
        <f>IF(OR($B26&lt;Analysis!$C$100, $B26&gt;=Analysis!$C$101),0,IF($B26-Analysis!$C$100&gt;3,0,IF(CK26&gt;LOOKUP(Analysis!$C$100,$B:$B, CK:CK),$V26*(LOOKUP(Analysis!$C$100,$B:$B, CK:CK)-CK26),0)))</f>
        <v>0</v>
      </c>
      <c r="DZ26" s="1">
        <f t="shared" si="49"/>
        <v>726026.69221347466</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IF($B26&lt;Analysis!$C$130,0,IF($B26=Analysis!$C$130,Analysis!$D$136,IF(($B26-Analysis!$C$130)&lt;LOOKUP(Analysis!$C$130,$B:$B,EE:EE),EI25,0)))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-153452.21087916076</v>
      </c>
      <c r="FM26" s="1">
        <f>$M26+$R26+DD26+IF(AND($B26&lt;&gt;Analysis!$C$130,$B26=Analysis!$C$101),DZ25+CQ25+CT25+CZ25,0)</f>
        <v>165715.16924083797</v>
      </c>
      <c r="FN26" s="1">
        <f t="shared" si="34"/>
        <v>12262.958361677214</v>
      </c>
      <c r="FO26" s="1">
        <f>IF(FN26 &lt; 0,
    IF(FO25 + FN26 &gt; 0,
        FO25 + FN26, IF(FT25-ABS(FO25 + FN26)*(1+$V26) &gt;= FO25 + FN26,
        0, FO25 + FN26)),
    MIN(FO25 + FN26, Analysis!$C$7))+IF(FO25&lt;0, FO25*Analysis!$C$9,0)</f>
        <v>24000</v>
      </c>
      <c r="FP26" s="53"/>
      <c r="FQ26" s="1">
        <f t="shared" si="51"/>
        <v>24061.83187876816</v>
      </c>
      <c r="FR26" s="1">
        <f>IF(OR($B26=Analysis!$C$100, $B26=Analysis!$C$130),0,IF(FN26 &gt;= 0,
    MAX(0, FO25 + FN26 - Analysis!$C$7),
    0))</f>
        <v>12262.958361677214</v>
      </c>
      <c r="FS26" s="1">
        <f>IF(OR($B26=Analysis!$C$100, $B26=Analysis!$C$130),0,MAX(0, FS25 + FR26 - IF(FN26 &lt; 0, MIN(ABS(FN26), FS25 + FR26), 0)))</f>
        <v>436667.348963105</v>
      </c>
      <c r="FT26" s="1">
        <f>IF(OR($B26=Analysis!$C$100, $B26=Analysis!$C$130),0,IF(FN26 &lt; 0,
    IF(FN26 + FO25 &lt; 0,
        MAX(0, FT25 - (ABS(FN26 + FO25) * (1+$V25))),
        FT25 + FQ26),
    FT25 + FR26 + FQ26))</f>
        <v>681612.79960945039</v>
      </c>
      <c r="FU26" s="1">
        <f t="shared" si="57"/>
        <v>617008.43700147676</v>
      </c>
      <c r="FV26" s="36"/>
      <c r="FW26" s="1">
        <f t="shared" si="52"/>
        <v>832122.28333922592</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-21956.497880331586</v>
      </c>
      <c r="GC26" s="1">
        <f>IF($B26&lt;Analysis!$C$159,0,IF($B26=Analysis!$C$159,-FY26-GB26,MIN(0,GC25-GB26)))</f>
        <v>-44874.590400488567</v>
      </c>
      <c r="GD26" s="64">
        <f>IF($B26&lt;Analysis!$C$159,0,IF($B26=Analysis!$C$159,Analysis!$C$160,IF(($B26-Analysis!$C$159)&lt;LOOKUP(Analysis!$C$159,$B:$B,FZ:FZ),GD25,0)))</f>
        <v>4.4399999999999995E-2</v>
      </c>
      <c r="GE26" s="1">
        <f>IF($B26&lt;Analysis!$C$159,0,IF($B26=Analysis!$C$159,-GD26*FY26,GD25*GC25))</f>
        <v>-2967.3003196684144</v>
      </c>
      <c r="GF26" s="1">
        <f>IF($B26&lt;Analysis!$C$159,0,IF($B26=Analysis!$C$159,PMT(GD26,FZ26,FY26)*FZ26-GG26-GC26,IF(($B26-Analysis!$C$159+1)&lt;LOOKUP(Analysis!$C$159,$B:$B,FZ:FZ),IF(GF25-GE26&lt;0, GF25-GE26,0),0)))</f>
        <v>-2926.1493204220064</v>
      </c>
      <c r="GG26" s="1">
        <f>IF($B26&lt;Analysis!$C$159,0,IF($B26=Analysis!$C$159,GB26+GE26,IF(GC25&lt;0,IF(GC25&gt;LOOKUP(Analysis!$C$159,$B:$B,GG:GG), GC25*(1+GD25),GG25),0)))</f>
        <v>-24923.798200000001</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34247.245999612074</v>
      </c>
      <c r="GQ26" s="1">
        <f t="shared" si="36"/>
        <v>-2496.3668500176777</v>
      </c>
      <c r="GR26" s="64">
        <f>IF($B26&lt;Analysis!$C$159,0,Analysis!$C$178)</f>
        <v>3.0000000000000001E-3</v>
      </c>
      <c r="GS26" s="1">
        <f t="shared" si="37"/>
        <v>-6240.9171250441941</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-8300</v>
      </c>
      <c r="HC26" s="1">
        <f>-Analysis!$C$177*GN26</f>
        <v>-2084.3159362195797</v>
      </c>
      <c r="HD26" s="1">
        <f t="shared" si="38"/>
        <v>-23081.599911281453</v>
      </c>
      <c r="HE26" s="1">
        <f>MIN(0,-(GN26+HD26)*Analysis!$C$28)-GE26*Analysis!$C$28</f>
        <v>-771.87085885139163</v>
      </c>
      <c r="HF26" s="1">
        <f>-Analysis!$C$176*GP26/12</f>
        <v>-2853.9371666343395</v>
      </c>
      <c r="HG26" s="38"/>
      <c r="HH26" s="1">
        <f>IF($B26&lt;Analysis!$C$159,0,-$HI26*$FW26)</f>
        <v>-106095.59112575131</v>
      </c>
      <c r="HI26" s="64">
        <f>IF($B26&lt;Analysis!$C$159,0,IF($B26=Analysis!$C$159,Analysis!$C$31,HI25))</f>
        <v>0.1275</v>
      </c>
      <c r="HJ26" s="1">
        <f>IF($B26&lt;Analysis!$C$159,0,$FW26+HH26)</f>
        <v>726026.69221347466</v>
      </c>
      <c r="HK26" s="1">
        <f>IF($B26-Analysis!$C$159&gt;10,0,IF($FW26&gt;LOOKUP(Analysis!$C$159,$B:$B, FW:FW),$V26*(LOOKUP(Analysis!$C$159,$B:$B, FW:FW)-FW26),0))</f>
        <v>0</v>
      </c>
      <c r="HL26" s="1">
        <f t="shared" si="39"/>
        <v>726026.69221347466</v>
      </c>
      <c r="HM26" s="38"/>
      <c r="HN26" s="1">
        <f t="shared" si="40"/>
        <v>-153452.21087916076</v>
      </c>
      <c r="HO26" s="1">
        <f t="shared" si="8"/>
        <v>165715.16924083797</v>
      </c>
      <c r="HP26" s="1">
        <f t="shared" si="41"/>
        <v>12262.958361677214</v>
      </c>
      <c r="HQ26" s="1">
        <f>IF(HP26 &lt; 0,
    IF(HQ25 + HP26 &gt; 0,
        HQ25 + HP26, IF(HV25-ABS(HQ25 + HP26)*(1+$V26) &gt;= HQ25 + HP26,
        0, HQ25 + HP26)),
    MIN(HQ25 + HP26, Analysis!$C$7))+IF(HQ25&lt;0, HQ25*Analysis!$C$9,0)</f>
        <v>24000</v>
      </c>
      <c r="HR26" s="38"/>
      <c r="HS26" s="1">
        <f t="shared" si="54"/>
        <v>24061.83187876816</v>
      </c>
      <c r="HT26" s="1">
        <f>IF($B26=Analysis!$C$159,0,IF(HP26 &gt;= 0,
    MAX(0, HQ25 + HP26 - Analysis!$C$7),
    0))</f>
        <v>12262.958361677214</v>
      </c>
      <c r="HU26" s="1">
        <f>IF($B26=Analysis!$C$159,0,MAX(0, HU25 + HT26 - IF(HP26 &lt; 0, MIN(ABS(HP26), HU25 + HT26), 0)))</f>
        <v>436667.348963105</v>
      </c>
      <c r="HV26" s="1">
        <f>IF($B26=Analysis!$C$159,0,IF(HP26 &lt; 0,
    IF(HP26 + HQ25 &lt; 0,
        MAX(0, HV25 - (ABS(HP26 + HQ25) * (1+$V25))),
        HV25 + HS26),
    HV25 + HT26 + HS26))</f>
        <v>681612.79960945039</v>
      </c>
      <c r="HW26" s="1">
        <f t="shared" si="58"/>
        <v>617008.43700147676</v>
      </c>
      <c r="HX26" s="36"/>
    </row>
    <row r="27" spans="1:232" x14ac:dyDescent="0.35">
      <c r="A27">
        <f t="shared" si="0"/>
        <v>60</v>
      </c>
      <c r="B27">
        <v>2050</v>
      </c>
      <c r="C27" s="1">
        <f>IF($B27&lt;Analysis!C$66,0,$AN27)+$AT27+$AW27+$BC27+$CF27+$CA27</f>
        <v>567952.0242305448</v>
      </c>
      <c r="D27" s="1">
        <f>IF($B27&lt;Analysis!C$66, 0, BV27)+AT27+AW27+BC27+CG27+CA27</f>
        <v>386363.89342353598</v>
      </c>
      <c r="E27" s="1">
        <f t="shared" si="1"/>
        <v>1467879.8622985028</v>
      </c>
      <c r="F27" s="1">
        <f t="shared" si="9"/>
        <v>1287079.9268330564</v>
      </c>
      <c r="G27" s="1">
        <f>IF(AND($B27&gt;=Analysis!$C$100, $B27&lt;Analysis!$C$101),$CK27,0)+IF($B27&gt;=Analysis!$C$130,EB27,0)+CQ27+CT27+CZ27+EH27+EK27+EQ27+$FO27+$FT27</f>
        <v>1574754.1593748331</v>
      </c>
      <c r="H27" s="1">
        <f t="shared" si="10"/>
        <v>1394538.3765634829</v>
      </c>
      <c r="I27" s="1">
        <f>IF($B27&lt;Analysis!$C$159,0,$FW27)+$GC27+$GF27+$GL27+$HQ27+$HV27</f>
        <v>1574754.1593748331</v>
      </c>
      <c r="J27" s="1">
        <f t="shared" si="2"/>
        <v>1394538.3765634829</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48899.194091626669</v>
      </c>
      <c r="AI27" s="1">
        <f>IF(AE27 &gt;= 0,
    MAX(0, AF26 + AE27 - Analysis!$C$7),
    0)</f>
        <v>20412.771300526598</v>
      </c>
      <c r="AJ27" s="1">
        <f t="shared" si="44"/>
        <v>758382.4766475209</v>
      </c>
      <c r="AK27" s="1">
        <f t="shared" si="20"/>
        <v>1443879.8622985028</v>
      </c>
      <c r="AL27" s="1">
        <f t="shared" si="5"/>
        <v>1263079.9268330564</v>
      </c>
      <c r="AM27" s="36"/>
      <c r="AN27" s="1">
        <f t="shared" si="45"/>
        <v>1424220.6337804617</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-41110.856629383132</v>
      </c>
      <c r="AT27" s="1">
        <f>IF($B27&lt;Analysis!$C$66,0,IF($B27=Analysis!$C$66,-AP27-AS27,MIN(0,AT26-AS27)))</f>
        <v>-39339.336402528548</v>
      </c>
      <c r="AU27" s="64">
        <f>IF($B27&lt;Analysis!$C$66,0,IF($B27=Analysis!$C$66,Analysis!$C$72,IF(($B27-Analysis!$C$66)&lt;LOOKUP(Analysis!$C$66,$B:$B,AQ:AQ),AU26,0)))</f>
        <v>4.4399999999999995E-2</v>
      </c>
      <c r="AV27" s="1">
        <f>IF($B27&lt;Analysis!$C$66,0,IF($B27=Analysis!$C$66,-AU27*AP27,AU26*AT26))</f>
        <v>-3571.9885706168784</v>
      </c>
      <c r="AW27" s="1">
        <f>IF($B27&lt;Analysis!$C$66,0,IF($B27=Analysis!$C$66,PMT(AU27,AQ27,AP27)*AQ27-AX27-AT27,IF(($B27-Analysis!$C$66+1)&lt;LOOKUP(Analysis!$C$66,$B:$B,AQ:AQ),IF(AW26-AV27&lt;0, AW26-AV27,0),0)))</f>
        <v>-1673.9485079665942</v>
      </c>
      <c r="AX27" s="1">
        <f>IF($B27&lt;Analysis!$C$66,0,IF($B27=Analysis!$C$66,AS27+AV27,IF(AT26&lt;0,IF(AT26&gt;LOOKUP(Analysis!$C$66,$B:$B,AX:AX), AT26*(1+AU26),AX26),0)))</f>
        <v>-44682.845200000011</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-4272.6619013413856</v>
      </c>
      <c r="BF27" s="64">
        <f>IF($B27&lt;Analysis!$C$66,0,Analysis!$C$78)</f>
        <v>3.0000000000000001E-3</v>
      </c>
      <c r="BG27" s="1">
        <f>IF($B27&lt;Analysis!$C$66,0,-BH27*AN27)</f>
        <v>-10681.654753353463</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-181588.13080700889</v>
      </c>
      <c r="BS27" s="64">
        <f>IF($B27&lt;Analysis!C$66,0,Analysis!C$31)</f>
        <v>0.1275</v>
      </c>
      <c r="BT27" s="1">
        <f>IF($B27&lt;Analysis!$C$66,0,AN27+BR27)</f>
        <v>1242632.5029734529</v>
      </c>
      <c r="BU27" s="1">
        <f>IF($B27-Analysis!$C$66&gt;3,0,IF($AN27&gt;LOOKUP(Analysis!$C$66,$B:$B, AN:AN),$V27*(LOOKUP(Analysis!$C$66,$B:$B, AN:AN)-AN27),0))</f>
        <v>0</v>
      </c>
      <c r="BV27" s="1">
        <f t="shared" si="23"/>
        <v>1242632.5029734529</v>
      </c>
      <c r="BW27" s="42"/>
      <c r="BX27" s="1">
        <f>IF($B27&lt;Analysis!$C$66,$P27+$N27+$X27+$Z27,$P27+$N27+AS27+AV27+BB27+BE27+BG27+MAX(BI27,SUM(BJ27:BN27))+BP27)</f>
        <v>-137997.16185469486</v>
      </c>
      <c r="BY27" s="1">
        <f t="shared" si="24"/>
        <v>131467.92324122589</v>
      </c>
      <c r="BZ27" s="1">
        <f t="shared" si="46"/>
        <v>-6529.2386134689732</v>
      </c>
      <c r="CA27" s="1">
        <f>IF(BZ27 &lt; 0,
    IF(CA26 + BZ27 &gt; 0,
        CA26 + BZ27, IF(CF26-ABS(CA26 + BZ27)*(1+$V27) &gt;= CA26 + BZ27,
        0, CA26 + BZ27)),
    MIN(CA26 + BZ27, Analysis!$C$7))+IF(CA26&lt;0, CA26*Analysis!$C$9,0)</f>
        <v>-815255.32463942177</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-32695.151940699288</v>
      </c>
      <c r="CJ27" s="1">
        <f>IF(OR($B27&lt;Analysis!$C$100, $B27&gt;=Analysis!$C$130),0,Z27)</f>
        <v>-3960</v>
      </c>
      <c r="CK27" s="1">
        <f t="shared" si="26"/>
        <v>856596.46814332088</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-22931.366386218309</v>
      </c>
      <c r="CQ27" s="1">
        <f>IF(OR($B27&lt;Analysis!$C$100, $B27&gt;=Analysis!$C$101),0,IF($B27=Analysis!$C$100,-CM27-CP27,MIN(0,CQ26-CP27)))</f>
        <v>-21943.224014270258</v>
      </c>
      <c r="CR27" s="64">
        <f>IF(OR($B27&lt;Analysis!$C$100, $B27&gt;=Analysis!$C$101),0,IF($B27=Analysis!$C$100,Analysis!$C$102,IF(($B27-Analysis!$C$100)&lt;LOOKUP(Analysis!$C$100,$B:$B,CN:CN),CR26,0)))</f>
        <v>4.4399999999999995E-2</v>
      </c>
      <c r="CS27" s="1">
        <f>IF(OR($B27&lt;Analysis!$C$100, $B27&gt;=Analysis!$C$101),0,IF($B27=Analysis!$C$100,-CR27*CM27,CR26*CQ26))</f>
        <v>-1992.4318137816922</v>
      </c>
      <c r="CT27" s="1">
        <f>IF(OR($B27&lt;Analysis!$C$100, $B27&gt;=Analysis!$C$101),0,IF($B27=Analysis!$C$100,PMT(CR27,CN27,CM27)*CN27-CU27-CQ27,IF(($B27-Analysis!$C$100+1)&lt;LOOKUP(Analysis!$C$100,$B:$B,CN:CN),IF(CT26-CS27&lt;0, CT26-CS27,0),0)))</f>
        <v>-933.71750664031424</v>
      </c>
      <c r="CU27" s="1">
        <f>IF(OR($B27&lt;Analysis!$C$100, $B27&gt;=Analysis!$C$101),0,IF($B27=Analysis!$C$100,CP27+CS27,IF(CQ26&lt;0,IF(CQ26&gt;LOOKUP(Analysis!$C$100,$B:$B,CU:CU), CQ26*(1+CR26),CU26),0)))</f>
        <v>-24923.798200000001</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35138.047352541849</v>
      </c>
      <c r="DE27" s="1">
        <f t="shared" si="27"/>
        <v>-2569.7894044299628</v>
      </c>
      <c r="DF27" s="64">
        <f>IF(OR($B27&lt;Analysis!$C$100, $B27&gt;=Analysis!$C$101),0,Analysis!$C$118)</f>
        <v>3.0000000000000001E-3</v>
      </c>
      <c r="DG27" s="1">
        <f t="shared" si="28"/>
        <v>-6424.4735110749061</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-8300</v>
      </c>
      <c r="DQ27" s="1">
        <f>-Analysis!$C$117*DB27</f>
        <v>-2145.6193461083913</v>
      </c>
      <c r="DR27" s="1">
        <f t="shared" si="29"/>
        <v>-23399.88226161326</v>
      </c>
      <c r="DS27" s="1">
        <f>MIN(0,-(DB27+DR27)*Analysis!$C$28)-CS27*Analysis!$C$28</f>
        <v>-1424.9847300008723</v>
      </c>
      <c r="DT27" s="1">
        <f>-Analysis!$C$116*DD27/12</f>
        <v>-2928.1706127118209</v>
      </c>
      <c r="DU27" s="53"/>
      <c r="DV27" s="1">
        <f t="shared" si="30"/>
        <v>-109216.04968827342</v>
      </c>
      <c r="DW27" s="64">
        <f>IF(OR($B27&lt;Analysis!$C$100, $B27&gt;=Analysis!$C$101),0,IF($B27=Analysis!$C$100,Analysis!$C$31,DW26))</f>
        <v>0.1275</v>
      </c>
      <c r="DX27" s="1">
        <f>IF(OR($B27&lt;Analysis!$C$100, $B27&gt;=Analysis!$C$101),0,CK27+DV27)</f>
        <v>747380.41845504742</v>
      </c>
      <c r="DY27" s="1">
        <f>IF(OR($B27&lt;Analysis!$C$100, $B27&gt;=Analysis!$C$101),0,IF($B27-Analysis!$C$100&gt;3,0,IF(CK27&gt;LOOKUP(Analysis!$C$100,$B:$B, CK:CK),$V27*(LOOKUP(Analysis!$C$100,$B:$B, CK:CK)-CK27),0)))</f>
        <v>0</v>
      </c>
      <c r="DZ27" s="1">
        <f t="shared" si="49"/>
        <v>747380.41845504742</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IF($B27&lt;Analysis!$C$130,0,IF($B27=Analysis!$C$130,Analysis!$D$136,IF(($B27-Analysis!$C$130)&lt;LOOKUP(Analysis!$C$130,$B:$B,EE:EE),EI26,0)))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-155431.98774502525</v>
      </c>
      <c r="FM27" s="1">
        <f>$M27+$R27+DD27+IF(AND($B27&lt;&gt;Analysis!$C$130,$B27=Analysis!$C$101),DZ26+CQ26+CT26+CZ26,0)</f>
        <v>166605.97059376774</v>
      </c>
      <c r="FN27" s="1">
        <f t="shared" si="34"/>
        <v>11173.982848742482</v>
      </c>
      <c r="FO27" s="1">
        <f>IF(FN27 &lt; 0,
    IF(FO26 + FN27 &gt; 0,
        FO26 + FN27, IF(FT26-ABS(FO26 + FN27)*(1+$V27) &gt;= FO26 + FN27,
        0, FO26 + FN27)),
    MIN(FO26 + FN27, Analysis!$C$7))+IF(FO26&lt;0, FO26*Analysis!$C$9,0)</f>
        <v>24000</v>
      </c>
      <c r="FP27" s="53"/>
      <c r="FQ27" s="1">
        <f t="shared" si="51"/>
        <v>24247.850294229862</v>
      </c>
      <c r="FR27" s="1">
        <f>IF(OR($B27=Analysis!$C$100, $B27=Analysis!$C$130),0,IF(FN27 &gt;= 0,
    MAX(0, FO26 + FN27 - Analysis!$C$7),
    0))</f>
        <v>11173.982848742482</v>
      </c>
      <c r="FS27" s="1">
        <f>IF(OR($B27=Analysis!$C$100, $B27=Analysis!$C$130),0,MAX(0, FS26 + FR27 - IF(FN27 &lt; 0, MIN(ABS(FN27), FS26 + FR27), 0)))</f>
        <v>447841.33181184751</v>
      </c>
      <c r="FT27" s="1">
        <f>IF(OR($B27=Analysis!$C$100, $B27=Analysis!$C$130),0,IF(FN27 &lt; 0,
    IF(FN27 + FO26 &lt; 0,
        MAX(0, FT26 - (ABS(FN27 + FO26) * (1+$V26))),
        FT26 + FQ27),
    FT26 + FR27 + FQ27))</f>
        <v>717034.63275242271</v>
      </c>
      <c r="FU27" s="1">
        <f t="shared" si="57"/>
        <v>646034.89962934598</v>
      </c>
      <c r="FV27" s="36"/>
      <c r="FW27" s="1">
        <f t="shared" si="52"/>
        <v>856596.46814332088</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-22931.366386218309</v>
      </c>
      <c r="GC27" s="1">
        <f>IF($B27&lt;Analysis!$C$159,0,IF($B27=Analysis!$C$159,-FY27-GB27,MIN(0,GC26-GB27)))</f>
        <v>-21943.224014270258</v>
      </c>
      <c r="GD27" s="64">
        <f>IF($B27&lt;Analysis!$C$159,0,IF($B27=Analysis!$C$159,Analysis!$C$160,IF(($B27-Analysis!$C$159)&lt;LOOKUP(Analysis!$C$159,$B:$B,FZ:FZ),GD26,0)))</f>
        <v>4.4399999999999995E-2</v>
      </c>
      <c r="GE27" s="1">
        <f>IF($B27&lt;Analysis!$C$159,0,IF($B27=Analysis!$C$159,-GD27*FY27,GD26*GC26))</f>
        <v>-1992.4318137816922</v>
      </c>
      <c r="GF27" s="1">
        <f>IF($B27&lt;Analysis!$C$159,0,IF($B27=Analysis!$C$159,PMT(GD27,FZ27,FY27)*FZ27-GG27-GC27,IF(($B27-Analysis!$C$159+1)&lt;LOOKUP(Analysis!$C$159,$B:$B,FZ:FZ),IF(GF26-GE27&lt;0, GF26-GE27,0),0)))</f>
        <v>-933.71750664031424</v>
      </c>
      <c r="GG27" s="1">
        <f>IF($B27&lt;Analysis!$C$159,0,IF($B27=Analysis!$C$159,GB27+GE27,IF(GC26&lt;0,IF(GC26&gt;LOOKUP(Analysis!$C$159,$B:$B,GG:GG), GC26*(1+GD26),GG26),0)))</f>
        <v>-24923.798200000001</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35138.047352541849</v>
      </c>
      <c r="GQ27" s="1">
        <f t="shared" si="36"/>
        <v>-2569.7894044299628</v>
      </c>
      <c r="GR27" s="64">
        <f>IF($B27&lt;Analysis!$C$159,0,Analysis!$C$178)</f>
        <v>3.0000000000000001E-3</v>
      </c>
      <c r="GS27" s="1">
        <f t="shared" si="37"/>
        <v>-6424.4735110749061</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-8300</v>
      </c>
      <c r="HC27" s="1">
        <f>-Analysis!$C$177*GN27</f>
        <v>-2145.6193461083913</v>
      </c>
      <c r="HD27" s="1">
        <f t="shared" si="38"/>
        <v>-23399.88226161326</v>
      </c>
      <c r="HE27" s="1">
        <f>MIN(0,-(GN27+HD27)*Analysis!$C$28)-GE27*Analysis!$C$28</f>
        <v>-1424.9847300008723</v>
      </c>
      <c r="HF27" s="1">
        <f>-Analysis!$C$176*GP27/12</f>
        <v>-2928.1706127118209</v>
      </c>
      <c r="HG27" s="38"/>
      <c r="HH27" s="1">
        <f>IF($B27&lt;Analysis!$C$159,0,-$HI27*$FW27)</f>
        <v>-109216.04968827342</v>
      </c>
      <c r="HI27" s="64">
        <f>IF($B27&lt;Analysis!$C$159,0,IF($B27=Analysis!$C$159,Analysis!$C$31,HI26))</f>
        <v>0.1275</v>
      </c>
      <c r="HJ27" s="1">
        <f>IF($B27&lt;Analysis!$C$159,0,$FW27+HH27)</f>
        <v>747380.41845504742</v>
      </c>
      <c r="HK27" s="1">
        <f>IF($B27-Analysis!$C$159&gt;10,0,IF($FW27&gt;LOOKUP(Analysis!$C$159,$B:$B, FW:FW),$V27*(LOOKUP(Analysis!$C$159,$B:$B, FW:FW)-FW27),0))</f>
        <v>0</v>
      </c>
      <c r="HL27" s="1">
        <f t="shared" si="39"/>
        <v>747380.41845504742</v>
      </c>
      <c r="HM27" s="38"/>
      <c r="HN27" s="1">
        <f t="shared" si="40"/>
        <v>-155431.98774502525</v>
      </c>
      <c r="HO27" s="1">
        <f t="shared" si="8"/>
        <v>166605.97059376774</v>
      </c>
      <c r="HP27" s="1">
        <f t="shared" si="41"/>
        <v>11173.982848742482</v>
      </c>
      <c r="HQ27" s="1">
        <f>IF(HP27 &lt; 0,
    IF(HQ26 + HP27 &gt; 0,
        HQ26 + HP27, IF(HV26-ABS(HQ26 + HP27)*(1+$V27) &gt;= HQ26 + HP27,
        0, HQ26 + HP27)),
    MIN(HQ26 + HP27, Analysis!$C$7))+IF(HQ26&lt;0, HQ26*Analysis!$C$9,0)</f>
        <v>24000</v>
      </c>
      <c r="HR27" s="38"/>
      <c r="HS27" s="1">
        <f t="shared" si="54"/>
        <v>24247.850294229862</v>
      </c>
      <c r="HT27" s="1">
        <f>IF($B27=Analysis!$C$159,0,IF(HP27 &gt;= 0,
    MAX(0, HQ26 + HP27 - Analysis!$C$7),
    0))</f>
        <v>11173.982848742482</v>
      </c>
      <c r="HU27" s="1">
        <f>IF($B27=Analysis!$C$159,0,MAX(0, HU26 + HT27 - IF(HP27 &lt; 0, MIN(ABS(HP27), HU26 + HT27), 0)))</f>
        <v>447841.33181184751</v>
      </c>
      <c r="HV27" s="1">
        <f>IF($B27=Analysis!$C$159,0,IF(HP27 &lt; 0,
    IF(HP27 + HQ26 &lt; 0,
        MAX(0, HV26 - (ABS(HP27 + HQ26) * (1+$V26))),
        HV26 + HS27),
    HV26 + HT27 + HS27))</f>
        <v>717034.63275242271</v>
      </c>
      <c r="HW27" s="1">
        <f t="shared" si="58"/>
        <v>646034.89962934598</v>
      </c>
      <c r="HX27" s="36"/>
    </row>
    <row r="28" spans="1:232" x14ac:dyDescent="0.35">
      <c r="A28">
        <f t="shared" si="0"/>
        <v>61</v>
      </c>
      <c r="B28">
        <v>2051</v>
      </c>
      <c r="C28" s="1">
        <f>IF($B28&lt;Analysis!C$66,0,$AN28)+$AT28+$AW28+$BC28+$CF28+$CA28</f>
        <v>595461.49614484503</v>
      </c>
      <c r="D28" s="1">
        <f>IF($B28&lt;Analysis!C$66, 0, BV28)+AT28+AW28+BC28+CG28+CA28</f>
        <v>408532.53796115948</v>
      </c>
      <c r="E28" s="1">
        <f t="shared" si="1"/>
        <v>1549420.702730926</v>
      </c>
      <c r="F28" s="1">
        <f t="shared" si="9"/>
        <v>1355726.1111988723</v>
      </c>
      <c r="G28" s="1">
        <f>IF(AND($B28&gt;=Analysis!$C$100, $B28&lt;Analysis!$C$101),$CK28,0)+IF($B28&gt;=Analysis!$C$130,EB28,0)+CQ28+CT28+CZ28+EH28+EK28+EQ28+$FO28+$FT28</f>
        <v>1672356.6664618093</v>
      </c>
      <c r="H28" s="1">
        <f t="shared" si="10"/>
        <v>1482525.1259243682</v>
      </c>
      <c r="I28" s="1">
        <f>IF($B28&lt;Analysis!$C$159,0,$FW28)+$GC28+$GF28+$GL28+$HQ28+$HV28</f>
        <v>1672356.6664618093</v>
      </c>
      <c r="J28" s="1">
        <f t="shared" si="2"/>
        <v>1482525.1259243682</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48889.691247799397</v>
      </c>
      <c r="AI28" s="1">
        <f>IF(AE28 &gt;= 0,
    MAX(0, AF27 + AE28 - Analysis!$C$7),
    0)</f>
        <v>32651.149184623675</v>
      </c>
      <c r="AJ28" s="1">
        <f t="shared" si="44"/>
        <v>791033.62583214464</v>
      </c>
      <c r="AK28" s="1">
        <f t="shared" si="20"/>
        <v>1525420.702730926</v>
      </c>
      <c r="AL28" s="1">
        <f t="shared" si="5"/>
        <v>1331726.1111988723</v>
      </c>
      <c r="AM28" s="36"/>
      <c r="AN28" s="1">
        <f t="shared" si="45"/>
        <v>1466109.4759504755</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-39339.336402528548</v>
      </c>
      <c r="AT28" s="1">
        <f>IF($B28&lt;Analysis!$C$66,0,IF($B28=Analysis!$C$66,-AP28-AS28,MIN(0,AT27-AS28)))</f>
        <v>0</v>
      </c>
      <c r="AU28" s="64">
        <f>IF($B28&lt;Analysis!$C$66,0,IF($B28=Analysis!$C$66,Analysis!$C$72,IF(($B28-Analysis!$C$66)&lt;LOOKUP(Analysis!$C$66,$B:$B,AQ:AQ),AU27,0)))</f>
        <v>4.4399999999999995E-2</v>
      </c>
      <c r="AV28" s="1">
        <f>IF($B28&lt;Analysis!$C$66,0,IF($B28=Analysis!$C$66,-AU28*AP28,AU27*AT27))</f>
        <v>-1746.6665362722674</v>
      </c>
      <c r="AW28" s="1">
        <f>IF($B28&lt;Analysis!$C$66,0,IF($B28=Analysis!$C$66,PMT(AU28,AQ28,AP28)*AQ28-AX28-AT28,IF(($B28-Analysis!$C$66+1)&lt;LOOKUP(Analysis!$C$66,$B:$B,AQ:AQ),IF(AW27-AV28&lt;0, AW27-AV28,0),0)))</f>
        <v>0</v>
      </c>
      <c r="AX28" s="1">
        <f>IF($B28&lt;Analysis!$C$66,0,IF($B28=Analysis!$C$66,AS28+AV28,IF(AT27&lt;0,IF(AT27&gt;LOOKUP(Analysis!$C$66,$B:$B,AX:AX), AT27*(1+AU27),AX27),0)))</f>
        <v>-41086.002938800819</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-4398.3284278514266</v>
      </c>
      <c r="BF28" s="64">
        <f>IF($B28&lt;Analysis!$C$66,0,Analysis!$C$78)</f>
        <v>3.0000000000000001E-3</v>
      </c>
      <c r="BG28" s="1">
        <f>IF($B28&lt;Analysis!$C$66,0,-BH28*AN28)</f>
        <v>-10995.821069628566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-186928.95818368564</v>
      </c>
      <c r="BS28" s="64">
        <f>IF($B28&lt;Analysis!C$66,0,Analysis!C$31)</f>
        <v>0.1275</v>
      </c>
      <c r="BT28" s="1">
        <f>IF($B28&lt;Analysis!$C$66,0,AN28+BR28)</f>
        <v>1279180.51776679</v>
      </c>
      <c r="BU28" s="1">
        <f>IF($B28-Analysis!$C$66&gt;3,0,IF($AN28&gt;LOOKUP(Analysis!$C$66,$B:$B, AN:AN),$V28*(LOOKUP(Analysis!$C$66,$B:$B, AN:AN)-AN28),0))</f>
        <v>0</v>
      </c>
      <c r="BV28" s="1">
        <f t="shared" si="23"/>
        <v>1279180.51776679</v>
      </c>
      <c r="BW28" s="42"/>
      <c r="BX28" s="1">
        <f>IF($B28&lt;Analysis!$C$66,$P28+$N28+$X28+$Z28,$P28+$N28+AS28+AV28+BB28+BE28+BG28+MAX(BI28,SUM(BJ28:BN28))+BP28)</f>
        <v>-121640.15243628081</v>
      </c>
      <c r="BY28" s="1">
        <f t="shared" si="24"/>
        <v>131467.92324122589</v>
      </c>
      <c r="BZ28" s="1">
        <f t="shared" si="46"/>
        <v>9827.7708049450739</v>
      </c>
      <c r="CA28" s="1">
        <f>IF(BZ28 &lt; 0,
    IF(CA27 + BZ28 &gt; 0,
        CA27 + BZ28, IF(CF27-ABS(CA27 + BZ28)*(1+$V28) &gt;= CA27 + BZ28,
        0, CA27 + BZ28)),
    MIN(CA27 + BZ28, Analysis!$C$7))+IF(CA27&lt;0, CA27*Analysis!$C$9,0)</f>
        <v>-870647.97980563052</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-33656.774056602211</v>
      </c>
      <c r="CJ28" s="1">
        <f>IF(OR($B28&lt;Analysis!$C$100, $B28&gt;=Analysis!$C$130),0,Z28)</f>
        <v>-3960</v>
      </c>
      <c r="CK28" s="1">
        <f t="shared" si="26"/>
        <v>881790.48191224213</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-21943.224014270258</v>
      </c>
      <c r="CQ28" s="1">
        <f>IF(OR($B28&lt;Analysis!$C$100, $B28&gt;=Analysis!$C$101),0,IF($B28=Analysis!$C$100,-CM28-CP28,MIN(0,CQ27-CP28)))</f>
        <v>0</v>
      </c>
      <c r="CR28" s="64">
        <f>IF(OR($B28&lt;Analysis!$C$100, $B28&gt;=Analysis!$C$101),0,IF($B28=Analysis!$C$100,Analysis!$C$102,IF(($B28-Analysis!$C$100)&lt;LOOKUP(Analysis!$C$100,$B:$B,CN:CN),CR27,0)))</f>
        <v>4.4399999999999995E-2</v>
      </c>
      <c r="CS28" s="1">
        <f>IF(OR($B28&lt;Analysis!$C$100, $B28&gt;=Analysis!$C$101),0,IF($B28=Analysis!$C$100,-CR28*CM28,CR27*CQ27))</f>
        <v>-974.27914623359936</v>
      </c>
      <c r="CT28" s="1">
        <f>IF(OR($B28&lt;Analysis!$C$100, $B28&gt;=Analysis!$C$101),0,IF($B28=Analysis!$C$100,PMT(CR28,CN28,CM28)*CN28-CU28-CQ28,IF(($B28-Analysis!$C$100+1)&lt;LOOKUP(Analysis!$C$100,$B:$B,CN:CN),IF(CT27-CS28&lt;0, CT27-CS28,0),0)))</f>
        <v>0</v>
      </c>
      <c r="CU28" s="1">
        <f>IF(OR($B28&lt;Analysis!$C$100, $B28&gt;=Analysis!$C$101),0,IF($B28=Analysis!$C$100,CP28+CS28,IF(CQ27&lt;0,IF(CQ27&gt;LOOKUP(Analysis!$C$100,$B:$B,CU:CU), CQ27*(1+CR27),CU27),0)))</f>
        <v>-22917.503160503857</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36055.048745263666</v>
      </c>
      <c r="DE28" s="1">
        <f t="shared" si="27"/>
        <v>-2645.3714457367264</v>
      </c>
      <c r="DF28" s="64">
        <f>IF(OR($B28&lt;Analysis!$C$100, $B28&gt;=Analysis!$C$101),0,Analysis!$C$118)</f>
        <v>3.0000000000000001E-3</v>
      </c>
      <c r="DG28" s="1">
        <f t="shared" si="28"/>
        <v>-6613.4286143418158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-8300</v>
      </c>
      <c r="DQ28" s="1">
        <f>-Analysis!$C$117*DB28</f>
        <v>-2208.7257974645204</v>
      </c>
      <c r="DR28" s="1">
        <f t="shared" si="29"/>
        <v>-23727.525857543063</v>
      </c>
      <c r="DS28" s="1">
        <f>MIN(0,-(DB28+DR28)*Analysis!$C$28)-CS28*Analysis!$C$28</f>
        <v>-2103.7822142469486</v>
      </c>
      <c r="DT28" s="1">
        <f>-Analysis!$C$116*DD28/12</f>
        <v>-3004.5873954386389</v>
      </c>
      <c r="DU28" s="53"/>
      <c r="DV28" s="1">
        <f t="shared" si="30"/>
        <v>-112428.28644381088</v>
      </c>
      <c r="DW28" s="64">
        <f>IF(OR($B28&lt;Analysis!$C$100, $B28&gt;=Analysis!$C$101),0,IF($B28=Analysis!$C$100,Analysis!$C$31,DW27))</f>
        <v>0.1275</v>
      </c>
      <c r="DX28" s="1">
        <f>IF(OR($B28&lt;Analysis!$C$100, $B28&gt;=Analysis!$C$101),0,CK28+DV28)</f>
        <v>769362.19546843122</v>
      </c>
      <c r="DY28" s="1">
        <f>IF(OR($B28&lt;Analysis!$C$100, $B28&gt;=Analysis!$C$101),0,IF($B28-Analysis!$C$100&gt;3,0,IF(CK28&gt;LOOKUP(Analysis!$C$100,$B:$B, CK:CK),$V28*(LOOKUP(Analysis!$C$100,$B:$B, CK:CK)-CK28),0)))</f>
        <v>0</v>
      </c>
      <c r="DZ28" s="1">
        <f t="shared" si="49"/>
        <v>769362.19546843122</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IF($B28&lt;Analysis!$C$130,0,IF($B28=Analysis!$C$130,Analysis!$D$136,IF(($B28-Analysis!$C$130)&lt;LOOKUP(Analysis!$C$130,$B:$B,EE:EE),EI27,0)))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-142270.17268433474</v>
      </c>
      <c r="FM28" s="1">
        <f>$M28+$R28+DD28+IF(AND($B28&lt;&gt;Analysis!$C$130,$B28=Analysis!$C$101),DZ27+CQ27+CT27+CZ27,0)</f>
        <v>167522.97198648955</v>
      </c>
      <c r="FN28" s="1">
        <f t="shared" si="34"/>
        <v>25252.799302154803</v>
      </c>
      <c r="FO28" s="1">
        <f>IF(FN28 &lt; 0,
    IF(FO27 + FN28 &gt; 0,
        FO27 + FN28, IF(FT27-ABS(FO27 + FN28)*(1+$V28) &gt;= FO27 + FN28,
        0, FO27 + FN28)),
    MIN(FO27 + FN28, Analysis!$C$7))+IF(FO27&lt;0, FO27*Analysis!$C$9,0)</f>
        <v>24000</v>
      </c>
      <c r="FP28" s="53"/>
      <c r="FQ28" s="1">
        <f t="shared" si="51"/>
        <v>24278.752494989712</v>
      </c>
      <c r="FR28" s="1">
        <f>IF(OR($B28=Analysis!$C$100, $B28=Analysis!$C$130),0,IF(FN28 &gt;= 0,
    MAX(0, FO27 + FN28 - Analysis!$C$7),
    0))</f>
        <v>25252.799302154803</v>
      </c>
      <c r="FS28" s="1">
        <f>IF(OR($B28=Analysis!$C$100, $B28=Analysis!$C$130),0,MAX(0, FS27 + FR28 - IF(FN28 &lt; 0, MIN(ABS(FN28), FS27 + FR28), 0)))</f>
        <v>473094.13111400232</v>
      </c>
      <c r="FT28" s="1">
        <f>IF(OR($B28=Analysis!$C$100, $B28=Analysis!$C$130),0,IF(FN28 &lt; 0,
    IF(FN28 + FO27 &lt; 0,
        MAX(0, FT27 - (ABS(FN28 + FO27) * (1+$V27))),
        FT27 + FQ28),
    FT27 + FR28 + FQ28))</f>
        <v>766566.18454956717</v>
      </c>
      <c r="FU28" s="1">
        <f t="shared" si="57"/>
        <v>689162.93045593693</v>
      </c>
      <c r="FV28" s="36"/>
      <c r="FW28" s="1">
        <f t="shared" si="52"/>
        <v>881790.48191224213</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-21943.224014270258</v>
      </c>
      <c r="GC28" s="1">
        <f>IF($B28&lt;Analysis!$C$159,0,IF($B28=Analysis!$C$159,-FY28-GB28,MIN(0,GC27-GB28)))</f>
        <v>0</v>
      </c>
      <c r="GD28" s="64">
        <f>IF($B28&lt;Analysis!$C$159,0,IF($B28=Analysis!$C$159,Analysis!$C$160,IF(($B28-Analysis!$C$159)&lt;LOOKUP(Analysis!$C$159,$B:$B,FZ:FZ),GD27,0)))</f>
        <v>4.4399999999999995E-2</v>
      </c>
      <c r="GE28" s="1">
        <f>IF($B28&lt;Analysis!$C$159,0,IF($B28=Analysis!$C$159,-GD28*FY28,GD27*GC27))</f>
        <v>-974.27914623359936</v>
      </c>
      <c r="GF28" s="1">
        <f>IF($B28&lt;Analysis!$C$159,0,IF($B28=Analysis!$C$159,PMT(GD28,FZ28,FY28)*FZ28-GG28-GC28,IF(($B28-Analysis!$C$159+1)&lt;LOOKUP(Analysis!$C$159,$B:$B,FZ:FZ),IF(GF27-GE28&lt;0, GF27-GE28,0),0)))</f>
        <v>0</v>
      </c>
      <c r="GG28" s="1">
        <f>IF($B28&lt;Analysis!$C$159,0,IF($B28=Analysis!$C$159,GB28+GE28,IF(GC27&lt;0,IF(GC27&gt;LOOKUP(Analysis!$C$159,$B:$B,GG:GG), GC27*(1+GD27),GG27),0)))</f>
        <v>-22917.503160503857</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36055.048745263666</v>
      </c>
      <c r="GQ28" s="1">
        <f t="shared" si="36"/>
        <v>-2645.3714457367264</v>
      </c>
      <c r="GR28" s="64">
        <f>IF($B28&lt;Analysis!$C$159,0,Analysis!$C$178)</f>
        <v>3.0000000000000001E-3</v>
      </c>
      <c r="GS28" s="1">
        <f t="shared" si="37"/>
        <v>-6613.4286143418158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-8300</v>
      </c>
      <c r="HC28" s="1">
        <f>-Analysis!$C$177*GN28</f>
        <v>-2208.7257974645204</v>
      </c>
      <c r="HD28" s="1">
        <f t="shared" si="38"/>
        <v>-23727.525857543063</v>
      </c>
      <c r="HE28" s="1">
        <f>MIN(0,-(GN28+HD28)*Analysis!$C$28)-GE28*Analysis!$C$28</f>
        <v>-2103.7822142469486</v>
      </c>
      <c r="HF28" s="1">
        <f>-Analysis!$C$176*GP28/12</f>
        <v>-3004.5873954386389</v>
      </c>
      <c r="HG28" s="38"/>
      <c r="HH28" s="1">
        <f>IF($B28&lt;Analysis!$C$159,0,-$HI28*$FW28)</f>
        <v>-112428.28644381088</v>
      </c>
      <c r="HI28" s="64">
        <f>IF($B28&lt;Analysis!$C$159,0,IF($B28=Analysis!$C$159,Analysis!$C$31,HI27))</f>
        <v>0.1275</v>
      </c>
      <c r="HJ28" s="1">
        <f>IF($B28&lt;Analysis!$C$159,0,$FW28+HH28)</f>
        <v>769362.19546843122</v>
      </c>
      <c r="HK28" s="1">
        <f>IF($B28-Analysis!$C$159&gt;10,0,IF($FW28&gt;LOOKUP(Analysis!$C$159,$B:$B, FW:FW),$V28*(LOOKUP(Analysis!$C$159,$B:$B, FW:FW)-FW28),0))</f>
        <v>0</v>
      </c>
      <c r="HL28" s="1">
        <f t="shared" si="39"/>
        <v>769362.19546843122</v>
      </c>
      <c r="HM28" s="38"/>
      <c r="HN28" s="1">
        <f t="shared" si="40"/>
        <v>-142270.17268433474</v>
      </c>
      <c r="HO28" s="1">
        <f t="shared" si="8"/>
        <v>167522.97198648955</v>
      </c>
      <c r="HP28" s="1">
        <f t="shared" si="41"/>
        <v>25252.799302154803</v>
      </c>
      <c r="HQ28" s="1">
        <f>IF(HP28 &lt; 0,
    IF(HQ27 + HP28 &gt; 0,
        HQ27 + HP28, IF(HV27-ABS(HQ27 + HP28)*(1+$V28) &gt;= HQ27 + HP28,
        0, HQ27 + HP28)),
    MIN(HQ27 + HP28, Analysis!$C$7))+IF(HQ27&lt;0, HQ27*Analysis!$C$9,0)</f>
        <v>24000</v>
      </c>
      <c r="HR28" s="38"/>
      <c r="HS28" s="1">
        <f t="shared" si="54"/>
        <v>24278.752494989712</v>
      </c>
      <c r="HT28" s="1">
        <f>IF($B28=Analysis!$C$159,0,IF(HP28 &gt;= 0,
    MAX(0, HQ27 + HP28 - Analysis!$C$7),
    0))</f>
        <v>25252.799302154803</v>
      </c>
      <c r="HU28" s="1">
        <f>IF($B28=Analysis!$C$159,0,MAX(0, HU27 + HT28 - IF(HP28 &lt; 0, MIN(ABS(HP28), HU27 + HT28), 0)))</f>
        <v>473094.13111400232</v>
      </c>
      <c r="HV28" s="1">
        <f>IF($B28=Analysis!$C$159,0,IF(HP28 &lt; 0,
    IF(HP28 + HQ27 &lt; 0,
        MAX(0, HV27 - (ABS(HP28 + HQ27) * (1+$V27))),
        HV27 + HS28),
    HV27 + HT28 + HS28))</f>
        <v>766566.18454956717</v>
      </c>
      <c r="HW28" s="1">
        <f t="shared" si="58"/>
        <v>689162.93045593693</v>
      </c>
      <c r="HX28" s="36"/>
    </row>
    <row r="29" spans="1:232" x14ac:dyDescent="0.35">
      <c r="A29">
        <f t="shared" si="0"/>
        <v>62</v>
      </c>
      <c r="B29">
        <v>2052</v>
      </c>
      <c r="C29" s="1">
        <f>IF($B29&lt;Analysis!C$66,0,$AN29)+$AT29+$AW29+$BC29+$CF29+$CA29</f>
        <v>619391.5293409935</v>
      </c>
      <c r="D29" s="1">
        <f>IF($B29&lt;Analysis!C$66, 0, BV29)+AT29+AW29+BC29+CG29+CA29</f>
        <v>426964.66062249348</v>
      </c>
      <c r="E29" s="1">
        <f t="shared" si="1"/>
        <v>1630117.5994139973</v>
      </c>
      <c r="F29" s="1">
        <f t="shared" si="9"/>
        <v>1423489.8545040097</v>
      </c>
      <c r="G29" s="1">
        <f>IF(AND($B29&gt;=Analysis!$C$100, $B29&lt;Analysis!$C$101),$CK29,0)+IF($B29&gt;=Analysis!$C$130,EB29,0)+CQ29+CT29+CZ29+EH29+EK29+EQ29+$FO29+$FT29</f>
        <v>1769975.8272643313</v>
      </c>
      <c r="H29" s="1">
        <f t="shared" si="10"/>
        <v>1570338.3043677199</v>
      </c>
      <c r="I29" s="1">
        <f>IF($B29&lt;Analysis!$C$159,0,$FW29)+$GC29+$GF29+$GL29+$HQ29+$HV29</f>
        <v>1769975.8272643313</v>
      </c>
      <c r="J29" s="1">
        <f t="shared" si="2"/>
        <v>1570338.3043677199</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49035.652617759646</v>
      </c>
      <c r="AI29" s="1">
        <f>IF(AE29 &gt;= 0,
    MAX(0, AF28 + AE29 - Analysis!$C$7),
    0)</f>
        <v>31661.244065311839</v>
      </c>
      <c r="AJ29" s="1">
        <f t="shared" si="44"/>
        <v>822694.86989745649</v>
      </c>
      <c r="AK29" s="1">
        <f t="shared" si="20"/>
        <v>1606117.5994139973</v>
      </c>
      <c r="AL29" s="1">
        <f t="shared" si="5"/>
        <v>1399489.8545040097</v>
      </c>
      <c r="AM29" s="36"/>
      <c r="AN29" s="1">
        <f t="shared" si="45"/>
        <v>1509230.3428901955</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0</v>
      </c>
      <c r="AT29" s="1">
        <f>IF($B29&lt;Analysis!$C$66,0,IF($B29=Analysis!$C$66,-AP29-AS29,MIN(0,AT28-AS29)))</f>
        <v>0</v>
      </c>
      <c r="AU29" s="64">
        <f>IF($B29&lt;Analysis!$C$66,0,IF($B29=Analysis!$C$66,Analysis!$C$72,IF(($B29-Analysis!$C$66)&lt;LOOKUP(Analysis!$C$66,$B:$B,AQ:AQ),AU28,0)))</f>
        <v>0</v>
      </c>
      <c r="AV29" s="1">
        <f>IF($B29&lt;Analysis!$C$66,0,IF($B29=Analysis!$C$66,-AU29*AP29,AU28*AT28))</f>
        <v>0</v>
      </c>
      <c r="AW29" s="1">
        <f>IF($B29&lt;Analysis!$C$66,0,IF($B29=Analysis!$C$66,PMT(AU29,AQ29,AP29)*AQ29-AX29-AT29,IF(($B29-Analysis!$C$66+1)&lt;LOOKUP(Analysis!$C$66,$B:$B,AQ:AQ),IF(AW28-AV29&lt;0, AW28-AV29,0),0)))</f>
        <v>0</v>
      </c>
      <c r="AX29" s="1">
        <f>IF($B29&lt;Analysis!$C$66,0,IF($B29=Analysis!$C$66,AS29+AV29,IF(AT28&lt;0,IF(AT28&gt;LOOKUP(Analysis!$C$66,$B:$B,AX:AX), AT28*(1+AU28),AX28),0)))</f>
        <v>0</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-4527.691028670587</v>
      </c>
      <c r="BF29" s="64">
        <f>IF($B29&lt;Analysis!$C$66,0,Analysis!$C$78)</f>
        <v>3.0000000000000001E-3</v>
      </c>
      <c r="BG29" s="1">
        <f>IF($B29&lt;Analysis!$C$66,0,-BH29*AN29)</f>
        <v>-11319.227571676467</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-192426.86871849993</v>
      </c>
      <c r="BS29" s="64">
        <f>IF($B29&lt;Analysis!C$66,0,Analysis!C$31)</f>
        <v>0.1275</v>
      </c>
      <c r="BT29" s="1">
        <f>IF($B29&lt;Analysis!$C$66,0,AN29+BR29)</f>
        <v>1316803.4741716955</v>
      </c>
      <c r="BU29" s="1">
        <f>IF($B29-Analysis!$C$66&gt;3,0,IF($AN29&gt;LOOKUP(Analysis!$C$66,$B:$B, AN:AN),$V29*(LOOKUP(Analysis!$C$66,$B:$B, AN:AN)-AN29),0))</f>
        <v>0</v>
      </c>
      <c r="BV29" s="1">
        <f t="shared" si="23"/>
        <v>1316803.4741716955</v>
      </c>
      <c r="BW29" s="42"/>
      <c r="BX29" s="1">
        <f>IF($B29&lt;Analysis!$C$66,$P29+$N29+$X29+$Z29,$P29+$N29+AS29+AV29+BB29+BE29+BG29+MAX(BI29,SUM(BJ29:BN29))+BP29)</f>
        <v>-81006.918600347053</v>
      </c>
      <c r="BY29" s="1">
        <f t="shared" si="24"/>
        <v>131467.92324122589</v>
      </c>
      <c r="BZ29" s="1">
        <f t="shared" si="46"/>
        <v>50461.004640878833</v>
      </c>
      <c r="CA29" s="1">
        <f>IF(BZ29 &lt; 0,
    IF(CA28 + BZ29 &gt; 0,
        CA28 + BZ29, IF(CF28-ABS(CA28 + BZ29)*(1+$V29) &gt;= CA28 + BZ29,
        0, CA28 + BZ29)),
    MIN(CA28 + BZ29, Analysis!$C$7))+IF(CA28&lt;0, CA28*Analysis!$C$9,0)</f>
        <v>-889838.81354920205</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-34646.679175914047</v>
      </c>
      <c r="CJ29" s="1">
        <f>IF(OR($B29&lt;Analysis!$C$100, $B29&gt;=Analysis!$C$130),0,Z29)</f>
        <v>-3960</v>
      </c>
      <c r="CK29" s="1">
        <f t="shared" si="26"/>
        <v>907725.49608613166</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0</v>
      </c>
      <c r="CQ29" s="1">
        <f>IF(OR($B29&lt;Analysis!$C$100, $B29&gt;=Analysis!$C$101),0,IF($B29=Analysis!$C$100,-CM29-CP29,MIN(0,CQ28-CP29)))</f>
        <v>0</v>
      </c>
      <c r="CR29" s="64">
        <f>IF(OR($B29&lt;Analysis!$C$100, $B29&gt;=Analysis!$C$101),0,IF($B29=Analysis!$C$100,Analysis!$C$102,IF(($B29-Analysis!$C$100)&lt;LOOKUP(Analysis!$C$100,$B:$B,CN:CN),CR28,0)))</f>
        <v>0</v>
      </c>
      <c r="CS29" s="1">
        <f>IF(OR($B29&lt;Analysis!$C$100, $B29&gt;=Analysis!$C$101),0,IF($B29=Analysis!$C$100,-CR29*CM29,CR28*CQ28))</f>
        <v>0</v>
      </c>
      <c r="CT29" s="1">
        <f>IF(OR($B29&lt;Analysis!$C$100, $B29&gt;=Analysis!$C$101),0,IF($B29=Analysis!$C$100,PMT(CR29,CN29,CM29)*CN29-CU29-CQ29,IF(($B29-Analysis!$C$100+1)&lt;LOOKUP(Analysis!$C$100,$B:$B,CN:CN),IF(CT28-CS29&lt;0, CT28-CS29,0),0)))</f>
        <v>0</v>
      </c>
      <c r="CU29" s="1">
        <f>IF(OR($B29&lt;Analysis!$C$100, $B29&gt;=Analysis!$C$101),0,IF($B29=Analysis!$C$100,CP29+CS29,IF(CQ28&lt;0,IF(CQ28&gt;LOOKUP(Analysis!$C$100,$B:$B,CU:CU), CQ28*(1+CR28),CU28),0)))</f>
        <v>0</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36999.020767183189</v>
      </c>
      <c r="DE29" s="1">
        <f t="shared" si="27"/>
        <v>-2723.1764882583952</v>
      </c>
      <c r="DF29" s="64">
        <f>IF(OR($B29&lt;Analysis!$C$100, $B29&gt;=Analysis!$C$101),0,Analysis!$C$118)</f>
        <v>3.0000000000000001E-3</v>
      </c>
      <c r="DG29" s="1">
        <f t="shared" si="28"/>
        <v>-6807.9412206459874</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-8300</v>
      </c>
      <c r="DQ29" s="1">
        <f>-Analysis!$C$117*DB29</f>
        <v>-2273.6883209193597</v>
      </c>
      <c r="DR29" s="1">
        <f t="shared" si="29"/>
        <v>-24064.806029823743</v>
      </c>
      <c r="DS29" s="1">
        <f>MIN(0,-(DB29+DR29)*Analysis!$C$28)-CS29*Analysis!$C$28</f>
        <v>-2769.8350481766761</v>
      </c>
      <c r="DT29" s="1">
        <f>-Analysis!$C$116*DD29/12</f>
        <v>-3083.2517305985989</v>
      </c>
      <c r="DU29" s="53"/>
      <c r="DV29" s="1">
        <f t="shared" si="30"/>
        <v>-115735.0007509818</v>
      </c>
      <c r="DW29" s="64">
        <f>IF(OR($B29&lt;Analysis!$C$100, $B29&gt;=Analysis!$C$101),0,IF($B29=Analysis!$C$100,Analysis!$C$31,DW28))</f>
        <v>0.1275</v>
      </c>
      <c r="DX29" s="1">
        <f>IF(OR($B29&lt;Analysis!$C$100, $B29&gt;=Analysis!$C$101),0,CK29+DV29)</f>
        <v>791990.49533514981</v>
      </c>
      <c r="DY29" s="1">
        <f>IF(OR($B29&lt;Analysis!$C$100, $B29&gt;=Analysis!$C$101),0,IF($B29-Analysis!$C$100&gt;3,0,IF(CK29&gt;LOOKUP(Analysis!$C$100,$B:$B, CK:CK),$V29*(LOOKUP(Analysis!$C$100,$B:$B, CK:CK)-CK29),0)))</f>
        <v>0</v>
      </c>
      <c r="DZ29" s="1">
        <f t="shared" si="49"/>
        <v>791990.49533514981</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IF($B29&lt;Analysis!$C$130,0,IF($B29=Analysis!$C$130,Analysis!$D$136,IF(($B29-Analysis!$C$130)&lt;LOOKUP(Analysis!$C$130,$B:$B,EE:EE),EI28,0)))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-121424.57198451307</v>
      </c>
      <c r="FM29" s="1">
        <f>$M29+$R29+DD29+IF(AND($B29&lt;&gt;Analysis!$C$130,$B29=Analysis!$C$101),DZ28+CQ28+CT28+CZ28,0)</f>
        <v>168466.94400840907</v>
      </c>
      <c r="FN29" s="1">
        <f t="shared" si="34"/>
        <v>47042.372023896009</v>
      </c>
      <c r="FO29" s="1">
        <f>IF(FN29 &lt; 0,
    IF(FO28 + FN29 &gt; 0,
        FO28 + FN29, IF(FT28-ABS(FO28 + FN29)*(1+$V29) &gt;= FO28 + FN29,
        0, FO28 + FN29)),
    MIN(FO28 + FN29, Analysis!$C$7))+IF(FO28&lt;0, FO28*Analysis!$C$9,0)</f>
        <v>24000</v>
      </c>
      <c r="FP29" s="53"/>
      <c r="FQ29" s="1">
        <f t="shared" si="51"/>
        <v>24641.774604736351</v>
      </c>
      <c r="FR29" s="1">
        <f>IF(OR($B29=Analysis!$C$100, $B29=Analysis!$C$130),0,IF(FN29 &gt;= 0,
    MAX(0, FO28 + FN29 - Analysis!$C$7),
    0))</f>
        <v>47042.372023896009</v>
      </c>
      <c r="FS29" s="1">
        <f>IF(OR($B29=Analysis!$C$100, $B29=Analysis!$C$130),0,MAX(0, FS28 + FR29 - IF(FN29 &lt; 0, MIN(ABS(FN29), FS28 + FR29), 0)))</f>
        <v>520136.50313789834</v>
      </c>
      <c r="FT29" s="1">
        <f>IF(OR($B29=Analysis!$C$100, $B29=Analysis!$C$130),0,IF(FN29 &lt; 0,
    IF(FN29 + FO28 &lt; 0,
        MAX(0, FT28 - (ABS(FN29 + FO28) * (1+$V28))),
        FT28 + FQ29),
    FT28 + FR29 + FQ29))</f>
        <v>838250.3311781995</v>
      </c>
      <c r="FU29" s="1">
        <f t="shared" si="57"/>
        <v>754347.80903257011</v>
      </c>
      <c r="FV29" s="36"/>
      <c r="FW29" s="1">
        <f t="shared" si="52"/>
        <v>907725.49608613166</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0</v>
      </c>
      <c r="GC29" s="1">
        <f>IF($B29&lt;Analysis!$C$159,0,IF($B29=Analysis!$C$159,-FY29-GB29,MIN(0,GC28-GB29)))</f>
        <v>0</v>
      </c>
      <c r="GD29" s="64">
        <f>IF($B29&lt;Analysis!$C$159,0,IF($B29=Analysis!$C$159,Analysis!$C$160,IF(($B29-Analysis!$C$159)&lt;LOOKUP(Analysis!$C$159,$B:$B,FZ:FZ),GD28,0)))</f>
        <v>0</v>
      </c>
      <c r="GE29" s="1">
        <f>IF($B29&lt;Analysis!$C$159,0,IF($B29=Analysis!$C$159,-GD29*FY29,GD28*GC28))</f>
        <v>0</v>
      </c>
      <c r="GF29" s="1">
        <f>IF($B29&lt;Analysis!$C$159,0,IF($B29=Analysis!$C$159,PMT(GD29,FZ29,FY29)*FZ29-GG29-GC29,IF(($B29-Analysis!$C$159+1)&lt;LOOKUP(Analysis!$C$159,$B:$B,FZ:FZ),IF(GF28-GE29&lt;0, GF28-GE29,0),0)))</f>
        <v>0</v>
      </c>
      <c r="GG29" s="1">
        <f>IF($B29&lt;Analysis!$C$159,0,IF($B29=Analysis!$C$159,GB29+GE29,IF(GC28&lt;0,IF(GC28&gt;LOOKUP(Analysis!$C$159,$B:$B,GG:GG), GC28*(1+GD28),GG28),0)))</f>
        <v>0</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36999.020767183189</v>
      </c>
      <c r="GQ29" s="1">
        <f t="shared" si="36"/>
        <v>-2723.1764882583952</v>
      </c>
      <c r="GR29" s="64">
        <f>IF($B29&lt;Analysis!$C$159,0,Analysis!$C$178)</f>
        <v>3.0000000000000001E-3</v>
      </c>
      <c r="GS29" s="1">
        <f t="shared" si="37"/>
        <v>-6807.9412206459874</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-8300</v>
      </c>
      <c r="HC29" s="1">
        <f>-Analysis!$C$177*GN29</f>
        <v>-2273.6883209193597</v>
      </c>
      <c r="HD29" s="1">
        <f t="shared" si="38"/>
        <v>-24064.806029823743</v>
      </c>
      <c r="HE29" s="1">
        <f>MIN(0,-(GN29+HD29)*Analysis!$C$28)-GE29*Analysis!$C$28</f>
        <v>-2769.8350481766761</v>
      </c>
      <c r="HF29" s="1">
        <f>-Analysis!$C$176*GP29/12</f>
        <v>-3083.2517305985989</v>
      </c>
      <c r="HG29" s="38"/>
      <c r="HH29" s="1">
        <f>IF($B29&lt;Analysis!$C$159,0,-$HI29*$FW29)</f>
        <v>-115735.0007509818</v>
      </c>
      <c r="HI29" s="64">
        <f>IF($B29&lt;Analysis!$C$159,0,IF($B29=Analysis!$C$159,Analysis!$C$31,HI28))</f>
        <v>0.1275</v>
      </c>
      <c r="HJ29" s="1">
        <f>IF($B29&lt;Analysis!$C$159,0,$FW29+HH29)</f>
        <v>791990.49533514981</v>
      </c>
      <c r="HK29" s="1">
        <f>IF($B29-Analysis!$C$159&gt;10,0,IF($FW29&gt;LOOKUP(Analysis!$C$159,$B:$B, FW:FW),$V29*(LOOKUP(Analysis!$C$159,$B:$B, FW:FW)-FW29),0))</f>
        <v>0</v>
      </c>
      <c r="HL29" s="1">
        <f t="shared" si="39"/>
        <v>791990.49533514981</v>
      </c>
      <c r="HM29" s="38"/>
      <c r="HN29" s="1">
        <f t="shared" si="40"/>
        <v>-121424.57198451307</v>
      </c>
      <c r="HO29" s="1">
        <f t="shared" si="8"/>
        <v>168466.94400840907</v>
      </c>
      <c r="HP29" s="1">
        <f t="shared" si="41"/>
        <v>47042.372023896009</v>
      </c>
      <c r="HQ29" s="1">
        <f>IF(HP29 &lt; 0,
    IF(HQ28 + HP29 &gt; 0,
        HQ28 + HP29, IF(HV28-ABS(HQ28 + HP29)*(1+$V29) &gt;= HQ28 + HP29,
        0, HQ28 + HP29)),
    MIN(HQ28 + HP29, Analysis!$C$7))+IF(HQ28&lt;0, HQ28*Analysis!$C$9,0)</f>
        <v>24000</v>
      </c>
      <c r="HR29" s="38"/>
      <c r="HS29" s="1">
        <f t="shared" si="54"/>
        <v>24641.774604736351</v>
      </c>
      <c r="HT29" s="1">
        <f>IF($B29=Analysis!$C$159,0,IF(HP29 &gt;= 0,
    MAX(0, HQ28 + HP29 - Analysis!$C$7),
    0))</f>
        <v>47042.372023896009</v>
      </c>
      <c r="HU29" s="1">
        <f>IF($B29=Analysis!$C$159,0,MAX(0, HU28 + HT29 - IF(HP29 &lt; 0, MIN(ABS(HP29), HU28 + HT29), 0)))</f>
        <v>520136.50313789834</v>
      </c>
      <c r="HV29" s="1">
        <f>IF($B29=Analysis!$C$159,0,IF(HP29 &lt; 0,
    IF(HP29 + HQ28 &lt; 0,
        MAX(0, HV28 - (ABS(HP29 + HQ28) * (1+$V28))),
        HV28 + HS29),
    HV28 + HT29 + HS29))</f>
        <v>838250.3311781995</v>
      </c>
      <c r="HW29" s="1">
        <f t="shared" si="58"/>
        <v>754347.80903257011</v>
      </c>
      <c r="HX29" s="36"/>
    </row>
    <row r="30" spans="1:232" x14ac:dyDescent="0.35">
      <c r="A30">
        <f t="shared" si="0"/>
        <v>63</v>
      </c>
      <c r="B30">
        <v>2053</v>
      </c>
      <c r="C30" s="1">
        <f>IF($B30&lt;Analysis!C$66,0,$AN30)+$AT30+$AW30+$BC30+$CF30+$CA30</f>
        <v>655788.47078881436</v>
      </c>
      <c r="D30" s="1">
        <f>IF($B30&lt;Analysis!C$66, 0, BV30)+AT30+AW30+BC30+CG30+CA30</f>
        <v>457701.9882844761</v>
      </c>
      <c r="E30" s="1">
        <f t="shared" si="1"/>
        <v>1722836.1865288515</v>
      </c>
      <c r="F30" s="1">
        <f t="shared" si="9"/>
        <v>1503317.3008709399</v>
      </c>
      <c r="G30" s="1">
        <f>IF(AND($B30&gt;=Analysis!$C$100, $B30&lt;Analysis!$C$101),$CK30,0)+IF($B30&gt;=Analysis!$C$130,EB30,0)+CQ30+CT30+CZ30+EH30+EK30+EQ30+$FO30+$FT30</f>
        <v>1881708.4114900269</v>
      </c>
      <c r="H30" s="1">
        <f t="shared" si="10"/>
        <v>1671938.8907171222</v>
      </c>
      <c r="I30" s="1">
        <f>IF($B30&lt;Analysis!$C$159,0,$FW30)+$GC30+$GF30+$GL30+$HQ30+$HV30</f>
        <v>1881708.4114900269</v>
      </c>
      <c r="J30" s="1">
        <f t="shared" si="2"/>
        <v>1671938.8907171222</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48876.363025304643</v>
      </c>
      <c r="AI30" s="1">
        <f>IF(AE30 &gt;= 0,
    MAX(0, AF29 + AE30 - Analysis!$C$7),
    0)</f>
        <v>43842.224089549651</v>
      </c>
      <c r="AJ30" s="1">
        <f t="shared" si="44"/>
        <v>866537.09398700611</v>
      </c>
      <c r="AK30" s="1">
        <f t="shared" si="20"/>
        <v>1698836.1865288515</v>
      </c>
      <c r="AL30" s="1">
        <f t="shared" si="5"/>
        <v>1479317.3008709399</v>
      </c>
      <c r="AM30" s="36"/>
      <c r="AN30" s="1">
        <f t="shared" si="45"/>
        <v>1553619.4706222604</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0</v>
      </c>
      <c r="AT30" s="1">
        <f>IF($B30&lt;Analysis!$C$66,0,IF($B30=Analysis!$C$66,-AP30-AS30,MIN(0,AT29-AS30)))</f>
        <v>0</v>
      </c>
      <c r="AU30" s="64">
        <f>IF($B30&lt;Analysis!$C$66,0,IF($B30=Analysis!$C$66,Analysis!$C$72,IF(($B30-Analysis!$C$66)&lt;LOOKUP(Analysis!$C$66,$B:$B,AQ:AQ),AU29,0)))</f>
        <v>0</v>
      </c>
      <c r="AV30" s="1">
        <f>IF($B30&lt;Analysis!$C$66,0,IF($B30=Analysis!$C$66,-AU30*AP30,AU29*AT29))</f>
        <v>0</v>
      </c>
      <c r="AW30" s="1">
        <f>IF($B30&lt;Analysis!$C$66,0,IF($B30=Analysis!$C$66,PMT(AU30,AQ30,AP30)*AQ30-AX30-AT30,IF(($B30-Analysis!$C$66+1)&lt;LOOKUP(Analysis!$C$66,$B:$B,AQ:AQ),IF(AW29-AV30&lt;0, AW29-AV30,0),0)))</f>
        <v>0</v>
      </c>
      <c r="AX30" s="1">
        <f>IF($B30&lt;Analysis!$C$66,0,IF($B30=Analysis!$C$66,AS30+AV30,IF(AT29&lt;0,IF(AT29&gt;LOOKUP(Analysis!$C$66,$B:$B,AX:AX), AT29*(1+AU29),AX29),0)))</f>
        <v>0</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-4660.8584118667814</v>
      </c>
      <c r="BF30" s="64">
        <f>IF($B30&lt;Analysis!$C$66,0,Analysis!$C$78)</f>
        <v>3.0000000000000001E-3</v>
      </c>
      <c r="BG30" s="1">
        <f>IF($B30&lt;Analysis!$C$66,0,-BH30*AN30)</f>
        <v>-11652.146029666952</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-198086.4825043382</v>
      </c>
      <c r="BS30" s="64">
        <f>IF($B30&lt;Analysis!C$66,0,Analysis!C$31)</f>
        <v>0.1275</v>
      </c>
      <c r="BT30" s="1">
        <f>IF($B30&lt;Analysis!$C$66,0,AN30+BR30)</f>
        <v>1355532.9881179221</v>
      </c>
      <c r="BU30" s="1">
        <f>IF($B30-Analysis!$C$66&gt;3,0,IF($AN30&gt;LOOKUP(Analysis!$C$66,$B:$B, AN:AN),$V30*(LOOKUP(Analysis!$C$66,$B:$B, AN:AN)-AN30),0))</f>
        <v>0</v>
      </c>
      <c r="BV30" s="1">
        <f t="shared" si="23"/>
        <v>1355532.9881179221</v>
      </c>
      <c r="BW30" s="42"/>
      <c r="BX30" s="1">
        <f>IF($B30&lt;Analysis!$C$66,$P30+$N30+$X30+$Z30,$P30+$N30+AS30+AV30+BB30+BE30+BG30+MAX(BI30,SUM(BJ30:BN30))+BP30)</f>
        <v>-68273.004441533732</v>
      </c>
      <c r="BY30" s="1">
        <f t="shared" si="24"/>
        <v>131467.92324122589</v>
      </c>
      <c r="BZ30" s="1">
        <f t="shared" si="46"/>
        <v>63194.918799692154</v>
      </c>
      <c r="CA30" s="1">
        <f>IF(BZ30 &lt; 0,
    IF(CA29 + BZ30 &gt; 0,
        CA29 + BZ30, IF(CF29-ABS(CA29 + BZ30)*(1+$V30) &gt;= CA29 + BZ30,
        0, CA29 + BZ30)),
    MIN(CA29 + BZ30, Analysis!$C$7))+IF(CA29&lt;0, CA29*Analysis!$C$9,0)</f>
        <v>-897830.999833446</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-35665.699151676228</v>
      </c>
      <c r="CJ30" s="1">
        <f>IF(OR($B30&lt;Analysis!$C$100, $B30&gt;=Analysis!$C$130),0,Z30)</f>
        <v>-3960</v>
      </c>
      <c r="CK30" s="1">
        <f t="shared" si="26"/>
        <v>934423.30479454738</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0</v>
      </c>
      <c r="CQ30" s="1">
        <f>IF(OR($B30&lt;Analysis!$C$100, $B30&gt;=Analysis!$C$101),0,IF($B30=Analysis!$C$100,-CM30-CP30,MIN(0,CQ29-CP30)))</f>
        <v>0</v>
      </c>
      <c r="CR30" s="64">
        <f>IF(OR($B30&lt;Analysis!$C$100, $B30&gt;=Analysis!$C$101),0,IF($B30=Analysis!$C$100,Analysis!$C$102,IF(($B30-Analysis!$C$100)&lt;LOOKUP(Analysis!$C$100,$B:$B,CN:CN),CR29,0)))</f>
        <v>0</v>
      </c>
      <c r="CS30" s="1">
        <f>IF(OR($B30&lt;Analysis!$C$100, $B30&gt;=Analysis!$C$101),0,IF($B30=Analysis!$C$100,-CR30*CM30,CR29*CQ29))</f>
        <v>0</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0</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37970.756672100346</v>
      </c>
      <c r="DE30" s="1">
        <f t="shared" si="27"/>
        <v>-2803.2699143836421</v>
      </c>
      <c r="DF30" s="64">
        <f>IF(OR($B30&lt;Analysis!$C$100, $B30&gt;=Analysis!$C$101),0,Analysis!$C$118)</f>
        <v>3.0000000000000001E-3</v>
      </c>
      <c r="DG30" s="1">
        <f t="shared" si="28"/>
        <v>-7008.1747859591051</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-8300</v>
      </c>
      <c r="DQ30" s="1">
        <f>-Analysis!$C$117*DB30</f>
        <v>-2340.561506828753</v>
      </c>
      <c r="DR30" s="1">
        <f t="shared" si="29"/>
        <v>-24412.0062071715</v>
      </c>
      <c r="DS30" s="1">
        <f>MIN(0,-(DB30+DR30)*Analysis!$C$28)-CS30*Analysis!$C$28</f>
        <v>-3011.0774319465804</v>
      </c>
      <c r="DT30" s="1">
        <f>-Analysis!$C$116*DD30/12</f>
        <v>-3164.2297226750288</v>
      </c>
      <c r="DU30" s="53"/>
      <c r="DV30" s="1">
        <f t="shared" si="30"/>
        <v>-119138.97136130479</v>
      </c>
      <c r="DW30" s="64">
        <f>IF(OR($B30&lt;Analysis!$C$100, $B30&gt;=Analysis!$C$101),0,IF($B30=Analysis!$C$100,Analysis!$C$31,DW29))</f>
        <v>0.1275</v>
      </c>
      <c r="DX30" s="1">
        <f>IF(OR($B30&lt;Analysis!$C$100, $B30&gt;=Analysis!$C$101),0,CK30+DV30)</f>
        <v>815284.33343324263</v>
      </c>
      <c r="DY30" s="1">
        <f>IF(OR($B30&lt;Analysis!$C$100, $B30&gt;=Analysis!$C$101),0,IF($B30-Analysis!$C$100&gt;3,0,IF(CK30&gt;LOOKUP(Analysis!$C$100,$B:$B, CK:CK),$V30*(LOOKUP(Analysis!$C$100,$B:$B, CK:CK)-CK30),0)))</f>
        <v>0</v>
      </c>
      <c r="DZ30" s="1">
        <f t="shared" si="49"/>
        <v>815284.33343324263</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IF($B30&lt;Analysis!$C$130,0,IF($B30=Analysis!$C$130,Analysis!$D$136,IF(($B30-Analysis!$C$130)&lt;LOOKUP(Analysis!$C$130,$B:$B,EE:EE),EI29,0)))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-109913.01251346935</v>
      </c>
      <c r="FM30" s="1">
        <f>$M30+$R30+DD30+IF(AND($B30&lt;&gt;Analysis!$C$130,$B30=Analysis!$C$101),DZ29+CQ29+CT29+CZ29,0)</f>
        <v>169438.67991332622</v>
      </c>
      <c r="FN30" s="1">
        <f t="shared" si="34"/>
        <v>59525.667399856873</v>
      </c>
      <c r="FO30" s="1">
        <f>IF(FN30 &lt; 0,
    IF(FO29 + FN30 &gt; 0,
        FO29 + FN30, IF(FT29-ABS(FO29 + FN30)*(1+$V30) &gt;= FO29 + FN30,
        0, FO29 + FN30)),
    MIN(FO29 + FN30, Analysis!$C$7))+IF(FO29&lt;0, FO29*Analysis!$C$9,0)</f>
        <v>24000</v>
      </c>
      <c r="FP30" s="53"/>
      <c r="FQ30" s="1">
        <f t="shared" si="51"/>
        <v>25509.108117422991</v>
      </c>
      <c r="FR30" s="1">
        <f>IF(OR($B30=Analysis!$C$100, $B30=Analysis!$C$130),0,IF(FN30 &gt;= 0,
    MAX(0, FO29 + FN30 - Analysis!$C$7),
    0))</f>
        <v>59525.667399856873</v>
      </c>
      <c r="FS30" s="1">
        <f>IF(OR($B30=Analysis!$C$100, $B30=Analysis!$C$130),0,MAX(0, FS29 + FR30 - IF(FN30 &lt; 0, MIN(ABS(FN30), FS29 + FR30), 0)))</f>
        <v>579662.17053775524</v>
      </c>
      <c r="FT30" s="1">
        <f>IF(OR($B30=Analysis!$C$100, $B30=Analysis!$C$130),0,IF(FN30 &lt; 0,
    IF(FN30 + FO29 &lt; 0,
        MAX(0, FT29 - (ABS(FN30 + FO29) * (1+$V29))),
        FT29 + FQ30),
    FT29 + FR30 + FQ30))</f>
        <v>923285.10669547936</v>
      </c>
      <c r="FU30" s="1">
        <f t="shared" si="57"/>
        <v>832654.55728387961</v>
      </c>
      <c r="FV30" s="36"/>
      <c r="FW30" s="1">
        <f t="shared" si="52"/>
        <v>934423.30479454738</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0</v>
      </c>
      <c r="GC30" s="1">
        <f>IF($B30&lt;Analysis!$C$159,0,IF($B30=Analysis!$C$159,-FY30-GB30,MIN(0,GC29-GB30)))</f>
        <v>0</v>
      </c>
      <c r="GD30" s="64">
        <f>IF($B30&lt;Analysis!$C$159,0,IF($B30=Analysis!$C$159,Analysis!$C$160,IF(($B30-Analysis!$C$159)&lt;LOOKUP(Analysis!$C$159,$B:$B,FZ:FZ),GD29,0)))</f>
        <v>0</v>
      </c>
      <c r="GE30" s="1">
        <f>IF($B30&lt;Analysis!$C$159,0,IF($B30=Analysis!$C$159,-GD30*FY30,GD29*GC29))</f>
        <v>0</v>
      </c>
      <c r="GF30" s="1">
        <f>IF($B30&lt;Analysis!$C$159,0,IF($B30=Analysis!$C$159,PMT(GD30,FZ30,FY30)*FZ30-GG30-GC30,IF(($B30-Analysis!$C$159+1)&lt;LOOKUP(Analysis!$C$159,$B:$B,FZ:FZ),IF(GF29-GE30&lt;0, GF29-GE30,0),0)))</f>
        <v>0</v>
      </c>
      <c r="GG30" s="1">
        <f>IF($B30&lt;Analysis!$C$159,0,IF($B30=Analysis!$C$159,GB30+GE30,IF(GC29&lt;0,IF(GC29&gt;LOOKUP(Analysis!$C$159,$B:$B,GG:GG), GC29*(1+GD29),GG29),0)))</f>
        <v>0</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37970.756672100346</v>
      </c>
      <c r="GQ30" s="1">
        <f t="shared" si="36"/>
        <v>-2803.2699143836421</v>
      </c>
      <c r="GR30" s="64">
        <f>IF($B30&lt;Analysis!$C$159,0,Analysis!$C$178)</f>
        <v>3.0000000000000001E-3</v>
      </c>
      <c r="GS30" s="1">
        <f t="shared" si="37"/>
        <v>-7008.1747859591051</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-8300</v>
      </c>
      <c r="HC30" s="1">
        <f>-Analysis!$C$177*GN30</f>
        <v>-2340.561506828753</v>
      </c>
      <c r="HD30" s="1">
        <f t="shared" si="38"/>
        <v>-24412.0062071715</v>
      </c>
      <c r="HE30" s="1">
        <f>MIN(0,-(GN30+HD30)*Analysis!$C$28)-GE30*Analysis!$C$28</f>
        <v>-3011.0774319465804</v>
      </c>
      <c r="HF30" s="1">
        <f>-Analysis!$C$176*GP30/12</f>
        <v>-3164.2297226750288</v>
      </c>
      <c r="HG30" s="38"/>
      <c r="HH30" s="1">
        <f>IF($B30&lt;Analysis!$C$159,0,-$HI30*$FW30)</f>
        <v>-119138.97136130479</v>
      </c>
      <c r="HI30" s="64">
        <f>IF($B30&lt;Analysis!$C$159,0,IF($B30=Analysis!$C$159,Analysis!$C$31,HI29))</f>
        <v>0.1275</v>
      </c>
      <c r="HJ30" s="1">
        <f>IF($B30&lt;Analysis!$C$159,0,$FW30+HH30)</f>
        <v>815284.33343324263</v>
      </c>
      <c r="HK30" s="1">
        <f>IF($B30-Analysis!$C$159&gt;10,0,IF($FW30&gt;LOOKUP(Analysis!$C$159,$B:$B, FW:FW),$V30*(LOOKUP(Analysis!$C$159,$B:$B, FW:FW)-FW30),0))</f>
        <v>0</v>
      </c>
      <c r="HL30" s="1">
        <f t="shared" si="39"/>
        <v>815284.33343324263</v>
      </c>
      <c r="HM30" s="38"/>
      <c r="HN30" s="1">
        <f t="shared" si="40"/>
        <v>-109913.01251346935</v>
      </c>
      <c r="HO30" s="1">
        <f t="shared" si="8"/>
        <v>169438.67991332622</v>
      </c>
      <c r="HP30" s="1">
        <f t="shared" si="41"/>
        <v>59525.667399856873</v>
      </c>
      <c r="HQ30" s="1">
        <f>IF(HP30 &lt; 0,
    IF(HQ29 + HP30 &gt; 0,
        HQ29 + HP30, IF(HV29-ABS(HQ29 + HP30)*(1+$V30) &gt;= HQ29 + HP30,
        0, HQ29 + HP30)),
    MIN(HQ29 + HP30, Analysis!$C$7))+IF(HQ29&lt;0, HQ29*Analysis!$C$9,0)</f>
        <v>24000</v>
      </c>
      <c r="HR30" s="38"/>
      <c r="HS30" s="1">
        <f t="shared" si="54"/>
        <v>25509.108117422991</v>
      </c>
      <c r="HT30" s="1">
        <f>IF($B30=Analysis!$C$159,0,IF(HP30 &gt;= 0,
    MAX(0, HQ29 + HP30 - Analysis!$C$7),
    0))</f>
        <v>59525.667399856873</v>
      </c>
      <c r="HU30" s="1">
        <f>IF($B30=Analysis!$C$159,0,MAX(0, HU29 + HT30 - IF(HP30 &lt; 0, MIN(ABS(HP30), HU29 + HT30), 0)))</f>
        <v>579662.17053775524</v>
      </c>
      <c r="HV30" s="1">
        <f>IF($B30=Analysis!$C$159,0,IF(HP30 &lt; 0,
    IF(HP30 + HQ29 &lt; 0,
        MAX(0, HV29 - (ABS(HP30 + HQ29) * (1+$V29))),
        HV29 + HS30),
    HV29 + HT30 + HS30))</f>
        <v>923285.10669547936</v>
      </c>
      <c r="HW30" s="1">
        <f t="shared" si="58"/>
        <v>832654.55728387961</v>
      </c>
      <c r="HX30" s="36"/>
    </row>
    <row r="31" spans="1:232" x14ac:dyDescent="0.35">
      <c r="A31">
        <f t="shared" si="0"/>
        <v>64</v>
      </c>
      <c r="B31">
        <v>2054</v>
      </c>
      <c r="C31" s="1">
        <f>IF($B31&lt;Analysis!C$66,0,$AN31)+$AT31+$AW31+$BC31+$CF31+$CA31</f>
        <v>692371.80566596997</v>
      </c>
      <c r="D31" s="1">
        <f>IF($B31&lt;Analysis!C$66, 0, BV31)+AT31+AW31+BC31+CG31+CA31</f>
        <v>488459.25014679821</v>
      </c>
      <c r="E31" s="1">
        <f t="shared" si="1"/>
        <v>1814415.0457534187</v>
      </c>
      <c r="F31" s="1">
        <f t="shared" si="9"/>
        <v>1582028.9511624328</v>
      </c>
      <c r="G31" s="1">
        <f>IF(AND($B31&gt;=Analysis!$C$100, $B31&lt;Analysis!$C$101),$CK31,0)+IF($B31&gt;=Analysis!$C$130,EB31,0)+CQ31+CT31+CZ31+EH31+EK31+EQ31+$FO31+$FT31</f>
        <v>1994493.3916765798</v>
      </c>
      <c r="H31" s="1">
        <f t="shared" si="10"/>
        <v>1774226.7005596429</v>
      </c>
      <c r="I31" s="1">
        <f>IF($B31&lt;Analysis!$C$159,0,$FW31)+$GC31+$GF31+$GL31+$HQ31+$HV31</f>
        <v>1994493.3916765798</v>
      </c>
      <c r="J31" s="1">
        <f t="shared" si="2"/>
        <v>1774226.7005596429</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48785.626286537488</v>
      </c>
      <c r="AI31" s="1">
        <f>IF(AE31 &gt;= 0,
    MAX(0, AF30 + AE31 - Analysis!$C$7),
    0)</f>
        <v>42793.232938029774</v>
      </c>
      <c r="AJ31" s="1">
        <f t="shared" si="44"/>
        <v>909330.32692503592</v>
      </c>
      <c r="AK31" s="1">
        <f t="shared" si="20"/>
        <v>1790415.0457534187</v>
      </c>
      <c r="AL31" s="1">
        <f t="shared" si="5"/>
        <v>1558028.9511624328</v>
      </c>
      <c r="AM31" s="36"/>
      <c r="AN31" s="1">
        <f t="shared" si="45"/>
        <v>1599314.1609346799</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0</v>
      </c>
      <c r="AT31" s="1">
        <f>IF($B31&lt;Analysis!$C$66,0,IF($B31=Analysis!$C$66,-AP31-AS31,MIN(0,AT30-AS31)))</f>
        <v>0</v>
      </c>
      <c r="AU31" s="64">
        <f>IF($B31&lt;Analysis!$C$66,0,IF($B31=Analysis!$C$66,Analysis!$C$72,IF(($B31-Analysis!$C$66)&lt;LOOKUP(Analysis!$C$66,$B:$B,AQ:AQ),AU30,0)))</f>
        <v>0</v>
      </c>
      <c r="AV31" s="1">
        <f>IF($B31&lt;Analysis!$C$66,0,IF($B31=Analysis!$C$66,-AU31*AP31,AU30*AT30))</f>
        <v>0</v>
      </c>
      <c r="AW31" s="1">
        <f>IF($B31&lt;Analysis!$C$66,0,IF($B31=Analysis!$C$66,PMT(AU31,AQ31,AP31)*AQ31-AX31-AT31,IF(($B31-Analysis!$C$66+1)&lt;LOOKUP(Analysis!$C$66,$B:$B,AQ:AQ),IF(AW30-AV31&lt;0, AW30-AV31,0),0)))</f>
        <v>0</v>
      </c>
      <c r="AX31" s="1">
        <f>IF($B31&lt;Analysis!$C$66,0,IF($B31=Analysis!$C$66,AS31+AV31,IF(AT30&lt;0,IF(AT30&gt;LOOKUP(Analysis!$C$66,$B:$B,AX:AX), AT30*(1+AU30),AX30),0)))</f>
        <v>0</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-4797.9424828040401</v>
      </c>
      <c r="BF31" s="64">
        <f>IF($B31&lt;Analysis!$C$66,0,Analysis!$C$78)</f>
        <v>3.0000000000000001E-3</v>
      </c>
      <c r="BG31" s="1">
        <f>IF($B31&lt;Analysis!$C$66,0,-BH31*AN31)</f>
        <v>-11994.8562070101</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-203912.5555191717</v>
      </c>
      <c r="BS31" s="64">
        <f>IF($B31&lt;Analysis!C$66,0,Analysis!C$31)</f>
        <v>0.1275</v>
      </c>
      <c r="BT31" s="1">
        <f>IF($B31&lt;Analysis!$C$66,0,AN31+BR31)</f>
        <v>1395401.6054155082</v>
      </c>
      <c r="BU31" s="1">
        <f>IF($B31-Analysis!$C$66&gt;3,0,IF($AN31&gt;LOOKUP(Analysis!$C$66,$B:$B, AN:AN),$V31*(LOOKUP(Analysis!$C$66,$B:$B, AN:AN)-AN31),0))</f>
        <v>0</v>
      </c>
      <c r="BV31" s="1">
        <f t="shared" si="23"/>
        <v>1395401.6054155082</v>
      </c>
      <c r="BW31" s="42"/>
      <c r="BX31" s="1">
        <f>IF($B31&lt;Analysis!$C$66,$P31+$N31+$X31+$Z31,$P31+$N31+AS31+AV31+BB31+BE31+BG31+MAX(BI31,SUM(BJ31:BN31))+BP31)</f>
        <v>-68752.798689814139</v>
      </c>
      <c r="BY31" s="1">
        <f t="shared" si="24"/>
        <v>131467.92324122589</v>
      </c>
      <c r="BZ31" s="1">
        <f t="shared" si="46"/>
        <v>62715.124551411747</v>
      </c>
      <c r="CA31" s="1">
        <f>IF(BZ31 &lt; 0,
    IF(CA30 + BZ31 &gt; 0,
        CA30 + BZ31, IF(CF30-ABS(CA30 + BZ31)*(1+$V31) &gt;= CA30 + BZ31,
        0, CA30 + BZ31)),
    MIN(CA30 + BZ31, Analysis!$C$7))+IF(CA30&lt;0, CA30*Analysis!$C$9,0)</f>
        <v>-906942.35526870994</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-36714.690303196119</v>
      </c>
      <c r="CJ31" s="1">
        <f>IF(OR($B31&lt;Analysis!$C$100, $B31&gt;=Analysis!$C$130),0,Z31)</f>
        <v>-3960</v>
      </c>
      <c r="CK31" s="1">
        <f t="shared" si="26"/>
        <v>961906.34317085776</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0</v>
      </c>
      <c r="CQ31" s="1">
        <f>IF(OR($B31&lt;Analysis!$C$100, $B31&gt;=Analysis!$C$101),0,IF($B31=Analysis!$C$100,-CM31-CP31,MIN(0,CQ30-CP31)))</f>
        <v>0</v>
      </c>
      <c r="CR31" s="64">
        <f>IF(OR($B31&lt;Analysis!$C$100, $B31&gt;=Analysis!$C$101),0,IF($B31=Analysis!$C$100,Analysis!$C$102,IF(($B31-Analysis!$C$100)&lt;LOOKUP(Analysis!$C$100,$B:$B,CN:CN),CR30,0)))</f>
        <v>0</v>
      </c>
      <c r="CS31" s="1">
        <f>IF(OR($B31&lt;Analysis!$C$100, $B31&gt;=Analysis!$C$101),0,IF($B31=Analysis!$C$100,-CR31*CM31,CR30*CQ30))</f>
        <v>0</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0</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38971.073044809193</v>
      </c>
      <c r="DE31" s="1">
        <f t="shared" si="27"/>
        <v>-2885.7190295125733</v>
      </c>
      <c r="DF31" s="64">
        <f>IF(OR($B31&lt;Analysis!$C$100, $B31&gt;=Analysis!$C$101),0,Analysis!$C$118)</f>
        <v>3.0000000000000001E-3</v>
      </c>
      <c r="DG31" s="1">
        <f t="shared" si="28"/>
        <v>-7214.2975737814331</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-8300</v>
      </c>
      <c r="DQ31" s="1">
        <f>-Analysis!$C$117*DB31</f>
        <v>-2409.4015511472458</v>
      </c>
      <c r="DR31" s="1">
        <f t="shared" si="29"/>
        <v>-24769.418154441253</v>
      </c>
      <c r="DS31" s="1">
        <f>MIN(0,-(DB31+DR31)*Analysis!$C$28)-CS31*Analysis!$C$28</f>
        <v>-3259.4151799450092</v>
      </c>
      <c r="DT31" s="1">
        <f>-Analysis!$C$116*DD31/12</f>
        <v>-3247.5894204007659</v>
      </c>
      <c r="DU31" s="53"/>
      <c r="DV31" s="1">
        <f t="shared" si="30"/>
        <v>-122643.05875428437</v>
      </c>
      <c r="DW31" s="64">
        <f>IF(OR($B31&lt;Analysis!$C$100, $B31&gt;=Analysis!$C$101),0,IF($B31=Analysis!$C$100,Analysis!$C$31,DW30))</f>
        <v>0.1275</v>
      </c>
      <c r="DX31" s="1">
        <f>IF(OR($B31&lt;Analysis!$C$100, $B31&gt;=Analysis!$C$101),0,CK31+DV31)</f>
        <v>839263.28441657335</v>
      </c>
      <c r="DY31" s="1">
        <f>IF(OR($B31&lt;Analysis!$C$100, $B31&gt;=Analysis!$C$101),0,IF($B31-Analysis!$C$100&gt;3,0,IF(CK31&gt;LOOKUP(Analysis!$C$100,$B:$B, CK:CK),$V31*(LOOKUP(Analysis!$C$100,$B:$B, CK:CK)-CK31),0)))</f>
        <v>0</v>
      </c>
      <c r="DZ31" s="1">
        <f t="shared" si="49"/>
        <v>839263.28441657335</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IF($B31&lt;Analysis!$C$130,0,IF($B31=Analysis!$C$130,Analysis!$D$136,IF(($B31-Analysis!$C$130)&lt;LOOKUP(Analysis!$C$130,$B:$B,EE:EE),EI30,0)))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-111651.11305798312</v>
      </c>
      <c r="FM31" s="1">
        <f>$M31+$R31+DD31+IF(AND($B31&lt;&gt;Analysis!$C$130,$B31=Analysis!$C$101),DZ30+CQ30+CT30+CZ30,0)</f>
        <v>170438.99628603508</v>
      </c>
      <c r="FN31" s="1">
        <f t="shared" si="34"/>
        <v>58787.883228051956</v>
      </c>
      <c r="FO31" s="1">
        <f>IF(FN31 &lt; 0,
    IF(FO30 + FN31 &gt; 0,
        FO30 + FN31, IF(FT30-ABS(FO30 + FN31)*(1+$V31) &gt;= FO30 + FN31,
        0, FO30 + FN31)),
    MIN(FO30 + FN31, Analysis!$C$7))+IF(FO30&lt;0, FO30*Analysis!$C$9,0)</f>
        <v>24000</v>
      </c>
      <c r="FP31" s="53"/>
      <c r="FQ31" s="1">
        <f t="shared" si="51"/>
        <v>26514.058582190777</v>
      </c>
      <c r="FR31" s="1">
        <f>IF(OR($B31=Analysis!$C$100, $B31=Analysis!$C$130),0,IF(FN31 &gt;= 0,
    MAX(0, FO30 + FN31 - Analysis!$C$7),
    0))</f>
        <v>58787.883228051956</v>
      </c>
      <c r="FS31" s="1">
        <f>IF(OR($B31=Analysis!$C$100, $B31=Analysis!$C$130),0,MAX(0, FS30 + FR31 - IF(FN31 &lt; 0, MIN(ABS(FN31), FS30 + FR31), 0)))</f>
        <v>638450.05376580718</v>
      </c>
      <c r="FT31" s="1">
        <f>IF(OR($B31=Analysis!$C$100, $B31=Analysis!$C$130),0,IF(FN31 &lt; 0,
    IF(FN31 + FO30 &lt; 0,
        MAX(0, FT30 - (ABS(FN31 + FO30) * (1+$V30))),
        FT30 + FQ31),
    FT30 + FR31 + FQ31))</f>
        <v>1008587.0485057221</v>
      </c>
      <c r="FU31" s="1">
        <f t="shared" si="57"/>
        <v>910963.41614306951</v>
      </c>
      <c r="FV31" s="36"/>
      <c r="FW31" s="1">
        <f t="shared" si="52"/>
        <v>961906.34317085776</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0</v>
      </c>
      <c r="GC31" s="1">
        <f>IF($B31&lt;Analysis!$C$159,0,IF($B31=Analysis!$C$159,-FY31-GB31,MIN(0,GC30-GB31)))</f>
        <v>0</v>
      </c>
      <c r="GD31" s="64">
        <f>IF($B31&lt;Analysis!$C$159,0,IF($B31=Analysis!$C$159,Analysis!$C$160,IF(($B31-Analysis!$C$159)&lt;LOOKUP(Analysis!$C$159,$B:$B,FZ:FZ),GD30,0)))</f>
        <v>0</v>
      </c>
      <c r="GE31" s="1">
        <f>IF($B31&lt;Analysis!$C$159,0,IF($B31=Analysis!$C$159,-GD31*FY31,GD30*GC30))</f>
        <v>0</v>
      </c>
      <c r="GF31" s="1">
        <f>IF($B31&lt;Analysis!$C$159,0,IF($B31=Analysis!$C$159,PMT(GD31,FZ31,FY31)*FZ31-GG31-GC31,IF(($B31-Analysis!$C$159+1)&lt;LOOKUP(Analysis!$C$159,$B:$B,FZ:FZ),IF(GF30-GE31&lt;0, GF30-GE31,0),0)))</f>
        <v>0</v>
      </c>
      <c r="GG31" s="1">
        <f>IF($B31&lt;Analysis!$C$159,0,IF($B31=Analysis!$C$159,GB31+GE31,IF(GC30&lt;0,IF(GC30&gt;LOOKUP(Analysis!$C$159,$B:$B,GG:GG), GC30*(1+GD30),GG30),0)))</f>
        <v>0</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38971.073044809193</v>
      </c>
      <c r="GQ31" s="1">
        <f t="shared" si="36"/>
        <v>-2885.7190295125733</v>
      </c>
      <c r="GR31" s="64">
        <f>IF($B31&lt;Analysis!$C$159,0,Analysis!$C$178)</f>
        <v>3.0000000000000001E-3</v>
      </c>
      <c r="GS31" s="1">
        <f t="shared" si="37"/>
        <v>-7214.2975737814331</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-8300</v>
      </c>
      <c r="HC31" s="1">
        <f>-Analysis!$C$177*GN31</f>
        <v>-2409.4015511472458</v>
      </c>
      <c r="HD31" s="1">
        <f t="shared" si="38"/>
        <v>-24769.418154441253</v>
      </c>
      <c r="HE31" s="1">
        <f>MIN(0,-(GN31+HD31)*Analysis!$C$28)-GE31*Analysis!$C$28</f>
        <v>-3259.4151799450092</v>
      </c>
      <c r="HF31" s="1">
        <f>-Analysis!$C$176*GP31/12</f>
        <v>-3247.5894204007659</v>
      </c>
      <c r="HG31" s="38"/>
      <c r="HH31" s="1">
        <f>IF($B31&lt;Analysis!$C$159,0,-$HI31*$FW31)</f>
        <v>-122643.05875428437</v>
      </c>
      <c r="HI31" s="64">
        <f>IF($B31&lt;Analysis!$C$159,0,IF($B31=Analysis!$C$159,Analysis!$C$31,HI30))</f>
        <v>0.1275</v>
      </c>
      <c r="HJ31" s="1">
        <f>IF($B31&lt;Analysis!$C$159,0,$FW31+HH31)</f>
        <v>839263.28441657335</v>
      </c>
      <c r="HK31" s="1">
        <f>IF($B31-Analysis!$C$159&gt;10,0,IF($FW31&gt;LOOKUP(Analysis!$C$159,$B:$B, FW:FW),$V31*(LOOKUP(Analysis!$C$159,$B:$B, FW:FW)-FW31),0))</f>
        <v>0</v>
      </c>
      <c r="HL31" s="1">
        <f t="shared" si="39"/>
        <v>839263.28441657335</v>
      </c>
      <c r="HM31" s="38"/>
      <c r="HN31" s="1">
        <f t="shared" si="40"/>
        <v>-111651.11305798312</v>
      </c>
      <c r="HO31" s="1">
        <f t="shared" si="8"/>
        <v>170438.99628603508</v>
      </c>
      <c r="HP31" s="1">
        <f t="shared" si="41"/>
        <v>58787.883228051956</v>
      </c>
      <c r="HQ31" s="1">
        <f>IF(HP31 &lt; 0,
    IF(HQ30 + HP31 &gt; 0,
        HQ30 + HP31, IF(HV30-ABS(HQ30 + HP31)*(1+$V31) &gt;= HQ30 + HP31,
        0, HQ30 + HP31)),
    MIN(HQ30 + HP31, Analysis!$C$7))+IF(HQ30&lt;0, HQ30*Analysis!$C$9,0)</f>
        <v>24000</v>
      </c>
      <c r="HR31" s="38"/>
      <c r="HS31" s="1">
        <f t="shared" si="54"/>
        <v>26514.058582190777</v>
      </c>
      <c r="HT31" s="1">
        <f>IF($B31=Analysis!$C$159,0,IF(HP31 &gt;= 0,
    MAX(0, HQ30 + HP31 - Analysis!$C$7),
    0))</f>
        <v>58787.883228051956</v>
      </c>
      <c r="HU31" s="1">
        <f>IF($B31=Analysis!$C$159,0,MAX(0, HU30 + HT31 - IF(HP31 &lt; 0, MIN(ABS(HP31), HU30 + HT31), 0)))</f>
        <v>638450.05376580718</v>
      </c>
      <c r="HV31" s="1">
        <f>IF($B31=Analysis!$C$159,0,IF(HP31 &lt; 0,
    IF(HP31 + HQ30 &lt; 0,
        MAX(0, HV30 - (ABS(HP31 + HQ30) * (1+$V30))),
        HV30 + HS31),
    HV30 + HT31 + HS31))</f>
        <v>1008587.0485057221</v>
      </c>
      <c r="HW31" s="1">
        <f t="shared" si="58"/>
        <v>910963.41614306951</v>
      </c>
      <c r="HX31" s="36"/>
    </row>
    <row r="32" spans="1:232" x14ac:dyDescent="0.35">
      <c r="A32">
        <f t="shared" si="0"/>
        <v>65</v>
      </c>
      <c r="B32">
        <v>2055</v>
      </c>
      <c r="C32" s="1">
        <f>IF($B32&lt;Analysis!C$66,0,$AN32)+$AT32+$AW32+$BC32+$CF32+$CA32</f>
        <v>729076.28774426342</v>
      </c>
      <c r="D32" s="1">
        <f>IF($B32&lt;Analysis!C$66, 0, BV32)+AT32+AW32+BC32+CG32+CA32</f>
        <v>519166.30412158673</v>
      </c>
      <c r="E32" s="1">
        <f t="shared" si="1"/>
        <v>1904474.6562625396</v>
      </c>
      <c r="F32" s="1">
        <f t="shared" si="9"/>
        <v>1659337.2457763704</v>
      </c>
      <c r="G32" s="1">
        <f>IF(AND($B32&gt;=Analysis!$C$100, $B32&lt;Analysis!$C$101),$CK32,0)+IF($B32&gt;=Analysis!$C$130,EB32,0)+CQ32+CT32+CZ32+EH32+EK32+EQ32+$FO32+$FT32</f>
        <v>2108047.8297162591</v>
      </c>
      <c r="H32" s="1">
        <f t="shared" si="10"/>
        <v>1876990.8441536687</v>
      </c>
      <c r="I32" s="1">
        <f>IF($B32&lt;Analysis!$C$159,0,$FW32)+$GC32+$GF32+$GL32+$HQ32+$HV32</f>
        <v>2108047.8297162591</v>
      </c>
      <c r="J32" s="1">
        <f t="shared" si="2"/>
        <v>1876990.8441536687</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48346.221403537987</v>
      </c>
      <c r="AI32" s="1">
        <f>IF(AE32 &gt;= 0,
    MAX(0, AF31 + AE32 - Analysis!$C$7),
    0)</f>
        <v>41713.389105582813</v>
      </c>
      <c r="AJ32" s="1">
        <f t="shared" si="44"/>
        <v>951043.71603061876</v>
      </c>
      <c r="AK32" s="1">
        <f t="shared" si="20"/>
        <v>1880474.6562625396</v>
      </c>
      <c r="AL32" s="1">
        <f t="shared" si="5"/>
        <v>1635337.2457763704</v>
      </c>
      <c r="AM32" s="36"/>
      <c r="AN32" s="1">
        <f t="shared" si="45"/>
        <v>1646352.8127268765</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0</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0</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-4939.0584381806293</v>
      </c>
      <c r="BF32" s="64">
        <f>IF($B32&lt;Analysis!$C$66,0,Analysis!$C$78)</f>
        <v>3.0000000000000001E-3</v>
      </c>
      <c r="BG32" s="1">
        <f>IF($B32&lt;Analysis!$C$66,0,-BH32*AN32)</f>
        <v>-12347.646095451573</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-209909.98362267675</v>
      </c>
      <c r="BS32" s="64">
        <f>IF($B32&lt;Analysis!C$66,0,Analysis!C$31)</f>
        <v>0.1275</v>
      </c>
      <c r="BT32" s="1">
        <f>IF($B32&lt;Analysis!$C$66,0,AN32+BR32)</f>
        <v>1436442.8291041998</v>
      </c>
      <c r="BU32" s="1">
        <f>IF($B32-Analysis!$C$66&gt;3,0,IF($AN32&gt;LOOKUP(Analysis!$C$66,$B:$B, AN:AN),$V32*(LOOKUP(Analysis!$C$66,$B:$B, AN:AN)-AN32),0))</f>
        <v>0</v>
      </c>
      <c r="BV32" s="1">
        <f t="shared" si="23"/>
        <v>1436442.8291041998</v>
      </c>
      <c r="BW32" s="42"/>
      <c r="BX32" s="1">
        <f>IF($B32&lt;Analysis!$C$66,$P32+$N32+$X32+$Z32,$P32+$N32+AS32+AV32+BB32+BE32+BG32+MAX(BI32,SUM(BJ32:BN32))+BP32)</f>
        <v>-69246.704533632204</v>
      </c>
      <c r="BY32" s="1">
        <f t="shared" si="24"/>
        <v>131467.92324122589</v>
      </c>
      <c r="BZ32" s="1">
        <f t="shared" si="46"/>
        <v>62221.218707593682</v>
      </c>
      <c r="CA32" s="1">
        <f>IF(BZ32 &lt; 0,
    IF(CA31 + BZ32 &gt; 0,
        CA31 + BZ32, IF(CF31-ABS(CA31 + BZ32)*(1+$V32) &gt;= CA31 + BZ32,
        0, CA31 + BZ32)),
    MIN(CA31 + BZ32, Analysis!$C$7))+IF(CA31&lt;0, CA31*Analysis!$C$9,0)</f>
        <v>-917276.52498261305</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-37794.534135643065</v>
      </c>
      <c r="CJ32" s="1">
        <f>IF(OR($B32&lt;Analysis!$C$100, $B32&gt;=Analysis!$C$130),0,Z32)</f>
        <v>-3960</v>
      </c>
      <c r="CK32" s="1">
        <f t="shared" si="26"/>
        <v>990197.70620529482</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0</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0</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40000.810487303577</v>
      </c>
      <c r="DE32" s="1">
        <f t="shared" si="27"/>
        <v>-2970.5931186158846</v>
      </c>
      <c r="DF32" s="64">
        <f>IF(OR($B32&lt;Analysis!$C$100, $B32&gt;=Analysis!$C$101),0,Analysis!$C$118)</f>
        <v>3.0000000000000001E-3</v>
      </c>
      <c r="DG32" s="1">
        <f t="shared" si="28"/>
        <v>-7426.4827965397108</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-8300</v>
      </c>
      <c r="DQ32" s="1">
        <f>-Analysis!$C$117*DB32</f>
        <v>-2480.266302651577</v>
      </c>
      <c r="DR32" s="1">
        <f t="shared" si="29"/>
        <v>-25137.342217807174</v>
      </c>
      <c r="DS32" s="1">
        <f>MIN(0,-(DB32+DR32)*Analysis!$C$28)-CS32*Analysis!$C$28</f>
        <v>-3515.0569793551572</v>
      </c>
      <c r="DT32" s="1">
        <f>-Analysis!$C$116*DD32/12</f>
        <v>-3333.4008739419646</v>
      </c>
      <c r="DU32" s="53"/>
      <c r="DV32" s="1">
        <f t="shared" si="30"/>
        <v>-126250.20754117508</v>
      </c>
      <c r="DW32" s="64">
        <f>IF(OR($B32&lt;Analysis!$C$100, $B32&gt;=Analysis!$C$101),0,IF($B32=Analysis!$C$100,Analysis!$C$31,DW31))</f>
        <v>0.1275</v>
      </c>
      <c r="DX32" s="1">
        <f>IF(OR($B32&lt;Analysis!$C$100, $B32&gt;=Analysis!$C$101),0,CK32+DV32)</f>
        <v>863947.49866411975</v>
      </c>
      <c r="DY32" s="1">
        <f>IF(OR($B32&lt;Analysis!$C$100, $B32&gt;=Analysis!$C$101),0,IF($B32-Analysis!$C$100&gt;3,0,IF(CK32&gt;LOOKUP(Analysis!$C$100,$B:$B, CK:CK),$V32*(LOOKUP(Analysis!$C$100,$B:$B, CK:CK)-CK32),0)))</f>
        <v>0</v>
      </c>
      <c r="DZ32" s="1">
        <f t="shared" si="49"/>
        <v>863947.49866411975</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IF($B32&lt;Analysis!$C$130,0,IF($B32=Analysis!$C$130,Analysis!$D$136,IF(($B32-Analysis!$C$130)&lt;LOOKUP(Analysis!$C$130,$B:$B,EE:EE),EI31,0)))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-113440.33420674737</v>
      </c>
      <c r="FM32" s="1">
        <f>$M32+$R32+DD32+IF(AND($B32&lt;&gt;Analysis!$C$130,$B32=Analysis!$C$101),DZ31+CQ31+CT31+CZ31,0)</f>
        <v>171468.73372852948</v>
      </c>
      <c r="FN32" s="1">
        <f t="shared" si="34"/>
        <v>58028.399521782107</v>
      </c>
      <c r="FO32" s="1">
        <f>IF(FN32 &lt; 0,
    IF(FO31 + FN32 &gt; 0,
        FO31 + FN32, IF(FT31-ABS(FO31 + FN32)*(1+$V32) &gt;= FO31 + FN32,
        0, FO31 + FN32)),
    MIN(FO31 + FN32, Analysis!$C$7))+IF(FO31&lt;0, FO31*Analysis!$C$9,0)</f>
        <v>24000</v>
      </c>
      <c r="FP32" s="53"/>
      <c r="FQ32" s="1">
        <f t="shared" si="51"/>
        <v>27234.67548346</v>
      </c>
      <c r="FR32" s="1">
        <f>IF(OR($B32=Analysis!$C$100, $B32=Analysis!$C$130),0,IF(FN32 &gt;= 0,
    MAX(0, FO31 + FN32 - Analysis!$C$7),
    0))</f>
        <v>58028.399521782107</v>
      </c>
      <c r="FS32" s="1">
        <f>IF(OR($B32=Analysis!$C$100, $B32=Analysis!$C$130),0,MAX(0, FS31 + FR32 - IF(FN32 &lt; 0, MIN(ABS(FN32), FS31 + FR32), 0)))</f>
        <v>696478.45328758925</v>
      </c>
      <c r="FT32" s="1">
        <f>IF(OR($B32=Analysis!$C$100, $B32=Analysis!$C$130),0,IF(FN32 &lt; 0,
    IF(FN32 + FO31 &lt; 0,
        MAX(0, FT31 - (ABS(FN32 + FO31) * (1+$V31))),
        FT31 + FQ32),
    FT31 + FR32 + FQ32))</f>
        <v>1093850.1235109642</v>
      </c>
      <c r="FU32" s="1">
        <f t="shared" si="57"/>
        <v>989043.3454895491</v>
      </c>
      <c r="FV32" s="36"/>
      <c r="FW32" s="1">
        <f t="shared" si="52"/>
        <v>990197.70620529482</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0</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0</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40000.810487303577</v>
      </c>
      <c r="GQ32" s="1">
        <f t="shared" si="36"/>
        <v>-2970.5931186158846</v>
      </c>
      <c r="GR32" s="64">
        <f>IF($B32&lt;Analysis!$C$159,0,Analysis!$C$178)</f>
        <v>3.0000000000000001E-3</v>
      </c>
      <c r="GS32" s="1">
        <f t="shared" si="37"/>
        <v>-7426.4827965397108</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-8300</v>
      </c>
      <c r="HC32" s="1">
        <f>-Analysis!$C$177*GN32</f>
        <v>-2480.266302651577</v>
      </c>
      <c r="HD32" s="1">
        <f t="shared" si="38"/>
        <v>-25137.342217807174</v>
      </c>
      <c r="HE32" s="1">
        <f>MIN(0,-(GN32+HD32)*Analysis!$C$28)-GE32*Analysis!$C$28</f>
        <v>-3515.0569793551572</v>
      </c>
      <c r="HF32" s="1">
        <f>-Analysis!$C$176*GP32/12</f>
        <v>-3333.4008739419646</v>
      </c>
      <c r="HG32" s="38"/>
      <c r="HH32" s="1">
        <f>IF($B32&lt;Analysis!$C$159,0,-$HI32*$FW32)</f>
        <v>-126250.20754117508</v>
      </c>
      <c r="HI32" s="64">
        <f>IF($B32&lt;Analysis!$C$159,0,IF($B32=Analysis!$C$159,Analysis!$C$31,HI31))</f>
        <v>0.1275</v>
      </c>
      <c r="HJ32" s="1">
        <f>IF($B32&lt;Analysis!$C$159,0,$FW32+HH32)</f>
        <v>863947.49866411975</v>
      </c>
      <c r="HK32" s="1">
        <f>IF($B32-Analysis!$C$159&gt;10,0,IF($FW32&gt;LOOKUP(Analysis!$C$159,$B:$B, FW:FW),$V32*(LOOKUP(Analysis!$C$159,$B:$B, FW:FW)-FW32),0))</f>
        <v>0</v>
      </c>
      <c r="HL32" s="1">
        <f t="shared" si="39"/>
        <v>863947.49866411975</v>
      </c>
      <c r="HM32" s="38"/>
      <c r="HN32" s="1">
        <f t="shared" si="40"/>
        <v>-113440.33420674737</v>
      </c>
      <c r="HO32" s="1">
        <f t="shared" si="8"/>
        <v>171468.73372852948</v>
      </c>
      <c r="HP32" s="1">
        <f t="shared" si="41"/>
        <v>58028.399521782107</v>
      </c>
      <c r="HQ32" s="1">
        <f>IF(HP32 &lt; 0,
    IF(HQ31 + HP32 &gt; 0,
        HQ31 + HP32, IF(HV31-ABS(HQ31 + HP32)*(1+$V32) &gt;= HQ31 + HP32,
        0, HQ31 + HP32)),
    MIN(HQ31 + HP32, Analysis!$C$7))+IF(HQ31&lt;0, HQ31*Analysis!$C$9,0)</f>
        <v>24000</v>
      </c>
      <c r="HR32" s="38"/>
      <c r="HS32" s="1">
        <f t="shared" si="54"/>
        <v>27234.67548346</v>
      </c>
      <c r="HT32" s="1">
        <f>IF($B32=Analysis!$C$159,0,IF(HP32 &gt;= 0,
    MAX(0, HQ31 + HP32 - Analysis!$C$7),
    0))</f>
        <v>58028.399521782107</v>
      </c>
      <c r="HU32" s="1">
        <f>IF($B32=Analysis!$C$159,0,MAX(0, HU31 + HT32 - IF(HP32 &lt; 0, MIN(ABS(HP32), HU31 + HT32), 0)))</f>
        <v>696478.45328758925</v>
      </c>
      <c r="HV32" s="1">
        <f>IF($B32=Analysis!$C$159,0,IF(HP32 &lt; 0,
    IF(HP32 + HQ31 &lt; 0,
        MAX(0, HV31 - (ABS(HP32 + HQ31) * (1+$V31))),
        HV31 + HS32),
    HV31 + HT32 + HS32))</f>
        <v>1093850.1235109642</v>
      </c>
      <c r="HW32" s="1">
        <f t="shared" si="58"/>
        <v>989043.3454895491</v>
      </c>
      <c r="HX32" s="36"/>
    </row>
    <row r="33" spans="1:232" x14ac:dyDescent="0.35">
      <c r="A33">
        <f t="shared" si="0"/>
        <v>66</v>
      </c>
      <c r="B33">
        <v>2056</v>
      </c>
      <c r="C33" s="1">
        <f>IF($B33&lt;Analysis!C$66,0,$AN33)+$AT33+$AW33+$BC33+$CF33+$CA33</f>
        <v>765829.09351775551</v>
      </c>
      <c r="D33" s="1">
        <f>IF($B33&lt;Analysis!C$66, 0, BV33)+AT33+AW33+BC33+CG33+CA33</f>
        <v>549745.28684735287</v>
      </c>
      <c r="E33" s="1">
        <f t="shared" si="1"/>
        <v>1992630.8537387501</v>
      </c>
      <c r="F33" s="1">
        <f t="shared" si="9"/>
        <v>1734950.9670042903</v>
      </c>
      <c r="G33" s="1">
        <f>IF(AND($B33&gt;=Analysis!$C$100, $B33&lt;Analysis!$C$101),$CK33,0)+IF($B33&gt;=Analysis!$C$130,EB33,0)+CQ33+CT33+CZ33+EH33+EK33+EQ33+$FO33+$FT33</f>
        <v>2222079.7154233595</v>
      </c>
      <c r="H33" s="1">
        <f t="shared" si="10"/>
        <v>1980013.676659008</v>
      </c>
      <c r="I33" s="1">
        <f>IF($B33&lt;Analysis!$C$159,0,$FW33)+$GC33+$GF33+$GL33+$HQ33+$HV33</f>
        <v>2222079.7154233595</v>
      </c>
      <c r="J33" s="1">
        <f t="shared" si="2"/>
        <v>1980013.676659008</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47554.412315793605</v>
      </c>
      <c r="AI33" s="1">
        <f>IF(AE33 &gt;= 0,
    MAX(0, AF32 + AE33 - Analysis!$C$7),
    0)</f>
        <v>40601.785160416854</v>
      </c>
      <c r="AJ33" s="1">
        <f t="shared" si="44"/>
        <v>991645.50119103561</v>
      </c>
      <c r="AK33" s="1">
        <f t="shared" si="20"/>
        <v>1968630.8537387501</v>
      </c>
      <c r="AL33" s="1">
        <f t="shared" si="5"/>
        <v>1710950.9670042903</v>
      </c>
      <c r="AM33" s="36"/>
      <c r="AN33" s="1">
        <f t="shared" si="45"/>
        <v>1694774.9542776672</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-5084.324862833002</v>
      </c>
      <c r="BF33" s="64">
        <f>IF($B33&lt;Analysis!$C$66,0,Analysis!$C$78)</f>
        <v>3.0000000000000001E-3</v>
      </c>
      <c r="BG33" s="1">
        <f>IF($B33&lt;Analysis!$C$66,0,-BH33*AN33)</f>
        <v>-12710.812157082504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-216083.80667040258</v>
      </c>
      <c r="BS33" s="64">
        <f>IF($B33&lt;Analysis!C$66,0,Analysis!C$31)</f>
        <v>0.1275</v>
      </c>
      <c r="BT33" s="1">
        <f>IF($B33&lt;Analysis!$C$66,0,AN33+BR33)</f>
        <v>1478691.1476072646</v>
      </c>
      <c r="BU33" s="1">
        <f>IF($B33-Analysis!$C$66&gt;3,0,IF($AN33&gt;LOOKUP(Analysis!$C$66,$B:$B, AN:AN),$V33*(LOOKUP(Analysis!$C$66,$B:$B, AN:AN)-AN33),0))</f>
        <v>0</v>
      </c>
      <c r="BV33" s="1">
        <f t="shared" si="23"/>
        <v>1478691.1476072646</v>
      </c>
      <c r="BW33" s="42"/>
      <c r="BX33" s="1">
        <f>IF($B33&lt;Analysis!$C$66,$P33+$N33+$X33+$Z33,$P33+$N33+AS33+AV33+BB33+BE33+BG33+MAX(BI33,SUM(BJ33:BN33))+BP33)</f>
        <v>-69755.137019915506</v>
      </c>
      <c r="BY33" s="1">
        <f t="shared" si="24"/>
        <v>131467.92324122589</v>
      </c>
      <c r="BZ33" s="1">
        <f t="shared" si="46"/>
        <v>61712.78622131038</v>
      </c>
      <c r="CA33" s="1">
        <f>IF(BZ33 &lt; 0,
    IF(CA32 + BZ33 &gt; 0,
        CA32 + BZ33, IF(CF32-ABS(CA32 + BZ33)*(1+$V33) &gt;= CA32 + BZ33,
        0, CA32 + BZ33)),
    MIN(CA32 + BZ33, Analysis!$C$7))+IF(CA32&lt;0, CA32*Analysis!$C$9,0)</f>
        <v>-928945.86075991171</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-38906.13808080904</v>
      </c>
      <c r="CJ33" s="1">
        <f>IF(OR($B33&lt;Analysis!$C$100, $B33&gt;=Analysis!$C$130),0,Z33)</f>
        <v>-3960</v>
      </c>
      <c r="CK33" s="1">
        <f t="shared" si="26"/>
        <v>1019321.1681525095</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41060.834325165451</v>
      </c>
      <c r="DE33" s="1">
        <f t="shared" si="27"/>
        <v>-3057.9635044575284</v>
      </c>
      <c r="DF33" s="64">
        <f>IF(OR($B33&lt;Analysis!$C$100, $B33&gt;=Analysis!$C$101),0,Analysis!$C$118)</f>
        <v>3.0000000000000001E-3</v>
      </c>
      <c r="DG33" s="1">
        <f t="shared" si="28"/>
        <v>-7644.9087611438208</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-8300</v>
      </c>
      <c r="DQ33" s="1">
        <f>-Analysis!$C$117*DB33</f>
        <v>-2553.2153115530941</v>
      </c>
      <c r="DR33" s="1">
        <f t="shared" si="29"/>
        <v>-25516.087577154442</v>
      </c>
      <c r="DS33" s="1">
        <f>MIN(0,-(DB33+DR33)*Analysis!$C$28)-CS33*Analysis!$C$28</f>
        <v>-3778.2176552185483</v>
      </c>
      <c r="DT33" s="1">
        <f>-Analysis!$C$116*DD33/12</f>
        <v>-3421.7361937637875</v>
      </c>
      <c r="DU33" s="53"/>
      <c r="DV33" s="1">
        <f t="shared" si="30"/>
        <v>-129963.44893944496</v>
      </c>
      <c r="DW33" s="64">
        <f>IF(OR($B33&lt;Analysis!$C$100, $B33&gt;=Analysis!$C$101),0,IF($B33=Analysis!$C$100,Analysis!$C$31,DW32))</f>
        <v>0.1275</v>
      </c>
      <c r="DX33" s="1">
        <f>IF(OR($B33&lt;Analysis!$C$100, $B33&gt;=Analysis!$C$101),0,CK33+DV33)</f>
        <v>889357.71921306453</v>
      </c>
      <c r="DY33" s="1">
        <f>IF(OR($B33&lt;Analysis!$C$100, $B33&gt;=Analysis!$C$101),0,IF($B33-Analysis!$C$100&gt;3,0,IF(CK33&gt;LOOKUP(Analysis!$C$100,$B:$B, CK:CK),$V33*(LOOKUP(Analysis!$C$100,$B:$B, CK:CK)-CK33),0)))</f>
        <v>0</v>
      </c>
      <c r="DZ33" s="1">
        <f t="shared" si="49"/>
        <v>889357.71921306453</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IF($B33&lt;Analysis!$C$130,0,IF($B33=Analysis!$C$130,Analysis!$D$136,IF(($B33-Analysis!$C$130)&lt;LOOKUP(Analysis!$C$130,$B:$B,EE:EE),EI32,0)))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-115282.1795069458</v>
      </c>
      <c r="FM33" s="1">
        <f>$M33+$R33+DD33+IF(AND($B33&lt;&gt;Analysis!$C$130,$B33=Analysis!$C$101),DZ32+CQ32+CT32+CZ32,0)</f>
        <v>172528.75756639134</v>
      </c>
      <c r="FN33" s="1">
        <f t="shared" si="34"/>
        <v>57246.578059445543</v>
      </c>
      <c r="FO33" s="1">
        <f>IF(FN33 &lt; 0,
    IF(FO32 + FN33 &gt; 0,
        FO32 + FN33, IF(FT32-ABS(FO32 + FN33)*(1+$V33) &gt;= FO32 + FN33,
        0, FO32 + FN33)),
    MIN(FO32 + FN33, Analysis!$C$7))+IF(FO32&lt;0, FO32*Analysis!$C$9,0)</f>
        <v>24000</v>
      </c>
      <c r="FP33" s="53"/>
      <c r="FQ33" s="1">
        <f t="shared" si="51"/>
        <v>27661.845700439913</v>
      </c>
      <c r="FR33" s="1">
        <f>IF(OR($B33=Analysis!$C$100, $B33=Analysis!$C$130),0,IF(FN33 &gt;= 0,
    MAX(0, FO32 + FN33 - Analysis!$C$7),
    0))</f>
        <v>57246.578059445543</v>
      </c>
      <c r="FS33" s="1">
        <f>IF(OR($B33=Analysis!$C$100, $B33=Analysis!$C$130),0,MAX(0, FS32 + FR33 - IF(FN33 &lt; 0, MIN(ABS(FN33), FS32 + FR33), 0)))</f>
        <v>753725.03134703473</v>
      </c>
      <c r="FT33" s="1">
        <f>IF(OR($B33=Analysis!$C$100, $B33=Analysis!$C$130),0,IF(FN33 &lt; 0,
    IF(FN33 + FO32 &lt; 0,
        MAX(0, FT32 - (ABS(FN33 + FO32) * (1+$V32))),
        FT32 + FQ33),
    FT32 + FR33 + FQ33))</f>
        <v>1178758.5472708498</v>
      </c>
      <c r="FU33" s="1">
        <f t="shared" si="57"/>
        <v>1066655.9574459435</v>
      </c>
      <c r="FV33" s="36"/>
      <c r="FW33" s="1">
        <f t="shared" si="52"/>
        <v>1019321.1681525095</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41060.834325165451</v>
      </c>
      <c r="GQ33" s="1">
        <f t="shared" si="36"/>
        <v>-3057.9635044575284</v>
      </c>
      <c r="GR33" s="64">
        <f>IF($B33&lt;Analysis!$C$159,0,Analysis!$C$178)</f>
        <v>3.0000000000000001E-3</v>
      </c>
      <c r="GS33" s="1">
        <f t="shared" si="37"/>
        <v>-7644.9087611438208</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-8300</v>
      </c>
      <c r="HC33" s="1">
        <f>-Analysis!$C$177*GN33</f>
        <v>-2553.2153115530941</v>
      </c>
      <c r="HD33" s="1">
        <f t="shared" si="38"/>
        <v>-25516.087577154442</v>
      </c>
      <c r="HE33" s="1">
        <f>MIN(0,-(GN33+HD33)*Analysis!$C$28)-GE33*Analysis!$C$28</f>
        <v>-3778.2176552185483</v>
      </c>
      <c r="HF33" s="1">
        <f>-Analysis!$C$176*GP33/12</f>
        <v>-3421.7361937637875</v>
      </c>
      <c r="HG33" s="38"/>
      <c r="HH33" s="1">
        <f>IF($B33&lt;Analysis!$C$159,0,-$HI33*$FW33)</f>
        <v>-129963.44893944496</v>
      </c>
      <c r="HI33" s="64">
        <f>IF($B33&lt;Analysis!$C$159,0,IF($B33=Analysis!$C$159,Analysis!$C$31,HI32))</f>
        <v>0.1275</v>
      </c>
      <c r="HJ33" s="1">
        <f>IF($B33&lt;Analysis!$C$159,0,$FW33+HH33)</f>
        <v>889357.71921306453</v>
      </c>
      <c r="HK33" s="1">
        <f>IF($B33-Analysis!$C$159&gt;10,0,IF($FW33&gt;LOOKUP(Analysis!$C$159,$B:$B, FW:FW),$V33*(LOOKUP(Analysis!$C$159,$B:$B, FW:FW)-FW33),0))</f>
        <v>0</v>
      </c>
      <c r="HL33" s="1">
        <f t="shared" si="39"/>
        <v>889357.71921306453</v>
      </c>
      <c r="HM33" s="38"/>
      <c r="HN33" s="1">
        <f t="shared" si="40"/>
        <v>-115282.1795069458</v>
      </c>
      <c r="HO33" s="1">
        <f t="shared" si="8"/>
        <v>172528.75756639134</v>
      </c>
      <c r="HP33" s="1">
        <f t="shared" si="41"/>
        <v>57246.578059445543</v>
      </c>
      <c r="HQ33" s="1">
        <f>IF(HP33 &lt; 0,
    IF(HQ32 + HP33 &gt; 0,
        HQ32 + HP33, IF(HV32-ABS(HQ32 + HP33)*(1+$V33) &gt;= HQ32 + HP33,
        0, HQ32 + HP33)),
    MIN(HQ32 + HP33, Analysis!$C$7))+IF(HQ32&lt;0, HQ32*Analysis!$C$9,0)</f>
        <v>24000</v>
      </c>
      <c r="HR33" s="38"/>
      <c r="HS33" s="1">
        <f t="shared" si="54"/>
        <v>27661.845700439913</v>
      </c>
      <c r="HT33" s="1">
        <f>IF($B33=Analysis!$C$159,0,IF(HP33 &gt;= 0,
    MAX(0, HQ32 + HP33 - Analysis!$C$7),
    0))</f>
        <v>57246.578059445543</v>
      </c>
      <c r="HU33" s="1">
        <f>IF($B33=Analysis!$C$159,0,MAX(0, HU32 + HT33 - IF(HP33 &lt; 0, MIN(ABS(HP33), HU32 + HT33), 0)))</f>
        <v>753725.03134703473</v>
      </c>
      <c r="HV33" s="1">
        <f>IF($B33=Analysis!$C$159,0,IF(HP33 &lt; 0,
    IF(HP33 + HQ32 &lt; 0,
        MAX(0, HV32 - (ABS(HP33 + HQ32) * (1+$V32))),
        HV32 + HS33),
    HV32 + HT33 + HS33))</f>
        <v>1178758.5472708498</v>
      </c>
      <c r="HW33" s="1">
        <f t="shared" si="58"/>
        <v>1066655.9574459435</v>
      </c>
      <c r="HX33" s="36"/>
    </row>
    <row r="34" spans="1:232" x14ac:dyDescent="0.35">
      <c r="A34">
        <f t="shared" si="0"/>
        <v>67</v>
      </c>
      <c r="B34">
        <v>2057</v>
      </c>
      <c r="C34" s="1">
        <f>IF($B34&lt;Analysis!C$66,0,$AN34)+$AT34+$AW34+$BC34+$CF34+$CA34</f>
        <v>802549.1466799716</v>
      </c>
      <c r="D34" s="1">
        <f>IF($B34&lt;Analysis!C$66, 0, BV34)+AT34+AW34+BC34+CG34+CA34</f>
        <v>580109.93393102777</v>
      </c>
      <c r="E34" s="1">
        <f t="shared" si="1"/>
        <v>2078497.2966448728</v>
      </c>
      <c r="F34" s="1">
        <f t="shared" si="9"/>
        <v>1808577.0477853122</v>
      </c>
      <c r="G34" s="1">
        <f>IF(AND($B34&gt;=Analysis!$C$100, $B34&lt;Analysis!$C$101),$CK34,0)+IF($B34&gt;=Analysis!$C$130,EB34,0)+CQ34+CT34+CZ34+EH34+EK34+EQ34+$FO34+$FT34</f>
        <v>2336289.836373629</v>
      </c>
      <c r="H34" s="1">
        <f t="shared" si="10"/>
        <v>2083072.1725773108</v>
      </c>
      <c r="I34" s="1">
        <f>IF($B34&lt;Analysis!$C$159,0,$FW34)+$GC34+$GF34+$GL34+$HQ34+$HV34</f>
        <v>2336289.836373629</v>
      </c>
      <c r="J34" s="1">
        <f t="shared" ref="J34:J52" si="59">$HL34+$GC34+$GF34+$GL34+$HQ34+$HW34</f>
        <v>2083072.1725773108</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46408.955924553047</v>
      </c>
      <c r="AI34" s="1">
        <f>IF(AE34 &gt;= 0,
    MAX(0, AF33 + AE34 - Analysis!$C$7),
    0)</f>
        <v>39457.486981569527</v>
      </c>
      <c r="AJ34" s="1">
        <f t="shared" si="44"/>
        <v>1031102.9881726052</v>
      </c>
      <c r="AK34" s="1">
        <f t="shared" si="20"/>
        <v>2054497.2966448728</v>
      </c>
      <c r="AL34" s="1">
        <f t="shared" si="5"/>
        <v>1784577.0477853122</v>
      </c>
      <c r="AM34" s="36"/>
      <c r="AN34" s="1">
        <f t="shared" si="45"/>
        <v>1744621.2764623046</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-5233.8638293869144</v>
      </c>
      <c r="BF34" s="64">
        <f>IF($B34&lt;Analysis!$C$66,0,Analysis!$C$78)</f>
        <v>3.0000000000000001E-3</v>
      </c>
      <c r="BG34" s="1">
        <f>IF($B34&lt;Analysis!$C$66,0,-BH34*AN34)</f>
        <v>-13084.659573467285</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-222439.21274894386</v>
      </c>
      <c r="BS34" s="64">
        <f>IF($B34&lt;Analysis!C$66,0,Analysis!C$31)</f>
        <v>0.1275</v>
      </c>
      <c r="BT34" s="1">
        <f>IF($B34&lt;Analysis!$C$66,0,AN34+BR34)</f>
        <v>1522182.0637133608</v>
      </c>
      <c r="BU34" s="1">
        <f>IF($B34-Analysis!$C$66&gt;3,0,IF($AN34&gt;LOOKUP(Analysis!$C$66,$B:$B, AN:AN),$V34*(LOOKUP(Analysis!$C$66,$B:$B, AN:AN)-AN34),0))</f>
        <v>0</v>
      </c>
      <c r="BV34" s="1">
        <f t="shared" si="23"/>
        <v>1522182.0637133608</v>
      </c>
      <c r="BW34" s="42"/>
      <c r="BX34" s="1">
        <f>IF($B34&lt;Analysis!$C$66,$P34+$N34+$X34+$Z34,$P34+$N34+AS34+AV34+BB34+BE34+BG34+MAX(BI34,SUM(BJ34:BN34))+BP34)</f>
        <v>-70278.523402854204</v>
      </c>
      <c r="BY34" s="1">
        <f t="shared" si="24"/>
        <v>131467.92324122589</v>
      </c>
      <c r="BZ34" s="1">
        <f t="shared" si="46"/>
        <v>61189.399838371683</v>
      </c>
      <c r="CA34" s="1">
        <f>IF(BZ34 &lt; 0,
    IF(CA33 + BZ34 &gt; 0,
        CA33 + BZ34, IF(CF33-ABS(CA33 + BZ34)*(1+$V34) &gt;= CA33 + BZ34,
        0, CA33 + BZ34)),
    MIN(CA33 + BZ34, Analysis!$C$7))+IF(CA33&lt;0, CA33*Analysis!$C$9,0)</f>
        <v>-942072.12978233304</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-40050.436259656366</v>
      </c>
      <c r="CJ34" s="1">
        <f>IF(OR($B34&lt;Analysis!$C$100, $B34&gt;=Analysis!$C$130),0,Z34)</f>
        <v>-3960</v>
      </c>
      <c r="CK34" s="1">
        <f t="shared" si="26"/>
        <v>1049301.2025099364</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42152.035334729146</v>
      </c>
      <c r="DE34" s="1">
        <f t="shared" si="27"/>
        <v>-3147.9036075298095</v>
      </c>
      <c r="DF34" s="64">
        <f>IF(OR($B34&lt;Analysis!$C$100, $B34&gt;=Analysis!$C$101),0,Analysis!$C$118)</f>
        <v>3.0000000000000001E-3</v>
      </c>
      <c r="DG34" s="1">
        <f t="shared" si="28"/>
        <v>-7869.7590188245231</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-8300</v>
      </c>
      <c r="DQ34" s="1">
        <f>-Analysis!$C$117*DB34</f>
        <v>-2628.3098795399505</v>
      </c>
      <c r="DR34" s="1">
        <f t="shared" si="29"/>
        <v>-25905.972505894282</v>
      </c>
      <c r="DS34" s="1">
        <f>MIN(0,-(DB34+DR34)*Analysis!$C$28)-CS34*Analysis!$C$28</f>
        <v>-4049.1183509602702</v>
      </c>
      <c r="DT34" s="1">
        <f>-Analysis!$C$116*DD34/12</f>
        <v>-3512.669611227429</v>
      </c>
      <c r="DU34" s="53"/>
      <c r="DV34" s="1">
        <f t="shared" si="30"/>
        <v>-133785.90332001689</v>
      </c>
      <c r="DW34" s="64">
        <f>IF(OR($B34&lt;Analysis!$C$100, $B34&gt;=Analysis!$C$101),0,IF($B34=Analysis!$C$100,Analysis!$C$31,DW33))</f>
        <v>0.1275</v>
      </c>
      <c r="DX34" s="1">
        <f>IF(OR($B34&lt;Analysis!$C$100, $B34&gt;=Analysis!$C$101),0,CK34+DV34)</f>
        <v>915515.29918991949</v>
      </c>
      <c r="DY34" s="1">
        <f>IF(OR($B34&lt;Analysis!$C$100, $B34&gt;=Analysis!$C$101),0,IF($B34-Analysis!$C$100&gt;3,0,IF(CK34&gt;LOOKUP(Analysis!$C$100,$B:$B, CK:CK),$V34*(LOOKUP(Analysis!$C$100,$B:$B, CK:CK)-CK34),0)))</f>
        <v>0</v>
      </c>
      <c r="DZ34" s="1">
        <f t="shared" si="49"/>
        <v>915515.29918991949</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IF($B34&lt;Analysis!$C$130,0,IF($B34=Analysis!$C$130,Analysis!$D$136,IF(($B34-Analysis!$C$130)&lt;LOOKUP(Analysis!$C$130,$B:$B,EE:EE),EI33,0)))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-117178.19672773834</v>
      </c>
      <c r="FM34" s="1">
        <f>$M34+$R34+DD34+IF(AND($B34&lt;&gt;Analysis!$C$130,$B34=Analysis!$C$101),DZ33+CQ33+CT33+CZ33,0)</f>
        <v>173619.95857595504</v>
      </c>
      <c r="FN34" s="1">
        <f t="shared" si="34"/>
        <v>56441.761848216702</v>
      </c>
      <c r="FO34" s="1">
        <f>IF(FN34 &lt; 0,
    IF(FO33 + FN34 &gt; 0,
        FO33 + FN34, IF(FT33-ABS(FO33 + FN34)*(1+$V34) &gt;= FO33 + FN34,
        0, FO33 + FN34)),
    MIN(FO33 + FN34, Analysis!$C$7))+IF(FO33&lt;0, FO33*Analysis!$C$9,0)</f>
        <v>24000</v>
      </c>
      <c r="FP34" s="53"/>
      <c r="FQ34" s="1">
        <f t="shared" si="51"/>
        <v>27788.324744626167</v>
      </c>
      <c r="FR34" s="1">
        <f>IF(OR($B34=Analysis!$C$100, $B34=Analysis!$C$130),0,IF(FN34 &gt;= 0,
    MAX(0, FO33 + FN34 - Analysis!$C$7),
    0))</f>
        <v>56441.761848216702</v>
      </c>
      <c r="FS34" s="1">
        <f>IF(OR($B34=Analysis!$C$100, $B34=Analysis!$C$130),0,MAX(0, FS33 + FR34 - IF(FN34 &lt; 0, MIN(ABS(FN34), FS33 + FR34), 0)))</f>
        <v>810166.79319525138</v>
      </c>
      <c r="FT34" s="1">
        <f>IF(OR($B34=Analysis!$C$100, $B34=Analysis!$C$130),0,IF(FN34 &lt; 0,
    IF(FN34 + FO33 &lt; 0,
        MAX(0, FT33 - (ABS(FN34 + FO33) * (1+$V33))),
        FT33 + FQ34),
    FT33 + FR34 + FQ34))</f>
        <v>1262988.6338636926</v>
      </c>
      <c r="FU34" s="1">
        <f t="shared" si="57"/>
        <v>1143556.8733873912</v>
      </c>
      <c r="FV34" s="36"/>
      <c r="FW34" s="1">
        <f t="shared" si="52"/>
        <v>1049301.2025099364</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42152.035334729146</v>
      </c>
      <c r="GQ34" s="1">
        <f t="shared" si="36"/>
        <v>-3147.9036075298095</v>
      </c>
      <c r="GR34" s="64">
        <f>IF($B34&lt;Analysis!$C$159,0,Analysis!$C$178)</f>
        <v>3.0000000000000001E-3</v>
      </c>
      <c r="GS34" s="1">
        <f t="shared" si="37"/>
        <v>-7869.7590188245231</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-8300</v>
      </c>
      <c r="HC34" s="1">
        <f>-Analysis!$C$177*GN34</f>
        <v>-2628.3098795399505</v>
      </c>
      <c r="HD34" s="1">
        <f t="shared" si="38"/>
        <v>-25905.972505894282</v>
      </c>
      <c r="HE34" s="1">
        <f>MIN(0,-(GN34+HD34)*Analysis!$C$28)-GE34*Analysis!$C$28</f>
        <v>-4049.1183509602702</v>
      </c>
      <c r="HF34" s="1">
        <f>-Analysis!$C$176*GP34/12</f>
        <v>-3512.669611227429</v>
      </c>
      <c r="HG34" s="38"/>
      <c r="HH34" s="1">
        <f>IF($B34&lt;Analysis!$C$159,0,-$HI34*$FW34)</f>
        <v>-133785.90332001689</v>
      </c>
      <c r="HI34" s="64">
        <f>IF($B34&lt;Analysis!$C$159,0,IF($B34=Analysis!$C$159,Analysis!$C$31,HI33))</f>
        <v>0.1275</v>
      </c>
      <c r="HJ34" s="1">
        <f>IF($B34&lt;Analysis!$C$159,0,$FW34+HH34)</f>
        <v>915515.29918991949</v>
      </c>
      <c r="HK34" s="1">
        <f>IF($B34-Analysis!$C$159&gt;10,0,IF($FW34&gt;LOOKUP(Analysis!$C$159,$B:$B, FW:FW),$V34*(LOOKUP(Analysis!$C$159,$B:$B, FW:FW)-FW34),0))</f>
        <v>0</v>
      </c>
      <c r="HL34" s="1">
        <f t="shared" si="39"/>
        <v>915515.29918991949</v>
      </c>
      <c r="HM34" s="38"/>
      <c r="HN34" s="1">
        <f t="shared" si="40"/>
        <v>-117178.19672773834</v>
      </c>
      <c r="HO34" s="1">
        <f t="shared" si="8"/>
        <v>173619.95857595504</v>
      </c>
      <c r="HP34" s="1">
        <f t="shared" si="41"/>
        <v>56441.761848216702</v>
      </c>
      <c r="HQ34" s="1">
        <f>IF(HP34 &lt; 0,
    IF(HQ33 + HP34 &gt; 0,
        HQ33 + HP34, IF(HV33-ABS(HQ33 + HP34)*(1+$V34) &gt;= HQ33 + HP34,
        0, HQ33 + HP34)),
    MIN(HQ33 + HP34, Analysis!$C$7))+IF(HQ33&lt;0, HQ33*Analysis!$C$9,0)</f>
        <v>24000</v>
      </c>
      <c r="HR34" s="38"/>
      <c r="HS34" s="1">
        <f t="shared" si="54"/>
        <v>27788.324744626167</v>
      </c>
      <c r="HT34" s="1">
        <f>IF($B34=Analysis!$C$159,0,IF(HP34 &gt;= 0,
    MAX(0, HQ33 + HP34 - Analysis!$C$7),
    0))</f>
        <v>56441.761848216702</v>
      </c>
      <c r="HU34" s="1">
        <f>IF($B34=Analysis!$C$159,0,MAX(0, HU33 + HT34 - IF(HP34 &lt; 0, MIN(ABS(HP34), HU33 + HT34), 0)))</f>
        <v>810166.79319525138</v>
      </c>
      <c r="HV34" s="1">
        <f>IF($B34=Analysis!$C$159,0,IF(HP34 &lt; 0,
    IF(HP34 + HQ33 &lt; 0,
        MAX(0, HV33 - (ABS(HP34 + HQ33) * (1+$V33))),
        HV33 + HS34),
    HV33 + HT34 + HS34))</f>
        <v>1262988.6338636926</v>
      </c>
      <c r="HW34" s="1">
        <f t="shared" si="58"/>
        <v>1143556.8733873912</v>
      </c>
      <c r="HX34" s="36"/>
    </row>
    <row r="35" spans="1:232" x14ac:dyDescent="0.35">
      <c r="A35">
        <f t="shared" si="0"/>
        <v>68</v>
      </c>
      <c r="B35">
        <v>2058</v>
      </c>
      <c r="C35" s="1">
        <f>IF($B35&lt;Analysis!C$66,0,$AN35)+$AT35+$AW35+$BC35+$CF35+$CA35</f>
        <v>839146.38651985838</v>
      </c>
      <c r="D35" s="1">
        <f>IF($B35&lt;Analysis!C$66, 0, BV35)+AT35+AW35+BC35+CG35+CA35</f>
        <v>610164.84398418083</v>
      </c>
      <c r="E35" s="1">
        <f t="shared" si="1"/>
        <v>2161688.0254255747</v>
      </c>
      <c r="F35" s="1">
        <f t="shared" si="9"/>
        <v>1879922.4486719787</v>
      </c>
      <c r="G35" s="1">
        <f>IF(AND($B35&gt;=Analysis!$C$100, $B35&lt;Analysis!$C$101),$CK35,0)+IF($B35&gt;=Analysis!$C$130,EB35,0)+CQ35+CT35+CZ35+EH35+EK35+EQ35+$FO35+$FT35</f>
        <v>2450373.7717999974</v>
      </c>
      <c r="H35" s="1">
        <f t="shared" si="10"/>
        <v>2185939.391463385</v>
      </c>
      <c r="I35" s="1">
        <f>IF($B35&lt;Analysis!$C$159,0,$FW35)+$GC35+$GF35+$GL35+$HQ35+$HV35</f>
        <v>2450373.7717999974</v>
      </c>
      <c r="J35" s="1">
        <f t="shared" si="59"/>
        <v>2185939.391463385</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44911.195806769494</v>
      </c>
      <c r="AI35" s="1">
        <f>IF(AE35 &gt;= 0,
    MAX(0, AF34 + AE35 - Analysis!$C$7),
    0)</f>
        <v>38279.532973932568</v>
      </c>
      <c r="AJ35" s="1">
        <f t="shared" si="44"/>
        <v>1069382.5211465377</v>
      </c>
      <c r="AK35" s="1">
        <f t="shared" si="20"/>
        <v>2137688.0254255747</v>
      </c>
      <c r="AL35" s="1">
        <f t="shared" si="5"/>
        <v>1855922.4486719787</v>
      </c>
      <c r="AM35" s="36"/>
      <c r="AN35" s="1">
        <f t="shared" si="45"/>
        <v>1795933.6669464903</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-5387.8010008394713</v>
      </c>
      <c r="BF35" s="64">
        <f>IF($B35&lt;Analysis!$C$66,0,Analysis!$C$78)</f>
        <v>3.0000000000000001E-3</v>
      </c>
      <c r="BG35" s="1">
        <f>IF($B35&lt;Analysis!$C$66,0,-BH35*AN35)</f>
        <v>-13469.502502098676</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-228981.54253567752</v>
      </c>
      <c r="BS35" s="64">
        <f>IF($B35&lt;Analysis!C$66,0,Analysis!C$31)</f>
        <v>0.1275</v>
      </c>
      <c r="BT35" s="1">
        <f>IF($B35&lt;Analysis!$C$66,0,AN35+BR35)</f>
        <v>1566952.1244108127</v>
      </c>
      <c r="BU35" s="1">
        <f>IF($B35-Analysis!$C$66&gt;3,0,IF($AN35&gt;LOOKUP(Analysis!$C$66,$B:$B, AN:AN),$V35*(LOOKUP(Analysis!$C$66,$B:$B, AN:AN)-AN35),0))</f>
        <v>0</v>
      </c>
      <c r="BV35" s="1">
        <f t="shared" si="23"/>
        <v>1566952.1244108127</v>
      </c>
      <c r="BW35" s="42"/>
      <c r="BX35" s="1">
        <f>IF($B35&lt;Analysis!$C$66,$P35+$N35+$X35+$Z35,$P35+$N35+AS35+AV35+BB35+BE35+BG35+MAX(BI35,SUM(BJ35:BN35))+BP35)</f>
        <v>-70817.303502938143</v>
      </c>
      <c r="BY35" s="1">
        <f t="shared" si="24"/>
        <v>131467.92324122589</v>
      </c>
      <c r="BZ35" s="1">
        <f t="shared" si="46"/>
        <v>60650.619738287744</v>
      </c>
      <c r="CA35" s="1">
        <f>IF(BZ35 &lt; 0,
    IF(CA34 + BZ35 &gt; 0,
        CA34 + BZ35, IF(CF34-ABS(CA34 + BZ35)*(1+$V35) &gt;= CA34 + BZ35,
        0, CA34 + BZ35)),
    MIN(CA34 + BZ35, Analysis!$C$7))+IF(CA34&lt;0, CA34*Analysis!$C$9,0)</f>
        <v>-956787.28042663191</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-41228.390267293325</v>
      </c>
      <c r="CJ35" s="1">
        <f>IF(OR($B35&lt;Analysis!$C$100, $B35&gt;=Analysis!$C$130),0,Z35)</f>
        <v>-3960</v>
      </c>
      <c r="CK35" s="1">
        <f t="shared" ref="CK35:CK52" si="60">CK34*(1+$CL34)</f>
        <v>1080163.0025837582</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43275.330491632951</v>
      </c>
      <c r="DE35" s="1">
        <f t="shared" si="27"/>
        <v>-3240.4890077512746</v>
      </c>
      <c r="DF35" s="64">
        <f>IF(OR($B35&lt;Analysis!$C$100, $B35&gt;=Analysis!$C$101),0,Analysis!$C$118)</f>
        <v>3.0000000000000001E-3</v>
      </c>
      <c r="DG35" s="1">
        <f t="shared" si="28"/>
        <v>-8101.222519378186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-8300</v>
      </c>
      <c r="DQ35" s="1">
        <f>-Analysis!$C$117*DB35</f>
        <v>-2705.6131112911257</v>
      </c>
      <c r="DR35" s="1">
        <f t="shared" si="29"/>
        <v>-26307.324638420585</v>
      </c>
      <c r="DS35" s="1">
        <f>MIN(0,-(DB35+DR35)*Analysis!$C$28)-CS35*Analysis!$C$28</f>
        <v>-4327.9867142238081</v>
      </c>
      <c r="DT35" s="1">
        <f>-Analysis!$C$116*DD35/12</f>
        <v>-3606.2775409694127</v>
      </c>
      <c r="DU35" s="53"/>
      <c r="DV35" s="1">
        <f t="shared" si="30"/>
        <v>-137720.78282942917</v>
      </c>
      <c r="DW35" s="64">
        <f>IF(OR($B35&lt;Analysis!$C$100, $B35&gt;=Analysis!$C$101),0,IF($B35=Analysis!$C$100,Analysis!$C$31,DW34))</f>
        <v>0.1275</v>
      </c>
      <c r="DX35" s="1">
        <f>IF(OR($B35&lt;Analysis!$C$100, $B35&gt;=Analysis!$C$101),0,CK35+DV35)</f>
        <v>942442.21975432907</v>
      </c>
      <c r="DY35" s="1">
        <f>IF(OR($B35&lt;Analysis!$C$100, $B35&gt;=Analysis!$C$101),0,IF($B35-Analysis!$C$100&gt;3,0,IF(CK35&gt;LOOKUP(Analysis!$C$100,$B:$B, CK:CK),$V35*(LOOKUP(Analysis!$C$100,$B:$B, CK:CK)-CK35),0)))</f>
        <v>0</v>
      </c>
      <c r="DZ35" s="1">
        <f t="shared" si="49"/>
        <v>942442.21975432907</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IF($B35&lt;Analysis!$C$130,0,IF($B35=Analysis!$C$130,Analysis!$D$136,IF(($B35-Analysis!$C$130)&lt;LOOKUP(Analysis!$C$130,$B:$B,EE:EE),EI34,0)))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-119129.97916090713</v>
      </c>
      <c r="FM35" s="1">
        <f>$M35+$R35+DD35+IF(AND($B35&lt;&gt;Analysis!$C$130,$B35=Analysis!$C$101),DZ34+CQ34+CT34+CZ34,0)</f>
        <v>174743.25373285884</v>
      </c>
      <c r="FN35" s="1">
        <f t="shared" si="34"/>
        <v>55613.274571951712</v>
      </c>
      <c r="FO35" s="1">
        <f>IF(FN35 &lt; 0,
    IF(FO34 + FN35 &gt; 0,
        FO34 + FN35, IF(FT34-ABS(FO34 + FN35)*(1+$V35) &gt;= FO34 + FN35,
        0, FO34 + FN35)),
    MIN(FO34 + FN35, Analysis!$C$7))+IF(FO34&lt;0, FO34*Analysis!$C$9,0)</f>
        <v>24000</v>
      </c>
      <c r="FP35" s="53"/>
      <c r="FQ35" s="1">
        <f t="shared" si="51"/>
        <v>27608.860780594769</v>
      </c>
      <c r="FR35" s="1">
        <f>IF(OR($B35=Analysis!$C$100, $B35=Analysis!$C$130),0,IF(FN35 &gt;= 0,
    MAX(0, FO34 + FN35 - Analysis!$C$7),
    0))</f>
        <v>55613.274571951712</v>
      </c>
      <c r="FS35" s="1">
        <f>IF(OR($B35=Analysis!$C$100, $B35=Analysis!$C$130),0,MAX(0, FS34 + FR35 - IF(FN35 &lt; 0, MIN(ABS(FN35), FS34 + FR35), 0)))</f>
        <v>865780.06776720309</v>
      </c>
      <c r="FT35" s="1">
        <f>IF(OR($B35=Analysis!$C$100, $B35=Analysis!$C$130),0,IF(FN35 &lt; 0,
    IF(FN35 + FO34 &lt; 0,
        MAX(0, FT34 - (ABS(FN35 + FO34) * (1+$V34))),
        FT34 + FQ35),
    FT34 + FR35 + FQ35))</f>
        <v>1346210.7692162392</v>
      </c>
      <c r="FU35" s="1">
        <f t="shared" si="57"/>
        <v>1219497.171709056</v>
      </c>
      <c r="FV35" s="36"/>
      <c r="FW35" s="1">
        <f t="shared" si="52"/>
        <v>1080163.0025837582</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43275.330491632951</v>
      </c>
      <c r="GQ35" s="1">
        <f t="shared" si="36"/>
        <v>-3240.4890077512746</v>
      </c>
      <c r="GR35" s="64">
        <f>IF($B35&lt;Analysis!$C$159,0,Analysis!$C$178)</f>
        <v>3.0000000000000001E-3</v>
      </c>
      <c r="GS35" s="1">
        <f t="shared" si="37"/>
        <v>-8101.222519378186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-8300</v>
      </c>
      <c r="HC35" s="1">
        <f>-Analysis!$C$177*GN35</f>
        <v>-2705.6131112911257</v>
      </c>
      <c r="HD35" s="1">
        <f t="shared" si="38"/>
        <v>-26307.324638420585</v>
      </c>
      <c r="HE35" s="1">
        <f>MIN(0,-(GN35+HD35)*Analysis!$C$28)-GE35*Analysis!$C$28</f>
        <v>-4327.9867142238081</v>
      </c>
      <c r="HF35" s="1">
        <f>-Analysis!$C$176*GP35/12</f>
        <v>-3606.2775409694127</v>
      </c>
      <c r="HG35" s="38"/>
      <c r="HH35" s="1">
        <f>IF($B35&lt;Analysis!$C$159,0,-$HI35*$FW35)</f>
        <v>-137720.78282942917</v>
      </c>
      <c r="HI35" s="64">
        <f>IF($B35&lt;Analysis!$C$159,0,IF($B35=Analysis!$C$159,Analysis!$C$31,HI34))</f>
        <v>0.1275</v>
      </c>
      <c r="HJ35" s="1">
        <f>IF($B35&lt;Analysis!$C$159,0,$FW35+HH35)</f>
        <v>942442.21975432907</v>
      </c>
      <c r="HK35" s="1">
        <f>IF($B35-Analysis!$C$159&gt;10,0,IF($FW35&gt;LOOKUP(Analysis!$C$159,$B:$B, FW:FW),$V35*(LOOKUP(Analysis!$C$159,$B:$B, FW:FW)-FW35),0))</f>
        <v>0</v>
      </c>
      <c r="HL35" s="1">
        <f t="shared" si="39"/>
        <v>942442.21975432907</v>
      </c>
      <c r="HM35" s="38"/>
      <c r="HN35" s="1">
        <f t="shared" si="40"/>
        <v>-119129.97916090713</v>
      </c>
      <c r="HO35" s="1">
        <f t="shared" si="8"/>
        <v>174743.25373285884</v>
      </c>
      <c r="HP35" s="1">
        <f t="shared" si="41"/>
        <v>55613.274571951712</v>
      </c>
      <c r="HQ35" s="1">
        <f>IF(HP35 &lt; 0,
    IF(HQ34 + HP35 &gt; 0,
        HQ34 + HP35, IF(HV34-ABS(HQ34 + HP35)*(1+$V35) &gt;= HQ34 + HP35,
        0, HQ34 + HP35)),
    MIN(HQ34 + HP35, Analysis!$C$7))+IF(HQ34&lt;0, HQ34*Analysis!$C$9,0)</f>
        <v>24000</v>
      </c>
      <c r="HR35" s="38"/>
      <c r="HS35" s="1">
        <f t="shared" si="54"/>
        <v>27608.860780594769</v>
      </c>
      <c r="HT35" s="1">
        <f>IF($B35=Analysis!$C$159,0,IF(HP35 &gt;= 0,
    MAX(0, HQ34 + HP35 - Analysis!$C$7),
    0))</f>
        <v>55613.274571951712</v>
      </c>
      <c r="HU35" s="1">
        <f>IF($B35=Analysis!$C$159,0,MAX(0, HU34 + HT35 - IF(HP35 &lt; 0, MIN(ABS(HP35), HU34 + HT35), 0)))</f>
        <v>865780.06776720309</v>
      </c>
      <c r="HV35" s="1">
        <f>IF($B35=Analysis!$C$159,0,IF(HP35 &lt; 0,
    IF(HP35 + HQ34 &lt; 0,
        MAX(0, HV34 - (ABS(HP35 + HQ34) * (1+$V34))),
        HV34 + HS35),
    HV34 + HT35 + HS35))</f>
        <v>1346210.7692162392</v>
      </c>
      <c r="HW35" s="1">
        <f t="shared" si="58"/>
        <v>1219497.171709056</v>
      </c>
      <c r="HX35" s="36"/>
    </row>
    <row r="36" spans="1:232" x14ac:dyDescent="0.35">
      <c r="A36">
        <f t="shared" si="0"/>
        <v>69</v>
      </c>
      <c r="B36">
        <v>2059</v>
      </c>
      <c r="C36" s="1">
        <f>IF($B36&lt;Analysis!C$66,0,$AN36)+$AT36+$AW36+$BC36+$CF36+$CA36</f>
        <v>875520.97569000267</v>
      </c>
      <c r="D36" s="1">
        <f>IF($B36&lt;Analysis!C$66, 0, BV36)+AT36+AW36+BC36+CG36+CA36</f>
        <v>639804.68190327578</v>
      </c>
      <c r="E36" s="1">
        <f t="shared" si="1"/>
        <v>2241820.0911195469</v>
      </c>
      <c r="F36" s="1">
        <f t="shared" si="9"/>
        <v>1948696.0856865405</v>
      </c>
      <c r="G36" s="1">
        <f>IF(AND($B36&gt;=Analysis!$C$100, $B36&lt;Analysis!$C$101),$CK36,0)+IF($B36&gt;=Analysis!$C$130,EB36,0)+CQ36+CT36+CZ36+EH36+EK36+EQ36+$FO36+$FT36</f>
        <v>2564023.994005858</v>
      </c>
      <c r="H36" s="1">
        <f t="shared" si="10"/>
        <v>2288386.022728832</v>
      </c>
      <c r="I36" s="1">
        <f>IF($B36&lt;Analysis!$C$159,0,$FW36)+$GC36+$GF36+$GL36+$HQ36+$HV36</f>
        <v>2564023.994005858</v>
      </c>
      <c r="J36" s="1">
        <f t="shared" si="59"/>
        <v>2288386.022728832</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43065.132433783925</v>
      </c>
      <c r="AI36" s="1">
        <f>IF(AE36 &gt;= 0,
    MAX(0, AF35 + AE36 - Analysis!$C$7),
    0)</f>
        <v>37066.933260188642</v>
      </c>
      <c r="AJ36" s="1">
        <f t="shared" si="44"/>
        <v>1106449.4544067264</v>
      </c>
      <c r="AK36" s="1">
        <f t="shared" si="20"/>
        <v>2217820.0911195469</v>
      </c>
      <c r="AL36" s="1">
        <f t="shared" si="5"/>
        <v>1924696.0856865405</v>
      </c>
      <c r="AM36" s="36"/>
      <c r="AN36" s="1">
        <f t="shared" si="45"/>
        <v>1848755.2453860932</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-5546.2657361582797</v>
      </c>
      <c r="BF36" s="64">
        <f>IF($B36&lt;Analysis!$C$66,0,Analysis!$C$78)</f>
        <v>3.0000000000000001E-3</v>
      </c>
      <c r="BG36" s="1">
        <f>IF($B36&lt;Analysis!$C$66,0,-BH36*AN36)</f>
        <v>-13865.664340395699</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-235716.29378672689</v>
      </c>
      <c r="BS36" s="64">
        <f>IF($B36&lt;Analysis!C$66,0,Analysis!C$31)</f>
        <v>0.1275</v>
      </c>
      <c r="BT36" s="1">
        <f>IF($B36&lt;Analysis!$C$66,0,AN36+BR36)</f>
        <v>1613038.9515993663</v>
      </c>
      <c r="BU36" s="1">
        <f>IF($B36-Analysis!$C$66&gt;3,0,IF($AN36&gt;LOOKUP(Analysis!$C$66,$B:$B, AN:AN),$V36*(LOOKUP(Analysis!$C$66,$B:$B, AN:AN)-AN36),0))</f>
        <v>0</v>
      </c>
      <c r="BV36" s="1">
        <f t="shared" si="23"/>
        <v>1613038.9515993663</v>
      </c>
      <c r="BW36" s="42"/>
      <c r="BX36" s="1">
        <f>IF($B36&lt;Analysis!$C$66,$P36+$N36+$X36+$Z36,$P36+$N36+AS36+AV36+BB36+BE36+BG36+MAX(BI36,SUM(BJ36:BN36))+BP36)</f>
        <v>-71371.930076553981</v>
      </c>
      <c r="BY36" s="1">
        <f t="shared" si="24"/>
        <v>131467.92324122589</v>
      </c>
      <c r="BZ36" s="1">
        <f t="shared" si="46"/>
        <v>60095.993164671905</v>
      </c>
      <c r="CA36" s="1">
        <f>IF(BZ36 &lt; 0,
    IF(CA35 + BZ36 &gt; 0,
        CA35 + BZ36, IF(CF35-ABS(CA35 + BZ36)*(1+$V36) &gt;= CA35 + BZ36,
        0, CA35 + BZ36)),
    MIN(CA35 + BZ36, Analysis!$C$7))+IF(CA35&lt;0, CA35*Analysis!$C$9,0)</f>
        <v>-973234.26969609049</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-42440.989981037252</v>
      </c>
      <c r="CJ36" s="1">
        <f>IF(OR($B36&lt;Analysis!$C$100, $B36&gt;=Analysis!$C$130),0,Z36)</f>
        <v>-3960</v>
      </c>
      <c r="CK36" s="1">
        <f t="shared" si="60"/>
        <v>1111932.5026597513</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44431.663741386867</v>
      </c>
      <c r="DE36" s="1">
        <f t="shared" si="27"/>
        <v>-3335.7975079792541</v>
      </c>
      <c r="DF36" s="64">
        <f>IF(OR($B36&lt;Analysis!$C$100, $B36&gt;=Analysis!$C$101),0,Analysis!$C$118)</f>
        <v>3.0000000000000001E-3</v>
      </c>
      <c r="DG36" s="1">
        <f t="shared" si="28"/>
        <v>-8339.4937699481343</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-8300</v>
      </c>
      <c r="DQ36" s="1">
        <f>-Analysis!$C$117*DB36</f>
        <v>-2785.1899675055711</v>
      </c>
      <c r="DR36" s="1">
        <f t="shared" si="29"/>
        <v>-26720.481245432962</v>
      </c>
      <c r="DS36" s="1">
        <f>MIN(0,-(DB36+DR36)*Analysis!$C$28)-CS36*Analysis!$C$28</f>
        <v>-4615.0570881715676</v>
      </c>
      <c r="DT36" s="1">
        <f>-Analysis!$C$116*DD36/12</f>
        <v>-3702.6386451155722</v>
      </c>
      <c r="DU36" s="53"/>
      <c r="DV36" s="1">
        <f t="shared" si="30"/>
        <v>-141771.39408911829</v>
      </c>
      <c r="DW36" s="64">
        <f>IF(OR($B36&lt;Analysis!$C$100, $B36&gt;=Analysis!$C$101),0,IF($B36=Analysis!$C$100,Analysis!$C$31,DW35))</f>
        <v>0.1275</v>
      </c>
      <c r="DX36" s="1">
        <f>IF(OR($B36&lt;Analysis!$C$100, $B36&gt;=Analysis!$C$101),0,CK36+DV36)</f>
        <v>970161.10857063299</v>
      </c>
      <c r="DY36" s="1">
        <f>IF(OR($B36&lt;Analysis!$C$100, $B36&gt;=Analysis!$C$101),0,IF($B36-Analysis!$C$100&gt;3,0,IF(CK36&gt;LOOKUP(Analysis!$C$100,$B:$B, CK:CK),$V36*(LOOKUP(Analysis!$C$100,$B:$B, CK:CK)-CK36),0)))</f>
        <v>0</v>
      </c>
      <c r="DZ36" s="1">
        <f t="shared" si="49"/>
        <v>970161.10857063299</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IF($B36&lt;Analysis!$C$130,0,IF($B36=Analysis!$C$130,Analysis!$D$136,IF(($B36-Analysis!$C$130)&lt;LOOKUP(Analysis!$C$130,$B:$B,EE:EE),EI35,0)))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-121139.16695975735</v>
      </c>
      <c r="FM36" s="1">
        <f>$M36+$R36+DD36+IF(AND($B36&lt;&gt;Analysis!$C$130,$B36=Analysis!$C$101),DZ35+CQ35+CT35+CZ35,0)</f>
        <v>175899.58698261276</v>
      </c>
      <c r="FN36" s="1">
        <f t="shared" si="34"/>
        <v>54760.420022855411</v>
      </c>
      <c r="FO36" s="1">
        <f>IF(FN36 &lt; 0,
    IF(FO35 + FN36 &gt; 0,
        FO35 + FN36, IF(FT35-ABS(FO35 + FN36)*(1+$V36) &gt;= FO35 + FN36,
        0, FO35 + FN36)),
    MIN(FO35 + FN36, Analysis!$C$7))+IF(FO35&lt;0, FO35*Analysis!$C$9,0)</f>
        <v>24000</v>
      </c>
      <c r="FP36" s="53"/>
      <c r="FQ36" s="1">
        <f t="shared" si="51"/>
        <v>27120.302107011968</v>
      </c>
      <c r="FR36" s="1">
        <f>IF(OR($B36=Analysis!$C$100, $B36=Analysis!$C$130),0,IF(FN36 &gt;= 0,
    MAX(0, FO35 + FN36 - Analysis!$C$7),
    0))</f>
        <v>54760.420022855411</v>
      </c>
      <c r="FS36" s="1">
        <f>IF(OR($B36=Analysis!$C$100, $B36=Analysis!$C$130),0,MAX(0, FS35 + FR36 - IF(FN36 &lt; 0, MIN(ABS(FN36), FS35 + FR36), 0)))</f>
        <v>920540.48779005848</v>
      </c>
      <c r="FT36" s="1">
        <f>IF(OR($B36=Analysis!$C$100, $B36=Analysis!$C$130),0,IF(FN36 &lt; 0,
    IF(FN36 + FO35 &lt; 0,
        MAX(0, FT35 - (ABS(FN36 + FO35) * (1+$V35))),
        FT35 + FQ36),
    FT35 + FR36 + FQ36))</f>
        <v>1428091.4913461066</v>
      </c>
      <c r="FU36" s="1">
        <f t="shared" si="57"/>
        <v>1294224.914158199</v>
      </c>
      <c r="FV36" s="36"/>
      <c r="FW36" s="1">
        <f t="shared" si="52"/>
        <v>1111932.5026597513</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44431.663741386867</v>
      </c>
      <c r="GQ36" s="1">
        <f t="shared" si="36"/>
        <v>-3335.7975079792541</v>
      </c>
      <c r="GR36" s="64">
        <f>IF($B36&lt;Analysis!$C$159,0,Analysis!$C$178)</f>
        <v>3.0000000000000001E-3</v>
      </c>
      <c r="GS36" s="1">
        <f t="shared" si="37"/>
        <v>-8339.4937699481343</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-8300</v>
      </c>
      <c r="HC36" s="1">
        <f>-Analysis!$C$177*GN36</f>
        <v>-2785.1899675055711</v>
      </c>
      <c r="HD36" s="1">
        <f t="shared" si="38"/>
        <v>-26720.481245432962</v>
      </c>
      <c r="HE36" s="1">
        <f>MIN(0,-(GN36+HD36)*Analysis!$C$28)-GE36*Analysis!$C$28</f>
        <v>-4615.0570881715676</v>
      </c>
      <c r="HF36" s="1">
        <f>-Analysis!$C$176*GP36/12</f>
        <v>-3702.6386451155722</v>
      </c>
      <c r="HG36" s="38"/>
      <c r="HH36" s="1">
        <f>IF($B36&lt;Analysis!$C$159,0,-$HI36*$FW36)</f>
        <v>-141771.39408911829</v>
      </c>
      <c r="HI36" s="64">
        <f>IF($B36&lt;Analysis!$C$159,0,IF($B36=Analysis!$C$159,Analysis!$C$31,HI35))</f>
        <v>0.1275</v>
      </c>
      <c r="HJ36" s="1">
        <f>IF($B36&lt;Analysis!$C$159,0,$FW36+HH36)</f>
        <v>970161.10857063299</v>
      </c>
      <c r="HK36" s="1">
        <f>IF($B36-Analysis!$C$159&gt;10,0,IF($FW36&gt;LOOKUP(Analysis!$C$159,$B:$B, FW:FW),$V36*(LOOKUP(Analysis!$C$159,$B:$B, FW:FW)-FW36),0))</f>
        <v>0</v>
      </c>
      <c r="HL36" s="1">
        <f t="shared" si="39"/>
        <v>970161.10857063299</v>
      </c>
      <c r="HM36" s="38"/>
      <c r="HN36" s="1">
        <f t="shared" si="40"/>
        <v>-121139.16695975735</v>
      </c>
      <c r="HO36" s="1">
        <f t="shared" si="8"/>
        <v>175899.58698261276</v>
      </c>
      <c r="HP36" s="1">
        <f t="shared" si="41"/>
        <v>54760.420022855411</v>
      </c>
      <c r="HQ36" s="1">
        <f>IF(HP36 &lt; 0,
    IF(HQ35 + HP36 &gt; 0,
        HQ35 + HP36, IF(HV35-ABS(HQ35 + HP36)*(1+$V36) &gt;= HQ35 + HP36,
        0, HQ35 + HP36)),
    MIN(HQ35 + HP36, Analysis!$C$7))+IF(HQ35&lt;0, HQ35*Analysis!$C$9,0)</f>
        <v>24000</v>
      </c>
      <c r="HR36" s="38"/>
      <c r="HS36" s="1">
        <f t="shared" si="54"/>
        <v>27120.302107011968</v>
      </c>
      <c r="HT36" s="1">
        <f>IF($B36=Analysis!$C$159,0,IF(HP36 &gt;= 0,
    MAX(0, HQ35 + HP36 - Analysis!$C$7),
    0))</f>
        <v>54760.420022855411</v>
      </c>
      <c r="HU36" s="1">
        <f>IF($B36=Analysis!$C$159,0,MAX(0, HU35 + HT36 - IF(HP36 &lt; 0, MIN(ABS(HP36), HU35 + HT36), 0)))</f>
        <v>920540.48779005848</v>
      </c>
      <c r="HV36" s="1">
        <f>IF($B36=Analysis!$C$159,0,IF(HP36 &lt; 0,
    IF(HP36 + HQ35 &lt; 0,
        MAX(0, HV35 - (ABS(HP36 + HQ35) * (1+$V35))),
        HV35 + HS36),
    HV35 + HT36 + HS36))</f>
        <v>1428091.4913461066</v>
      </c>
      <c r="HW36" s="1">
        <f t="shared" si="58"/>
        <v>1294224.914158199</v>
      </c>
      <c r="HX36" s="36"/>
    </row>
    <row r="37" spans="1:232" x14ac:dyDescent="0.35">
      <c r="A37">
        <f t="shared" si="0"/>
        <v>70</v>
      </c>
      <c r="B37">
        <v>2060</v>
      </c>
      <c r="C37" s="1">
        <f>IF($B37&lt;Analysis!C$66,0,$AN37)+$AT37+$AW37+$BC37+$CF37+$CA37</f>
        <v>845828.4808145375</v>
      </c>
      <c r="D37" s="1">
        <f>IF($B37&lt;Analysis!C$66, 0, BV37)+AT37+AW37+BC37+CG37+CA37</f>
        <v>603179.35485761263</v>
      </c>
      <c r="E37" s="1">
        <f t="shared" si="1"/>
        <v>2210344.639879398</v>
      </c>
      <c r="F37" s="1">
        <f t="shared" si="9"/>
        <v>1911302.126242463</v>
      </c>
      <c r="G37" s="1">
        <f>IF(AND($B37&gt;=Analysis!$C$100, $B37&lt;Analysis!$C$101),$CK37,0)+IF($B37&gt;=Analysis!$C$130,EB37,0)+CQ37+CT37+CZ37+EH37+EK37+EQ37+$FO37+$FT37</f>
        <v>1853160.532020919</v>
      </c>
      <c r="H37" s="1">
        <f t="shared" si="10"/>
        <v>1610511.4060639942</v>
      </c>
      <c r="I37" s="1">
        <f>IF($B37&lt;Analysis!$C$159,0,$FW37)+$GC37+$GF37+$GL37+$HQ37+$HV37</f>
        <v>2612878.2049866924</v>
      </c>
      <c r="J37" s="1">
        <f t="shared" si="59"/>
        <v>2322559.1857934394</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43486.668453324295</v>
      </c>
      <c r="AI37" s="1">
        <f>IF(AE37 &gt;= 0,
    MAX(0, AF36 + AE37 - Analysis!$C$7),
    0)</f>
        <v>0</v>
      </c>
      <c r="AJ37" s="1">
        <f t="shared" si="44"/>
        <v>1076534.161635095</v>
      </c>
      <c r="AK37" s="1">
        <f t="shared" si="20"/>
        <v>2210344.639879398</v>
      </c>
      <c r="AL37" s="1">
        <f t="shared" si="5"/>
        <v>1911302.126242463</v>
      </c>
      <c r="AM37" s="36"/>
      <c r="AN37" s="1">
        <f t="shared" si="45"/>
        <v>1903130.399662155</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-5709.3911989864646</v>
      </c>
      <c r="BF37" s="64">
        <f>IF($B37&lt;Analysis!$C$66,0,Analysis!$C$78)</f>
        <v>3.0000000000000001E-3</v>
      </c>
      <c r="BG37" s="1">
        <f>IF($B37&lt;Analysis!$C$66,0,-BH37*AN37)</f>
        <v>-14273.477997466161</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-242649.12595692475</v>
      </c>
      <c r="BS37" s="64">
        <f>IF($B37&lt;Analysis!C$66,0,Analysis!C$31)</f>
        <v>0.1275</v>
      </c>
      <c r="BT37" s="1">
        <f>IF($B37&lt;Analysis!$C$66,0,AN37+BR37)</f>
        <v>1660481.2737052301</v>
      </c>
      <c r="BU37" s="1">
        <f>IF($B37-Analysis!$C$66&gt;3,0,IF($AN37&gt;LOOKUP(Analysis!$C$66,$B:$B, AN:AN),$V37*(LOOKUP(Analysis!$C$66,$B:$B, AN:AN)-AN37),0))</f>
        <v>0</v>
      </c>
      <c r="BV37" s="1">
        <f t="shared" si="23"/>
        <v>1660481.2737052301</v>
      </c>
      <c r="BW37" s="42"/>
      <c r="BX37" s="1">
        <f>IF($B37&lt;Analysis!$C$66,$P37+$N37+$X37+$Z37,$P37+$N37+AS37+AV37+BB37+BE37+BG37+MAX(BI37,SUM(BJ37:BN37))+BP37)</f>
        <v>-71942.869196452622</v>
      </c>
      <c r="BY37" s="1">
        <f t="shared" si="24"/>
        <v>65733.961620612943</v>
      </c>
      <c r="BZ37" s="1">
        <f t="shared" si="46"/>
        <v>-6208.9075758396793</v>
      </c>
      <c r="CA37" s="1">
        <f>IF(BZ37 &lt; 0,
    IF(CA36 + BZ37 &gt; 0,
        CA36 + BZ37, IF(CF36-ABS(CA36 + BZ37)*(1+$V37) &gt;= CA36 + BZ37,
        0, CA36 + BZ37)),
    MIN(CA36 + BZ37, Analysis!$C$7))+IF(CA36&lt;0, CA36*Analysis!$C$9,0)</f>
        <v>-1057301.9188476175</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1144636.399796803</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IF($B37&lt;Analysis!$C$130,0,IF($B37=Analysis!$C$130,Analysis!$D$136,IF(($B37-Analysis!$C$130)&lt;LOOKUP(Analysis!$C$130,$B:$B,EE:EE),EI36,0)))</f>
        <v>4.4399999999999995E-2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-63003.134066240826</v>
      </c>
      <c r="EO37" s="7">
        <f>IF($B37=Analysis!$C$130,Analysis!$C$134,0)</f>
        <v>10</v>
      </c>
      <c r="EP37" s="1">
        <f>IF($B37&lt;Analysis!$C$130,0,IF($B37=Analysis!$C$130,EN37/EO37,IF(($B37-Analysis!$C$130)&lt;LOOKUP(Analysis!$C$130,$B:$B,EO:EO),EP36,0)))</f>
        <v>-6300.3134066240827</v>
      </c>
      <c r="EQ37" s="1">
        <f>IF($B37&lt;Analysis!$C$130,0,IF($B37=Analysis!$C$130,EO37*EP37-EP37,IF(($B37-Analysis!$C$130)&lt;Analysis!$C$134,EQ36-EP37,0)))</f>
        <v>-56702.820659616744</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-83001.00860223209</v>
      </c>
      <c r="FM37" s="1">
        <f>$M37+$R37+DD37+IF(AND($B37&lt;&gt;Analysis!$C$130,$B37=Analysis!$C$101),DZ36+CQ36+CT36+CZ36,0)</f>
        <v>65733.961620612943</v>
      </c>
      <c r="FN37" s="1">
        <f t="shared" si="34"/>
        <v>-17267.046981619147</v>
      </c>
      <c r="FO37" s="1">
        <f>IF(FN37 &lt; 0,
    IF(FO36 + FN37 &gt; 0,
        FO36 + FN37, IF(FT36-ABS(FO36 + FN37)*(1+$V37) &gt;= FO36 + FN37,
        0, FO36 + FN37)),
    MIN(FO36 + FN37, Analysis!$C$7))+IF(FO36&lt;0, FO36*Analysis!$C$9,0)</f>
        <v>6732.9530183808529</v>
      </c>
      <c r="FP37" s="53"/>
      <c r="FQ37" s="1">
        <f t="shared" si="51"/>
        <v>28001.793947962775</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1144636.399796803</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45622.00679260413</v>
      </c>
      <c r="GQ37" s="1">
        <f t="shared" si="36"/>
        <v>-3433.909199390409</v>
      </c>
      <c r="GR37" s="64">
        <f>IF($B37&lt;Analysis!$C$159,0,Analysis!$C$178)</f>
        <v>3.0000000000000001E-3</v>
      </c>
      <c r="GS37" s="1">
        <f t="shared" si="37"/>
        <v>-8584.7729984760226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-8300</v>
      </c>
      <c r="HC37" s="1">
        <f>-Analysis!$C$177*GN37</f>
        <v>-2867.1073194910291</v>
      </c>
      <c r="HD37" s="1">
        <f t="shared" si="38"/>
        <v>-27145.789517357458</v>
      </c>
      <c r="HE37" s="1">
        <f>MIN(0,-(GN37+HD37)*Analysis!$C$28)-GE37*Analysis!$C$28</f>
        <v>-4910.5707084119103</v>
      </c>
      <c r="HF37" s="1">
        <f>-Analysis!$C$176*GP37/12</f>
        <v>-3801.8338993836774</v>
      </c>
      <c r="HG37" s="38"/>
      <c r="HH37" s="1">
        <f>IF($B37&lt;Analysis!$C$159,0,-$HI37*$FW37)</f>
        <v>-145941.14097409238</v>
      </c>
      <c r="HI37" s="64">
        <f>IF($B37&lt;Analysis!$C$159,0,IF($B37=Analysis!$C$159,Analysis!$C$31,HI36))</f>
        <v>0.1275</v>
      </c>
      <c r="HJ37" s="1">
        <f>IF($B37&lt;Analysis!$C$159,0,$FW37+HH37)</f>
        <v>998695.2588227106</v>
      </c>
      <c r="HK37" s="1">
        <f>IF($B37-Analysis!$C$159&gt;10,0,IF($FW37&gt;LOOKUP(Analysis!$C$159,$B:$B, FW:FW),$V37*(LOOKUP(Analysis!$C$159,$B:$B, FW:FW)-FW37),0))</f>
        <v>0</v>
      </c>
      <c r="HL37" s="1">
        <f t="shared" si="39"/>
        <v>998695.2588227106</v>
      </c>
      <c r="HM37" s="38"/>
      <c r="HN37" s="1">
        <f t="shared" si="40"/>
        <v>-123207.44851739729</v>
      </c>
      <c r="HO37" s="1">
        <f t="shared" si="8"/>
        <v>111355.96841321708</v>
      </c>
      <c r="HP37" s="1">
        <f t="shared" si="41"/>
        <v>-11851.480104180213</v>
      </c>
      <c r="HQ37" s="1">
        <f>IF(HP37 &lt; 0,
    IF(HQ36 + HP37 &gt; 0,
        HQ36 + HP37, IF(HV36-ABS(HQ36 + HP37)*(1+$V37) &gt;= HQ36 + HP37,
        0, HQ36 + HP37)),
    MIN(HQ36 + HP37, Analysis!$C$7))+IF(HQ36&lt;0, HQ36*Analysis!$C$9,0)</f>
        <v>12148.519895819787</v>
      </c>
      <c r="HR37" s="38"/>
      <c r="HS37" s="1">
        <f t="shared" si="54"/>
        <v>28001.793947962775</v>
      </c>
      <c r="HT37" s="1">
        <f>IF($B37=Analysis!$C$159,0,IF(HP37 &gt;= 0,
    MAX(0, HQ36 + HP37 - Analysis!$C$7),
    0))</f>
        <v>0</v>
      </c>
      <c r="HU37" s="1">
        <f>IF($B37=Analysis!$C$159,0,MAX(0, HU36 + HT37 - IF(HP37 &lt; 0, MIN(ABS(HP37), HU36 + HT37), 0)))</f>
        <v>908689.00768587831</v>
      </c>
      <c r="HV37" s="1">
        <f>IF($B37=Analysis!$C$159,0,IF(HP37 &lt; 0,
    IF(HP37 + HQ36 &lt; 0,
        MAX(0, HV36 - (ABS(HP37 + HQ36) * (1+$V36))),
        HV36 + HS37),
    HV36 + HT37 + HS37))</f>
        <v>1456093.2852940694</v>
      </c>
      <c r="HW37" s="1">
        <f t="shared" si="58"/>
        <v>1311715.407074909</v>
      </c>
      <c r="HX37" s="36"/>
    </row>
    <row r="38" spans="1:232" x14ac:dyDescent="0.35">
      <c r="A38">
        <f t="shared" si="0"/>
        <v>71</v>
      </c>
      <c r="B38">
        <v>2061</v>
      </c>
      <c r="C38" s="1">
        <f>IF($B38&lt;Analysis!C$66,0,$AN38)+$AT38+$AW38+$BC38+$CF38+$CA38</f>
        <v>809107.43257099716</v>
      </c>
      <c r="D38" s="1">
        <f>IF($B38&lt;Analysis!C$66, 0, BV38)+AT38+AW38+BC38+CG38+CA38</f>
        <v>559321.5676153393</v>
      </c>
      <c r="E38" s="1">
        <f t="shared" si="1"/>
        <v>2169253.8717228705</v>
      </c>
      <c r="F38" s="1">
        <f t="shared" si="9"/>
        <v>1872473.2301050958</v>
      </c>
      <c r="G38" s="1">
        <f>IF(AND($B38&gt;=Analysis!$C$100, $B38&lt;Analysis!$C$101),$CK38,0)+IF($B38&gt;=Analysis!$C$130,EB38,0)+CQ38+CT38+CZ38+EH38+EK38+EQ38+$FO38+$FT38</f>
        <v>1896125.8752272341</v>
      </c>
      <c r="H38" s="1">
        <f t="shared" si="10"/>
        <v>1631576.7560683147</v>
      </c>
      <c r="I38" s="1">
        <f>IF($B38&lt;Analysis!$C$159,0,$FW38)+$GC38+$GF38+$GL38+$HQ38+$HV38</f>
        <v>2631967.2927250843</v>
      </c>
      <c r="J38" s="1">
        <f t="shared" si="59"/>
        <v>2334285.375276661</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43340.090978027256</v>
      </c>
      <c r="AI38" s="1">
        <f>IF(AE38 &gt;= 0,
    MAX(0, AF37 + AE38 - Analysis!$C$7),
    0)</f>
        <v>0</v>
      </c>
      <c r="AJ38" s="1">
        <f t="shared" si="44"/>
        <v>1044019.2115606914</v>
      </c>
      <c r="AK38" s="1">
        <f t="shared" si="20"/>
        <v>2169253.8717228705</v>
      </c>
      <c r="AL38" s="1">
        <f t="shared" si="5"/>
        <v>1872473.2301050958</v>
      </c>
      <c r="AM38" s="36"/>
      <c r="AN38" s="1">
        <f t="shared" si="45"/>
        <v>1959104.8231816303</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-5877.3144695448909</v>
      </c>
      <c r="BF38" s="64">
        <f>IF($B38&lt;Analysis!$C$66,0,Analysis!$C$78)</f>
        <v>3.0000000000000001E-3</v>
      </c>
      <c r="BG38" s="1">
        <f>IF($B38&lt;Analysis!$C$66,0,-BH38*AN38)</f>
        <v>-14693.286173862227</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-249785.86495565786</v>
      </c>
      <c r="BS38" s="64">
        <f>IF($B38&lt;Analysis!C$66,0,Analysis!C$31)</f>
        <v>0.1275</v>
      </c>
      <c r="BT38" s="1">
        <f>IF($B38&lt;Analysis!$C$66,0,AN38+BR38)</f>
        <v>1709318.9582259725</v>
      </c>
      <c r="BU38" s="1">
        <f>IF($B38-Analysis!$C$66&gt;3,0,IF($AN38&gt;LOOKUP(Analysis!$C$66,$B:$B, AN:AN),$V38*(LOOKUP(Analysis!$C$66,$B:$B, AN:AN)-AN38),0))</f>
        <v>0</v>
      </c>
      <c r="BV38" s="1">
        <f t="shared" si="23"/>
        <v>1709318.9582259725</v>
      </c>
      <c r="BW38" s="42"/>
      <c r="BX38" s="1">
        <f>IF($B38&lt;Analysis!$C$66,$P38+$N38+$X38+$Z38,$P38+$N38+AS38+AV38+BB38+BE38+BG38+MAX(BI38,SUM(BJ38:BN38))+BP38)</f>
        <v>-72530.600643407117</v>
      </c>
      <c r="BY38" s="1">
        <f t="shared" si="24"/>
        <v>64419.282388200685</v>
      </c>
      <c r="BZ38" s="1">
        <f t="shared" si="46"/>
        <v>-8111.3182552064318</v>
      </c>
      <c r="CA38" s="1">
        <f>IF(BZ38 &lt; 0,
    IF(CA37 + BZ38 &gt; 0,
        CA37 + BZ38, IF(CF37-ABS(CA37 + BZ38)*(1+$V38) &gt;= CA37 + BZ38,
        0, CA37 + BZ38)),
    MIN(CA37 + BZ38, Analysis!$C$7))+IF(CA37&lt;0, CA37*Analysis!$C$9,0)</f>
        <v>-1149997.3906106332</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1178302.176261415</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IF($B38&lt;Analysis!$C$130,0,IF($B38=Analysis!$C$130,Analysis!$D$136,IF(($B38-Analysis!$C$130)&lt;LOOKUP(Analysis!$C$130,$B:$B,EE:EE),EI37,0)))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-6300.3134066240827</v>
      </c>
      <c r="EQ38" s="1">
        <f>IF($B38&lt;Analysis!$C$130,0,IF($B38=Analysis!$C$130,EO38*EP38-EP38,IF(($B38-Analysis!$C$130)&lt;Analysis!$C$134,EQ37-EP38,0)))</f>
        <v>-50402.507252992662</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-83728.676107985288</v>
      </c>
      <c r="FM38" s="1">
        <f>$M38+$R38+DD38+IF(AND($B38&lt;&gt;Analysis!$C$130,$B38=Analysis!$C$101),DZ37+CQ37+CT37+CZ37,0)</f>
        <v>64419.282388200685</v>
      </c>
      <c r="FN38" s="1">
        <f t="shared" si="34"/>
        <v>-19309.393719784603</v>
      </c>
      <c r="FO38" s="1">
        <f>IF(FN38 &lt; 0,
    IF(FO37 + FN38 &gt; 0,
        FO37 + FN38, IF(FT37-ABS(FO37 + FN38)*(1+$V38) &gt;= FO37 + FN38,
        0, FO37 + FN38)),
    MIN(FO37 + FN38, Analysis!$C$7))+IF(FO37&lt;0, FO37*Analysis!$C$9,0)</f>
        <v>-12576.44070140375</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1178302.176261415</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46847.359933563079</v>
      </c>
      <c r="GQ38" s="1">
        <f t="shared" si="36"/>
        <v>-3534.906528784245</v>
      </c>
      <c r="GR38" s="64">
        <f>IF($B38&lt;Analysis!$C$159,0,Analysis!$C$178)</f>
        <v>3.0000000000000001E-3</v>
      </c>
      <c r="GS38" s="1">
        <f t="shared" si="37"/>
        <v>-8837.2663219606129</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-8300</v>
      </c>
      <c r="HC38" s="1">
        <f>-Analysis!$C$177*GN38</f>
        <v>-2951.4340053584124</v>
      </c>
      <c r="HD38" s="1">
        <f t="shared" si="38"/>
        <v>-27583.60685610327</v>
      </c>
      <c r="HE38" s="1">
        <f>MIN(0,-(GN38+HD38)*Analysis!$C$28)-GE38*Analysis!$C$28</f>
        <v>-5214.7759057181411</v>
      </c>
      <c r="HF38" s="1">
        <f>-Analysis!$C$176*GP38/12</f>
        <v>-3903.9466611302564</v>
      </c>
      <c r="HG38" s="38"/>
      <c r="HH38" s="1">
        <f>IF($B38&lt;Analysis!$C$159,0,-$HI38*$FW38)</f>
        <v>-150233.52747333041</v>
      </c>
      <c r="HI38" s="64">
        <f>IF($B38&lt;Analysis!$C$159,0,IF($B38=Analysis!$C$159,Analysis!$C$31,HI37))</f>
        <v>0.1275</v>
      </c>
      <c r="HJ38" s="1">
        <f>IF($B38&lt;Analysis!$C$159,0,$FW38+HH38)</f>
        <v>1028068.6487880846</v>
      </c>
      <c r="HK38" s="1">
        <f>IF($B38-Analysis!$C$159&gt;10,0,IF($FW38&gt;LOOKUP(Analysis!$C$159,$B:$B, FW:FW),$V38*(LOOKUP(Analysis!$C$159,$B:$B, FW:FW)-FW38),0))</f>
        <v>0</v>
      </c>
      <c r="HL38" s="1">
        <f t="shared" si="39"/>
        <v>1028068.6487880846</v>
      </c>
      <c r="HM38" s="38"/>
      <c r="HN38" s="1">
        <f t="shared" si="40"/>
        <v>-125336.56188555603</v>
      </c>
      <c r="HO38" s="1">
        <f t="shared" si="8"/>
        <v>111266.64232176376</v>
      </c>
      <c r="HP38" s="1">
        <f t="shared" si="41"/>
        <v>-14069.919563792268</v>
      </c>
      <c r="HQ38" s="1">
        <f>IF(HP38 &lt; 0,
    IF(HQ37 + HP38 &gt; 0,
        HQ37 + HP38, IF(HV37-ABS(HQ37 + HP38)*(1+$V38) &gt;= HQ37 + HP38,
        0, HQ37 + HP38)),
    MIN(HQ37 + HP38, Analysis!$C$7))+IF(HQ37&lt;0, HQ37*Analysis!$C$9,0)</f>
        <v>0</v>
      </c>
      <c r="HR38" s="38"/>
      <c r="HS38" s="1">
        <f t="shared" si="54"/>
        <v>28550.848731256163</v>
      </c>
      <c r="HT38" s="1">
        <f>IF($B38=Analysis!$C$159,0,IF(HP38 &gt;= 0,
    MAX(0, HQ37 + HP38 - Analysis!$C$7),
    0))</f>
        <v>0</v>
      </c>
      <c r="HU38" s="1">
        <f>IF($B38=Analysis!$C$159,0,MAX(0, HU37 + HT38 - IF(HP38 &lt; 0, MIN(ABS(HP38), HU37 + HT38), 0)))</f>
        <v>894619.08812208602</v>
      </c>
      <c r="HV38" s="1">
        <f>IF($B38=Analysis!$C$159,0,IF(HP38 &lt; 0,
    IF(HP38 + HQ37 &lt; 0,
        MAX(0, HV37 - (ABS(HP38 + HQ37) * (1+$V37))),
        HV37 + HS38),
    HV37 + HT38 + HS38))</f>
        <v>1453665.1164636691</v>
      </c>
      <c r="HW38" s="1">
        <f t="shared" si="58"/>
        <v>1306216.7264885765</v>
      </c>
      <c r="HX38" s="36"/>
    </row>
    <row r="39" spans="1:232" x14ac:dyDescent="0.35">
      <c r="A39">
        <f t="shared" si="0"/>
        <v>72</v>
      </c>
      <c r="B39">
        <v>2062</v>
      </c>
      <c r="C39" s="1">
        <f>IF($B39&lt;Analysis!C$66,0,$AN39)+$AT39+$AW39+$BC39+$CF39+$CA39</f>
        <v>764723.64984677103</v>
      </c>
      <c r="D39" s="1">
        <f>IF($B39&lt;Analysis!C$66, 0, BV39)+AT39+AW39+BC39+CG39+CA39</f>
        <v>507591.14180418197</v>
      </c>
      <c r="E39" s="1">
        <f t="shared" si="1"/>
        <v>2124863.2536664922</v>
      </c>
      <c r="F39" s="1">
        <f t="shared" si="9"/>
        <v>1830526.1267698945</v>
      </c>
      <c r="G39" s="1">
        <f>IF(AND($B39&gt;=Analysis!$C$100, $B39&lt;Analysis!$C$101),$CK39,0)+IF($B39&gt;=Analysis!$C$130,EB39,0)+CQ39+CT39+CZ39+EH39+EK39+EQ39+$FO39+$FT39</f>
        <v>1937693.9546125582</v>
      </c>
      <c r="H39" s="1">
        <f t="shared" si="10"/>
        <v>1650600.7248045267</v>
      </c>
      <c r="I39" s="1">
        <f>IF($B39&lt;Analysis!$C$159,0,$FW39)+$GC39+$GF39+$GL39+$HQ39+$HV39</f>
        <v>2646038.4619172765</v>
      </c>
      <c r="J39" s="1">
        <f t="shared" si="59"/>
        <v>2345071.0157395201</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42534.389641624759</v>
      </c>
      <c r="AI39" s="1">
        <f>IF(AE39 &gt;= 0,
    MAX(0, AF38 + AE39 - Analysis!$C$7),
    0)</f>
        <v>0</v>
      </c>
      <c r="AJ39" s="1">
        <f t="shared" si="44"/>
        <v>1008893.1042955059</v>
      </c>
      <c r="AK39" s="1">
        <f t="shared" si="20"/>
        <v>2124863.2536664922</v>
      </c>
      <c r="AL39" s="1">
        <f t="shared" si="5"/>
        <v>1830526.1267698945</v>
      </c>
      <c r="AM39" s="36"/>
      <c r="AN39" s="1">
        <f t="shared" si="45"/>
        <v>2016725.553275208</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-6050.1766598256245</v>
      </c>
      <c r="BF39" s="64">
        <f>IF($B39&lt;Analysis!$C$66,0,Analysis!$C$78)</f>
        <v>3.0000000000000001E-3</v>
      </c>
      <c r="BG39" s="1">
        <f>IF($B39&lt;Analysis!$C$66,0,-BH39*AN39)</f>
        <v>-15125.44164956406</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-257132.50804258903</v>
      </c>
      <c r="BS39" s="64">
        <f>IF($B39&lt;Analysis!C$66,0,Analysis!C$31)</f>
        <v>0.1275</v>
      </c>
      <c r="BT39" s="1">
        <f>IF($B39&lt;Analysis!$C$66,0,AN39+BR39)</f>
        <v>1759593.0452326189</v>
      </c>
      <c r="BU39" s="1">
        <f>IF($B39-Analysis!$C$66&gt;3,0,IF($AN39&gt;LOOKUP(Analysis!$C$66,$B:$B, AN:AN),$V39*(LOOKUP(Analysis!$C$66,$B:$B, AN:AN)-AN39),0))</f>
        <v>0</v>
      </c>
      <c r="BV39" s="1">
        <f t="shared" si="23"/>
        <v>1759593.0452326189</v>
      </c>
      <c r="BW39" s="42"/>
      <c r="BX39" s="1">
        <f>IF($B39&lt;Analysis!$C$66,$P39+$N39+$X39+$Z39,$P39+$N39+AS39+AV39+BB39+BE39+BG39+MAX(BI39,SUM(BJ39:BN39))+BP39)</f>
        <v>-73135.618309389683</v>
      </c>
      <c r="BY39" s="1">
        <f t="shared" si="24"/>
        <v>63130.89674043667</v>
      </c>
      <c r="BZ39" s="1">
        <f t="shared" si="46"/>
        <v>-10004.721568953013</v>
      </c>
      <c r="CA39" s="1">
        <f>IF(BZ39 &lt; 0,
    IF(CA38 + BZ39 &gt; 0,
        CA38 + BZ39, IF(CF38-ABS(CA38 + BZ39)*(1+$V39) &gt;= CA38 + BZ39,
        0, CA38 + BZ39)),
    MIN(CA38 + BZ39, Analysis!$C$7))+IF(CA38&lt;0, CA38*Analysis!$C$9,0)</f>
        <v>-1252001.903428437</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1212958.122622045</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IF($B39&lt;Analysis!$C$130,0,IF($B39=Analysis!$C$130,Analysis!$D$136,IF(($B39-Analysis!$C$130)&lt;LOOKUP(Analysis!$C$130,$B:$B,EE:EE),EI38,0)))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-6300.3134066240827</v>
      </c>
      <c r="EQ39" s="1">
        <f>IF($B39&lt;Analysis!$C$130,0,IF($B39=Analysis!$C$130,EO39*EP39-EP39,IF(($B39-Analysis!$C$130)&lt;Analysis!$C$134,EQ38-EP39,0)))</f>
        <v>-44102.19384636858</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-84477.745599201779</v>
      </c>
      <c r="FM39" s="1">
        <f>$M39+$R39+DD39+IF(AND($B39&lt;&gt;Analysis!$C$130,$B39=Analysis!$C$101),DZ38+CQ38+CT38+CZ38,0)</f>
        <v>63130.89674043667</v>
      </c>
      <c r="FN39" s="1">
        <f t="shared" si="34"/>
        <v>-21346.848858765108</v>
      </c>
      <c r="FO39" s="1">
        <f>IF(FN39 &lt; 0,
    IF(FO38 + FN39 &gt; 0,
        FO38 + FN39, IF(FT38-ABS(FO38 + FN39)*(1+$V39) &gt;= FO38 + FN39,
        0, FO38 + FN39)),
    MIN(FO38 + FN39, Analysis!$C$7))+IF(FO38&lt;0, FO38*Analysis!$C$9,0)</f>
        <v>-34929.40481628116</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1212958.122622045</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48108.752872785524</v>
      </c>
      <c r="GQ39" s="1">
        <f t="shared" si="36"/>
        <v>-3638.8743678661349</v>
      </c>
      <c r="GR39" s="64">
        <f>IF($B39&lt;Analysis!$C$159,0,Analysis!$C$178)</f>
        <v>3.0000000000000001E-3</v>
      </c>
      <c r="GS39" s="1">
        <f t="shared" si="37"/>
        <v>-9097.1859196653368</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-8300</v>
      </c>
      <c r="HC39" s="1">
        <f>-Analysis!$C$177*GN39</f>
        <v>-3038.2408878689544</v>
      </c>
      <c r="HD39" s="1">
        <f t="shared" si="38"/>
        <v>-28034.301175400426</v>
      </c>
      <c r="HE39" s="1">
        <f>MIN(0,-(GN39+HD39)*Analysis!$C$28)-GE39*Analysis!$C$28</f>
        <v>-5527.9283147098522</v>
      </c>
      <c r="HF39" s="1">
        <f>-Analysis!$C$176*GP39/12</f>
        <v>-4009.0627393987938</v>
      </c>
      <c r="HG39" s="38"/>
      <c r="HH39" s="1">
        <f>IF($B39&lt;Analysis!$C$159,0,-$HI39*$FW39)</f>
        <v>-154652.16063431074</v>
      </c>
      <c r="HI39" s="64">
        <f>IF($B39&lt;Analysis!$C$159,0,IF($B39=Analysis!$C$159,Analysis!$C$31,HI38))</f>
        <v>0.1275</v>
      </c>
      <c r="HJ39" s="1">
        <f>IF($B39&lt;Analysis!$C$159,0,$FW39+HH39)</f>
        <v>1058305.9619877343</v>
      </c>
      <c r="HK39" s="1">
        <f>IF($B39-Analysis!$C$159&gt;10,0,IF($FW39&gt;LOOKUP(Analysis!$C$159,$B:$B, FW:FW),$V39*(LOOKUP(Analysis!$C$159,$B:$B, FW:FW)-FW39),0))</f>
        <v>0</v>
      </c>
      <c r="HL39" s="1">
        <f t="shared" si="39"/>
        <v>1058305.9619877343</v>
      </c>
      <c r="HM39" s="38"/>
      <c r="HN39" s="1">
        <f t="shared" si="40"/>
        <v>-127528.29623513123</v>
      </c>
      <c r="HO39" s="1">
        <f t="shared" si="8"/>
        <v>111239.64961322219</v>
      </c>
      <c r="HP39" s="1">
        <f t="shared" si="41"/>
        <v>-16288.646621909036</v>
      </c>
      <c r="HQ39" s="1">
        <f>IF(HP39 &lt; 0,
    IF(HQ38 + HP39 &gt; 0,
        HQ38 + HP39, IF(HV38-ABS(HQ38 + HP39)*(1+$V39) &gt;= HQ38 + HP39,
        0, HQ38 + HP39)),
    MIN(HQ38 + HP39, Analysis!$C$7))+IF(HQ38&lt;0, HQ38*Analysis!$C$9,0)</f>
        <v>0</v>
      </c>
      <c r="HR39" s="38"/>
      <c r="HS39" s="1">
        <f t="shared" si="54"/>
        <v>28503.237577718901</v>
      </c>
      <c r="HT39" s="1">
        <f>IF($B39=Analysis!$C$159,0,IF(HP39 &gt;= 0,
    MAX(0, HQ38 + HP39 - Analysis!$C$7),
    0))</f>
        <v>0</v>
      </c>
      <c r="HU39" s="1">
        <f>IF($B39=Analysis!$C$159,0,MAX(0, HU38 + HT39 - IF(HP39 &lt; 0, MIN(ABS(HP39), HU38 + HT39), 0)))</f>
        <v>878330.44150017702</v>
      </c>
      <c r="HV39" s="1">
        <f>IF($B39=Analysis!$C$159,0,IF(HP39 &lt; 0,
    IF(HP39 + HQ38 &lt; 0,
        MAX(0, HV38 - (ABS(HP39 + HQ38) * (1+$V38))),
        HV38 + HS39),
    HV38 + HT39 + HS39))</f>
        <v>1433080.3392952315</v>
      </c>
      <c r="HW39" s="1">
        <f t="shared" si="58"/>
        <v>1286765.0537517858</v>
      </c>
      <c r="HX39" s="36"/>
    </row>
    <row r="40" spans="1:232" x14ac:dyDescent="0.35">
      <c r="A40">
        <f t="shared" si="0"/>
        <v>73</v>
      </c>
      <c r="B40">
        <v>2063</v>
      </c>
      <c r="C40" s="1">
        <f>IF($B40&lt;Analysis!C$66,0,$AN40)+$AT40+$AW40+$BC40+$CF40+$CA40</f>
        <v>711988.80321478797</v>
      </c>
      <c r="D40" s="1">
        <f>IF($B40&lt;Analysis!C$66, 0, BV40)+AT40+AW40+BC40+CG40+CA40</f>
        <v>447293.57434741687</v>
      </c>
      <c r="E40" s="1">
        <f t="shared" si="1"/>
        <v>2077156.1834064082</v>
      </c>
      <c r="F40" s="1">
        <f t="shared" si="9"/>
        <v>1785445.1278192187</v>
      </c>
      <c r="G40" s="1">
        <f>IF(AND($B40&gt;=Analysis!$C$100, $B40&lt;Analysis!$C$101),$CK40,0)+IF($B40&gt;=Analysis!$C$130,EB40,0)+CQ40+CT40+CZ40+EH40+EK40+EQ40+$FO40+$FT40</f>
        <v>1977134.8053427364</v>
      </c>
      <c r="H40" s="1">
        <f t="shared" si="10"/>
        <v>1666834.4028076774</v>
      </c>
      <c r="I40" s="1">
        <f>IF($B40&lt;Analysis!$C$159,0,$FW40)+$GC40+$GF40+$GL40+$HQ40+$HV40</f>
        <v>2658322.9913077066</v>
      </c>
      <c r="J40" s="1">
        <f t="shared" si="59"/>
        <v>2354094.5112429466</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41663.985366009503</v>
      </c>
      <c r="AI40" s="1">
        <f>IF(AE40 &gt;= 0,
    MAX(0, AF39 + AE40 - Analysis!$C$7),
    0)</f>
        <v>0</v>
      </c>
      <c r="AJ40" s="1">
        <f t="shared" si="44"/>
        <v>971142.70250711101</v>
      </c>
      <c r="AK40" s="1">
        <f t="shared" si="20"/>
        <v>2077156.1834064082</v>
      </c>
      <c r="AL40" s="1">
        <f t="shared" si="5"/>
        <v>1785445.1278192187</v>
      </c>
      <c r="AM40" s="36"/>
      <c r="AN40" s="1">
        <f t="shared" si="45"/>
        <v>2076041.0107244791</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-6228.1230321734374</v>
      </c>
      <c r="BF40" s="64">
        <f>IF($B40&lt;Analysis!$C$66,0,Analysis!$C$78)</f>
        <v>3.0000000000000001E-3</v>
      </c>
      <c r="BG40" s="1">
        <f>IF($B40&lt;Analysis!$C$66,0,-BH40*AN40)</f>
        <v>-15570.307580433593</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-264695.2288673711</v>
      </c>
      <c r="BS40" s="64">
        <f>IF($B40&lt;Analysis!C$66,0,Analysis!C$31)</f>
        <v>0.1275</v>
      </c>
      <c r="BT40" s="1">
        <f>IF($B40&lt;Analysis!$C$66,0,AN40+BR40)</f>
        <v>1811345.781857108</v>
      </c>
      <c r="BU40" s="1">
        <f>IF($B40-Analysis!$C$66&gt;3,0,IF($AN40&gt;LOOKUP(Analysis!$C$66,$B:$B, AN:AN),$V40*(LOOKUP(Analysis!$C$66,$B:$B, AN:AN)-AN40),0))</f>
        <v>0</v>
      </c>
      <c r="BV40" s="1">
        <f t="shared" si="23"/>
        <v>1811345.781857108</v>
      </c>
      <c r="BW40" s="42"/>
      <c r="BX40" s="1">
        <f>IF($B40&lt;Analysis!$C$66,$P40+$N40+$X40+$Z40,$P40+$N40+AS40+AV40+BB40+BE40+BG40+MAX(BI40,SUM(BJ40:BN40))+BP40)</f>
        <v>-73758.43061260703</v>
      </c>
      <c r="BY40" s="1">
        <f t="shared" si="24"/>
        <v>61868.278805627939</v>
      </c>
      <c r="BZ40" s="1">
        <f t="shared" si="46"/>
        <v>-11890.151806979091</v>
      </c>
      <c r="CA40" s="1">
        <f>IF(BZ40 &lt; 0,
    IF(CA39 + BZ40 &gt; 0,
        CA39 + BZ40, IF(CF39-ABS(CA39 + BZ40)*(1+$V40) &gt;= CA39 + BZ40,
        0, CA39 + BZ40)),
    MIN(CA39 + BZ40, Analysis!$C$7))+IF(CA39&lt;0, CA39*Analysis!$C$9,0)</f>
        <v>-1364052.2075096911</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1248633.3615226934</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IF($B40&lt;Analysis!$C$130,0,IF($B40=Analysis!$C$130,Analysis!$D$136,IF(($B40-Analysis!$C$130)&lt;LOOKUP(Analysis!$C$130,$B:$B,EE:EE),EI39,0)))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-6300.3134066240827</v>
      </c>
      <c r="EQ40" s="1">
        <f>IF($B40&lt;Analysis!$C$130,0,IF($B40=Analysis!$C$130,EO40*EP40-EP40,IF(($B40-Analysis!$C$130)&lt;Analysis!$C$134,EQ39-EP40,0)))</f>
        <v>-37801.880439744498</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-85248.846546042318</v>
      </c>
      <c r="FM40" s="1">
        <f>$M40+$R40+DD40+IF(AND($B40&lt;&gt;Analysis!$C$130,$B40=Analysis!$C$101),DZ39+CQ39+CT39+CZ39,0)</f>
        <v>61868.278805627939</v>
      </c>
      <c r="FN40" s="1">
        <f t="shared" si="34"/>
        <v>-23380.567740414379</v>
      </c>
      <c r="FO40" s="1">
        <f>IF(FN40 &lt; 0,
    IF(FO39 + FN40 &gt; 0,
        FO39 + FN40, IF(FT39-ABS(FO39 + FN40)*(1+$V40) &gt;= FO39 + FN40,
        0, FO39 + FN40)),
    MIN(FO39 + FN40, Analysis!$C$7))+IF(FO39&lt;0, FO39*Analysis!$C$9,0)</f>
        <v>-61104.324941998027</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1248633.3615226934</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49407.245604338044</v>
      </c>
      <c r="GQ40" s="1">
        <f t="shared" si="36"/>
        <v>-3745.9000845680803</v>
      </c>
      <c r="GR40" s="64">
        <f>IF($B40&lt;Analysis!$C$159,0,Analysis!$C$178)</f>
        <v>3.0000000000000001E-3</v>
      </c>
      <c r="GS40" s="1">
        <f t="shared" si="37"/>
        <v>-9364.7502114201998</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-8300</v>
      </c>
      <c r="HC40" s="1">
        <f>-Analysis!$C$177*GN40</f>
        <v>-3127.6009139827474</v>
      </c>
      <c r="HD40" s="1">
        <f t="shared" si="38"/>
        <v>-28498.251209971026</v>
      </c>
      <c r="HE40" s="1">
        <f>MIN(0,-(GN40+HD40)*Analysis!$C$28)-GE40*Analysis!$C$28</f>
        <v>-5850.2910886719092</v>
      </c>
      <c r="HF40" s="1">
        <f>-Analysis!$C$176*GP40/12</f>
        <v>-4117.2704670281701</v>
      </c>
      <c r="HG40" s="38"/>
      <c r="HH40" s="1">
        <f>IF($B40&lt;Analysis!$C$159,0,-$HI40*$FW40)</f>
        <v>-159200.7535941434</v>
      </c>
      <c r="HI40" s="64">
        <f>IF($B40&lt;Analysis!$C$159,0,IF($B40=Analysis!$C$159,Analysis!$C$31,HI39))</f>
        <v>0.1275</v>
      </c>
      <c r="HJ40" s="1">
        <f>IF($B40&lt;Analysis!$C$159,0,$FW40+HH40)</f>
        <v>1089432.6079285501</v>
      </c>
      <c r="HK40" s="1">
        <f>IF($B40-Analysis!$C$159&gt;10,0,IF($FW40&gt;LOOKUP(Analysis!$C$159,$B:$B, FW:FW),$V40*(LOOKUP(Analysis!$C$159,$B:$B, FW:FW)-FW40),0))</f>
        <v>0</v>
      </c>
      <c r="HL40" s="1">
        <f t="shared" si="39"/>
        <v>1089432.6079285501</v>
      </c>
      <c r="HM40" s="38"/>
      <c r="HN40" s="1">
        <f t="shared" si="40"/>
        <v>-129784.49335969389</v>
      </c>
      <c r="HO40" s="1">
        <f t="shared" si="8"/>
        <v>111275.52440996599</v>
      </c>
      <c r="HP40" s="1">
        <f t="shared" si="41"/>
        <v>-18508.968949727903</v>
      </c>
      <c r="HQ40" s="1">
        <f>IF(HP40 &lt; 0,
    IF(HQ39 + HP40 &gt; 0,
        HQ39 + HP40, IF(HV39-ABS(HQ39 + HP40)*(1+$V40) &gt;= HQ39 + HP40,
        0, HQ39 + HP40)),
    MIN(HQ39 + HP40, Analysis!$C$7))+IF(HQ39&lt;0, HQ39*Analysis!$C$9,0)</f>
        <v>0</v>
      </c>
      <c r="HR40" s="38"/>
      <c r="HS40" s="1">
        <f t="shared" si="54"/>
        <v>28099.614495984832</v>
      </c>
      <c r="HT40" s="1">
        <f>IF($B40=Analysis!$C$159,0,IF(HP40 &gt;= 0,
    MAX(0, HQ39 + HP40 - Analysis!$C$7),
    0))</f>
        <v>0</v>
      </c>
      <c r="HU40" s="1">
        <f>IF($B40=Analysis!$C$159,0,MAX(0, HU39 + HT40 - IF(HP40 &lt; 0, MIN(ABS(HP40), HU39 + HT40), 0)))</f>
        <v>859821.47255044908</v>
      </c>
      <c r="HV40" s="1">
        <f>IF($B40=Analysis!$C$159,0,IF(HP40 &lt; 0,
    IF(HP40 + HQ39 &lt; 0,
        MAX(0, HV39 - (ABS(HP40 + HQ39) * (1+$V39))),
        HV39 + HS40),
    HV39 + HT40 + HS40))</f>
        <v>1409689.6297850129</v>
      </c>
      <c r="HW40" s="1">
        <f t="shared" si="58"/>
        <v>1264661.9033143967</v>
      </c>
      <c r="HX40" s="36"/>
    </row>
    <row r="41" spans="1:232" x14ac:dyDescent="0.35">
      <c r="A41">
        <f t="shared" si="0"/>
        <v>74</v>
      </c>
      <c r="B41">
        <v>2064</v>
      </c>
      <c r="C41" s="1">
        <f>IF($B41&lt;Analysis!C$66,0,$AN41)+$AT41+$AW41+$BC41+$CF41+$CA41</f>
        <v>650156.00864597666</v>
      </c>
      <c r="D41" s="1">
        <f>IF($B41&lt;Analysis!C$66, 0, BV41)+AT41+AW41+BC41+CG41+CA41</f>
        <v>377675.62598838867</v>
      </c>
      <c r="E41" s="1">
        <f t="shared" si="1"/>
        <v>2026113.9612936091</v>
      </c>
      <c r="F41" s="1">
        <f t="shared" si="9"/>
        <v>1737212.5629402029</v>
      </c>
      <c r="G41" s="1">
        <f>IF(AND($B41&gt;=Analysis!$C$100, $B41&lt;Analysis!$C$101),$CK41,0)+IF($B41&gt;=Analysis!$C$130,EB41,0)+CQ41+CT41+CZ41+EH41+EK41+EQ41+$FO41+$FT41</f>
        <v>2014195.0887782113</v>
      </c>
      <c r="H41" s="1">
        <f t="shared" si="10"/>
        <v>1741714.7061206233</v>
      </c>
      <c r="I41" s="1">
        <f>IF($B41&lt;Analysis!$C$159,0,$FW41)+$GC41+$GF41+$GL41+$HQ41+$HV41</f>
        <v>2668847.1757297744</v>
      </c>
      <c r="J41" s="1">
        <f t="shared" si="59"/>
        <v>2361378.5370816067</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40728.552615811779</v>
      </c>
      <c r="AI41" s="1">
        <f>IF(AE41 &gt;= 0,
    MAX(0, AF40 + AE41 - Analysis!$C$7),
    0)</f>
        <v>0</v>
      </c>
      <c r="AJ41" s="1">
        <f t="shared" si="44"/>
        <v>930753.20924277941</v>
      </c>
      <c r="AK41" s="1">
        <f t="shared" si="20"/>
        <v>2026113.9612936091</v>
      </c>
      <c r="AL41" s="1">
        <f t="shared" si="5"/>
        <v>1737212.5629402029</v>
      </c>
      <c r="AM41" s="36"/>
      <c r="AN41" s="1">
        <f t="shared" si="45"/>
        <v>2137101.0404516701</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-6411.3031213550103</v>
      </c>
      <c r="BF41" s="64">
        <f>IF($B41&lt;Analysis!$C$66,0,Analysis!$C$78)</f>
        <v>3.0000000000000001E-3</v>
      </c>
      <c r="BG41" s="1">
        <f>IF($B41&lt;Analysis!$C$66,0,-BH41*AN41)</f>
        <v>-16028.257803387525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-272480.38265758794</v>
      </c>
      <c r="BS41" s="64">
        <f>IF($B41&lt;Analysis!C$66,0,Analysis!C$31)</f>
        <v>0.1275</v>
      </c>
      <c r="BT41" s="1">
        <f>IF($B41&lt;Analysis!$C$66,0,AN41+BR41)</f>
        <v>1864620.6577940821</v>
      </c>
      <c r="BU41" s="1">
        <f>IF($B41-Analysis!$C$66&gt;3,0,IF($AN41&gt;LOOKUP(Analysis!$C$66,$B:$B, AN:AN),$V41*(LOOKUP(Analysis!$C$66,$B:$B, AN:AN)-AN41),0))</f>
        <v>0</v>
      </c>
      <c r="BV41" s="1">
        <f t="shared" si="23"/>
        <v>1864620.6577940821</v>
      </c>
      <c r="BW41" s="42"/>
      <c r="BX41" s="1">
        <f>IF($B41&lt;Analysis!$C$66,$P41+$N41+$X41+$Z41,$P41+$N41+AS41+AV41+BB41+BE41+BG41+MAX(BI41,SUM(BJ41:BN41))+BP41)</f>
        <v>-74399.560924742545</v>
      </c>
      <c r="BY41" s="1">
        <f t="shared" si="24"/>
        <v>60630.913229515376</v>
      </c>
      <c r="BZ41" s="1">
        <f t="shared" si="46"/>
        <v>-13768.64769522717</v>
      </c>
      <c r="CA41" s="1">
        <f>IF(BZ41 &lt; 0,
    IF(CA40 + BZ41 &gt; 0,
        CA40 + BZ41, IF(CF40-ABS(CA40 + BZ41)*(1+$V41) &gt;= CA40 + BZ41,
        0, CA40 + BZ41)),
    MIN(CA40 + BZ41, Analysis!$C$7))+IF(CA40&lt;0, CA40*Analysis!$C$9,0)</f>
        <v>-1486945.0318056934</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1285357.8721557138</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IF($B41&lt;Analysis!$C$130,0,IF($B41=Analysis!$C$130,Analysis!$D$136,IF(($B41-Analysis!$C$130)&lt;LOOKUP(Analysis!$C$130,$B:$B,EE:EE),EI40,0)))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-6300.3134066240827</v>
      </c>
      <c r="EQ41" s="1">
        <f>IF($B41&lt;Analysis!$C$130,0,IF($B41=Analysis!$C$130,EO41*EP41-EP41,IF(($B41-Analysis!$C$130)&lt;Analysis!$C$134,EQ40-EP41,0)))</f>
        <v>-31501.567033120416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-86042.626932495798</v>
      </c>
      <c r="FM41" s="1">
        <f>$M41+$R41+DD41+IF(AND($B41&lt;&gt;Analysis!$C$130,$B41=Analysis!$C$101),DZ40+CQ40+CT40+CZ40,0)</f>
        <v>60630.913229515376</v>
      </c>
      <c r="FN41" s="1">
        <f t="shared" si="34"/>
        <v>-25411.713702980422</v>
      </c>
      <c r="FO41" s="1">
        <f>IF(FN41 &lt; 0,
    IF(FO40 + FN41 &gt; 0,
        FO40 + FN41, IF(FT40-ABS(FO40 + FN41)*(1+$V41) &gt;= FO40 + FN41,
        0, FO40 + FN41)),
    MIN(FO40 + FN41, Analysis!$C$7))+IF(FO40&lt;0, FO40*Analysis!$C$9,0)</f>
        <v>-91404.384640338292</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1285357.8721557138</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50743.929298583287</v>
      </c>
      <c r="GQ41" s="1">
        <f t="shared" si="36"/>
        <v>-3856.0736164671416</v>
      </c>
      <c r="GR41" s="64">
        <f>IF($B41&lt;Analysis!$C$159,0,Analysis!$C$178)</f>
        <v>3.0000000000000001E-3</v>
      </c>
      <c r="GS41" s="1">
        <f t="shared" si="37"/>
        <v>-9640.1840411678531</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-8300</v>
      </c>
      <c r="HC41" s="1">
        <f>-Analysis!$C$177*GN41</f>
        <v>-3219.5891761587109</v>
      </c>
      <c r="HD41" s="1">
        <f t="shared" si="38"/>
        <v>-28975.846833793708</v>
      </c>
      <c r="HE41" s="1">
        <f>MIN(0,-(GN41+HD41)*Analysis!$C$28)-GE41*Analysis!$C$28</f>
        <v>-6182.1351206916715</v>
      </c>
      <c r="HF41" s="1">
        <f>-Analysis!$C$176*GP41/12</f>
        <v>-4228.6607748819406</v>
      </c>
      <c r="HG41" s="38"/>
      <c r="HH41" s="1">
        <f>IF($B41&lt;Analysis!$C$159,0,-$HI41*$FW41)</f>
        <v>-163883.12869985352</v>
      </c>
      <c r="HI41" s="64">
        <f>IF($B41&lt;Analysis!$C$159,0,IF($B41=Analysis!$C$159,Analysis!$C$31,HI40))</f>
        <v>0.1275</v>
      </c>
      <c r="HJ41" s="1">
        <f>IF($B41&lt;Analysis!$C$159,0,$FW41+HH41)</f>
        <v>1121474.7434558603</v>
      </c>
      <c r="HK41" s="1">
        <f>IF($B41-Analysis!$C$159&gt;10,0,IF($FW41&gt;LOOKUP(Analysis!$C$159,$B:$B, FW:FW),$V41*(LOOKUP(Analysis!$C$159,$B:$B, FW:FW)-FW41),0))</f>
        <v>0</v>
      </c>
      <c r="HL41" s="1">
        <f t="shared" si="39"/>
        <v>1121474.7434558603</v>
      </c>
      <c r="HM41" s="38"/>
      <c r="HN41" s="1">
        <f t="shared" si="40"/>
        <v>-132107.04922321433</v>
      </c>
      <c r="HO41" s="1">
        <f t="shared" si="8"/>
        <v>111374.84252809867</v>
      </c>
      <c r="HP41" s="1">
        <f t="shared" si="41"/>
        <v>-20732.206695115659</v>
      </c>
      <c r="HQ41" s="1">
        <f>IF(HP41 &lt; 0,
    IF(HQ40 + HP41 &gt; 0,
        HQ40 + HP41, IF(HV40-ABS(HQ40 + HP41)*(1+$V41) &gt;= HQ40 + HP41,
        0, HQ40 + HP41)),
    MIN(HQ40 + HP41, Analysis!$C$7))+IF(HQ40&lt;0, HQ40*Analysis!$C$9,0)</f>
        <v>0</v>
      </c>
      <c r="HR41" s="38"/>
      <c r="HS41" s="1">
        <f t="shared" si="54"/>
        <v>27640.97313303937</v>
      </c>
      <c r="HT41" s="1">
        <f>IF($B41=Analysis!$C$159,0,IF(HP41 &gt;= 0,
    MAX(0, HQ40 + HP41 - Analysis!$C$7),
    0))</f>
        <v>0</v>
      </c>
      <c r="HU41" s="1">
        <f>IF($B41=Analysis!$C$159,0,MAX(0, HU40 + HT41 - IF(HP41 &lt; 0, MIN(ABS(HP41), HU40 + HT41), 0)))</f>
        <v>839089.26585533342</v>
      </c>
      <c r="HV41" s="1">
        <f>IF($B41=Analysis!$C$159,0,IF(HP41 &lt; 0,
    IF(HP41 + HQ40 &lt; 0,
        MAX(0, HV40 - (ABS(HP41 + HQ40) * (1+$V40))),
        HV40 + HS41),
    HV40 + HT41 + HS41))</f>
        <v>1383489.3035740606</v>
      </c>
      <c r="HW41" s="1">
        <f t="shared" si="58"/>
        <v>1239903.7936257464</v>
      </c>
      <c r="HX41" s="36"/>
    </row>
    <row r="42" spans="1:232" x14ac:dyDescent="0.35">
      <c r="A42">
        <f t="shared" si="0"/>
        <v>75</v>
      </c>
      <c r="B42">
        <v>2065</v>
      </c>
      <c r="C42" s="1">
        <f>IF($B42&lt;Analysis!C$66,0,$AN42)+$AT42+$AW42+$BC42+$CF42+$CA42</f>
        <v>578415.06601014314</v>
      </c>
      <c r="D42" s="1">
        <f>IF($B42&lt;Analysis!C$66, 0, BV42)+AT42+AW42+BC42+CG42+CA42</f>
        <v>297920.55445086141</v>
      </c>
      <c r="E42" s="1">
        <f t="shared" si="1"/>
        <v>1971715.7608281516</v>
      </c>
      <c r="F42" s="1">
        <f t="shared" si="9"/>
        <v>1685808.7520431462</v>
      </c>
      <c r="G42" s="1">
        <f>IF(AND($B42&gt;=Analysis!$C$100, $B42&lt;Analysis!$C$101),$CK42,0)+IF($B42&gt;=Analysis!$C$130,EB42,0)+CQ42+CT42+CZ42+EH42+EK42+EQ42+$FO42+$FT42</f>
        <v>2048597.5055320908</v>
      </c>
      <c r="H42" s="1">
        <f t="shared" si="10"/>
        <v>1768102.9939728093</v>
      </c>
      <c r="I42" s="1">
        <f>IF($B42&lt;Analysis!$C$159,0,$FW42)+$GC42+$GF42+$GL42+$HQ42+$HV42</f>
        <v>2677636.5065330775</v>
      </c>
      <c r="J42" s="1">
        <f t="shared" si="59"/>
        <v>2366944.9454088453</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39727.724731247094</v>
      </c>
      <c r="AI42" s="1">
        <f>IF(AE42 &gt;= 0,
    MAX(0, AF41 + AE42 - Analysis!$C$7),
    0)</f>
        <v>0</v>
      </c>
      <c r="AJ42" s="1">
        <f t="shared" si="44"/>
        <v>887708.14458168554</v>
      </c>
      <c r="AK42" s="1">
        <f t="shared" si="20"/>
        <v>1971715.7608281516</v>
      </c>
      <c r="AL42" s="1">
        <f t="shared" si="5"/>
        <v>1685808.7520431462</v>
      </c>
      <c r="AM42" s="36"/>
      <c r="AN42" s="1">
        <f t="shared" si="45"/>
        <v>2199956.9534061314</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-6599.8708602183942</v>
      </c>
      <c r="BF42" s="64">
        <f>IF($B42&lt;Analysis!$C$66,0,Analysis!$C$78)</f>
        <v>3.0000000000000001E-3</v>
      </c>
      <c r="BG42" s="1">
        <f>IF($B42&lt;Analysis!$C$66,0,-BH42*AN42)</f>
        <v>-16499.677150545984</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-280494.51155928173</v>
      </c>
      <c r="BS42" s="64">
        <f>IF($B42&lt;Analysis!C$66,0,Analysis!C$31)</f>
        <v>0.1275</v>
      </c>
      <c r="BT42" s="1">
        <f>IF($B42&lt;Analysis!$C$66,0,AN42+BR42)</f>
        <v>1919462.4418468496</v>
      </c>
      <c r="BU42" s="1">
        <f>IF($B42-Analysis!$C$66&gt;3,0,IF($AN42&gt;LOOKUP(Analysis!$C$66,$B:$B, AN:AN),$V42*(LOOKUP(Analysis!$C$66,$B:$B, AN:AN)-AN42),0))</f>
        <v>0</v>
      </c>
      <c r="BV42" s="1">
        <f t="shared" si="23"/>
        <v>1919462.4418468496</v>
      </c>
      <c r="BW42" s="42"/>
      <c r="BX42" s="1">
        <f>IF($B42&lt;Analysis!$C$66,$P42+$N42+$X42+$Z42,$P42+$N42+AS42+AV42+BB42+BE42+BG42+MAX(BI42,SUM(BJ42:BN42))+BP42)</f>
        <v>-75059.548010764382</v>
      </c>
      <c r="BY42" s="1">
        <f t="shared" si="24"/>
        <v>59418.294964925066</v>
      </c>
      <c r="BZ42" s="1">
        <f t="shared" si="46"/>
        <v>-15641.253045839316</v>
      </c>
      <c r="CA42" s="1">
        <f>IF(BZ42 &lt; 0,
    IF(CA41 + BZ42 &gt; 0,
        CA41 + BZ42, IF(CF41-ABS(CA41 + BZ42)*(1+$V42) &gt;= CA41 + BZ42,
        0, CA41 + BZ42)),
    MIN(CA41 + BZ42, Analysis!$C$7))+IF(CA41&lt;0, CA41*Analysis!$C$9,0)</f>
        <v>-1621541.8873959882</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1323162.5154544115</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IF($B42&lt;Analysis!$C$130,0,IF($B42=Analysis!$C$130,Analysis!$D$136,IF(($B42-Analysis!$C$130)&lt;LOOKUP(Analysis!$C$130,$B:$B,EE:EE),EI41,0)))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-6300.3134066240827</v>
      </c>
      <c r="EQ42" s="1">
        <f>IF($B42&lt;Analysis!$C$130,0,IF($B42=Analysis!$C$130,EO42*EP42-EP42,IF(($B42-Analysis!$C$130)&lt;Analysis!$C$134,EQ41-EP42,0)))</f>
        <v>-25201.253626496335</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-86859.753800903796</v>
      </c>
      <c r="FM42" s="1">
        <f>$M42+$R42+DD42+IF(AND($B42&lt;&gt;Analysis!$C$130,$B42=Analysis!$C$101),DZ41+CQ41+CT41+CZ41,0)</f>
        <v>59418.294964925066</v>
      </c>
      <c r="FN42" s="1">
        <f t="shared" si="34"/>
        <v>-27441.45883597873</v>
      </c>
      <c r="FO42" s="1">
        <f>IF(FN42 &lt; 0,
    IF(FO41 + FN42 &gt; 0,
        FO41 + FN42, IF(FT41-ABS(FO41 + FN42)*(1+$V42) &gt;= FO41 + FN42,
        0, FO41 + FN42)),
    MIN(FO41 + FN42, Analysis!$C$7))+IF(FO41&lt;0, FO41*Analysis!$C$9,0)</f>
        <v>-126158.19424754409</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1323162.5154544115</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52119.927219129859</v>
      </c>
      <c r="GQ42" s="1">
        <f t="shared" si="36"/>
        <v>-3969.4875463632347</v>
      </c>
      <c r="GR42" s="64">
        <f>IF($B42&lt;Analysis!$C$159,0,Analysis!$C$178)</f>
        <v>3.0000000000000001E-3</v>
      </c>
      <c r="GS42" s="1">
        <f t="shared" si="37"/>
        <v>-9923.7188659080857</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-8300</v>
      </c>
      <c r="HC42" s="1">
        <f>-Analysis!$C$177*GN42</f>
        <v>-3314.2829754574968</v>
      </c>
      <c r="HD42" s="1">
        <f t="shared" si="38"/>
        <v>-29467.489387728816</v>
      </c>
      <c r="HE42" s="1">
        <f>MIN(0,-(GN42+HD42)*Analysis!$C$28)-GE42*Analysis!$C$28</f>
        <v>-6523.7392713002519</v>
      </c>
      <c r="HF42" s="1">
        <f>-Analysis!$C$176*GP42/12</f>
        <v>-4343.3272682608213</v>
      </c>
      <c r="HG42" s="38"/>
      <c r="HH42" s="1">
        <f>IF($B42&lt;Analysis!$C$159,0,-$HI42*$FW42)</f>
        <v>-168703.22072043747</v>
      </c>
      <c r="HI42" s="64">
        <f>IF($B42&lt;Analysis!$C$159,0,IF($B42=Analysis!$C$159,Analysis!$C$31,HI41))</f>
        <v>0.1275</v>
      </c>
      <c r="HJ42" s="1">
        <f>IF($B42&lt;Analysis!$C$159,0,$FW42+HH42)</f>
        <v>1154459.2947339742</v>
      </c>
      <c r="HK42" s="1">
        <f>IF($B42-Analysis!$C$159&gt;10,0,IF($FW42&gt;LOOKUP(Analysis!$C$159,$B:$B, FW:FW),$V42*(LOOKUP(Analysis!$C$159,$B:$B, FW:FW)-FW42),0))</f>
        <v>0</v>
      </c>
      <c r="HL42" s="1">
        <f t="shared" si="39"/>
        <v>1154459.2947339742</v>
      </c>
      <c r="HM42" s="38"/>
      <c r="HN42" s="1">
        <f t="shared" si="40"/>
        <v>-134497.91555330885</v>
      </c>
      <c r="HO42" s="1">
        <f t="shared" si="8"/>
        <v>111538.22218405493</v>
      </c>
      <c r="HP42" s="1">
        <f t="shared" si="41"/>
        <v>-22959.693369253917</v>
      </c>
      <c r="HQ42" s="1">
        <f>IF(HP42 &lt; 0,
    IF(HQ41 + HP42 &gt; 0,
        HQ41 + HP42, IF(HV41-ABS(HQ41 + HP42)*(1+$V42) &gt;= HQ41 + HP42,
        0, HQ41 + HP42)),
    MIN(HQ41 + HP42, Analysis!$C$7))+IF(HQ41&lt;0, HQ41*Analysis!$C$9,0)</f>
        <v>0</v>
      </c>
      <c r="HR42" s="38"/>
      <c r="HS42" s="1">
        <f t="shared" si="54"/>
        <v>27127.241246550111</v>
      </c>
      <c r="HT42" s="1">
        <f>IF($B42=Analysis!$C$159,0,IF(HP42 &gt;= 0,
    MAX(0, HQ41 + HP42 - Analysis!$C$7),
    0))</f>
        <v>0</v>
      </c>
      <c r="HU42" s="1">
        <f>IF($B42=Analysis!$C$159,0,MAX(0, HU41 + HT42 - IF(HP42 &lt; 0, MIN(ABS(HP42), HU41 + HT42), 0)))</f>
        <v>816129.57248607953</v>
      </c>
      <c r="HV42" s="1">
        <f>IF($B42=Analysis!$C$159,0,IF(HP42 &lt; 0,
    IF(HP42 + HQ41 &lt; 0,
        MAX(0, HV41 - (ABS(HP42 + HQ41) * (1+$V41))),
        HV41 + HS42),
    HV41 + HT42 + HS42))</f>
        <v>1354473.9910786659</v>
      </c>
      <c r="HW42" s="1">
        <f t="shared" si="58"/>
        <v>1212485.6506748712</v>
      </c>
      <c r="HX42" s="36"/>
    </row>
    <row r="43" spans="1:232" x14ac:dyDescent="0.35">
      <c r="A43">
        <f t="shared" si="0"/>
        <v>76</v>
      </c>
      <c r="B43">
        <v>2066</v>
      </c>
      <c r="C43" s="1">
        <f>IF($B43&lt;Analysis!C$66,0,$AN43)+$AT43+$AW43+$BC43+$CF43+$CA43</f>
        <v>495887.31387907243</v>
      </c>
      <c r="D43" s="1">
        <f>IF($B43&lt;Analysis!C$66, 0, BV43)+AT43+AW43+BC43+CG43+CA43</f>
        <v>207142.96374451765</v>
      </c>
      <c r="E43" s="1">
        <f t="shared" si="1"/>
        <v>1913938.5976419444</v>
      </c>
      <c r="F43" s="1">
        <f t="shared" si="9"/>
        <v>1631211.9759516635</v>
      </c>
      <c r="G43" s="1">
        <f>IF(AND($B43&gt;=Analysis!$C$100, $B43&lt;Analysis!$C$101),$CK43,0)+IF($B43&gt;=Analysis!$C$130,EB43,0)+CQ43+CT43+CZ43+EH43+EK43+EQ43+$FO43+$FT43</f>
        <v>2080038.794928689</v>
      </c>
      <c r="H43" s="1">
        <f t="shared" si="10"/>
        <v>1791294.4447941342</v>
      </c>
      <c r="I43" s="1">
        <f>IF($B43&lt;Analysis!$C$159,0,$FW43)+$GC43+$GF43+$GL43+$HQ43+$HV43</f>
        <v>2684715.6794887558</v>
      </c>
      <c r="J43" s="1">
        <f t="shared" si="59"/>
        <v>2370814.7708278839</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38661.093349571463</v>
      </c>
      <c r="AI43" s="1">
        <f>IF(AE43 &gt;= 0,
    MAX(0, AF42 + AE43 - Analysis!$C$7),
    0)</f>
        <v>0</v>
      </c>
      <c r="AJ43" s="1">
        <f t="shared" si="44"/>
        <v>841989.32109111606</v>
      </c>
      <c r="AK43" s="1">
        <f t="shared" si="20"/>
        <v>1913938.5976419444</v>
      </c>
      <c r="AL43" s="1">
        <f t="shared" si="5"/>
        <v>1631211.9759516635</v>
      </c>
      <c r="AM43" s="36"/>
      <c r="AN43" s="1">
        <f t="shared" si="45"/>
        <v>2264661.5696827825</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-6793.9847090483481</v>
      </c>
      <c r="BF43" s="64">
        <f>IF($B43&lt;Analysis!$C$66,0,Analysis!$C$78)</f>
        <v>3.0000000000000001E-3</v>
      </c>
      <c r="BG43" s="1">
        <f>IF($B43&lt;Analysis!$C$66,0,-BH43*AN43)</f>
        <v>-16984.961772620867</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-288744.35013455478</v>
      </c>
      <c r="BS43" s="64">
        <f>IF($B43&lt;Analysis!C$66,0,Analysis!C$31)</f>
        <v>0.1275</v>
      </c>
      <c r="BT43" s="1">
        <f>IF($B43&lt;Analysis!$C$66,0,AN43+BR43)</f>
        <v>1975917.2195482277</v>
      </c>
      <c r="BU43" s="1">
        <f>IF($B43-Analysis!$C$66&gt;3,0,IF($AN43&gt;LOOKUP(Analysis!$C$66,$B:$B, AN:AN),$V43*(LOOKUP(Analysis!$C$66,$B:$B, AN:AN)-AN43),0))</f>
        <v>0</v>
      </c>
      <c r="BV43" s="1">
        <f t="shared" si="23"/>
        <v>1975917.2195482277</v>
      </c>
      <c r="BW43" s="42"/>
      <c r="BX43" s="1">
        <f>IF($B43&lt;Analysis!$C$66,$P43+$N43+$X43+$Z43,$P43+$N43+AS43+AV43+BB43+BE43+BG43+MAX(BI43,SUM(BJ43:BN43))+BP43)</f>
        <v>-75738.946481669205</v>
      </c>
      <c r="BY43" s="1">
        <f t="shared" si="24"/>
        <v>58229.929065626566</v>
      </c>
      <c r="BZ43" s="1">
        <f t="shared" si="46"/>
        <v>-17509.01741604264</v>
      </c>
      <c r="CA43" s="1">
        <f>IF(BZ43 &lt; 0,
    IF(CA42 + BZ43 &gt; 0,
        CA42 + BZ43, IF(CF42-ABS(CA42 + BZ43)*(1+$V43) &gt;= CA42 + BZ43,
        0, CA42 + BZ43)),
    MIN(CA42 + BZ43, Analysis!$C$7))+IF(CA42&lt;0, CA42*Analysis!$C$9,0)</f>
        <v>-1768774.2558037101</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1362079.0600266003</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IF($B43&lt;Analysis!$C$130,0,IF($B43=Analysis!$C$130,Analysis!$D$136,IF(($B43-Analysis!$C$130)&lt;LOOKUP(Analysis!$C$130,$B:$B,EE:EE),EI42,0)))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-6300.3134066240827</v>
      </c>
      <c r="EQ43" s="1">
        <f>IF($B43&lt;Analysis!$C$130,0,IF($B43=Analysis!$C$130,EO43*EP43-EP43,IF(($B43-Analysis!$C$130)&lt;Analysis!$C$134,EQ42-EP43,0)))</f>
        <v>-18900.940219872253</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-87700.91381250025</v>
      </c>
      <c r="FM43" s="1">
        <f>$M43+$R43+DD43+IF(AND($B43&lt;&gt;Analysis!$C$130,$B43=Analysis!$C$101),DZ42+CQ42+CT42+CZ42,0)</f>
        <v>58229.929065626566</v>
      </c>
      <c r="FN43" s="1">
        <f t="shared" si="34"/>
        <v>-29470.984746873684</v>
      </c>
      <c r="FO43" s="1">
        <f>IF(FN43 &lt; 0,
    IF(FO42 + FN43 &gt; 0,
        FO42 + FN43, IF(FT42-ABS(FO42 + FN43)*(1+$V43) &gt;= FO42 + FN43,
        0, FO42 + FN43)),
    MIN(FO42 + FN43, Analysis!$C$7))+IF(FO42&lt;0, FO42*Analysis!$C$9,0)</f>
        <v>-165721.8345342213</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1362079.0600266003</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53536.395666751327</v>
      </c>
      <c r="GQ43" s="1">
        <f t="shared" si="36"/>
        <v>-4086.237180079801</v>
      </c>
      <c r="GR43" s="64">
        <f>IF($B43&lt;Analysis!$C$159,0,Analysis!$C$178)</f>
        <v>3.0000000000000001E-3</v>
      </c>
      <c r="GS43" s="1">
        <f t="shared" si="37"/>
        <v>-10215.592950199502</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-8300</v>
      </c>
      <c r="HC43" s="1">
        <f>-Analysis!$C$177*GN43</f>
        <v>-3411.7618865003647</v>
      </c>
      <c r="HD43" s="1">
        <f t="shared" si="38"/>
        <v>-29973.592016779668</v>
      </c>
      <c r="HE43" s="1">
        <f>MIN(0,-(GN43+HD43)*Analysis!$C$28)-GE43*Analysis!$C$28</f>
        <v>-6875.3906028090814</v>
      </c>
      <c r="HF43" s="1">
        <f>-Analysis!$C$176*GP43/12</f>
        <v>-4461.3663055626103</v>
      </c>
      <c r="HG43" s="38"/>
      <c r="HH43" s="1">
        <f>IF($B43&lt;Analysis!$C$159,0,-$HI43*$FW43)</f>
        <v>-173665.08015339152</v>
      </c>
      <c r="HI43" s="64">
        <f>IF($B43&lt;Analysis!$C$159,0,IF($B43=Analysis!$C$159,Analysis!$C$31,HI42))</f>
        <v>0.1275</v>
      </c>
      <c r="HJ43" s="1">
        <f>IF($B43&lt;Analysis!$C$159,0,$FW43+HH43)</f>
        <v>1188413.9798732088</v>
      </c>
      <c r="HK43" s="1">
        <f>IF($B43-Analysis!$C$159&gt;10,0,IF($FW43&gt;LOOKUP(Analysis!$C$159,$B:$B, FW:FW),$V43*(LOOKUP(Analysis!$C$159,$B:$B, FW:FW)-FW43),0))</f>
        <v>0</v>
      </c>
      <c r="HL43" s="1">
        <f t="shared" si="39"/>
        <v>1188413.9798732088</v>
      </c>
      <c r="HM43" s="38"/>
      <c r="HN43" s="1">
        <f t="shared" si="40"/>
        <v>-136959.10148134734</v>
      </c>
      <c r="HO43" s="1">
        <f t="shared" si="8"/>
        <v>111766.32473237789</v>
      </c>
      <c r="HP43" s="1">
        <f t="shared" si="41"/>
        <v>-25192.776748969452</v>
      </c>
      <c r="HQ43" s="1">
        <f>IF(HP43 &lt; 0,
    IF(HQ42 + HP43 &gt; 0,
        HQ42 + HP43, IF(HV42-ABS(HQ42 + HP43)*(1+$V43) &gt;= HQ42 + HP43,
        0, HQ42 + HP43)),
    MIN(HQ42 + HP43, Analysis!$C$7))+IF(HQ42&lt;0, HQ42*Analysis!$C$9,0)</f>
        <v>0</v>
      </c>
      <c r="HR43" s="38"/>
      <c r="HS43" s="1">
        <f t="shared" si="54"/>
        <v>26558.313550561983</v>
      </c>
      <c r="HT43" s="1">
        <f>IF($B43=Analysis!$C$159,0,IF(HP43 &gt;= 0,
    MAX(0, HQ42 + HP43 - Analysis!$C$7),
    0))</f>
        <v>0</v>
      </c>
      <c r="HU43" s="1">
        <f>IF($B43=Analysis!$C$159,0,MAX(0, HU42 + HT43 - IF(HP43 &lt; 0, MIN(ABS(HP43), HU42 + HT43), 0)))</f>
        <v>790936.79573711008</v>
      </c>
      <c r="HV43" s="1">
        <f>IF($B43=Analysis!$C$159,0,IF(HP43 &lt; 0,
    IF(HP43 + HQ42 &lt; 0,
        MAX(0, HV42 - (ABS(HP43 + HQ42) * (1+$V42))),
        HV42 + HS43),
    HV42 + HT43 + HS43))</f>
        <v>1322636.6194621557</v>
      </c>
      <c r="HW43" s="1">
        <f t="shared" si="58"/>
        <v>1182400.7909546751</v>
      </c>
      <c r="HX43" s="36"/>
    </row>
    <row r="44" spans="1:232" x14ac:dyDescent="0.35">
      <c r="A44">
        <f t="shared" si="0"/>
        <v>77</v>
      </c>
      <c r="B44">
        <v>2067</v>
      </c>
      <c r="C44" s="1">
        <f>IF($B44&lt;Analysis!C$66,0,$AN44)+$AT44+$AW44+$BC44+$CF44+$CA44</f>
        <v>401620.06986451219</v>
      </c>
      <c r="D44" s="1">
        <f>IF($B44&lt;Analysis!C$66, 0, BV44)+AT44+AW44+BC44+CG44+CA44</f>
        <v>104383.23884364706</v>
      </c>
      <c r="E44" s="1">
        <f t="shared" si="1"/>
        <v>1852757.2969385185</v>
      </c>
      <c r="F44" s="1">
        <f t="shared" si="9"/>
        <v>1573398.4456347574</v>
      </c>
      <c r="G44" s="1">
        <f>IF(AND($B44&gt;=Analysis!$C$100, $B44&lt;Analysis!$C$101),$CK44,0)+IF($B44&gt;=Analysis!$C$130,EB44,0)+CQ44+CT44+CZ44+EH44+EK44+EQ44+$FO44+$FT44</f>
        <v>2108187.5714584161</v>
      </c>
      <c r="H44" s="1">
        <f t="shared" si="10"/>
        <v>1810950.7404375509</v>
      </c>
      <c r="I44" s="1">
        <f>IF($B44&lt;Analysis!$C$159,0,$FW44)+$GC44+$GF44+$GL44+$HQ44+$HV44</f>
        <v>2690108.6022966094</v>
      </c>
      <c r="J44" s="1">
        <f t="shared" si="59"/>
        <v>2373008.2355514374</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37528.207796900737</v>
      </c>
      <c r="AI44" s="1">
        <f>IF(AE44 &gt;= 0,
    MAX(0, AF43 + AE44 - Analysis!$C$7),
    0)</f>
        <v>0</v>
      </c>
      <c r="AJ44" s="1">
        <f t="shared" si="44"/>
        <v>793576.81806169893</v>
      </c>
      <c r="AK44" s="1">
        <f t="shared" si="20"/>
        <v>1852757.2969385185</v>
      </c>
      <c r="AL44" s="1">
        <f t="shared" si="5"/>
        <v>1573398.4456347574</v>
      </c>
      <c r="AM44" s="36"/>
      <c r="AN44" s="1">
        <f t="shared" si="45"/>
        <v>2331269.262908747</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-6993.8077887262407</v>
      </c>
      <c r="BF44" s="64">
        <f>IF($B44&lt;Analysis!$C$66,0,Analysis!$C$78)</f>
        <v>3.0000000000000001E-3</v>
      </c>
      <c r="BG44" s="1">
        <f>IF($B44&lt;Analysis!$C$66,0,-BH44*AN44)</f>
        <v>-17484.519471815602</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-297236.83102086524</v>
      </c>
      <c r="BS44" s="64">
        <f>IF($B44&lt;Analysis!C$66,0,Analysis!C$31)</f>
        <v>0.1275</v>
      </c>
      <c r="BT44" s="1">
        <f>IF($B44&lt;Analysis!$C$66,0,AN44+BR44)</f>
        <v>2034032.4318878818</v>
      </c>
      <c r="BU44" s="1">
        <f>IF($B44-Analysis!$C$66&gt;3,0,IF($AN44&gt;LOOKUP(Analysis!$C$66,$B:$B, AN:AN),$V44*(LOOKUP(Analysis!$C$66,$B:$B, AN:AN)-AN44),0))</f>
        <v>0</v>
      </c>
      <c r="BV44" s="1">
        <f t="shared" si="23"/>
        <v>2034032.4318878818</v>
      </c>
      <c r="BW44" s="42"/>
      <c r="BX44" s="1">
        <f>IF($B44&lt;Analysis!$C$66,$P44+$N44+$X44+$Z44,$P44+$N44+AS44+AV44+BB44+BE44+BG44+MAX(BI44,SUM(BJ44:BN44))+BP44)</f>
        <v>-76438.327260541846</v>
      </c>
      <c r="BY44" s="1">
        <f t="shared" si="24"/>
        <v>57065.330484314036</v>
      </c>
      <c r="BZ44" s="1">
        <f t="shared" si="46"/>
        <v>-19372.99677622781</v>
      </c>
      <c r="CA44" s="1">
        <f>IF(BZ44 &lt; 0,
    IF(CA43 + BZ44 &gt; 0,
        CA43 + BZ44, IF(CF43-ABS(CA43 + BZ44)*(1+$V44) &gt;= CA43 + BZ44,
        0, CA43 + BZ44)),
    MIN(CA43 + BZ44, Analysis!$C$7))+IF(CA43&lt;0, CA43*Analysis!$C$9,0)</f>
        <v>-1929649.1930442348</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1402140.2088509123</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IF($B44&lt;Analysis!$C$130,0,IF($B44=Analysis!$C$130,Analysis!$D$136,IF(($B44-Analysis!$C$130)&lt;LOOKUP(Analysis!$C$130,$B:$B,EE:EE),EI43,0)))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-6300.3134066240827</v>
      </c>
      <c r="EQ44" s="1">
        <f>IF($B44&lt;Analysis!$C$130,0,IF($B44=Analysis!$C$130,EO44*EP44-EP44,IF(($B44-Analysis!$C$130)&lt;Analysis!$C$134,EQ43-EP44,0)))</f>
        <v>-12600.626813248171</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-88566.813824437791</v>
      </c>
      <c r="FM44" s="1">
        <f>$M44+$R44+DD44+IF(AND($B44&lt;&gt;Analysis!$C$130,$B44=Analysis!$C$101),DZ43+CQ43+CT43+CZ43,0)</f>
        <v>57065.330484314036</v>
      </c>
      <c r="FN44" s="1">
        <f t="shared" si="34"/>
        <v>-31501.483340123756</v>
      </c>
      <c r="FO44" s="1">
        <f>IF(FN44 &lt; 0,
    IF(FO43 + FN44 &gt; 0,
        FO43 + FN44, IF(FT43-ABS(FO43 + FN44)*(1+$V44) &gt;= FO43 + FN44,
        0, FO43 + FN44)),
    MIN(FO43 + FN44, Analysis!$C$7))+IF(FO43&lt;0, FO43*Analysis!$C$9,0)</f>
        <v>-210481.06463708275</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1402140.2088509123</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54994.524951067549</v>
      </c>
      <c r="GQ44" s="1">
        <f t="shared" si="36"/>
        <v>-4206.4206265527373</v>
      </c>
      <c r="GR44" s="64">
        <f>IF($B44&lt;Analysis!$C$159,0,Analysis!$C$178)</f>
        <v>3.0000000000000001E-3</v>
      </c>
      <c r="GS44" s="1">
        <f t="shared" si="37"/>
        <v>-10516.051566381842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-8300</v>
      </c>
      <c r="HC44" s="1">
        <f>-Analysis!$C$177*GN44</f>
        <v>-3512.1078243386105</v>
      </c>
      <c r="HD44" s="1">
        <f t="shared" si="38"/>
        <v>-30494.580017273191</v>
      </c>
      <c r="HE44" s="1">
        <f>MIN(0,-(GN44+HD44)*Analysis!$C$28)-GE44*Analysis!$C$28</f>
        <v>-7237.3846205387608</v>
      </c>
      <c r="HF44" s="1">
        <f>-Analysis!$C$176*GP44/12</f>
        <v>-4582.8770792556288</v>
      </c>
      <c r="HG44" s="38"/>
      <c r="HH44" s="1">
        <f>IF($B44&lt;Analysis!$C$159,0,-$HI44*$FW44)</f>
        <v>-178772.87662849133</v>
      </c>
      <c r="HI44" s="64">
        <f>IF($B44&lt;Analysis!$C$159,0,IF($B44=Analysis!$C$159,Analysis!$C$31,HI43))</f>
        <v>0.1275</v>
      </c>
      <c r="HJ44" s="1">
        <f>IF($B44&lt;Analysis!$C$159,0,$FW44+HH44)</f>
        <v>1223367.332222421</v>
      </c>
      <c r="HK44" s="1">
        <f>IF($B44-Analysis!$C$159&gt;10,0,IF($FW44&gt;LOOKUP(Analysis!$C$159,$B:$B, FW:FW),$V44*(LOOKUP(Analysis!$C$159,$B:$B, FW:FW)-FW44),0))</f>
        <v>0</v>
      </c>
      <c r="HL44" s="1">
        <f t="shared" si="39"/>
        <v>1223367.332222421</v>
      </c>
      <c r="HM44" s="38"/>
      <c r="HN44" s="1">
        <f t="shared" si="40"/>
        <v>-139492.67523079875</v>
      </c>
      <c r="HO44" s="1">
        <f t="shared" si="8"/>
        <v>112059.85543538159</v>
      </c>
      <c r="HP44" s="1">
        <f t="shared" si="41"/>
        <v>-27432.819795417163</v>
      </c>
      <c r="HQ44" s="1">
        <f>IF(HP44 &lt; 0,
    IF(HQ43 + HP44 &gt; 0,
        HQ43 + HP44, IF(HV43-ABS(HQ43 + HP44)*(1+$V44) &gt;= HQ43 + HP44,
        0, HQ43 + HP44)),
    MIN(HQ43 + HP44, Analysis!$C$7))+IF(HQ43&lt;0, HQ43*Analysis!$C$9,0)</f>
        <v>0</v>
      </c>
      <c r="HR44" s="38"/>
      <c r="HS44" s="1">
        <f t="shared" si="54"/>
        <v>25934.051362002963</v>
      </c>
      <c r="HT44" s="1">
        <f>IF($B44=Analysis!$C$159,0,IF(HP44 &gt;= 0,
    MAX(0, HQ43 + HP44 - Analysis!$C$7),
    0))</f>
        <v>0</v>
      </c>
      <c r="HU44" s="1">
        <f>IF($B44=Analysis!$C$159,0,MAX(0, HU43 + HT44 - IF(HP44 &lt; 0, MIN(ABS(HP44), HU43 + HT44), 0)))</f>
        <v>763503.97594169294</v>
      </c>
      <c r="HV44" s="1">
        <f>IF($B44=Analysis!$C$159,0,IF(HP44 &lt; 0,
    IF(HP44 + HQ43 &lt; 0,
        MAX(0, HV43 - (ABS(HP44 + HQ43) * (1+$V43))),
        HV43 + HS44),
    HV43 + HT44 + HS44))</f>
        <v>1287968.3934456974</v>
      </c>
      <c r="HW44" s="1">
        <f t="shared" si="58"/>
        <v>1149640.9033290162</v>
      </c>
      <c r="HX44" s="36"/>
    </row>
    <row r="45" spans="1:232" x14ac:dyDescent="0.35">
      <c r="A45">
        <f t="shared" si="0"/>
        <v>78</v>
      </c>
      <c r="B45">
        <v>2068</v>
      </c>
      <c r="C45" s="1">
        <f>IF($B45&lt;Analysis!C$66,0,$AN45)+$AT45+$AW45+$BC45+$CF45+$CA45</f>
        <v>294580.62326000677</v>
      </c>
      <c r="D45" s="1">
        <f>IF($B45&lt;Analysis!C$66, 0, BV45)+AT45+AW45+BC45+CG45+CA45</f>
        <v>-11398.467496766243</v>
      </c>
      <c r="E45" s="1">
        <f t="shared" si="1"/>
        <v>1788144.4593570139</v>
      </c>
      <c r="F45" s="1">
        <f t="shared" si="9"/>
        <v>1512342.2699498478</v>
      </c>
      <c r="G45" s="1">
        <f>IF(AND($B45&gt;=Analysis!$C$100, $B45&lt;Analysis!$C$101),$CK45,0)+IF($B45&gt;=Analysis!$C$130,EB45,0)+CQ45+CT45+CZ45+EH45+EK45+EQ45+$FO45+$FT45</f>
        <v>2132681.9851116445</v>
      </c>
      <c r="H45" s="1">
        <f t="shared" si="10"/>
        <v>1826702.8943548712</v>
      </c>
      <c r="I45" s="1">
        <f>IF($B45&lt;Analysis!$C$159,0,$FW45)+$GC45+$GF45+$GL45+$HQ45+$HV45</f>
        <v>2693838.401694878</v>
      </c>
      <c r="J45" s="1">
        <f t="shared" si="59"/>
        <v>2373544.7541289828</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36328.574449774744</v>
      </c>
      <c r="AI45" s="1">
        <f>IF(AE45 &gt;= 0,
    MAX(0, AF44 + AE45 - Analysis!$C$7),
    0)</f>
        <v>0</v>
      </c>
      <c r="AJ45" s="1">
        <f t="shared" si="44"/>
        <v>742448.95449572103</v>
      </c>
      <c r="AK45" s="1">
        <f t="shared" si="20"/>
        <v>1788144.4593570139</v>
      </c>
      <c r="AL45" s="1">
        <f t="shared" si="5"/>
        <v>1512342.2699498478</v>
      </c>
      <c r="AM45" s="36"/>
      <c r="AN45" s="1">
        <f t="shared" si="45"/>
        <v>2399836.0059354752</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-7199.5080178064254</v>
      </c>
      <c r="BF45" s="64">
        <f>IF($B45&lt;Analysis!$C$66,0,Analysis!$C$78)</f>
        <v>3.0000000000000001E-3</v>
      </c>
      <c r="BG45" s="1">
        <f>IF($B45&lt;Analysis!$C$66,0,-BH45*AN45)</f>
        <v>-17998.770044516063</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-305979.09075677308</v>
      </c>
      <c r="BS45" s="64">
        <f>IF($B45&lt;Analysis!C$66,0,Analysis!C$31)</f>
        <v>0.1275</v>
      </c>
      <c r="BT45" s="1">
        <f>IF($B45&lt;Analysis!$C$66,0,AN45+BR45)</f>
        <v>2093856.9151787022</v>
      </c>
      <c r="BU45" s="1">
        <f>IF($B45-Analysis!$C$66&gt;3,0,IF($AN45&gt;LOOKUP(Analysis!$C$66,$B:$B, AN:AN),$V45*(LOOKUP(Analysis!$C$66,$B:$B, AN:AN)-AN45),0))</f>
        <v>0</v>
      </c>
      <c r="BV45" s="1">
        <f t="shared" si="23"/>
        <v>2093856.9151787022</v>
      </c>
      <c r="BW45" s="42"/>
      <c r="BX45" s="1">
        <f>IF($B45&lt;Analysis!$C$66,$P45+$N45+$X45+$Z45,$P45+$N45+AS45+AV45+BB45+BE45+BG45+MAX(BI45,SUM(BJ45:BN45))+BP45)</f>
        <v>-77158.278062322483</v>
      </c>
      <c r="BY45" s="1">
        <f t="shared" si="24"/>
        <v>55924.023874627754</v>
      </c>
      <c r="BZ45" s="1">
        <f t="shared" si="46"/>
        <v>-21234.254187694729</v>
      </c>
      <c r="CA45" s="1">
        <f>IF(BZ45 &lt; 0,
    IF(CA44 + BZ45 &gt; 0,
        CA44 + BZ45, IF(CF44-ABS(CA44 + BZ45)*(1+$V45) &gt;= CA44 + BZ45,
        0, CA44 + BZ45)),
    MIN(CA44 + BZ45, Analysis!$C$7))+IF(CA44&lt;0, CA44*Analysis!$C$9,0)</f>
        <v>-2105255.3826754685</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1443379.6267582923</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IF($B45&lt;Analysis!$C$130,0,IF($B45=Analysis!$C$130,Analysis!$D$136,IF(($B45-Analysis!$C$130)&lt;LOOKUP(Analysis!$C$130,$B:$B,EE:EE),EI44,0)))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-6300.3134066240827</v>
      </c>
      <c r="EQ45" s="1">
        <f>IF($B45&lt;Analysis!$C$130,0,IF($B45=Analysis!$C$130,EO45*EP45-EP45,IF(($B45-Analysis!$C$130)&lt;Analysis!$C$134,EQ44-EP45,0)))</f>
        <v>-6300.3134066240882</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-89458.181483785258</v>
      </c>
      <c r="FM45" s="1">
        <f>$M45+$R45+DD45+IF(AND($B45&lt;&gt;Analysis!$C$130,$B45=Analysis!$C$101),DZ44+CQ44+CT44+CZ44,0)</f>
        <v>55924.023874627754</v>
      </c>
      <c r="FN45" s="1">
        <f t="shared" si="34"/>
        <v>-33534.157609157504</v>
      </c>
      <c r="FO45" s="1">
        <f>IF(FN45 &lt; 0,
    IF(FO44 + FN45 &gt; 0,
        FO44 + FN45, IF(FT44-ABS(FO44 + FN45)*(1+$V45) &gt;= FO44 + FN45,
        0, FO44 + FN45)),
    MIN(FO44 + FN45, Analysis!$C$7))+IF(FO44&lt;0, FO44*Analysis!$C$9,0)</f>
        <v>-260853.70741720687</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1443379.6267582923</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56495.540390804832</v>
      </c>
      <c r="GQ45" s="1">
        <f t="shared" si="36"/>
        <v>-4330.138880274877</v>
      </c>
      <c r="GR45" s="64">
        <f>IF($B45&lt;Analysis!$C$159,0,Analysis!$C$178)</f>
        <v>3.0000000000000001E-3</v>
      </c>
      <c r="GS45" s="1">
        <f t="shared" si="37"/>
        <v>-10825.347200687193</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-8300</v>
      </c>
      <c r="HC45" s="1">
        <f>-Analysis!$C$177*GN45</f>
        <v>-3615.4051132897466</v>
      </c>
      <c r="HD45" s="1">
        <f t="shared" si="38"/>
        <v>-31030.891194251817</v>
      </c>
      <c r="HE45" s="1">
        <f>MIN(0,-(GN45+HD45)*Analysis!$C$28)-GE45*Analysis!$C$28</f>
        <v>-7610.0255211428421</v>
      </c>
      <c r="HF45" s="1">
        <f>-Analysis!$C$176*GP45/12</f>
        <v>-4707.961699233736</v>
      </c>
      <c r="HG45" s="38"/>
      <c r="HH45" s="1">
        <f>IF($B45&lt;Analysis!$C$159,0,-$HI45*$FW45)</f>
        <v>-184030.90241168227</v>
      </c>
      <c r="HI45" s="64">
        <f>IF($B45&lt;Analysis!$C$159,0,IF($B45=Analysis!$C$159,Analysis!$C$31,HI44))</f>
        <v>0.1275</v>
      </c>
      <c r="HJ45" s="1">
        <f>IF($B45&lt;Analysis!$C$159,0,$FW45+HH45)</f>
        <v>1259348.72434661</v>
      </c>
      <c r="HK45" s="1">
        <f>IF($B45-Analysis!$C$159&gt;10,0,IF($FW45&gt;LOOKUP(Analysis!$C$159,$B:$B, FW:FW),$V45*(LOOKUP(Analysis!$C$159,$B:$B, FW:FW)-FW45),0))</f>
        <v>0</v>
      </c>
      <c r="HL45" s="1">
        <f t="shared" si="39"/>
        <v>1259348.72434661</v>
      </c>
      <c r="HM45" s="38"/>
      <c r="HN45" s="1">
        <f t="shared" si="40"/>
        <v>-142100.76585523403</v>
      </c>
      <c r="HO45" s="1">
        <f t="shared" si="8"/>
        <v>112419.56426543259</v>
      </c>
      <c r="HP45" s="1">
        <f t="shared" si="41"/>
        <v>-29681.201589801436</v>
      </c>
      <c r="HQ45" s="1">
        <f>IF(HP45 &lt; 0,
    IF(HQ44 + HP45 &gt; 0,
        HQ44 + HP45, IF(HV44-ABS(HQ44 + HP45)*(1+$V45) &gt;= HQ44 + HP45,
        0, HQ44 + HP45)),
    MIN(HQ44 + HP45, Analysis!$C$7))+IF(HQ44&lt;0, HQ44*Analysis!$C$9,0)</f>
        <v>0</v>
      </c>
      <c r="HR45" s="38"/>
      <c r="HS45" s="1">
        <f t="shared" si="54"/>
        <v>25254.282224425348</v>
      </c>
      <c r="HT45" s="1">
        <f>IF($B45=Analysis!$C$159,0,IF(HP45 &gt;= 0,
    MAX(0, HQ44 + HP45 - Analysis!$C$7),
    0))</f>
        <v>0</v>
      </c>
      <c r="HU45" s="1">
        <f>IF($B45=Analysis!$C$159,0,MAX(0, HU44 + HT45 - IF(HP45 &lt; 0, MIN(ABS(HP45), HU44 + HT45), 0)))</f>
        <v>733822.77435189148</v>
      </c>
      <c r="HV45" s="1">
        <f>IF($B45=Analysis!$C$159,0,IF(HP45 &lt; 0,
    IF(HP45 + HQ44 &lt; 0,
        MAX(0, HV44 - (ABS(HP45 + HQ44) * (1+$V44))),
        HV44 + HS45),
    HV44 + HT45 + HS45))</f>
        <v>1250458.7749365859</v>
      </c>
      <c r="HW45" s="1">
        <f t="shared" si="58"/>
        <v>1114196.0297823728</v>
      </c>
      <c r="HX45" s="36"/>
    </row>
    <row r="46" spans="1:232" x14ac:dyDescent="0.35">
      <c r="A46">
        <f t="shared" si="0"/>
        <v>79</v>
      </c>
      <c r="B46">
        <v>2069</v>
      </c>
      <c r="C46" s="1">
        <f>IF($B46&lt;Analysis!C$66,0,$AN46)+$AT46+$AW46+$BC46+$CF46+$CA46</f>
        <v>173649.74409469869</v>
      </c>
      <c r="D46" s="1">
        <f>IF($B46&lt;Analysis!C$66, 0, BV46)+AT46+AW46+BC46+CG46+CA46</f>
        <v>-141328.73168433271</v>
      </c>
      <c r="E46" s="1">
        <f t="shared" si="1"/>
        <v>1720070.4252263997</v>
      </c>
      <c r="F46" s="1">
        <f t="shared" si="9"/>
        <v>1448015.4218646456</v>
      </c>
      <c r="G46" s="1">
        <f>IF(AND($B46&gt;=Analysis!$C$100, $B46&lt;Analysis!$C$101),$CK46,0)+IF($B46&gt;=Analysis!$C$130,EB46,0)+CQ46+CT46+CZ46+EH46+EK46+EQ46+$FO46+$FT46</f>
        <v>2153127.1914223102</v>
      </c>
      <c r="H46" s="1">
        <f t="shared" si="10"/>
        <v>1838148.7156432788</v>
      </c>
      <c r="I46" s="1">
        <f>IF($B46&lt;Analysis!$C$159,0,$FW46)+$GC46+$GF46+$GL46+$HQ46+$HV46</f>
        <v>2695927.4301733682</v>
      </c>
      <c r="J46" s="1">
        <f t="shared" si="59"/>
        <v>2372442.9377406426</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35061.656065823678</v>
      </c>
      <c r="AI46" s="1">
        <f>IF(AE46 &gt;= 0,
    MAX(0, AF45 + AE46 - Analysis!$C$7),
    0)</f>
        <v>0</v>
      </c>
      <c r="AJ46" s="1">
        <f t="shared" si="44"/>
        <v>688582.26082164457</v>
      </c>
      <c r="AK46" s="1">
        <f t="shared" si="20"/>
        <v>1720070.4252263997</v>
      </c>
      <c r="AL46" s="1">
        <f t="shared" si="5"/>
        <v>1448015.4218646456</v>
      </c>
      <c r="AM46" s="36"/>
      <c r="AN46" s="1">
        <f t="shared" si="45"/>
        <v>2470419.4178747544</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-7411.2582536242635</v>
      </c>
      <c r="BF46" s="64">
        <f>IF($B46&lt;Analysis!$C$66,0,Analysis!$C$78)</f>
        <v>3.0000000000000001E-3</v>
      </c>
      <c r="BG46" s="1">
        <f>IF($B46&lt;Analysis!$C$66,0,-BH46*AN46)</f>
        <v>-18528.145634060656</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-314978.47577903117</v>
      </c>
      <c r="BS46" s="64">
        <f>IF($B46&lt;Analysis!C$66,0,Analysis!C$31)</f>
        <v>0.1275</v>
      </c>
      <c r="BT46" s="1">
        <f>IF($B46&lt;Analysis!$C$66,0,AN46+BR46)</f>
        <v>2155440.942095723</v>
      </c>
      <c r="BU46" s="1">
        <f>IF($B46-Analysis!$C$66&gt;3,0,IF($AN46&gt;LOOKUP(Analysis!$C$66,$B:$B, AN:AN),$V46*(LOOKUP(Analysis!$C$66,$B:$B, AN:AN)-AN46),0))</f>
        <v>0</v>
      </c>
      <c r="BV46" s="1">
        <f t="shared" si="23"/>
        <v>2155440.942095723</v>
      </c>
      <c r="BW46" s="42"/>
      <c r="BX46" s="1">
        <f>IF($B46&lt;Analysis!$C$66,$P46+$N46+$X46+$Z46,$P46+$N46+AS46+AV46+BB46+BE46+BG46+MAX(BI46,SUM(BJ46:BN46))+BP46)</f>
        <v>-77899.403887684923</v>
      </c>
      <c r="BY46" s="1">
        <f t="shared" si="24"/>
        <v>54805.543397135196</v>
      </c>
      <c r="BZ46" s="1">
        <f t="shared" si="46"/>
        <v>-23093.860490549727</v>
      </c>
      <c r="CA46" s="1">
        <f>IF(BZ46 &lt; 0,
    IF(CA45 + BZ46 &gt; 0,
        CA45 + BZ46, IF(CF45-ABS(CA45 + BZ46)*(1+$V46) &gt;= CA45 + BZ46,
        0, CA45 + BZ46)),
    MIN(CA45 + BZ46, Analysis!$C$7))+IF(CA45&lt;0, CA45*Analysis!$C$9,0)</f>
        <v>-2296769.6737800557</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1485831.9687217716</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IF($B46&lt;Analysis!$C$130,0,IF($B46=Analysis!$C$130,Analysis!$D$136,IF(($B46-Analysis!$C$130)&lt;LOOKUP(Analysis!$C$130,$B:$B,EE:EE),EI45,0)))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-6300.3134066240827</v>
      </c>
      <c r="EQ46" s="1">
        <f>IF($B46&lt;Analysis!$C$130,0,IF($B46=Analysis!$C$130,EO46*EP46-EP46,IF(($B46-Analysis!$C$130)&lt;Analysis!$C$134,EQ45-EP46,0)))</f>
        <v>-5.4569682106375694E-12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-90375.765838995896</v>
      </c>
      <c r="FM46" s="1">
        <f>$M46+$R46+DD46+IF(AND($B46&lt;&gt;Analysis!$C$130,$B46=Analysis!$C$101),DZ45+CQ45+CT45+CZ45,0)</f>
        <v>54805.543397135196</v>
      </c>
      <c r="FN46" s="1">
        <f t="shared" si="34"/>
        <v>-35570.2224418607</v>
      </c>
      <c r="FO46" s="1">
        <f>IF(FN46 &lt; 0,
    IF(FO45 + FN46 &gt; 0,
        FO45 + FN46, IF(FT45-ABS(FO45 + FN46)*(1+$V46) &gt;= FO45 + FN46,
        0, FO45 + FN46)),
    MIN(FO45 + FN46, Analysis!$C$7))+IF(FO45&lt;0, FO45*Analysis!$C$9,0)</f>
        <v>-317292.2264524441</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1485831.9687217716</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58040.703343475565</v>
      </c>
      <c r="GQ46" s="1">
        <f t="shared" si="36"/>
        <v>-4457.4959061653153</v>
      </c>
      <c r="GR46" s="64">
        <f>IF($B46&lt;Analysis!$C$159,0,Analysis!$C$178)</f>
        <v>3.0000000000000001E-3</v>
      </c>
      <c r="GS46" s="1">
        <f t="shared" si="37"/>
        <v>-11143.739765413287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-8300</v>
      </c>
      <c r="HC46" s="1">
        <f>-Analysis!$C$177*GN46</f>
        <v>-3721.7405577982686</v>
      </c>
      <c r="HD46" s="1">
        <f t="shared" si="38"/>
        <v>-31582.976229376869</v>
      </c>
      <c r="HE46" s="1">
        <f>MIN(0,-(GN46+HD46)*Analysis!$C$28)-GE46*Analysis!$C$28</f>
        <v>-7993.6264482352808</v>
      </c>
      <c r="HF46" s="1">
        <f>-Analysis!$C$176*GP46/12</f>
        <v>-4836.7252786229637</v>
      </c>
      <c r="HG46" s="38"/>
      <c r="HH46" s="1">
        <f>IF($B46&lt;Analysis!$C$159,0,-$HI46*$FW46)</f>
        <v>-189443.57601202588</v>
      </c>
      <c r="HI46" s="64">
        <f>IF($B46&lt;Analysis!$C$159,0,IF($B46=Analysis!$C$159,Analysis!$C$31,HI45))</f>
        <v>0.1275</v>
      </c>
      <c r="HJ46" s="1">
        <f>IF($B46&lt;Analysis!$C$159,0,$FW46+HH46)</f>
        <v>1296388.3927097458</v>
      </c>
      <c r="HK46" s="1">
        <f>IF($B46-Analysis!$C$159&gt;10,0,IF($FW46&gt;LOOKUP(Analysis!$C$159,$B:$B, FW:FW),$V46*(LOOKUP(Analysis!$C$159,$B:$B, FW:FW)-FW46),0))</f>
        <v>0</v>
      </c>
      <c r="HL46" s="1">
        <f t="shared" si="39"/>
        <v>1296388.3927097458</v>
      </c>
      <c r="HM46" s="38"/>
      <c r="HN46" s="1">
        <f t="shared" si="40"/>
        <v>-144785.56502744684</v>
      </c>
      <c r="HO46" s="1">
        <f t="shared" si="8"/>
        <v>112846.24674061076</v>
      </c>
      <c r="HP46" s="1">
        <f t="shared" si="41"/>
        <v>-31939.318286836075</v>
      </c>
      <c r="HQ46" s="1">
        <f>IF(HP46 &lt; 0,
    IF(HQ45 + HP46 &gt; 0,
        HQ45 + HP46, IF(HV45-ABS(HQ45 + HP46)*(1+$V46) &gt;= HQ45 + HP46,
        0, HQ45 + HP46)),
    MIN(HQ45 + HP46, Analysis!$C$7))+IF(HQ45&lt;0, HQ45*Analysis!$C$9,0)</f>
        <v>0</v>
      </c>
      <c r="HR46" s="38"/>
      <c r="HS46" s="1">
        <f t="shared" si="54"/>
        <v>24518.79950856042</v>
      </c>
      <c r="HT46" s="1">
        <f>IF($B46=Analysis!$C$159,0,IF(HP46 &gt;= 0,
    MAX(0, HQ45 + HP46 - Analysis!$C$7),
    0))</f>
        <v>0</v>
      </c>
      <c r="HU46" s="1">
        <f>IF($B46=Analysis!$C$159,0,MAX(0, HU45 + HT46 - IF(HP46 &lt; 0, MIN(ABS(HP46), HU45 + HT46), 0)))</f>
        <v>701883.45606505545</v>
      </c>
      <c r="HV46" s="1">
        <f>IF($B46=Analysis!$C$159,0,IF(HP46 &lt; 0,
    IF(HP46 + HQ45 &lt; 0,
        MAX(0, HV45 - (ABS(HP46 + HQ45) * (1+$V45))),
        HV45 + HS46),
    HV45 + HT46 + HS46))</f>
        <v>1210095.4614515968</v>
      </c>
      <c r="HW46" s="1">
        <f t="shared" si="58"/>
        <v>1076054.5450308966</v>
      </c>
      <c r="HX46" s="36"/>
    </row>
    <row r="47" spans="1:232" x14ac:dyDescent="0.35">
      <c r="A47">
        <f t="shared" si="0"/>
        <v>80</v>
      </c>
      <c r="B47">
        <v>2070</v>
      </c>
      <c r="C47" s="1">
        <f>IF($B47&lt;Analysis!C$66,0,$AN47)+$AT47+$AW47+$BC47+$CF47+$CA47</f>
        <v>37614.669833422173</v>
      </c>
      <c r="D47" s="1">
        <f>IF($B47&lt;Analysis!C$66, 0, BV47)+AT47+AW47+BC47+CG47+CA47</f>
        <v>-286627.87876263959</v>
      </c>
      <c r="E47" s="1">
        <f t="shared" si="1"/>
        <v>1648503.2371746951</v>
      </c>
      <c r="F47" s="1">
        <f t="shared" si="9"/>
        <v>1380387.7031245753</v>
      </c>
      <c r="G47" s="1">
        <f>IF(AND($B47&gt;=Analysis!$C$100, $B47&lt;Analysis!$C$101),$CK47,0)+IF($B47&gt;=Analysis!$C$130,EB47,0)+CQ47+CT47+CZ47+EH47+EK47+EQ47+$FO47+$FT47</f>
        <v>2169092.6159159471</v>
      </c>
      <c r="H47" s="1">
        <f t="shared" si="10"/>
        <v>1844850.0673198854</v>
      </c>
      <c r="I47" s="1">
        <f>IF($B47&lt;Analysis!$C$159,0,$FW47)+$GC47+$GF47+$GL47+$HQ47+$HV47</f>
        <v>2696397.2722903742</v>
      </c>
      <c r="J47" s="1">
        <f t="shared" si="59"/>
        <v>2369720.5980563825</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33726.871082870464</v>
      </c>
      <c r="AI47" s="1">
        <f>IF(AE47 &gt;= 0,
    MAX(0, AF46 + AE47 - Analysis!$C$7),
    0)</f>
        <v>0</v>
      </c>
      <c r="AJ47" s="1">
        <f t="shared" si="44"/>
        <v>631951.44930694264</v>
      </c>
      <c r="AK47" s="1">
        <f t="shared" si="20"/>
        <v>1648503.2371746951</v>
      </c>
      <c r="AL47" s="1">
        <f t="shared" si="5"/>
        <v>1380387.7031245753</v>
      </c>
      <c r="AM47" s="36"/>
      <c r="AN47" s="1">
        <f t="shared" si="45"/>
        <v>2543078.8125181301</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-7629.2364375543902</v>
      </c>
      <c r="BF47" s="64">
        <f>IF($B47&lt;Analysis!$C$66,0,Analysis!$C$78)</f>
        <v>3.0000000000000001E-3</v>
      </c>
      <c r="BG47" s="1">
        <f>IF($B47&lt;Analysis!$C$66,0,-BH47*AN47)</f>
        <v>-19073.091093885974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-324242.54859606159</v>
      </c>
      <c r="BS47" s="64">
        <f>IF($B47&lt;Analysis!C$66,0,Analysis!C$31)</f>
        <v>0.1275</v>
      </c>
      <c r="BT47" s="1">
        <f>IF($B47&lt;Analysis!$C$66,0,AN47+BR47)</f>
        <v>2218836.2639220683</v>
      </c>
      <c r="BU47" s="1">
        <f>IF($B47-Analysis!$C$66&gt;3,0,IF($AN47&gt;LOOKUP(Analysis!$C$66,$B:$B, AN:AN),$V47*(LOOKUP(Analysis!$C$66,$B:$B, AN:AN)-AN47),0))</f>
        <v>0</v>
      </c>
      <c r="BV47" s="1">
        <f t="shared" si="23"/>
        <v>2218836.2639220683</v>
      </c>
      <c r="BW47" s="42"/>
      <c r="BX47" s="1">
        <f>IF($B47&lt;Analysis!$C$66,$P47+$N47+$X47+$Z47,$P47+$N47+AS47+AV47+BB47+BE47+BG47+MAX(BI47,SUM(BJ47:BN47))+BP47)</f>
        <v>-78662.327531440358</v>
      </c>
      <c r="BY47" s="1">
        <f t="shared" si="24"/>
        <v>53709.432529192491</v>
      </c>
      <c r="BZ47" s="1">
        <f t="shared" si="46"/>
        <v>-24952.895002247868</v>
      </c>
      <c r="CA47" s="1">
        <f>IF(BZ47 &lt; 0,
    IF(CA46 + BZ47 &gt; 0,
        CA46 + BZ47, IF(CF46-ABS(CA46 + BZ47)*(1+$V47) &gt;= CA46 + BZ47,
        0, CA46 + BZ47)),
    MIN(CA46 + BZ47, Analysis!$C$7))+IF(CA46&lt;0, CA46*Analysis!$C$9,0)</f>
        <v>-2505464.1426847079</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1529532.9089782946</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IF($B47&lt;Analysis!$C$130,0,IF($B47=Analysis!$C$130,Analysis!$D$136,IF(($B47-Analysis!$C$130)&lt;LOOKUP(Analysis!$C$130,$B:$B,EE:EE),EI46,0)))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-373986.19660218281</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1529532.9089782946</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59631.312265342502</v>
      </c>
      <c r="GQ47" s="1">
        <f t="shared" si="36"/>
        <v>-4588.5987269348834</v>
      </c>
      <c r="GR47" s="64">
        <f>IF($B47&lt;Analysis!$C$159,0,Analysis!$C$178)</f>
        <v>3.0000000000000001E-3</v>
      </c>
      <c r="GS47" s="1">
        <f t="shared" si="37"/>
        <v>-11471.496817337209</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-8300</v>
      </c>
      <c r="HC47" s="1">
        <f>-Analysis!$C$177*GN47</f>
        <v>-3831.2035153805709</v>
      </c>
      <c r="HD47" s="1">
        <f t="shared" si="38"/>
        <v>-32151.299059652662</v>
      </c>
      <c r="HE47" s="1">
        <f>MIN(0,-(GN47+HD47)*Analysis!$C$28)-GE47*Analysis!$C$28</f>
        <v>-8388.5097555363191</v>
      </c>
      <c r="HF47" s="1">
        <f>-Analysis!$C$176*GP47/12</f>
        <v>-4969.2760221118751</v>
      </c>
      <c r="HG47" s="38"/>
      <c r="HH47" s="1">
        <f>IF($B47&lt;Analysis!$C$159,0,-$HI47*$FW47)</f>
        <v>-195015.44589473258</v>
      </c>
      <c r="HI47" s="64">
        <f>IF($B47&lt;Analysis!$C$159,0,IF($B47=Analysis!$C$159,Analysis!$C$31,HI46))</f>
        <v>0.1275</v>
      </c>
      <c r="HJ47" s="1">
        <f>IF($B47&lt;Analysis!$C$159,0,$FW47+HH47)</f>
        <v>1334517.463083562</v>
      </c>
      <c r="HK47" s="1">
        <f>IF($B47-Analysis!$C$159&gt;10,0,IF($FW47&gt;LOOKUP(Analysis!$C$159,$B:$B, FW:FW),$V47*(LOOKUP(Analysis!$C$159,$B:$B, FW:FW)-FW47),0))</f>
        <v>0</v>
      </c>
      <c r="HL47" s="1">
        <f t="shared" si="39"/>
        <v>1334517.463083562</v>
      </c>
      <c r="HM47" s="38"/>
      <c r="HN47" s="1">
        <f t="shared" si="40"/>
        <v>-147549.32888119528</v>
      </c>
      <c r="HO47" s="1">
        <f t="shared" si="8"/>
        <v>113340.74479453498</v>
      </c>
      <c r="HP47" s="1">
        <f t="shared" si="41"/>
        <v>-34208.584086660296</v>
      </c>
      <c r="HQ47" s="1">
        <f>IF(HP47 &lt; 0,
    IF(HQ46 + HP47 &gt; 0,
        HQ46 + HP47, IF(HV46-ABS(HQ46 + HP47)*(1+$V47) &gt;= HQ46 + HP47,
        0, HQ46 + HP47)),
    MIN(HQ46 + HP47, Analysis!$C$7))+IF(HQ46&lt;0, HQ46*Analysis!$C$9,0)</f>
        <v>0</v>
      </c>
      <c r="HR47" s="38"/>
      <c r="HS47" s="1">
        <f t="shared" si="54"/>
        <v>23727.361989246911</v>
      </c>
      <c r="HT47" s="1">
        <f>IF($B47=Analysis!$C$159,0,IF(HP47 &gt;= 0,
    MAX(0, HQ46 + HP47 - Analysis!$C$7),
    0))</f>
        <v>0</v>
      </c>
      <c r="HU47" s="1">
        <f>IF($B47=Analysis!$C$159,0,MAX(0, HU46 + HT47 - IF(HP47 &lt; 0, MIN(ABS(HP47), HU46 + HT47), 0)))</f>
        <v>667674.87197839515</v>
      </c>
      <c r="HV47" s="1">
        <f>IF($B47=Analysis!$C$159,0,IF(HP47 &lt; 0,
    IF(HP47 + HQ46 &lt; 0,
        MAX(0, HV46 - (ABS(HP47 + HQ46) * (1+$V46))),
        HV46 + HS47),
    HV46 + HT47 + HS47))</f>
        <v>1166864.3633120798</v>
      </c>
      <c r="HW47" s="1">
        <f t="shared" si="58"/>
        <v>1035203.1349728205</v>
      </c>
      <c r="HX47" s="36"/>
    </row>
    <row r="48" spans="1:232" x14ac:dyDescent="0.35">
      <c r="A48">
        <f t="shared" si="0"/>
        <v>81</v>
      </c>
      <c r="B48">
        <v>2071</v>
      </c>
      <c r="C48" s="1">
        <f>IF($B48&lt;Analysis!C$66,0,$AN48)+$AT48+$AW48+$BC48+$CF48+$CA48</f>
        <v>-114838.47214634204</v>
      </c>
      <c r="D48" s="1">
        <f>IF($B48&lt;Analysis!C$66, 0, BV48)+AT48+AW48+BC48+CG48+CA48</f>
        <v>-448617.56628934667</v>
      </c>
      <c r="E48" s="1">
        <f t="shared" si="1"/>
        <v>1573408.6010566838</v>
      </c>
      <c r="F48" s="1">
        <f t="shared" si="9"/>
        <v>1309426.7073312551</v>
      </c>
      <c r="G48" s="1">
        <f>IF(AND($B48&gt;=Analysis!$C$100, $B48&lt;Analysis!$C$101),$CK48,0)+IF($B48&gt;=Analysis!$C$130,EB48,0)+CQ48+CT48+CZ48+EH48+EK48+EQ48+$FO48+$FT48</f>
        <v>2180613.0215023342</v>
      </c>
      <c r="H48" s="1">
        <f t="shared" si="10"/>
        <v>1846833.9273593295</v>
      </c>
      <c r="I48" s="1">
        <f>IF($B48&lt;Analysis!$C$159,0,$FW48)+$GC48+$GF48+$GL48+$HQ48+$HV48</f>
        <v>2695268.7505936092</v>
      </c>
      <c r="J48" s="1">
        <f t="shared" si="59"/>
        <v>2365394.7506589661</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32323.59288577822</v>
      </c>
      <c r="AI48" s="1">
        <f>IF(AE48 &gt;= 0,
    MAX(0, AF47 + AE48 - Analysis!$C$7),
    0)</f>
        <v>0</v>
      </c>
      <c r="AJ48" s="1">
        <f t="shared" si="44"/>
        <v>572529.38314036583</v>
      </c>
      <c r="AK48" s="1">
        <f t="shared" si="20"/>
        <v>1573408.6010566838</v>
      </c>
      <c r="AL48" s="1">
        <f t="shared" si="5"/>
        <v>1309426.7073312551</v>
      </c>
      <c r="AM48" s="36"/>
      <c r="AN48" s="1">
        <f t="shared" si="45"/>
        <v>2617875.2481804285</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-7853.6257445412857</v>
      </c>
      <c r="BF48" s="64">
        <f>IF($B48&lt;Analysis!$C$66,0,Analysis!$C$78)</f>
        <v>3.0000000000000001E-3</v>
      </c>
      <c r="BG48" s="1">
        <f>IF($B48&lt;Analysis!$C$66,0,-BH48*AN48)</f>
        <v>-19634.064361353212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-333779.09414300462</v>
      </c>
      <c r="BS48" s="64">
        <f>IF($B48&lt;Analysis!C$66,0,Analysis!C$31)</f>
        <v>0.1275</v>
      </c>
      <c r="BT48" s="1">
        <f>IF($B48&lt;Analysis!$C$66,0,AN48+BR48)</f>
        <v>2284096.1540374239</v>
      </c>
      <c r="BU48" s="1">
        <f>IF($B48-Analysis!$C$66&gt;3,0,IF($AN48&gt;LOOKUP(Analysis!$C$66,$B:$B, AN:AN),$V48*(LOOKUP(Analysis!$C$66,$B:$B, AN:AN)-AN48),0))</f>
        <v>0</v>
      </c>
      <c r="BV48" s="1">
        <f t="shared" si="23"/>
        <v>2284096.1540374239</v>
      </c>
      <c r="BW48" s="42"/>
      <c r="BX48" s="1">
        <f>IF($B48&lt;Analysis!$C$66,$P48+$N48+$X48+$Z48,$P48+$N48+AS48+AV48+BB48+BE48+BG48+MAX(BI48,SUM(BJ48:BN48))+BP48)</f>
        <v>-79447.690105894493</v>
      </c>
      <c r="BY48" s="1">
        <f t="shared" si="24"/>
        <v>52635.243878608642</v>
      </c>
      <c r="BZ48" s="1">
        <f t="shared" si="46"/>
        <v>-26812.446227285851</v>
      </c>
      <c r="CA48" s="1">
        <f>IF(BZ48 &lt; 0,
    IF(CA47 + BZ48 &gt; 0,
        CA47 + BZ48, IF(CF47-ABS(CA47 + BZ48)*(1+$V48) &gt;= CA47 + BZ48,
        0, CA47 + BZ48)),
    MIN(CA47 + BZ48, Analysis!$C$7))+IF(CA47&lt;0, CA47*Analysis!$C$9,0)</f>
        <v>-2732713.7203267706</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1574519.1710070681</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IF($B48&lt;Analysis!$C$130,0,IF($B48=Analysis!$C$130,Analysis!$D$136,IF(($B48-Analysis!$C$130)&lt;LOOKUP(Analysis!$C$130,$B:$B,EE:EE),EI47,0)))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-437262.22667809436</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1574519.1710070681</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61268.703802558462</v>
      </c>
      <c r="GQ48" s="1">
        <f t="shared" si="36"/>
        <v>-4723.5575130212046</v>
      </c>
      <c r="GR48" s="64">
        <f>IF($B48&lt;Analysis!$C$159,0,Analysis!$C$178)</f>
        <v>3.0000000000000001E-3</v>
      </c>
      <c r="GS48" s="1">
        <f t="shared" si="37"/>
        <v>-11808.89378255301</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-8300</v>
      </c>
      <c r="HC48" s="1">
        <f>-Analysis!$C$177*GN48</f>
        <v>-3943.8859717152945</v>
      </c>
      <c r="HD48" s="1">
        <f t="shared" si="38"/>
        <v>-32736.337267289509</v>
      </c>
      <c r="HE48" s="1">
        <f>MIN(0,-(GN48+HD48)*Analysis!$C$28)-GE48*Analysis!$C$28</f>
        <v>-8795.0072777579771</v>
      </c>
      <c r="HF48" s="1">
        <f>-Analysis!$C$176*GP48/12</f>
        <v>-5105.7253168798716</v>
      </c>
      <c r="HG48" s="38"/>
      <c r="HH48" s="1">
        <f>IF($B48&lt;Analysis!$C$159,0,-$HI48*$FW48)</f>
        <v>-200751.19430340119</v>
      </c>
      <c r="HI48" s="64">
        <f>IF($B48&lt;Analysis!$C$159,0,IF($B48=Analysis!$C$159,Analysis!$C$31,HI47))</f>
        <v>0.1275</v>
      </c>
      <c r="HJ48" s="1">
        <f>IF($B48&lt;Analysis!$C$159,0,$FW48+HH48)</f>
        <v>1373767.9767036668</v>
      </c>
      <c r="HK48" s="1">
        <f>IF($B48-Analysis!$C$159&gt;10,0,IF($FW48&gt;LOOKUP(Analysis!$C$159,$B:$B, FW:FW),$V48*(LOOKUP(Analysis!$C$159,$B:$B, FW:FW)-FW48),0))</f>
        <v>0</v>
      </c>
      <c r="HL48" s="1">
        <f t="shared" si="39"/>
        <v>1373767.9767036668</v>
      </c>
      <c r="HM48" s="38"/>
      <c r="HN48" s="1">
        <f t="shared" si="40"/>
        <v>-150394.37990711277</v>
      </c>
      <c r="HO48" s="1">
        <f t="shared" si="8"/>
        <v>113903.9476811671</v>
      </c>
      <c r="HP48" s="1">
        <f t="shared" si="41"/>
        <v>-36490.432225945668</v>
      </c>
      <c r="HQ48" s="1">
        <f>IF(HP48 &lt; 0,
    IF(HQ47 + HP48 &gt; 0,
        HQ47 + HP48, IF(HV47-ABS(HQ47 + HP48)*(1+$V48) &gt;= HQ47 + HP48,
        0, HQ47 + HP48)),
    MIN(HQ47 + HP48, Analysis!$C$7))+IF(HQ47&lt;0, HQ47*Analysis!$C$9,0)</f>
        <v>0</v>
      </c>
      <c r="HR48" s="38"/>
      <c r="HS48" s="1">
        <f t="shared" si="54"/>
        <v>22879.693398275995</v>
      </c>
      <c r="HT48" s="1">
        <f>IF($B48=Analysis!$C$159,0,IF(HP48 &gt;= 0,
    MAX(0, HQ47 + HP48 - Analysis!$C$7),
    0))</f>
        <v>0</v>
      </c>
      <c r="HU48" s="1">
        <f>IF($B48=Analysis!$C$159,0,MAX(0, HU47 + HT48 - IF(HP48 &lt; 0, MIN(ABS(HP48), HU47 + HT48), 0)))</f>
        <v>631184.43975244951</v>
      </c>
      <c r="HV48" s="1">
        <f>IF($B48=Analysis!$C$159,0,IF(HP48 &lt; 0,
    IF(HP48 + HQ47 &lt; 0,
        MAX(0, HV47 - (ABS(HP48 + HQ47) * (1+$V47))),
        HV47 + HS48),
    HV47 + HT48 + HS48))</f>
        <v>1120749.579586541</v>
      </c>
      <c r="HW48" s="1">
        <f t="shared" si="58"/>
        <v>991626.7739552994</v>
      </c>
      <c r="HX48" s="36"/>
    </row>
    <row r="49" spans="1:232" x14ac:dyDescent="0.35">
      <c r="A49">
        <f t="shared" si="0"/>
        <v>82</v>
      </c>
      <c r="B49">
        <v>2072</v>
      </c>
      <c r="C49" s="1">
        <f>IF($B49&lt;Analysis!C$66,0,$AN49)+$AT49+$AW49+$BC49+$CF49+$CA49</f>
        <v>-285132.85152220773</v>
      </c>
      <c r="D49" s="1">
        <f>IF($B49&lt;Analysis!C$66, 0, BV49)+AT49+AW49+BC49+CG49+CA49</f>
        <v>-628728.97784588905</v>
      </c>
      <c r="E49" s="1">
        <f t="shared" si="1"/>
        <v>1494749.8451622992</v>
      </c>
      <c r="F49" s="1">
        <f t="shared" si="9"/>
        <v>1235097.7813962842</v>
      </c>
      <c r="G49" s="1">
        <f>IF(AND($B49&gt;=Analysis!$C$100, $B49&lt;Analysis!$C$101),$CK49,0)+IF($B49&gt;=Analysis!$C$130,EB49,0)+CQ49+CT49+CZ49+EH49+EK49+EQ49+$FO49+$FT49</f>
        <v>2187217.5826708395</v>
      </c>
      <c r="H49" s="1">
        <f t="shared" si="10"/>
        <v>1843621.4563471579</v>
      </c>
      <c r="I49" s="1">
        <f>IF($B49&lt;Analysis!$C$159,0,$FW49)+$GC49+$GF49+$GL49+$HQ49+$HV49</f>
        <v>2692561.93114514</v>
      </c>
      <c r="J49" s="1">
        <f t="shared" si="59"/>
        <v>2359481.6180288205</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30851.149040327025</v>
      </c>
      <c r="AI49" s="1">
        <f>IF(AE49 &gt;= 0,
    MAX(0, AF48 + AE49 - Analysis!$C$7),
    0)</f>
        <v>0</v>
      </c>
      <c r="AJ49" s="1">
        <f t="shared" si="44"/>
        <v>510287.04415371141</v>
      </c>
      <c r="AK49" s="1">
        <f t="shared" si="20"/>
        <v>1494749.8451622992</v>
      </c>
      <c r="AL49" s="1">
        <f t="shared" si="5"/>
        <v>1235097.7813962842</v>
      </c>
      <c r="AM49" s="36"/>
      <c r="AN49" s="1">
        <f t="shared" si="45"/>
        <v>2694871.5790092652</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-8084.6147370277959</v>
      </c>
      <c r="BF49" s="64">
        <f>IF($B49&lt;Analysis!$C$66,0,Analysis!$C$78)</f>
        <v>3.0000000000000001E-3</v>
      </c>
      <c r="BG49" s="1">
        <f>IF($B49&lt;Analysis!$C$66,0,-BH49*AN49)</f>
        <v>-20211.536842569487</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-343596.12632368132</v>
      </c>
      <c r="BS49" s="64">
        <f>IF($B49&lt;Analysis!C$66,0,Analysis!C$31)</f>
        <v>0.1275</v>
      </c>
      <c r="BT49" s="1">
        <f>IF($B49&lt;Analysis!$C$66,0,AN49+BR49)</f>
        <v>2351275.4526855838</v>
      </c>
      <c r="BU49" s="1">
        <f>IF($B49-Analysis!$C$66&gt;3,0,IF($AN49&gt;LOOKUP(Analysis!$C$66,$B:$B, AN:AN),$V49*(LOOKUP(Analysis!$C$66,$B:$B, AN:AN)-AN49),0))</f>
        <v>0</v>
      </c>
      <c r="BV49" s="1">
        <f t="shared" si="23"/>
        <v>2351275.4526855838</v>
      </c>
      <c r="BW49" s="42"/>
      <c r="BX49" s="1">
        <f>IF($B49&lt;Analysis!$C$66,$P49+$N49+$X49+$Z49,$P49+$N49+AS49+AV49+BB49+BE49+BG49+MAX(BI49,SUM(BJ49:BN49))+BP49)</f>
        <v>-80256.151579597281</v>
      </c>
      <c r="BY49" s="1">
        <f t="shared" si="24"/>
        <v>51582.539001036472</v>
      </c>
      <c r="BZ49" s="1">
        <f t="shared" si="46"/>
        <v>-28673.612578560809</v>
      </c>
      <c r="CA49" s="1">
        <f>IF(BZ49 &lt; 0,
    IF(CA48 + BZ49 &gt; 0,
        CA48 + BZ49, IF(CF48-ABS(CA48 + BZ49)*(1+$V49) &gt;= CA48 + BZ49,
        0, CA48 + BZ49)),
    MIN(CA48 + BZ49, Analysis!$C$7))+IF(CA48&lt;0, CA48*Analysis!$C$9,0)</f>
        <v>-2980004.4305314729</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1620828.5583896292</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IF($B49&lt;Analysis!$C$130,0,IF($B49=Analysis!$C$130,Analysis!$D$136,IF(($B49-Analysis!$C$130)&lt;LOOKUP(Analysis!$C$130,$B:$B,EE:EE),EI48,0)))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-507653.99633842584</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1620828.5583896292</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62954.253914398425</v>
      </c>
      <c r="GQ49" s="1">
        <f t="shared" si="36"/>
        <v>-4862.4856751688876</v>
      </c>
      <c r="GR49" s="64">
        <f>IF($B49&lt;Analysis!$C$159,0,Analysis!$C$178)</f>
        <v>3.0000000000000001E-3</v>
      </c>
      <c r="GS49" s="1">
        <f t="shared" si="37"/>
        <v>-12156.214187922218</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-8300</v>
      </c>
      <c r="HC49" s="1">
        <f>-Analysis!$C$177*GN49</f>
        <v>-4059.8826179422153</v>
      </c>
      <c r="HD49" s="1">
        <f t="shared" si="38"/>
        <v>-33338.582481033322</v>
      </c>
      <c r="HE49" s="1">
        <f>MIN(0,-(GN49+HD49)*Analysis!$C$28)-GE49*Analysis!$C$28</f>
        <v>-9213.4606094567425</v>
      </c>
      <c r="HF49" s="1">
        <f>-Analysis!$C$176*GP49/12</f>
        <v>-5246.1878261998691</v>
      </c>
      <c r="HG49" s="38"/>
      <c r="HH49" s="1">
        <f>IF($B49&lt;Analysis!$C$159,0,-$HI49*$FW49)</f>
        <v>-206655.64119467774</v>
      </c>
      <c r="HI49" s="64">
        <f>IF($B49&lt;Analysis!$C$159,0,IF($B49=Analysis!$C$159,Analysis!$C$31,HI48))</f>
        <v>0.1275</v>
      </c>
      <c r="HJ49" s="1">
        <f>IF($B49&lt;Analysis!$C$159,0,$FW49+HH49)</f>
        <v>1414172.9171949516</v>
      </c>
      <c r="HK49" s="1">
        <f>IF($B49-Analysis!$C$159&gt;10,0,IF($FW49&gt;LOOKUP(Analysis!$C$159,$B:$B, FW:FW),$V49*(LOOKUP(Analysis!$C$159,$B:$B, FW:FW)-FW49),0))</f>
        <v>0</v>
      </c>
      <c r="HL49" s="1">
        <f t="shared" si="39"/>
        <v>1414172.9171949516</v>
      </c>
      <c r="HM49" s="38"/>
      <c r="HN49" s="1">
        <f t="shared" si="40"/>
        <v>-153323.10890438082</v>
      </c>
      <c r="HO49" s="1">
        <f t="shared" si="8"/>
        <v>114536.7929154349</v>
      </c>
      <c r="HP49" s="1">
        <f t="shared" si="41"/>
        <v>-38786.31598894592</v>
      </c>
      <c r="HQ49" s="1">
        <f>IF(HP49 &lt; 0,
    IF(HQ48 + HP49 &gt; 0,
        HQ48 + HP49, IF(HV48-ABS(HQ48 + HP49)*(1+$V49) &gt;= HQ48 + HP49,
        0, HQ48 + HP49)),
    MIN(HQ48 + HP49, Analysis!$C$7))+IF(HQ48&lt;0, HQ48*Analysis!$C$9,0)</f>
        <v>0</v>
      </c>
      <c r="HR49" s="38"/>
      <c r="HS49" s="1">
        <f t="shared" si="54"/>
        <v>21975.481952677197</v>
      </c>
      <c r="HT49" s="1">
        <f>IF($B49=Analysis!$C$159,0,IF(HP49 &gt;= 0,
    MAX(0, HQ48 + HP49 - Analysis!$C$7),
    0))</f>
        <v>0</v>
      </c>
      <c r="HU49" s="1">
        <f>IF($B49=Analysis!$C$159,0,MAX(0, HU48 + HT49 - IF(HP49 &lt; 0, MIN(ABS(HP49), HU48 + HT49), 0)))</f>
        <v>592398.12376350362</v>
      </c>
      <c r="HV49" s="1">
        <f>IF($B49=Analysis!$C$159,0,IF(HP49 &lt; 0,
    IF(HP49 + HQ48 &lt; 0,
        MAX(0, HV48 - (ABS(HP49 + HQ48) * (1+$V48))),
        HV48 + HS49),
    HV48 + HT49 + HS49))</f>
        <v>1071733.3727555107</v>
      </c>
      <c r="HW49" s="1">
        <f t="shared" si="58"/>
        <v>945308.70083386882</v>
      </c>
      <c r="HX49" s="36"/>
    </row>
    <row r="50" spans="1:232" x14ac:dyDescent="0.35">
      <c r="A50">
        <f t="shared" si="0"/>
        <v>83</v>
      </c>
      <c r="B50">
        <v>2073</v>
      </c>
      <c r="C50" s="1">
        <f>IF($B50&lt;Analysis!C$66,0,$AN50)+$AT50+$AW50+$BC50+$CF50+$CA50</f>
        <v>-474809.78028125782</v>
      </c>
      <c r="D50" s="1">
        <f>IF($B50&lt;Analysis!C$66, 0, BV50)+AT50+AW50+BC50+CG50+CA50</f>
        <v>-828511.67502622399</v>
      </c>
      <c r="E50" s="1">
        <f t="shared" si="1"/>
        <v>1412487.8776665181</v>
      </c>
      <c r="F50" s="1">
        <f t="shared" si="9"/>
        <v>1157363.9853333414</v>
      </c>
      <c r="G50" s="1">
        <f>IF(AND($B50&gt;=Analysis!$C$100, $B50&lt;Analysis!$C$101),$CK50,0)+IF($B50&gt;=Analysis!$C$130,EB50,0)+CQ50+CT50+CZ50+EH50+EK50+EQ50+$FO50+$FT50</f>
        <v>2188393.3573777238</v>
      </c>
      <c r="H50" s="1">
        <f t="shared" si="10"/>
        <v>1834691.4626327578</v>
      </c>
      <c r="I50" s="1">
        <f>IF($B50&lt;Analysis!$C$159,0,$FW50)+$GC50+$GF50+$GL50+$HQ50+$HV50</f>
        <v>2688296.1286500804</v>
      </c>
      <c r="J50" s="1">
        <f t="shared" si="59"/>
        <v>2351996.6320887082</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29308.820493378313</v>
      </c>
      <c r="AI50" s="1">
        <f>IF(AE50 &gt;= 0,
    MAX(0, AF49 + AE50 - Analysis!$C$7),
    0)</f>
        <v>0</v>
      </c>
      <c r="AJ50" s="1">
        <f t="shared" si="44"/>
        <v>445193.49915210414</v>
      </c>
      <c r="AK50" s="1">
        <f t="shared" si="20"/>
        <v>1412487.8776665181</v>
      </c>
      <c r="AL50" s="1">
        <f t="shared" si="5"/>
        <v>1157363.9853333414</v>
      </c>
      <c r="AM50" s="36"/>
      <c r="AN50" s="1">
        <f t="shared" si="45"/>
        <v>2774132.5078036557</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-8322.3975234109676</v>
      </c>
      <c r="BF50" s="64">
        <f>IF($B50&lt;Analysis!$C$66,0,Analysis!$C$78)</f>
        <v>3.0000000000000001E-3</v>
      </c>
      <c r="BG50" s="1">
        <f>IF($B50&lt;Analysis!$C$66,0,-BH50*AN50)</f>
        <v>-20805.993808527415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-353701.89474496612</v>
      </c>
      <c r="BS50" s="64">
        <f>IF($B50&lt;Analysis!C$66,0,Analysis!C$31)</f>
        <v>0.1275</v>
      </c>
      <c r="BT50" s="1">
        <f>IF($B50&lt;Analysis!$C$66,0,AN50+BR50)</f>
        <v>2420430.6130586895</v>
      </c>
      <c r="BU50" s="1">
        <f>IF($B50-Analysis!$C$66&gt;3,0,IF($AN50&gt;LOOKUP(Analysis!$C$66,$B:$B, AN:AN),$V50*(LOOKUP(Analysis!$C$66,$B:$B, AN:AN)-AN50),0))</f>
        <v>0</v>
      </c>
      <c r="BV50" s="1">
        <f t="shared" si="23"/>
        <v>2420430.6130586895</v>
      </c>
      <c r="BW50" s="42"/>
      <c r="BX50" s="1">
        <f>IF($B50&lt;Analysis!$C$66,$P50+$N50+$X50+$Z50,$P50+$N50+AS50+AV50+BB50+BE50+BG50+MAX(BI50,SUM(BJ50:BN50))+BP50)</f>
        <v>-81088.391331938386</v>
      </c>
      <c r="BY50" s="1">
        <f t="shared" si="24"/>
        <v>50550.888221015739</v>
      </c>
      <c r="BZ50" s="1">
        <f t="shared" si="46"/>
        <v>-30537.503110922647</v>
      </c>
      <c r="CA50" s="1">
        <f>IF(BZ50 &lt; 0,
    IF(CA49 + BZ50 &gt; 0,
        CA49 + BZ50, IF(CF49-ABS(CA49 + BZ50)*(1+$V50) &gt;= CA49 + BZ50,
        0, CA49 + BZ50)),
    MIN(CA49 + BZ50, Analysis!$C$7))+IF(CA49&lt;0, CA49*Analysis!$C$9,0)</f>
        <v>-3248942.2880849135</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1668499.9865775597</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IF($B50&lt;Analysis!$C$130,0,IF($B50=Analysis!$C$130,Analysis!$D$136,IF(($B50-Analysis!$C$130)&lt;LOOKUP(Analysis!$C$130,$B:$B,EE:EE),EI49,0)))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-585739.15042593167</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1668499.9865775597</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64689.379029527801</v>
      </c>
      <c r="GQ50" s="1">
        <f t="shared" si="36"/>
        <v>-5005.4999597326796</v>
      </c>
      <c r="GR50" s="64">
        <f>IF($B50&lt;Analysis!$C$159,0,Analysis!$C$178)</f>
        <v>3.0000000000000001E-3</v>
      </c>
      <c r="GS50" s="1">
        <f t="shared" si="37"/>
        <v>-12513.749899331697</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-8300</v>
      </c>
      <c r="HC50" s="1">
        <f>-Analysis!$C$177*GN50</f>
        <v>-4179.2909302346334</v>
      </c>
      <c r="HD50" s="1">
        <f t="shared" si="38"/>
        <v>-33958.540789299012</v>
      </c>
      <c r="HE50" s="1">
        <f>MIN(0,-(GN50+HD50)*Analysis!$C$28)-GE50*Analysis!$C$28</f>
        <v>-9644.2213920878239</v>
      </c>
      <c r="HF50" s="1">
        <f>-Analysis!$C$176*GP50/12</f>
        <v>-5390.7815857939831</v>
      </c>
      <c r="HG50" s="38"/>
      <c r="HH50" s="1">
        <f>IF($B50&lt;Analysis!$C$159,0,-$HI50*$FW50)</f>
        <v>-212733.74828863886</v>
      </c>
      <c r="HI50" s="64">
        <f>IF($B50&lt;Analysis!$C$159,0,IF($B50=Analysis!$C$159,Analysis!$C$31,HI49))</f>
        <v>0.1275</v>
      </c>
      <c r="HJ50" s="1">
        <f>IF($B50&lt;Analysis!$C$159,0,$FW50+HH50)</f>
        <v>1455766.2382889208</v>
      </c>
      <c r="HK50" s="1">
        <f>IF($B50-Analysis!$C$159&gt;10,0,IF($FW50&gt;LOOKUP(Analysis!$C$159,$B:$B, FW:FW),$V50*(LOOKUP(Analysis!$C$159,$B:$B, FW:FW)-FW50),0))</f>
        <v>0</v>
      </c>
      <c r="HL50" s="1">
        <f t="shared" si="39"/>
        <v>1455766.2382889208</v>
      </c>
      <c r="HM50" s="38"/>
      <c r="HN50" s="1">
        <f t="shared" si="40"/>
        <v>-156337.97698980378</v>
      </c>
      <c r="HO50" s="1">
        <f t="shared" si="8"/>
        <v>115240.26725054355</v>
      </c>
      <c r="HP50" s="1">
        <f t="shared" si="41"/>
        <v>-41097.70973926023</v>
      </c>
      <c r="HQ50" s="1">
        <f>IF(HP50 &lt; 0,
    IF(HQ49 + HP50 &gt; 0,
        HQ49 + HP50, IF(HV49-ABS(HQ49 + HP50)*(1+$V50) &gt;= HQ49 + HP50,
        0, HQ49 + HP50)),
    MIN(HQ49 + HP50, Analysis!$C$7))+IF(HQ49&lt;0, HQ49*Analysis!$C$9,0)</f>
        <v>0</v>
      </c>
      <c r="HR50" s="38"/>
      <c r="HS50" s="1">
        <f t="shared" si="54"/>
        <v>21014.379857951117</v>
      </c>
      <c r="HT50" s="1">
        <f>IF($B50=Analysis!$C$159,0,IF(HP50 &gt;= 0,
    MAX(0, HQ49 + HP50 - Analysis!$C$7),
    0))</f>
        <v>0</v>
      </c>
      <c r="HU50" s="1">
        <f>IF($B50=Analysis!$C$159,0,MAX(0, HU49 + HT50 - IF(HP50 &lt; 0, MIN(ABS(HP50), HU49 + HT50), 0)))</f>
        <v>551300.41402424336</v>
      </c>
      <c r="HV50" s="1">
        <f>IF($B50=Analysis!$C$159,0,IF(HP50 &lt; 0,
    IF(HP50 + HQ49 &lt; 0,
        MAX(0, HV49 - (ABS(HP50 + HQ49) * (1+$V49))),
        HV49 + HS50),
    HV49 + HT50 + HS50))</f>
        <v>1019796.1420725206</v>
      </c>
      <c r="HW50" s="1">
        <f t="shared" si="58"/>
        <v>896230.3937997875</v>
      </c>
      <c r="HX50" s="36"/>
    </row>
    <row r="51" spans="1:232" x14ac:dyDescent="0.35">
      <c r="A51">
        <f t="shared" si="0"/>
        <v>84</v>
      </c>
      <c r="B51">
        <v>2074</v>
      </c>
      <c r="C51" s="1">
        <f>IF($B51&lt;Analysis!C$66,0,$AN51)+$AT51+$AW51+$BC51+$CF51+$CA51</f>
        <v>-685538.26901304908</v>
      </c>
      <c r="D51" s="1">
        <f>IF($B51&lt;Analysis!C$66, 0, BV51)+AT51+AW51+BC51+CG51+CA51</f>
        <v>-1049643.160662279</v>
      </c>
      <c r="E51" s="1">
        <f t="shared" si="1"/>
        <v>1326581.1422802128</v>
      </c>
      <c r="F51" s="1">
        <f t="shared" si="9"/>
        <v>1076186.0503502677</v>
      </c>
      <c r="G51" s="1">
        <f>IF(AND($B51&gt;=Analysis!$C$100, $B51&lt;Analysis!$C$101),$CK51,0)+IF($B51&gt;=Analysis!$C$130,EB51,0)+CQ51+CT51+CZ51+EH51+EK51+EQ51+$FO51+$FT51</f>
        <v>2183581.8080576863</v>
      </c>
      <c r="H51" s="1">
        <f t="shared" si="10"/>
        <v>1819476.9164084564</v>
      </c>
      <c r="I51" s="1">
        <f>IF($B51&lt;Analysis!$C$159,0,$FW51)+$GC51+$GF51+$GL51+$HQ51+$HV51</f>
        <v>2682489.9111885615</v>
      </c>
      <c r="J51" s="1">
        <f t="shared" si="59"/>
        <v>2342954.4363058247</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27695.84073855908</v>
      </c>
      <c r="AI51" s="1">
        <f>IF(AE51 &gt;= 0,
    MAX(0, AF50 + AE51 - Analysis!$C$7),
    0)</f>
        <v>0</v>
      </c>
      <c r="AJ51" s="1">
        <f t="shared" si="44"/>
        <v>377215.86482070532</v>
      </c>
      <c r="AK51" s="1">
        <f t="shared" si="20"/>
        <v>1326581.1422802128</v>
      </c>
      <c r="AL51" s="1">
        <f t="shared" si="5"/>
        <v>1076186.0503502677</v>
      </c>
      <c r="AM51" s="36"/>
      <c r="AN51" s="1">
        <f t="shared" si="45"/>
        <v>2855724.6403861167</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-8567.1739211583499</v>
      </c>
      <c r="BF51" s="64">
        <f>IF($B51&lt;Analysis!$C$66,0,Analysis!$C$78)</f>
        <v>3.0000000000000001E-3</v>
      </c>
      <c r="BG51" s="1">
        <f>IF($B51&lt;Analysis!$C$66,0,-BH51*AN51)</f>
        <v>-21417.934802895874</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-364104.89164922986</v>
      </c>
      <c r="BS51" s="64">
        <f>IF($B51&lt;Analysis!C$66,0,Analysis!C$31)</f>
        <v>0.1275</v>
      </c>
      <c r="BT51" s="1">
        <f>IF($B51&lt;Analysis!$C$66,0,AN51+BR51)</f>
        <v>2491619.7487368868</v>
      </c>
      <c r="BU51" s="1">
        <f>IF($B51-Analysis!$C$66&gt;3,0,IF($AN51&gt;LOOKUP(Analysis!$C$66,$B:$B, AN:AN),$V51*(LOOKUP(Analysis!$C$66,$B:$B, AN:AN)-AN51),0))</f>
        <v>0</v>
      </c>
      <c r="BV51" s="1">
        <f t="shared" si="23"/>
        <v>2491619.7487368868</v>
      </c>
      <c r="BW51" s="42"/>
      <c r="BX51" s="1">
        <f>IF($B51&lt;Analysis!$C$66,$P51+$N51+$X51+$Z51,$P51+$N51+AS51+AV51+BB51+BE51+BG51+MAX(BI51,SUM(BJ51:BN51))+BP51)</f>
        <v>-81945.108724054226</v>
      </c>
      <c r="BY51" s="1">
        <f t="shared" si="24"/>
        <v>49539.870456595425</v>
      </c>
      <c r="BZ51" s="1">
        <f t="shared" si="46"/>
        <v>-32405.238267458801</v>
      </c>
      <c r="CA51" s="1">
        <f>IF(BZ51 &lt; 0,
    IF(CA50 + BZ51 &gt; 0,
        CA50 + BZ51, IF(CF50-ABS(CA50 + BZ51)*(1+$V51) &gt;= CA50 + BZ51,
        0, CA50 + BZ51)),
    MIN(CA50 + BZ51, Analysis!$C$7))+IF(CA50&lt;0, CA50*Analysis!$C$9,0)</f>
        <v>-3541262.9093991658</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1717573.5155945469</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IF($B51&lt;Analysis!$C$130,0,IF($B51=Analysis!$C$130,Analysis!$D$136,IF(($B51-Analysis!$C$130)&lt;LOOKUP(Analysis!$C$130,$B:$B,EE:EE),EI50,0)))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-672142.83232843026</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1717573.5155945469</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66475.537236278629</v>
      </c>
      <c r="GQ51" s="1">
        <f t="shared" si="36"/>
        <v>-5152.7205467836411</v>
      </c>
      <c r="GR51" s="64">
        <f>IF($B51&lt;Analysis!$C$159,0,Analysis!$C$178)</f>
        <v>3.0000000000000001E-3</v>
      </c>
      <c r="GS51" s="1">
        <f t="shared" si="37"/>
        <v>-12881.801366959102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-8300</v>
      </c>
      <c r="HC51" s="1">
        <f>-Analysis!$C$177*GN51</f>
        <v>-4302.2112517121232</v>
      </c>
      <c r="HD51" s="1">
        <f t="shared" si="38"/>
        <v>-34596.733165454862</v>
      </c>
      <c r="HE51" s="1">
        <f>MIN(0,-(GN51+HD51)*Analysis!$C$28)-GE51*Analysis!$C$28</f>
        <v>-10087.651609502176</v>
      </c>
      <c r="HF51" s="1">
        <f>-Analysis!$C$176*GP51/12</f>
        <v>-5539.6281030232194</v>
      </c>
      <c r="HG51" s="38"/>
      <c r="HH51" s="1">
        <f>IF($B51&lt;Analysis!$C$159,0,-$HI51*$FW51)</f>
        <v>-218990.62323830475</v>
      </c>
      <c r="HI51" s="64">
        <f>IF($B51&lt;Analysis!$C$159,0,IF($B51=Analysis!$C$159,Analysis!$C$31,HI50))</f>
        <v>0.1275</v>
      </c>
      <c r="HJ51" s="1">
        <f>IF($B51&lt;Analysis!$C$159,0,$FW51+HH51)</f>
        <v>1498582.8923562421</v>
      </c>
      <c r="HK51" s="1">
        <f>IF($B51-Analysis!$C$159&gt;10,0,IF($FW51&gt;LOOKUP(Analysis!$C$159,$B:$B, FW:FW),$V51*(LOOKUP(Analysis!$C$159,$B:$B, FW:FW)-FW51),0))</f>
        <v>0</v>
      </c>
      <c r="HL51" s="1">
        <f t="shared" si="39"/>
        <v>1498582.8923562421</v>
      </c>
      <c r="HM51" s="38"/>
      <c r="HN51" s="1">
        <f t="shared" si="40"/>
        <v>-159441.51766597453</v>
      </c>
      <c r="HO51" s="1">
        <f t="shared" si="8"/>
        <v>116015.40769287405</v>
      </c>
      <c r="HP51" s="1">
        <f t="shared" si="41"/>
        <v>-43426.10997310048</v>
      </c>
      <c r="HQ51" s="1">
        <f>IF(HP51 &lt; 0,
    IF(HQ50 + HP51 &gt; 0,
        HQ50 + HP51, IF(HV50-ABS(HQ50 + HP51)*(1+$V51) &gt;= HQ50 + HP51,
        0, HQ50 + HP51)),
    MIN(HQ50 + HP51, Analysis!$C$7))+IF(HQ50&lt;0, HQ50*Analysis!$C$9,0)</f>
        <v>0</v>
      </c>
      <c r="HR51" s="38"/>
      <c r="HS51" s="1">
        <f t="shared" si="54"/>
        <v>19996.002785735625</v>
      </c>
      <c r="HT51" s="1">
        <f>IF($B51=Analysis!$C$159,0,IF(HP51 &gt;= 0,
    MAX(0, HQ50 + HP51 - Analysis!$C$7),
    0))</f>
        <v>0</v>
      </c>
      <c r="HU51" s="1">
        <f>IF($B51=Analysis!$C$159,0,MAX(0, HU50 + HT51 - IF(HP51 &lt; 0, MIN(ABS(HP51), HU50 + HT51), 0)))</f>
        <v>507874.30405114288</v>
      </c>
      <c r="HV51" s="1">
        <f>IF($B51=Analysis!$C$159,0,IF(HP51 &lt; 0,
    IF(HP51 + HQ50 &lt; 0,
        MAX(0, HV50 - (ABS(HP51 + HQ50) * (1+$V50))),
        HV50 + HS51),
    HV50 + HT51 + HS51))</f>
        <v>964916.39559401479</v>
      </c>
      <c r="HW51" s="1">
        <f t="shared" si="58"/>
        <v>844371.54394958238</v>
      </c>
      <c r="HX51" s="36"/>
    </row>
    <row r="52" spans="1:232" x14ac:dyDescent="0.35">
      <c r="A52">
        <f t="shared" si="0"/>
        <v>85</v>
      </c>
      <c r="B52">
        <v>2075</v>
      </c>
      <c r="C52" s="1">
        <f>IF($B52&lt;Analysis!C$66,0,$AN52)+$AT52+$AW52+$BC52+$CF52+$CA52</f>
        <v>-919125.35121621797</v>
      </c>
      <c r="D52" s="1">
        <f>IF($B52&lt;Analysis!C$66, 0, BV52)+AT52+AW52+BC52+CG52+CA52</f>
        <v>-1293939.2102668956</v>
      </c>
      <c r="E52" s="1">
        <f t="shared" si="1"/>
        <v>1236985.5720600046</v>
      </c>
      <c r="F52" s="1">
        <f t="shared" si="9"/>
        <v>991522.33520149114</v>
      </c>
      <c r="G52" s="1">
        <f>IF(AND($B52&gt;=Analysis!$C$100, $B52&lt;Analysis!$C$101),$CK52,0)+IF($B52&gt;=Analysis!$C$130,EB52,0)+CQ52+CT52+CZ52+EH52+EK52+EQ52+$FO52+$FT52</f>
        <v>2172175.0406662417</v>
      </c>
      <c r="H52" s="1">
        <f t="shared" si="10"/>
        <v>1797361.181615564</v>
      </c>
      <c r="I52" s="1">
        <f>IF($B52&lt;Analysis!$C$159,0,$FW52)+$GC52+$GF52+$GL52+$HQ52+$HV52</f>
        <v>2675161.1045502662</v>
      </c>
      <c r="J52" s="1">
        <f t="shared" si="59"/>
        <v>2332368.887348637</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26011.394946670749</v>
      </c>
      <c r="AI52" s="1">
        <f>IF(AE52 &gt;= 0,
    MAX(0, AF51 + AE52 - Analysis!$C$7),
    0)</f>
        <v>0</v>
      </c>
      <c r="AJ52" s="1">
        <f t="shared" si="44"/>
        <v>306319.27117464528</v>
      </c>
      <c r="AK52" s="1">
        <f t="shared" si="20"/>
        <v>1236985.5720600046</v>
      </c>
      <c r="AL52" s="1">
        <f t="shared" si="5"/>
        <v>991522.33520149114</v>
      </c>
      <c r="AM52" s="36"/>
      <c r="AN52" s="1">
        <f t="shared" si="45"/>
        <v>2939716.541573944</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-8819.1496247218329</v>
      </c>
      <c r="BF52" s="64">
        <f>IF($B52&lt;Analysis!$C$66,0,Analysis!$C$78)</f>
        <v>3.0000000000000001E-3</v>
      </c>
      <c r="BG52" s="1">
        <f>IF($B52&lt;Analysis!$C$66,0,-BH52*AN52)</f>
        <v>-22047.874061804578</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-374813.85905067786</v>
      </c>
      <c r="BS52" s="64">
        <f>IF($B52&lt;Analysis!C$66,0,Analysis!C$31)</f>
        <v>0.1275</v>
      </c>
      <c r="BT52" s="1">
        <f>IF($B52&lt;Analysis!$C$66,0,AN52+BR52)</f>
        <v>2564902.6825232664</v>
      </c>
      <c r="BU52" s="1">
        <f>IF($B52-Analysis!$C$66&gt;3,0,IF($AN52&gt;LOOKUP(Analysis!$C$66,$B:$B, AN:AN),$V52*(LOOKUP(Analysis!$C$66,$B:$B, AN:AN)-AN52),0))</f>
        <v>0</v>
      </c>
      <c r="BV52" s="1">
        <f t="shared" si="23"/>
        <v>2564902.6825232664</v>
      </c>
      <c r="BW52" s="42"/>
      <c r="BX52" s="1">
        <f>IF($B52&lt;Analysis!$C$66,$P52+$N52+$X52+$Z52,$P52+$N52+AS52+AV52+BB52+BE52+BG52+MAX(BI52,SUM(BJ52:BN52))+BP52)</f>
        <v>-82827.023686526401</v>
      </c>
      <c r="BY52" s="1">
        <f t="shared" si="24"/>
        <v>48549.073047463513</v>
      </c>
      <c r="BZ52" s="1">
        <f t="shared" si="46"/>
        <v>-34277.950639062889</v>
      </c>
      <c r="CA52" s="1">
        <f>IF(BZ52 &lt; 0,
    IF(CA51 + BZ52 &gt; 0,
        CA51 + BZ52, IF(CF51-ABS(CA51 + BZ52)*(1+$V52) &gt;= CA51 + BZ52,
        0, CA51 + BZ52)),
    MIN(CA51 + BZ52, Analysis!$C$7))+IF(CA51&lt;0, CA51*Analysis!$C$9,0)</f>
        <v>-3858841.892790162</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1768090.383700269</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IF($B52&lt;Analysis!$C$130,0,IF($B52=Analysis!$C$130,Analysis!$D$136,IF(($B52-Analysis!$C$130)&lt;LOOKUP(Analysis!$C$130,$B:$B,EE:EE),EI51,0)))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-767541.50090770237</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1768090.383700269</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68314.22950793388</v>
      </c>
      <c r="GQ52" s="1">
        <f t="shared" si="36"/>
        <v>-5304.2711511008074</v>
      </c>
      <c r="GR52" s="64">
        <f>IF($B52&lt;Analysis!$C$159,0,Analysis!$C$178)</f>
        <v>3.0000000000000001E-3</v>
      </c>
      <c r="GS52" s="1">
        <f t="shared" si="37"/>
        <v>-13260.677877752018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-8300</v>
      </c>
      <c r="HC52" s="1">
        <f>-Analysis!$C$177*GN52</f>
        <v>-4428.7468767624805</v>
      </c>
      <c r="HD52" s="1">
        <f t="shared" si="38"/>
        <v>-35253.695905615306</v>
      </c>
      <c r="HE52" s="1">
        <f>MIN(0,-(GN52+HD52)*Analysis!$C$28)-GE52*Analysis!$C$28</f>
        <v>-10544.123892134594</v>
      </c>
      <c r="HF52" s="1">
        <f>-Analysis!$C$176*GP52/12</f>
        <v>-5692.85245899449</v>
      </c>
      <c r="HG52" s="38"/>
      <c r="HH52" s="1">
        <f>IF($B52&lt;Analysis!$C$159,0,-$HI52*$FW52)</f>
        <v>-225431.5239217843</v>
      </c>
      <c r="HI52" s="64">
        <f>IF($B52&lt;Analysis!$C$159,0,IF($B52=Analysis!$C$159,Analysis!$C$31,HI51))</f>
        <v>0.1275</v>
      </c>
      <c r="HJ52" s="1">
        <f>IF($B52&lt;Analysis!$C$159,0,$FW52+HH52)</f>
        <v>1542658.8597784848</v>
      </c>
      <c r="HK52" s="1">
        <f>IF($B52-Analysis!$C$159&gt;10,0,IF($FW52&gt;LOOKUP(Analysis!$C$159,$B:$B, FW:FW),$V52*(LOOKUP(Analysis!$C$159,$B:$B, FW:FW)-FW52),0))</f>
        <v>0</v>
      </c>
      <c r="HL52" s="1">
        <f t="shared" si="39"/>
        <v>1542658.8597784848</v>
      </c>
      <c r="HM52" s="38"/>
      <c r="HN52" s="1">
        <f t="shared" si="40"/>
        <v>-162636.33895026788</v>
      </c>
      <c r="HO52" s="1">
        <f t="shared" si="8"/>
        <v>116863.30255539739</v>
      </c>
      <c r="HP52" s="1">
        <f t="shared" si="41"/>
        <v>-45773.036394870491</v>
      </c>
      <c r="HQ52" s="1">
        <f>IF(HP52 &lt; 0,
    IF(HQ51 + HP52 &gt; 0,
        HQ51 + HP52, IF(HV51-ABS(HQ51 + HP52)*(1+$V52) &gt;= HQ51 + HP52,
        0, HQ51 + HP52)),
    MIN(HQ51 + HP52, Analysis!$C$7))+IF(HQ51&lt;0, HQ51*Analysis!$C$9,0)</f>
        <v>0</v>
      </c>
      <c r="HR52" s="38"/>
      <c r="HS52" s="1">
        <f t="shared" si="54"/>
        <v>18919.92932537277</v>
      </c>
      <c r="HT52" s="1">
        <f>IF($B52=Analysis!$C$159,0,IF(HP52 &gt;= 0,
    MAX(0, HQ51 + HP52 - Analysis!$C$7),
    0))</f>
        <v>0</v>
      </c>
      <c r="HU52" s="1">
        <f>IF($B52=Analysis!$C$159,0,MAX(0, HU51 + HT52 - IF(HP52 &lt; 0, MIN(ABS(HP52), HU51 + HT52), 0)))</f>
        <v>462101.26765627239</v>
      </c>
      <c r="HV52" s="1">
        <f>IF($B52=Analysis!$C$159,0,IF(HP52 &lt; 0,
    IF(HP52 + HQ51 &lt; 0,
        MAX(0, HV51 - (ABS(HP52 + HQ51) * (1+$V51))),
        HV51 + HS52),
    HV51 + HT52 + HS52))</f>
        <v>907070.72084999725</v>
      </c>
      <c r="HW52" s="1">
        <f t="shared" si="58"/>
        <v>789710.02757015231</v>
      </c>
      <c r="HX52" s="36"/>
    </row>
  </sheetData>
  <pageMargins left="0.7" right="0.7" top="0.75" bottom="0.75" header="0.3" footer="0.3"/>
  <headerFooter>
    <oddFooter>&amp;R_x000D_&amp;1#&amp;"Calibri"&amp;22&amp;KFF8939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E6B1D-70C7-4E4A-A59C-9CCEEA73FACB}">
  <dimension ref="A1:HX52"/>
  <sheetViews>
    <sheetView zoomScale="70" zoomScaleNormal="70" workbookViewId="0">
      <pane xSplit="2" ySplit="1" topLeftCell="DV2" activePane="bottomRight" state="frozen"/>
      <selection activeCell="CJ1" sqref="CJ1:CJ1048576"/>
      <selection pane="topRight" activeCell="CJ1" sqref="CJ1:CJ1048576"/>
      <selection pane="bottomLeft" activeCell="CJ1" sqref="CJ1:CJ1048576"/>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-308531.4140753345</v>
      </c>
      <c r="D2" s="1">
        <f>IF($B2&lt;Analysis!C$66, 0, BV2)+AT2+AW2+BC2+CG2+CA2</f>
        <v>-371006.4140753345</v>
      </c>
      <c r="E2" s="1">
        <f t="shared" ref="E2:E52" si="1">AK2+AF2</f>
        <v>52939.215686274518</v>
      </c>
      <c r="F2" s="1">
        <f>AL2+AF2</f>
        <v>52401.372549019608</v>
      </c>
      <c r="G2" s="1">
        <f>IF(AND($B2&gt;=Analysis!$C$100, $B2&lt;Analysis!$C$101),$CK2,0)+IF($B2&gt;=Analysis!$C$130,EB2,0)+CQ2+CT2+CZ2+EH2+EK2+EQ2+$FO2+$FT2</f>
        <v>-167079.10088523824</v>
      </c>
      <c r="H2" s="1">
        <f>$DZ2+FJ2+CQ2+CT2+CZ2+EH2+EK2+EQ2+$FO2+$FU2</f>
        <v>-208338.10088523824</v>
      </c>
      <c r="I2" s="1">
        <f>IF($B2&lt;Analysis!$C$159,0,$FW2)+$GC2+$GF2+$GL2+$HQ2+$HV2</f>
        <v>-167079.10088523824</v>
      </c>
      <c r="J2" s="1">
        <f t="shared" ref="J2:J33" si="2">$HL2+$GC2+$GF2+$GL2+$HQ2+$HW2</f>
        <v>-208338.10088523824</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Analysis!$B65</f>
        <v>490000</v>
      </c>
      <c r="AO2" s="64">
        <f>((1+Analysis!$C$75)/(1+$S2))-1</f>
        <v>2.941176470588247E-2</v>
      </c>
      <c r="AP2" s="1">
        <f>IF($B2=Analysis!$C$66,(AN2*(1+Analysis!$C$23+Analysis!$C$24+Analysis!$C$25))-IF($B2=$B$2,(Analysis!$C$6-Analysis!$C$7+Analysis!$C$68), ($CG1-Analysis!$C$7+AY2)),0)</f>
        <v>470693.00000000012</v>
      </c>
      <c r="AQ2" s="65">
        <f>IF($B2=Analysis!$C$66,NPER(AU2,-AX2,-AP2),0)</f>
        <v>28.826407404605146</v>
      </c>
      <c r="AR2" s="64">
        <f>IF($B2=Analysis!$C$66,Analysis!$C$73,0)</f>
        <v>0.02</v>
      </c>
      <c r="AS2" s="1">
        <f>IF($B2&lt;Analysis!$C$66,0,IF($B2=Analysis!$C$66,-AP2*AR2,IF(AX2&gt;=0,0,AX2-AV2)))</f>
        <v>-9413.8600000000024</v>
      </c>
      <c r="AT2" s="1">
        <f>IF($B2&lt;Analysis!$C$66,0,IF($B2=Analysis!$C$66,-AP2-AS2,MIN(0,AT1-AS2)))</f>
        <v>-461279.14000000013</v>
      </c>
      <c r="AU2" s="64">
        <f>IF($B2&lt;Analysis!$C$66,0,IF($B2=Analysis!$C$66,Analysis!$C$72,IF(($B2-Analysis!$C$66)&lt;LOOKUP(Analysis!$C$66,$B:$B,AQ:AQ),AU1,0)))</f>
        <v>3.6999999999999998E-2</v>
      </c>
      <c r="AV2" s="1">
        <f>IF($B2&lt;Analysis!$C$66,0,IF($B2=Analysis!$C$66,-AU2*AP2,AU1*AT1))</f>
        <v>-17415.641000000003</v>
      </c>
      <c r="AW2" s="1">
        <f>IF($B2&lt;Analysis!$C$66,0,IF($B2=Analysis!$C$66,PMT(AU2,AQ2,AP2)*AQ2-AX2-AT2,IF(($B2-Analysis!$C$66+1)&lt;LOOKUP(Analysis!$C$66,$B:$B,AQ:AQ),IF(AW1-AV2&lt;0, AW1-AV2,0),0)))</f>
        <v>-285289.48528826016</v>
      </c>
      <c r="AX2" s="1">
        <f>IF($B2&lt;Analysis!$C$66,0,IF($B2=Analysis!$C$66,AS2+AV2,IF(AT1&lt;0,IF(AT1&gt;LOOKUP(Analysis!$C$66,$B:$B,AX:AX), AT1*(1+AU1),AX1),0)))</f>
        <v>-26829.501000000004</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-1470</v>
      </c>
      <c r="BF2" s="64">
        <f>IF($B2&lt;Analysis!$C$66,0,Analysis!$C$78)</f>
        <v>3.0000000000000001E-3</v>
      </c>
      <c r="BG2" s="1">
        <f>IF($B2&lt;Analysis!$C$66,0,-BH2*AN2)</f>
        <v>-3675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-62475</v>
      </c>
      <c r="BS2" s="64">
        <f>IF($B2&lt;Analysis!C$66,0,Analysis!C$31)</f>
        <v>0.1275</v>
      </c>
      <c r="BT2" s="1">
        <f>IF($B2&lt;Analysis!$C$66,0,AN2+BR2)</f>
        <v>427525</v>
      </c>
      <c r="BU2" s="1">
        <f>IF($B2-Analysis!$C$66&gt;3,0,IF($AN2&gt;LOOKUP(Analysis!$C$66,$B:$B, AN:AN),$V2*(LOOKUP(Analysis!$C$66,$B:$B, AN:AN)-AN2),0))</f>
        <v>0</v>
      </c>
      <c r="BV2" s="1">
        <f>BT2+BU2</f>
        <v>427525</v>
      </c>
      <c r="BW2" s="42"/>
      <c r="BX2" s="1">
        <f>IF($B2&lt;Analysis!$C$66,$P2+$N2+$X2+$Z2,$P2+$N2+AS2+AV2+BB2+BE2+BG2+MAX(BI2,SUM(BJ2:BN2))+BP2)</f>
        <v>-68107.329778707426</v>
      </c>
      <c r="BY2" s="1">
        <f>$M2+$R2</f>
        <v>46800</v>
      </c>
      <c r="BZ2" s="1">
        <f>BY2+BX2</f>
        <v>-21307.329778707426</v>
      </c>
      <c r="CA2" s="1">
        <f>IF(BZ2&lt;0,Analysis!$C$7+BZ2,Analysis!$C$7)</f>
        <v>2692.6702212925738</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Analysis!$B$97</f>
        <v>323600</v>
      </c>
      <c r="CL2" s="64">
        <f>((1+Analysis!$C$112)/(1+$S2))-1</f>
        <v>2.941176470588247E-2</v>
      </c>
      <c r="CM2" s="1">
        <f>IF($B2=Analysis!$C$100,(CK2*(1+Analysis!$C$23+Analysis!$C$24+Analysis!$C$25))-IF($B2=$B$2,(Analysis!$C$6-Analysis!$C$7+Analysis!$C$105), (FU1-Analysis!$C$7+CV2)),0)</f>
        <v>285040.52</v>
      </c>
      <c r="CN2" s="65">
        <f>IF($B2=Analysis!$C$100,NPER(CR2,-CU2,-CM2),0)</f>
        <v>28.826407404605146</v>
      </c>
      <c r="CO2" s="64">
        <f>IF($B2=Analysis!$C$100,Analysis!$C$103,0)</f>
        <v>0.02</v>
      </c>
      <c r="CP2" s="1">
        <f>IF(OR($B2&lt;Analysis!$C$100, $B2&gt;=Analysis!$C$101),0,IF($B2=Analysis!$C$100,-CM2*CO2,IF(CU2&gt;=0,0,CU2-CS2)))</f>
        <v>-5700.8104000000003</v>
      </c>
      <c r="CQ2" s="1">
        <f>IF(OR($B2&lt;Analysis!$C$100, $B2&gt;=Analysis!$C$101),0,IF($B2=Analysis!$C$100,-CM2-CP2,MIN(0,CQ1-CP2)))</f>
        <v>-279339.7096</v>
      </c>
      <c r="CR2" s="64">
        <f>IF(OR($B2&lt;Analysis!$C$100, $B2&gt;=Analysis!$C$101),0,IF($B2=Analysis!$C$100,Analysis!$C$102,IF(($B2-Analysis!$C$100)&lt;LOOKUP(Analysis!$C$100,$B:$B,CN:CN),CR1,0)))</f>
        <v>3.6999999999999998E-2</v>
      </c>
      <c r="CS2" s="1">
        <f>IF(OR($B2&lt;Analysis!$C$100, $B2&gt;=Analysis!$C$101),0,IF($B2=Analysis!$C$100,-CR2*CM2,CR1*CQ1))</f>
        <v>-10546.499240000001</v>
      </c>
      <c r="CT2" s="1">
        <f>IF(OR($B2&lt;Analysis!$C$100, $B2&gt;=Analysis!$C$101),0,IF($B2=Analysis!$C$100,PMT(CR2,CN2,CM2)*CN2-CU2-CQ2,IF(($B2-Analysis!$C$100+1)&lt;LOOKUP(Analysis!$C$100,$B:$B,CN:CN),IF(CT1-CS2&lt;0, CT1-CS2,0),0)))</f>
        <v>-172764.54767140804</v>
      </c>
      <c r="CU2" s="1">
        <f>IF(OR($B2&lt;Analysis!$C$100, $B2&gt;=Analysis!$C$101),0,IF($B2=Analysis!$C$100,CP2+CS2,IF(CQ1&lt;0,IF(CQ1&gt;LOOKUP(Analysis!$C$100,$B:$B,CU:CU), CQ1*(1+CR1),CU1),0)))</f>
        <v>-16247.309640000001</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18790.8</v>
      </c>
      <c r="DE2" s="1">
        <f>-DF2*CK2</f>
        <v>-970.80000000000007</v>
      </c>
      <c r="DF2" s="64">
        <f>IF(OR($B2&lt;Analysis!$C$100, $B2&gt;=Analysis!$C$101),0,Analysis!$C$118)</f>
        <v>3.0000000000000001E-3</v>
      </c>
      <c r="DG2" s="1">
        <f>-DH2*CK2</f>
        <v>-2427</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-6472</v>
      </c>
      <c r="DQ2" s="1">
        <f>-Analysis!$C$117*DB2</f>
        <v>-1039.5</v>
      </c>
      <c r="DR2" s="1">
        <f>DE2+DG2+MIN(DI2,SUM(DJ2:DN2))+DP2+DQ2</f>
        <v>-14869.3</v>
      </c>
      <c r="DS2" s="1">
        <f>MIN(0,-(DB2+DR2)*Analysis!$C$28)-CS2*Analysis!$C$28</f>
        <v>4673.153813244</v>
      </c>
      <c r="DT2" s="1">
        <f>-Analysis!$C$116*DD2/12</f>
        <v>-1565.8999999999999</v>
      </c>
      <c r="DU2" s="53"/>
      <c r="DV2" s="1">
        <f>-DW2*CK2</f>
        <v>-41259</v>
      </c>
      <c r="DW2" s="64">
        <f>IF(OR($B2&lt;Analysis!$C$100, $B2&gt;=Analysis!$C$101),0,IF($B2=Analysis!$C$100,Analysis!$C$31,DW1))</f>
        <v>0.1275</v>
      </c>
      <c r="DX2" s="1">
        <f>IF(OR($B2&lt;Analysis!$C$100, $B2&gt;=Analysis!$C$101),0,CK2+DV2)</f>
        <v>282341</v>
      </c>
      <c r="DY2" s="1">
        <f>IF(OR($B2&lt;Analysis!$C$100, $B2&gt;=Analysis!$C$101),0,IF($B2-Analysis!$C$100&gt;3,0,IF(CK2&gt;LOOKUP(Analysis!$C$100,$B:$B, CK:CK),$V2*(LOOKUP(Analysis!$C$100,$B:$B, CK:CK)-CK2),0)))</f>
        <v>0</v>
      </c>
      <c r="DZ2" s="1">
        <f>DX2+DY2</f>
        <v>282341</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-73510.184605463422</v>
      </c>
      <c r="FM2" s="1">
        <f>$M2+$R2+DD2+IF(AND($B2&lt;&gt;Analysis!$C$130,$B2=Analysis!$C$101),DZ1+CQ1+CT1+CZ1,0)</f>
        <v>65590.8</v>
      </c>
      <c r="FN2" s="1">
        <f>FM2+FL2</f>
        <v>-7919.3846054634196</v>
      </c>
      <c r="FO2" s="1">
        <f>IF(FN2&lt;0,Analysis!$C$7+FN2,Analysis!$C$7)</f>
        <v>16080.61539453658</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Analysis!$B$156</f>
        <v>323600</v>
      </c>
      <c r="FX2" s="64">
        <f>((1+Analysis!$C$172)/(1+$S2))-1</f>
        <v>2.941176470588247E-2</v>
      </c>
      <c r="FY2" s="1">
        <f>IF($B2=Analysis!$C$159,(FW2*(1+Analysis!$C$23+Analysis!$C$24+Analysis!$C$25))-IF($B2=$B$2,(Analysis!$C$6-Analysis!$C$7+Analysis!$C$165), (HW1-Analysis!$C$7+GH2)),0)</f>
        <v>285040.52</v>
      </c>
      <c r="FZ2" s="65">
        <f>IF($B2=Analysis!$C$159,NPER(GD2,-GG2,-FY2),0)</f>
        <v>28.826407404605146</v>
      </c>
      <c r="GA2" s="64">
        <f>IF($B2=Analysis!$C$159,Analysis!$C$161,0)</f>
        <v>0.02</v>
      </c>
      <c r="GB2" s="1">
        <f>IF($B2&lt;Analysis!$C$159,0,IF($B2=Analysis!$C$159,-FY2*GA2,IF(GG2&gt;=0,0,GG2-GE2)))</f>
        <v>-5700.8104000000003</v>
      </c>
      <c r="GC2" s="1">
        <f>IF($B2&lt;Analysis!$C$159,0,IF($B2=Analysis!$C$159,-FY2-GB2,MIN(0,GC1-GB2)))</f>
        <v>-279339.7096</v>
      </c>
      <c r="GD2" s="64">
        <f>IF($B2&lt;Analysis!$C$159,0,IF($B2=Analysis!$C$159,Analysis!$C$160,IF(($B2-Analysis!$C$159)&lt;LOOKUP(Analysis!$C$159,$B:$B,FZ:FZ),GD1,0)))</f>
        <v>3.6999999999999998E-2</v>
      </c>
      <c r="GE2" s="1">
        <f>IF($B2&lt;Analysis!$C$159,0,IF($B2=Analysis!$C$159,-GD2*FY2,GD1*GC1))</f>
        <v>-10546.499240000001</v>
      </c>
      <c r="GF2" s="1">
        <f>IF($B2&lt;Analysis!$C$159,0,IF($B2=Analysis!$C$159,PMT(GD2,FZ2,FY2)*FZ2-GG2-GC2,IF(($B2-Analysis!$C$159+1)&lt;LOOKUP(Analysis!$C$159,$B:$B,FZ:FZ),IF(GF1-GE2&lt;0, GF1-GE2,0),0)))</f>
        <v>-172764.54767140804</v>
      </c>
      <c r="GG2" s="1">
        <f>IF($B2&lt;Analysis!$C$159,0,IF($B2=Analysis!$C$159,GB2+GE2,IF(GC1&lt;0,IF(GC1&gt;LOOKUP(Analysis!$C$159,$B:$B,GG:GG), GC1*(1+GD1),GG1),0)))</f>
        <v>-16247.309640000001</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IF($B2&lt;Analysis!$C$159,0,((1+Analysis!$C$174)/(1+$S2))-1)</f>
        <v>2.941176470588247E-2</v>
      </c>
      <c r="GP2" s="1">
        <f t="shared" ref="GP2:GP52" si="7">GN2-GU2-GQ2</f>
        <v>18790.8</v>
      </c>
      <c r="GQ2" s="1">
        <f>-GR2*FW2</f>
        <v>-970.80000000000007</v>
      </c>
      <c r="GR2" s="64">
        <f>IF($B2&lt;Analysis!$C$159,0,Analysis!$C$178)</f>
        <v>3.0000000000000001E-3</v>
      </c>
      <c r="GS2" s="1">
        <f>-GT2*FW2</f>
        <v>-2427</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-6472</v>
      </c>
      <c r="HC2" s="1">
        <f>-Analysis!$C$177*GN2</f>
        <v>-1039.5</v>
      </c>
      <c r="HD2" s="1">
        <f>GQ2+GS2+MIN(GU2,SUM(GV2:GZ2))+HB2+HC2</f>
        <v>-14869.3</v>
      </c>
      <c r="HE2" s="1">
        <f>MIN(0,-(GN2+HD2)*Analysis!$C$28)-GE2*Analysis!$C$28</f>
        <v>4673.153813244</v>
      </c>
      <c r="HF2" s="1">
        <f>-Analysis!$C$176*GP2/12</f>
        <v>-1565.8999999999999</v>
      </c>
      <c r="HG2" s="38"/>
      <c r="HH2" s="1">
        <f>IF($B2&lt;Analysis!$C$159,0,-$HI2*$FW2)</f>
        <v>-41259</v>
      </c>
      <c r="HI2" s="64">
        <f>IF($B2&lt;Analysis!$C$159,0,IF($B2=Analysis!$C$159,Analysis!$C$31,HI1))</f>
        <v>0.1275</v>
      </c>
      <c r="HJ2" s="1">
        <f>IF($B2&lt;Analysis!$C$159,0,$FW2+HH2)</f>
        <v>282341</v>
      </c>
      <c r="HK2" s="1">
        <f>IF($B2-Analysis!$C$159&gt;10,0,IF($FW2&gt;LOOKUP(Analysis!$C$159,$B:$B, FW:FW),$V2*(LOOKUP(Analysis!$C$159,$B:$B, FW:FW)-FW2),0))</f>
        <v>0</v>
      </c>
      <c r="HL2" s="1">
        <f>HJ2+HK2</f>
        <v>282341</v>
      </c>
      <c r="HM2" s="38"/>
      <c r="HN2" s="1">
        <f>$P2+$N2+$X2+$Z2+GB2+GE2+GK2+GQ2+GS2+MIN(GU2,SUM(GV2:GZ2))+HC2+HE2+HF2</f>
        <v>-73510.184605463422</v>
      </c>
      <c r="HO2" s="1">
        <f t="shared" ref="HO2:HO52" si="8">$M2+$R2+$GP2</f>
        <v>65590.8</v>
      </c>
      <c r="HP2" s="1">
        <f>HO2+HN2</f>
        <v>-7919.3846054634196</v>
      </c>
      <c r="HQ2" s="1">
        <f>IF(HP2&lt;0,Analysis!$C$7+HP2,Analysis!$C$7)</f>
        <v>16080.61539453658</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-257581.85525180501</v>
      </c>
      <c r="D3" s="1">
        <f>IF($B3&lt;Analysis!C$66, 0, BV3)+AT3+AW3+BC3+CG3+CA3</f>
        <v>-325695.45819298155</v>
      </c>
      <c r="E3" s="1">
        <f t="shared" si="1"/>
        <v>80687.583303125168</v>
      </c>
      <c r="F3" s="1">
        <f t="shared" ref="F3:F52" si="9">AL3+AF3</f>
        <v>79564.180265749426</v>
      </c>
      <c r="G3" s="1">
        <f>IF(AND($B3&gt;=Analysis!$C$100, $B3&lt;Analysis!$C$101),$CK3,0)+IF($B3&gt;=Analysis!$C$130,EB3,0)+CQ3+CT3+CZ3+EH3+EK3+EQ3+$FO3+$FT3</f>
        <v>-118356.58661884732</v>
      </c>
      <c r="H3" s="1">
        <f t="shared" ref="H3:H52" si="10">$DZ3+FJ3+CQ3+CT3+CZ3+EH3+EK3+EQ3+$FO3+$FU3</f>
        <v>-163339.36603061203</v>
      </c>
      <c r="I3" s="1">
        <f>IF($B3&lt;Analysis!$C$159,0,$FW3)+$GC3+$GF3+$GL3+$HQ3+$HV3</f>
        <v>-118356.58661884732</v>
      </c>
      <c r="J3" s="1">
        <f t="shared" si="2"/>
        <v>-163339.36603061203</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25528.235294117636</v>
      </c>
      <c r="AJ3" s="1">
        <f>MAX(0, AJ2 + AI3 - IF(AE3 &lt; 0, MIN(ABS(AE3), AJ2 + AI3), 0))</f>
        <v>52428.235294117636</v>
      </c>
      <c r="AK3" s="1">
        <f t="shared" ref="AK3:AK52" si="20">IF(AE3 &lt; 0,
    IF(AE3 + AF2 &lt; 0,
        MAX(0, AK2 - (ABS(AE3 + AF2) * (1+$V2))),
        AK2 + AH3),
    AK2 + AI3 + AH3)</f>
        <v>56687.583303125175</v>
      </c>
      <c r="AL3" s="1">
        <f t="shared" si="5"/>
        <v>55564.180265749434</v>
      </c>
      <c r="AM3" s="36"/>
      <c r="AN3" s="1">
        <f>AN2*(1+AO2)</f>
        <v>504411.76470588241</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-9762.1728199999998</v>
      </c>
      <c r="AT3" s="1">
        <f>IF($B3&lt;Analysis!$C$66,0,IF($B3=Analysis!$C$66,-AP3-AS3,MIN(0,AT2-AS3)))</f>
        <v>-451516.96718000015</v>
      </c>
      <c r="AU3" s="64">
        <f>IF($B3&lt;Analysis!$C$66,0,IF($B3=Analysis!$C$66,Analysis!$C$72,IF(($B3-Analysis!$C$66)&lt;LOOKUP(Analysis!$C$66,$B:$B,AQ:AQ),AU2,0)))</f>
        <v>3.6999999999999998E-2</v>
      </c>
      <c r="AV3" s="1">
        <f>IF($B3&lt;Analysis!$C$66,0,IF($B3=Analysis!$C$66,-AU3*AP3,AU2*AT2))</f>
        <v>-17067.328180000004</v>
      </c>
      <c r="AW3" s="1">
        <f>IF($B3&lt;Analysis!$C$66,0,IF($B3=Analysis!$C$66,PMT(AU3,AQ3,AP3)*AQ3-AX3-AT3,IF(($B3-Analysis!$C$66+1)&lt;LOOKUP(Analysis!$C$66,$B:$B,AQ:AQ),IF(AW2-AV3&lt;0, AW2-AV3,0),0)))</f>
        <v>-268222.15710826014</v>
      </c>
      <c r="AX3" s="1">
        <f>IF($B3&lt;Analysis!$C$66,0,IF($B3=Analysis!$C$66,AS3+AV3,IF(AT2&lt;0,IF(AT2&gt;LOOKUP(Analysis!$C$66,$B:$B,AX:AX), AT2*(1+AU2),AX2),0)))</f>
        <v>-26829.501000000004</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-1513.2352941176473</v>
      </c>
      <c r="BF3" s="64">
        <f>IF($B3&lt;Analysis!$C$66,0,Analysis!$C$78)</f>
        <v>3.0000000000000001E-3</v>
      </c>
      <c r="BG3" s="1">
        <f>IF($B3&lt;Analysis!$C$66,0,-BH3*AN3)</f>
        <v>-3783.088235294118</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-64312.500000000007</v>
      </c>
      <c r="BS3" s="64">
        <f>IF($B3&lt;Analysis!C$66,0,Analysis!C$31)</f>
        <v>0.1275</v>
      </c>
      <c r="BT3" s="1">
        <f>IF($B3&lt;Analysis!$C$66,0,AN3+BR3)</f>
        <v>440099.26470588241</v>
      </c>
      <c r="BU3" s="1">
        <f>IF($B3-Analysis!$C$66&gt;3,0,IF($AN3&gt;LOOKUP(Analysis!$C$66,$B:$B, AN:AN),$V3*(LOOKUP(Analysis!$C$66,$B:$B, AN:AN)-AN3),0))</f>
        <v>-3801.1029411764848</v>
      </c>
      <c r="BV3" s="1">
        <f t="shared" ref="BV3:BV52" si="23">BT3+BU3</f>
        <v>436298.1617647059</v>
      </c>
      <c r="BW3" s="42"/>
      <c r="BX3" s="1">
        <f>IF($B3&lt;Analysis!$C$66,$P3+$N3+$X3+$Z3,$P3+$N3+AS3+AV3+BB3+BE3+BG3+MAX(BI3,SUM(BJ3:BN3))+BP3)</f>
        <v>-92258.653308119188</v>
      </c>
      <c r="BY3" s="1">
        <f t="shared" ref="BY3:BY52" si="24">$M3+$R3</f>
        <v>95894.117647058811</v>
      </c>
      <c r="BZ3" s="1">
        <f>BY3+BX3</f>
        <v>3635.4643389396224</v>
      </c>
      <c r="CA3" s="1">
        <f>IF(BZ3 &lt; 0,
    IF(CA2 + BZ3 &gt; 0,
        CA2 + BZ3, IF(CF2-ABS(CA2 + BZ3)*(1+$V3) &gt;= CA2 + BZ3,
        0, CA2 + BZ3)),
    MIN(CA2 + BZ3, Analysis!$C$7))+IF(CA2&lt;0, CA2*Analysis!$C$9,0)</f>
        <v>6328.1345602321962</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333117.64705882355</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-5911.7403848000013</v>
      </c>
      <c r="CQ3" s="1">
        <f>IF(OR($B3&lt;Analysis!$C$100, $B3&gt;=Analysis!$C$101),0,IF($B3=Analysis!$C$100,-CM3-CP3,MIN(0,CQ2-CP3)))</f>
        <v>-273427.96921519999</v>
      </c>
      <c r="CR3" s="64">
        <f>IF(OR($B3&lt;Analysis!$C$100, $B3&gt;=Analysis!$C$101),0,IF($B3=Analysis!$C$100,Analysis!$C$102,IF(($B3-Analysis!$C$100)&lt;LOOKUP(Analysis!$C$100,$B:$B,CN:CN),CR2,0)))</f>
        <v>3.6999999999999998E-2</v>
      </c>
      <c r="CS3" s="1">
        <f>IF(OR($B3&lt;Analysis!$C$100, $B3&gt;=Analysis!$C$101),0,IF($B3=Analysis!$C$100,-CR3*CM3,CR2*CQ2))</f>
        <v>-10335.5692552</v>
      </c>
      <c r="CT3" s="1">
        <f>IF(OR($B3&lt;Analysis!$C$100, $B3&gt;=Analysis!$C$101),0,IF($B3=Analysis!$C$100,PMT(CR3,CN3,CM3)*CN3-CU3-CQ3,IF(($B3-Analysis!$C$100+1)&lt;LOOKUP(Analysis!$C$100,$B:$B,CN:CN),IF(CT2-CS3&lt;0, CT2-CS3,0),0)))</f>
        <v>-162428.97841620803</v>
      </c>
      <c r="CU3" s="1">
        <f>IF(OR($B3&lt;Analysis!$C$100, $B3&gt;=Analysis!$C$101),0,IF($B3=Analysis!$C$100,CP3+CS3,IF(CQ2&lt;0,IF(CQ2&gt;LOOKUP(Analysis!$C$100,$B:$B,CU:CU), CQ2*(1+CR2),CU2),0)))</f>
        <v>-16247.309640000001</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14267.647058823532</v>
      </c>
      <c r="DC3" s="64">
        <f>IF(OR($B3&lt;Analysis!$C$100, $B3&gt;=Analysis!$C$101),0,((1+Analysis!$C$114)/(1+$S3))-1)</f>
        <v>2.941176470588247E-2</v>
      </c>
      <c r="DD3" s="1">
        <f t="shared" si="6"/>
        <v>19227.000000000004</v>
      </c>
      <c r="DE3" s="1">
        <f t="shared" ref="DE3:DE52" si="27">-DF3*CK3</f>
        <v>-999.35294117647072</v>
      </c>
      <c r="DF3" s="64">
        <f>IF(OR($B3&lt;Analysis!$C$100, $B3&gt;=Analysis!$C$101),0,Analysis!$C$118)</f>
        <v>3.0000000000000001E-3</v>
      </c>
      <c r="DG3" s="1">
        <f t="shared" ref="DG3:DG52" si="28">-DH3*CK3</f>
        <v>-2498.3823529411766</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-6472</v>
      </c>
      <c r="DQ3" s="1">
        <f>-Analysis!$C$117*DB3</f>
        <v>-1070.0735294117649</v>
      </c>
      <c r="DR3" s="1">
        <f t="shared" ref="DR3:DR52" si="29">DE3+DG3+MIN(DI3,SUM(DJ3:DN3))+DP3+DQ3</f>
        <v>-14999.808823529413</v>
      </c>
      <c r="DS3" s="1">
        <f>MIN(0,-(DB3+DR3)*Analysis!$C$28)-CS3*Analysis!$C$28</f>
        <v>4579.6907369791197</v>
      </c>
      <c r="DT3" s="1">
        <f>-Analysis!$C$116*DD3/12</f>
        <v>-1602.2500000000002</v>
      </c>
      <c r="DU3" s="53"/>
      <c r="DV3" s="1">
        <f t="shared" ref="DV3:DV52" si="30">-DW3*CK3</f>
        <v>-42472.500000000007</v>
      </c>
      <c r="DW3" s="64">
        <f>IF(OR($B3&lt;Analysis!$C$100, $B3&gt;=Analysis!$C$101),0,IF($B3=Analysis!$C$100,Analysis!$C$31,DW2))</f>
        <v>0.1275</v>
      </c>
      <c r="DX3" s="1">
        <f>IF(OR($B3&lt;Analysis!$C$100, $B3&gt;=Analysis!$C$101),0,CK3+DV3)</f>
        <v>290645.14705882355</v>
      </c>
      <c r="DY3" s="1">
        <f>IF(OR($B3&lt;Analysis!$C$100, $B3&gt;=Analysis!$C$101),0,IF($B3-Analysis!$C$100&gt;3,0,IF(CK3&gt;LOOKUP(Analysis!$C$100,$B:$B, CK:CK),$V3*(LOOKUP(Analysis!$C$100,$B:$B, CK:CK)-CK3),0)))</f>
        <v>-2510.2794117647122</v>
      </c>
      <c r="DZ3" s="1">
        <f>DX3+DY3</f>
        <v>288134.86764705885</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-98236.388858198887</v>
      </c>
      <c r="FM3" s="1">
        <f>$M3+$R3+DD3+IF(AND($B3&lt;&gt;Analysis!$C$130,$B3=Analysis!$C$101),DZ2+CQ2+CT2+CZ2,0)</f>
        <v>115121.11764705881</v>
      </c>
      <c r="FN3" s="1">
        <f t="shared" ref="FN3:FN52" si="34">FM3+FL3</f>
        <v>16884.728788859924</v>
      </c>
      <c r="FO3" s="1">
        <f>IF(FN3 &lt; 0,
    IF(FO2 + FN3 &gt; 0,
        FO2 + FN3, IF(FT2-ABS(FO2 + FN3)*(1+$V3) &gt;= FO2 + FN3,
        0, FO2 + FN3)),
    MIN(FO2 + FN3, Analysis!$C$7))+IF(FO2&lt;0, FO2*Analysis!$C$9,0)</f>
        <v>24000</v>
      </c>
      <c r="FP3" s="53"/>
      <c r="FQ3" s="1">
        <f>IF(FT2&gt;0,FT2*$U3,0)</f>
        <v>0</v>
      </c>
      <c r="FR3" s="1">
        <f>IF(OR($B3=Analysis!$C$100, $B3=Analysis!$C$130),0,IF(FN3 &gt;= 0,
    MAX(0, FO2 + FN3 - Analysis!$C$7),
    0))</f>
        <v>8965.3441833965044</v>
      </c>
      <c r="FS3" s="1">
        <f>IF(OR($B3=Analysis!$C$100, $B3=Analysis!$C$130),0,MAX(0, FS2 + FR3 - IF(FN3 &lt; 0, MIN(ABS(FN3), FS2 + FR3), 0)))</f>
        <v>8965.3441833965044</v>
      </c>
      <c r="FT3" s="1">
        <f>IF(OR($B3=Analysis!$C$100, $B3=Analysis!$C$130),0,IF(FN3 &lt; 0,
    IF(FN3 + FO2 &lt; 0,
        MAX(0, FT2 - (ABS(FN3 + FO2) * (1+$V2))),
        FT2 + FQ3),
    FT2 + FR3 + FQ3))</f>
        <v>8965.3441833965044</v>
      </c>
      <c r="FU3" s="1">
        <f t="shared" ref="FU3:FU11" si="35">IF(FT3-FS3&gt;0, FT3-$V3*(FT3-FS3),FT3)</f>
        <v>8965.3441833965044</v>
      </c>
      <c r="FV3" s="36"/>
      <c r="FW3" s="1">
        <f>FW2*(1+$FX2)</f>
        <v>333117.64705882355</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-5911.7403848000013</v>
      </c>
      <c r="GC3" s="1">
        <f>IF($B3&lt;Analysis!$C$159,0,IF($B3=Analysis!$C$159,-FY3-GB3,MIN(0,GC2-GB3)))</f>
        <v>-273427.96921519999</v>
      </c>
      <c r="GD3" s="64">
        <f>IF($B3&lt;Analysis!$C$159,0,IF($B3=Analysis!$C$159,Analysis!$C$160,IF(($B3-Analysis!$C$159)&lt;LOOKUP(Analysis!$C$159,$B:$B,FZ:FZ),GD2,0)))</f>
        <v>3.6999999999999998E-2</v>
      </c>
      <c r="GE3" s="1">
        <f>IF($B3&lt;Analysis!$C$159,0,IF($B3=Analysis!$C$159,-GD3*FY3,GD2*GC2))</f>
        <v>-10335.5692552</v>
      </c>
      <c r="GF3" s="1">
        <f>IF($B3&lt;Analysis!$C$159,0,IF($B3=Analysis!$C$159,PMT(GD3,FZ3,FY3)*FZ3-GG3-GC3,IF(($B3-Analysis!$C$159+1)&lt;LOOKUP(Analysis!$C$159,$B:$B,FZ:FZ),IF(GF2-GE3&lt;0, GF2-GE3,0),0)))</f>
        <v>-162428.97841620803</v>
      </c>
      <c r="GG3" s="1">
        <f>IF($B3&lt;Analysis!$C$159,0,IF($B3=Analysis!$C$159,GB3+GE3,IF(GC2&lt;0,IF(GC2&gt;LOOKUP(Analysis!$C$159,$B:$B,GG:GG), GC2*(1+GD2),GG2),0)))</f>
        <v>-16247.309640000001</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14267.647058823532</v>
      </c>
      <c r="GO3" s="64">
        <f>IF($B3&lt;Analysis!$C$159,0,((1+Analysis!$C$174)/(1+$S3))-1)</f>
        <v>2.941176470588247E-2</v>
      </c>
      <c r="GP3" s="1">
        <f t="shared" si="7"/>
        <v>19227.000000000004</v>
      </c>
      <c r="GQ3" s="1">
        <f t="shared" ref="GQ3:GQ52" si="36">-GR3*FW3</f>
        <v>-999.35294117647072</v>
      </c>
      <c r="GR3" s="64">
        <f>IF($B3&lt;Analysis!$C$159,0,Analysis!$C$178)</f>
        <v>3.0000000000000001E-3</v>
      </c>
      <c r="GS3" s="1">
        <f t="shared" ref="GS3:GS52" si="37">-GT3*FW3</f>
        <v>-2498.3823529411766</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-6472</v>
      </c>
      <c r="HC3" s="1">
        <f>-Analysis!$C$177*GN3</f>
        <v>-1070.0735294117649</v>
      </c>
      <c r="HD3" s="1">
        <f t="shared" ref="HD3:HD52" si="38">GQ3+GS3+MIN(GU3,SUM(GV3:GZ3))+HB3+HC3</f>
        <v>-14999.808823529413</v>
      </c>
      <c r="HE3" s="1">
        <f>MIN(0,-(GN3+HD3)*Analysis!$C$28)-GE3*Analysis!$C$28</f>
        <v>4579.6907369791197</v>
      </c>
      <c r="HF3" s="1">
        <f>-Analysis!$C$176*GP3/12</f>
        <v>-1602.2500000000002</v>
      </c>
      <c r="HG3" s="38"/>
      <c r="HH3" s="1">
        <f>IF($B3&lt;Analysis!$C$159,0,-$HI3*$FW3)</f>
        <v>-42472.500000000007</v>
      </c>
      <c r="HI3" s="64">
        <f>IF($B3&lt;Analysis!$C$159,0,IF($B3=Analysis!$C$159,Analysis!$C$31,HI2))</f>
        <v>0.1275</v>
      </c>
      <c r="HJ3" s="1">
        <f>IF($B3&lt;Analysis!$C$159,0,$FW3+HH3)</f>
        <v>290645.14705882355</v>
      </c>
      <c r="HK3" s="1">
        <f>IF($B3-Analysis!$C$159&gt;10,0,IF($FW3&gt;LOOKUP(Analysis!$C$159,$B:$B, FW:FW),$V3*(LOOKUP(Analysis!$C$159,$B:$B, FW:FW)-FW3),0))</f>
        <v>-2510.2794117647122</v>
      </c>
      <c r="HL3" s="1">
        <f t="shared" ref="HL3:HL52" si="39">HJ3+HK3</f>
        <v>288134.86764705885</v>
      </c>
      <c r="HM3" s="38"/>
      <c r="HN3" s="1">
        <f t="shared" ref="HN3:HN52" si="40">$P3+$N3+$X3+$Z3+GB3+GE3+GK3+GQ3+GS3+MIN(GU3,SUM(GV3:GZ3))+HC3+HE3+HF3</f>
        <v>-98236.388858198887</v>
      </c>
      <c r="HO3" s="1">
        <f t="shared" si="8"/>
        <v>115121.11764705881</v>
      </c>
      <c r="HP3" s="1">
        <f t="shared" ref="HP3:HP52" si="41">HO3+HN3</f>
        <v>16884.728788859924</v>
      </c>
      <c r="HQ3" s="1">
        <f>IF(HP3 &lt; 0,
    IF(HQ2 + HP3 &gt; 0,
        HQ2 + HP3, IF(HV2-ABS(HQ2 + HP3)*(1+$V3) &gt;= HQ2 + HP3,
        0, HQ2 + HP3)),
    MIN(HQ2 + HP3, Analysis!$C$7))+IF(HQ2&lt;0, HQ2*Analysis!$C$9,0)</f>
        <v>24000</v>
      </c>
      <c r="HR3" s="38"/>
      <c r="HS3" s="1">
        <f>IF(HV2&gt;0,HV2*$U3,0)</f>
        <v>0</v>
      </c>
      <c r="HT3" s="1">
        <f>IF($B3=Analysis!$C$159,0,IF(HP3 &gt;= 0,
    MAX(0, HQ2 + HP3 - Analysis!$C$7),
    0))</f>
        <v>8965.3441833965044</v>
      </c>
      <c r="HU3" s="1">
        <f>IF($B3=Analysis!$C$159,0,MAX(0, HU2 + HT3 - IF(HP3 &lt; 0, MIN(ABS(HP3), HU2 + HT3), 0)))</f>
        <v>8965.3441833965044</v>
      </c>
      <c r="HV3" s="1">
        <f>IF($B3=Analysis!$C$159,0,IF(HP3 &lt; 0,
    IF(HP3 + HQ2 &lt; 0,
        MAX(0, HV2 - (ABS(HP3 + HQ2) * (1+$V2))),
        HV2 + HS3),
    HV2 + HT3 + HS3))</f>
        <v>8965.3441833965044</v>
      </c>
      <c r="HW3" s="1">
        <f t="shared" ref="HW3:HW11" si="42">IF(HV3-HU3&gt;0, HV3-$V3*(HV3-HU3),HV3)</f>
        <v>8965.3441833965044</v>
      </c>
      <c r="HX3" s="36"/>
    </row>
    <row r="4" spans="1:232" x14ac:dyDescent="0.35">
      <c r="A4">
        <f t="shared" si="0"/>
        <v>37</v>
      </c>
      <c r="B4">
        <v>2027</v>
      </c>
      <c r="C4" s="1">
        <f>IF($B4&lt;Analysis!C$66,0,$AN4)+$AT4+$AW4+$BC4+$CF4+$CA4</f>
        <v>-232411.25404073234</v>
      </c>
      <c r="D4" s="1">
        <f>IF($B4&lt;Analysis!C$66, 0, BV4)+AT4+AW4+BC4+CG4+CA4</f>
        <v>-306329.30118606106</v>
      </c>
      <c r="E4" s="1">
        <f t="shared" si="1"/>
        <v>83940.902535110043</v>
      </c>
      <c r="F4" s="1">
        <f t="shared" si="9"/>
        <v>81432.776169675461</v>
      </c>
      <c r="G4" s="1">
        <f>IF(AND($B4&gt;=Analysis!$C$100, $B4&lt;Analysis!$C$101),$CK4,0)+IF($B4&gt;=Analysis!$C$130,EB4,0)+CQ4+CT4+CZ4+EH4+EK4+EQ4+$FO4+$FT4</f>
        <v>-95028.017462769014</v>
      </c>
      <c r="H4" s="1">
        <f t="shared" si="10"/>
        <v>-146386.06107672863</v>
      </c>
      <c r="I4" s="1">
        <f>IF($B4&lt;Analysis!$C$159,0,$FW4)+$GC4+$GF4+$GL4+$HQ4+$HV4</f>
        <v>-95028.017462769014</v>
      </c>
      <c r="J4" s="1">
        <f t="shared" si="2"/>
        <v>-146386.06107672863</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4251.7275364831467</v>
      </c>
      <c r="AI4" s="1">
        <f>IF(AE4 &gt;= 0,
    MAX(0, AF3 + AE4 - Analysis!$C$7),
    0)</f>
        <v>0</v>
      </c>
      <c r="AJ4" s="1">
        <f t="shared" ref="AJ4:AJ52" si="44">MAX(0, AJ3 + AI4 - IF(AE4 &lt; 0, MIN(ABS(AE4), AJ3 + AI4), 0))</f>
        <v>51429.82698961936</v>
      </c>
      <c r="AK4" s="1">
        <f t="shared" si="20"/>
        <v>60939.310839608319</v>
      </c>
      <c r="AL4" s="1">
        <f t="shared" si="5"/>
        <v>58431.18447417373</v>
      </c>
      <c r="AM4" s="36"/>
      <c r="AN4" s="1">
        <f t="shared" ref="AN4:AN52" si="45">AN3*(1+AO3)</f>
        <v>519247.40484429075</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-10123.373214339998</v>
      </c>
      <c r="AT4" s="1">
        <f>IF($B4&lt;Analysis!$C$66,0,IF($B4=Analysis!$C$66,-AP4-AS4,MIN(0,AT3-AS4)))</f>
        <v>-441393.59396566014</v>
      </c>
      <c r="AU4" s="64">
        <f>IF($B4&lt;Analysis!$C$66,0,IF($B4=Analysis!$C$66,Analysis!$C$72,IF(($B4-Analysis!$C$66)&lt;LOOKUP(Analysis!$C$66,$B:$B,AQ:AQ),AU3,0)))</f>
        <v>3.6999999999999998E-2</v>
      </c>
      <c r="AV4" s="1">
        <f>IF($B4&lt;Analysis!$C$66,0,IF($B4=Analysis!$C$66,-AU4*AP4,AU3*AT3))</f>
        <v>-16706.127785660006</v>
      </c>
      <c r="AW4" s="1">
        <f>IF($B4&lt;Analysis!$C$66,0,IF($B4=Analysis!$C$66,PMT(AU4,AQ4,AP4)*AQ4-AX4-AT4,IF(($B4-Analysis!$C$66+1)&lt;LOOKUP(Analysis!$C$66,$B:$B,AQ:AQ),IF(AW3-AV4&lt;0, AW3-AV4,0),0)))</f>
        <v>-251516.02932260014</v>
      </c>
      <c r="AX4" s="1">
        <f>IF($B4&lt;Analysis!$C$66,0,IF($B4=Analysis!$C$66,AS4+AV4,IF(AT3&lt;0,IF(AT3&gt;LOOKUP(Analysis!$C$66,$B:$B,AX:AX), AT3*(1+AU3),AX3),0)))</f>
        <v>-26829.501000000004</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-1557.7422145328724</v>
      </c>
      <c r="BF4" s="64">
        <f>IF($B4&lt;Analysis!$C$66,0,Analysis!$C$78)</f>
        <v>3.0000000000000001E-3</v>
      </c>
      <c r="BG4" s="1">
        <f>IF($B4&lt;Analysis!$C$66,0,-BH4*AN4)</f>
        <v>-3894.3555363321807</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-66204.044117647078</v>
      </c>
      <c r="BS4" s="64">
        <f>IF($B4&lt;Analysis!C$66,0,Analysis!C$31)</f>
        <v>0.1275</v>
      </c>
      <c r="BT4" s="1">
        <f>IF($B4&lt;Analysis!$C$66,0,AN4+BR4)</f>
        <v>453043.3607266437</v>
      </c>
      <c r="BU4" s="1">
        <f>IF($B4-Analysis!$C$66&gt;3,0,IF($AN4&gt;LOOKUP(Analysis!$C$66,$B:$B, AN:AN),$V4*(LOOKUP(Analysis!$C$66,$B:$B, AN:AN)-AN4),0))</f>
        <v>-7714.0030276816851</v>
      </c>
      <c r="BV4" s="1">
        <f>BT4+BU4</f>
        <v>445329.35769896203</v>
      </c>
      <c r="BW4" s="42"/>
      <c r="BX4" s="1">
        <f>IF($B4&lt;Analysis!$C$66,$P4+$N4+$X4+$Z4,$P4+$N4+AS4+AV4+BB4+BE4+BG4+MAX(BI4,SUM(BJ4:BN4))+BP4)</f>
        <v>-70514.42752957248</v>
      </c>
      <c r="BY4" s="1">
        <f t="shared" si="24"/>
        <v>47947.058823529405</v>
      </c>
      <c r="BZ4" s="1">
        <f t="shared" ref="BZ4:BZ52" si="46">BY4+BX4</f>
        <v>-22567.368706043075</v>
      </c>
      <c r="CA4" s="1">
        <f>IF(BZ4 &lt; 0,
    IF(CA3 + BZ4 &gt; 0,
        CA3 + BZ4, IF(CF3-ABS(CA3 + BZ4)*(1+$V4) &gt;= CA3 + BZ4,
        0, CA3 + BZ4)),
    MIN(CA3 + BZ4, Analysis!$C$7))+IF(CA3&lt;0, CA3*Analysis!$C$9,0)</f>
        <v>-16239.234145810879</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342915.22491349489</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-6130.4747790376023</v>
      </c>
      <c r="CQ4" s="1">
        <f>IF(OR($B4&lt;Analysis!$C$100, $B4&gt;=Analysis!$C$101),0,IF($B4=Analysis!$C$100,-CM4-CP4,MIN(0,CQ3-CP4)))</f>
        <v>-267297.49443616241</v>
      </c>
      <c r="CR4" s="64">
        <f>IF(OR($B4&lt;Analysis!$C$100, $B4&gt;=Analysis!$C$101),0,IF($B4=Analysis!$C$100,Analysis!$C$102,IF(($B4-Analysis!$C$100)&lt;LOOKUP(Analysis!$C$100,$B:$B,CN:CN),CR3,0)))</f>
        <v>3.6999999999999998E-2</v>
      </c>
      <c r="CS4" s="1">
        <f>IF(OR($B4&lt;Analysis!$C$100, $B4&gt;=Analysis!$C$101),0,IF($B4=Analysis!$C$100,-CR4*CM4,CR3*CQ3))</f>
        <v>-10116.834860962399</v>
      </c>
      <c r="CT4" s="1">
        <f>IF(OR($B4&lt;Analysis!$C$100, $B4&gt;=Analysis!$C$101),0,IF($B4=Analysis!$C$100,PMT(CR4,CN4,CM4)*CN4-CU4-CQ4,IF(($B4-Analysis!$C$100+1)&lt;LOOKUP(Analysis!$C$100,$B:$B,CN:CN),IF(CT3-CS4&lt;0, CT3-CS4,0),0)))</f>
        <v>-152312.14355524562</v>
      </c>
      <c r="CU4" s="1">
        <f>IF(OR($B4&lt;Analysis!$C$100, $B4&gt;=Analysis!$C$101),0,IF($B4=Analysis!$C$100,CP4+CS4,IF(CQ3&lt;0,IF(CQ3&gt;LOOKUP(Analysis!$C$100,$B:$B,CU:CU), CQ3*(1+CR3),CU3),0)))</f>
        <v>-16247.309640000001</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14687.283737024225</v>
      </c>
      <c r="DC4" s="64">
        <f>IF(OR($B4&lt;Analysis!$C$100, $B4&gt;=Analysis!$C$101),0,((1+Analysis!$C$114)/(1+$S4))-1)</f>
        <v>2.941176470588247E-2</v>
      </c>
      <c r="DD4" s="1">
        <f t="shared" si="6"/>
        <v>19676.02941176471</v>
      </c>
      <c r="DE4" s="1">
        <f t="shared" si="27"/>
        <v>-1028.7456747404847</v>
      </c>
      <c r="DF4" s="64">
        <f>IF(OR($B4&lt;Analysis!$C$100, $B4&gt;=Analysis!$C$101),0,Analysis!$C$118)</f>
        <v>3.0000000000000001E-3</v>
      </c>
      <c r="DG4" s="1">
        <f t="shared" si="28"/>
        <v>-2571.8641868512118</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-6472</v>
      </c>
      <c r="DQ4" s="1">
        <f>-Analysis!$C$117*DB4</f>
        <v>-1101.5462802768168</v>
      </c>
      <c r="DR4" s="1">
        <f t="shared" si="29"/>
        <v>-15134.156141868512</v>
      </c>
      <c r="DS4" s="1">
        <f>MIN(0,-(DB4+DR4)*Analysis!$C$28)-CS4*Analysis!$C$28</f>
        <v>4482.7695268924381</v>
      </c>
      <c r="DT4" s="1">
        <f>-Analysis!$C$116*DD4/12</f>
        <v>-1639.6691176470592</v>
      </c>
      <c r="DU4" s="53"/>
      <c r="DV4" s="1">
        <f t="shared" si="30"/>
        <v>-43721.691176470602</v>
      </c>
      <c r="DW4" s="64">
        <f>IF(OR($B4&lt;Analysis!$C$100, $B4&gt;=Analysis!$C$101),0,IF($B4=Analysis!$C$100,Analysis!$C$31,DW3))</f>
        <v>0.1275</v>
      </c>
      <c r="DX4" s="1">
        <f>IF(OR($B4&lt;Analysis!$C$100, $B4&gt;=Analysis!$C$101),0,CK4+DV4)</f>
        <v>299193.53373702429</v>
      </c>
      <c r="DY4" s="1">
        <f>IF(OR($B4&lt;Analysis!$C$100, $B4&gt;=Analysis!$C$101),0,IF($B4-Analysis!$C$100&gt;3,0,IF(CK4&gt;LOOKUP(Analysis!$C$100,$B:$B, CK:CK),$V4*(LOOKUP(Analysis!$C$100,$B:$B, CK:CK)-CK4),0)))</f>
        <v>-5094.390570934278</v>
      </c>
      <c r="DZ4" s="1">
        <f t="shared" ref="DZ4:DZ52" si="49">DX4+DY4</f>
        <v>294099.14316609001</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-77084.661279358217</v>
      </c>
      <c r="FM4" s="1">
        <f>$M4+$R4+DD4+IF(AND($B4&lt;&gt;Analysis!$C$130,$B4=Analysis!$C$101),DZ3+CQ3+CT3+CZ3,0)</f>
        <v>67623.088235294112</v>
      </c>
      <c r="FN4" s="1">
        <f t="shared" si="34"/>
        <v>-9461.5730440641055</v>
      </c>
      <c r="FO4" s="1">
        <f>IF(FN4 &lt; 0,
    IF(FO3 + FN4 &gt; 0,
        FO3 + FN4, IF(FT3-ABS(FO3 + FN4)*(1+$V4) &gt;= FO3 + FN4,
        0, FO3 + FN4)),
    MIN(FO3 + FN4, Analysis!$C$7))+IF(FO3&lt;0, FO3*Analysis!$C$9,0)</f>
        <v>14538.426955935895</v>
      </c>
      <c r="FP4" s="53"/>
      <c r="FQ4" s="1">
        <f t="shared" ref="FQ4:FQ52" si="51">IF(FT3&gt;0,FT3*$U4,0)</f>
        <v>672.42592676365643</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9637.7701101601615</v>
      </c>
      <c r="FU4" s="1">
        <f t="shared" si="35"/>
        <v>7095.8082436054192</v>
      </c>
      <c r="FV4" s="36"/>
      <c r="FW4" s="1">
        <f t="shared" ref="FW4:FW52" si="52">FW3*(1+$FX3)</f>
        <v>342915.22491349489</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-6130.4747790376023</v>
      </c>
      <c r="GC4" s="1">
        <f>IF($B4&lt;Analysis!$C$159,0,IF($B4=Analysis!$C$159,-FY4-GB4,MIN(0,GC3-GB4)))</f>
        <v>-267297.49443616241</v>
      </c>
      <c r="GD4" s="64">
        <f>IF($B4&lt;Analysis!$C$159,0,IF($B4=Analysis!$C$159,Analysis!$C$160,IF(($B4-Analysis!$C$159)&lt;LOOKUP(Analysis!$C$159,$B:$B,FZ:FZ),GD3,0)))</f>
        <v>3.6999999999999998E-2</v>
      </c>
      <c r="GE4" s="1">
        <f>IF($B4&lt;Analysis!$C$159,0,IF($B4=Analysis!$C$159,-GD4*FY4,GD3*GC3))</f>
        <v>-10116.834860962399</v>
      </c>
      <c r="GF4" s="1">
        <f>IF($B4&lt;Analysis!$C$159,0,IF($B4=Analysis!$C$159,PMT(GD4,FZ4,FY4)*FZ4-GG4-GC4,IF(($B4-Analysis!$C$159+1)&lt;LOOKUP(Analysis!$C$159,$B:$B,FZ:FZ),IF(GF3-GE4&lt;0, GF3-GE4,0),0)))</f>
        <v>-152312.14355524562</v>
      </c>
      <c r="GG4" s="1">
        <f>IF($B4&lt;Analysis!$C$159,0,IF($B4=Analysis!$C$159,GB4+GE4,IF(GC3&lt;0,IF(GC3&gt;LOOKUP(Analysis!$C$159,$B:$B,GG:GG), GC3*(1+GD3),GG3),0)))</f>
        <v>-16247.309640000001</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14687.283737024225</v>
      </c>
      <c r="GO4" s="64">
        <f>IF($B4&lt;Analysis!$C$159,0,((1+Analysis!$C$174)/(1+$S4))-1)</f>
        <v>2.941176470588247E-2</v>
      </c>
      <c r="GP4" s="1">
        <f t="shared" si="7"/>
        <v>19676.02941176471</v>
      </c>
      <c r="GQ4" s="1">
        <f t="shared" si="36"/>
        <v>-1028.7456747404847</v>
      </c>
      <c r="GR4" s="64">
        <f>IF($B4&lt;Analysis!$C$159,0,Analysis!$C$178)</f>
        <v>3.0000000000000001E-3</v>
      </c>
      <c r="GS4" s="1">
        <f t="shared" si="37"/>
        <v>-2571.8641868512118</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-6472</v>
      </c>
      <c r="HC4" s="1">
        <f>-Analysis!$C$177*GN4</f>
        <v>-1101.5462802768168</v>
      </c>
      <c r="HD4" s="1">
        <f t="shared" si="38"/>
        <v>-15134.156141868512</v>
      </c>
      <c r="HE4" s="1">
        <f>MIN(0,-(GN4+HD4)*Analysis!$C$28)-GE4*Analysis!$C$28</f>
        <v>4482.7695268924381</v>
      </c>
      <c r="HF4" s="1">
        <f>-Analysis!$C$176*GP4/12</f>
        <v>-1639.6691176470592</v>
      </c>
      <c r="HG4" s="38"/>
      <c r="HH4" s="1">
        <f>IF($B4&lt;Analysis!$C$159,0,-$HI4*$FW4)</f>
        <v>-43721.691176470602</v>
      </c>
      <c r="HI4" s="64">
        <f>IF($B4&lt;Analysis!$C$159,0,IF($B4=Analysis!$C$159,Analysis!$C$31,HI3))</f>
        <v>0.1275</v>
      </c>
      <c r="HJ4" s="1">
        <f>IF($B4&lt;Analysis!$C$159,0,$FW4+HH4)</f>
        <v>299193.53373702429</v>
      </c>
      <c r="HK4" s="1">
        <f>IF($B4-Analysis!$C$159&gt;10,0,IF($FW4&gt;LOOKUP(Analysis!$C$159,$B:$B, FW:FW),$V4*(LOOKUP(Analysis!$C$159,$B:$B, FW:FW)-FW4),0))</f>
        <v>-5094.390570934278</v>
      </c>
      <c r="HL4" s="1">
        <f t="shared" si="39"/>
        <v>294099.14316609001</v>
      </c>
      <c r="HM4" s="38"/>
      <c r="HN4" s="1">
        <f t="shared" si="40"/>
        <v>-77084.661279358217</v>
      </c>
      <c r="HO4" s="1">
        <f t="shared" si="8"/>
        <v>67623.088235294112</v>
      </c>
      <c r="HP4" s="1">
        <f t="shared" si="41"/>
        <v>-9461.5730440641055</v>
      </c>
      <c r="HQ4" s="1">
        <f>IF(HP4 &lt; 0,
    IF(HQ3 + HP4 &gt; 0,
        HQ3 + HP4, IF(HV3-ABS(HQ3 + HP4)*(1+$V4) &gt;= HQ3 + HP4,
        0, HQ3 + HP4)),
    MIN(HQ3 + HP4, Analysis!$C$7))+IF(HQ3&lt;0, HQ3*Analysis!$C$9,0)</f>
        <v>14538.426955935895</v>
      </c>
      <c r="HR4" s="38"/>
      <c r="HS4" s="1">
        <f t="shared" ref="HS4:HS52" si="54">IF(HV3&gt;0,HV3*$U4,0)</f>
        <v>672.42592676365643</v>
      </c>
      <c r="HT4" s="1">
        <f>IF($B4=Analysis!$C$159,0,IF(HP4 &gt;= 0,
    MAX(0, HQ3 + HP4 - Analysis!$C$7),
    0))</f>
        <v>0</v>
      </c>
      <c r="HU4" s="1">
        <f>IF($B4=Analysis!$C$159,0,MAX(0, HU3 + HT4 - IF(HP4 &lt; 0, MIN(ABS(HP4), HU3 + HT4), 0)))</f>
        <v>0</v>
      </c>
      <c r="HV4" s="1">
        <f>IF($B4=Analysis!$C$159,0,IF(HP4 &lt; 0,
    IF(HP4 + HQ3 &lt; 0,
        MAX(0, HV3 - (ABS(HP4 + HQ3) * (1+$V3))),
        HV3 + HS4),
    HV3 + HT4 + HS4))</f>
        <v>9637.7701101601615</v>
      </c>
      <c r="HW4" s="1">
        <f t="shared" si="42"/>
        <v>7095.8082436054192</v>
      </c>
      <c r="HX4" s="36"/>
    </row>
    <row r="5" spans="1:232" x14ac:dyDescent="0.35">
      <c r="A5">
        <f t="shared" si="0"/>
        <v>38</v>
      </c>
      <c r="B5">
        <v>2028</v>
      </c>
      <c r="C5" s="1">
        <f>IF($B5&lt;Analysis!C$66,0,$AN5)+$AT5+$AW5+$BC5+$CF5+$CA5</f>
        <v>-179558.44763534589</v>
      </c>
      <c r="D5" s="1">
        <f>IF($B5&lt;Analysis!C$66, 0, BV5)+AT5+AW5+BC5+CG5+CA5</f>
        <v>-259451.65793200783</v>
      </c>
      <c r="E5" s="1">
        <f t="shared" si="1"/>
        <v>115620.31302744204</v>
      </c>
      <c r="F5" s="1">
        <f t="shared" si="9"/>
        <v>111934.23917188705</v>
      </c>
      <c r="G5" s="1">
        <f>IF(AND($B5&gt;=Analysis!$C$100, $B5&lt;Analysis!$C$101),$CK5,0)+IF($B5&gt;=Analysis!$C$130,EB5,0)+CQ5+CT5+CZ5+EH5+EK5+EQ5+$FO5+$FT5</f>
        <v>-42980.794665861074</v>
      </c>
      <c r="H5" s="1">
        <f t="shared" si="10"/>
        <v>-98471.181413222046</v>
      </c>
      <c r="I5" s="1">
        <f>IF($B5&lt;Analysis!$C$159,0,$FW5)+$GC5+$GF5+$GL5+$HQ5+$HV5</f>
        <v>-42980.794665861074</v>
      </c>
      <c r="J5" s="1">
        <f t="shared" si="2"/>
        <v>-98471.181413222046</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4466.1516213095683</v>
      </c>
      <c r="AI5" s="1">
        <f>IF(AE5 &gt;= 0,
    MAX(0, AF4 + AE5 - Analysis!$C$7),
    0)</f>
        <v>26214.850566524146</v>
      </c>
      <c r="AJ5" s="1">
        <f t="shared" si="44"/>
        <v>77644.677556143506</v>
      </c>
      <c r="AK5" s="1">
        <f t="shared" si="20"/>
        <v>91620.31302744204</v>
      </c>
      <c r="AL5" s="1">
        <f t="shared" si="5"/>
        <v>87934.239171887049</v>
      </c>
      <c r="AM5" s="36"/>
      <c r="AN5" s="1">
        <f t="shared" si="45"/>
        <v>534519.38733971107</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-10497.938023270579</v>
      </c>
      <c r="AT5" s="1">
        <f>IF($B5&lt;Analysis!$C$66,0,IF($B5=Analysis!$C$66,-AP5-AS5,MIN(0,AT4-AS5)))</f>
        <v>-430895.65594238957</v>
      </c>
      <c r="AU5" s="64">
        <f>IF($B5&lt;Analysis!$C$66,0,IF($B5=Analysis!$C$66,Analysis!$C$72,IF(($B5-Analysis!$C$66)&lt;LOOKUP(Analysis!$C$66,$B:$B,AQ:AQ),AU4,0)))</f>
        <v>3.6999999999999998E-2</v>
      </c>
      <c r="AV5" s="1">
        <f>IF($B5&lt;Analysis!$C$66,0,IF($B5=Analysis!$C$66,-AU5*AP5,AU4*AT4))</f>
        <v>-16331.562976729425</v>
      </c>
      <c r="AW5" s="1">
        <f>IF($B5&lt;Analysis!$C$66,0,IF($B5=Analysis!$C$66,PMT(AU5,AQ5,AP5)*AQ5-AX5-AT5,IF(($B5-Analysis!$C$66+1)&lt;LOOKUP(Analysis!$C$66,$B:$B,AQ:AQ),IF(AW4-AV5&lt;0, AW4-AV5,0),0)))</f>
        <v>-235184.46634587072</v>
      </c>
      <c r="AX5" s="1">
        <f>IF($B5&lt;Analysis!$C$66,0,IF($B5=Analysis!$C$66,AS5+AV5,IF(AT4&lt;0,IF(AT4&gt;LOOKUP(Analysis!$C$66,$B:$B,AX:AX), AT4*(1+AU4),AX4),0)))</f>
        <v>-26829.501000000004</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-1603.5581620191333</v>
      </c>
      <c r="BF5" s="64">
        <f>IF($B5&lt;Analysis!$C$66,0,Analysis!$C$78)</f>
        <v>3.0000000000000001E-3</v>
      </c>
      <c r="BG5" s="1">
        <f>IF($B5&lt;Analysis!$C$66,0,-BH5*AN5)</f>
        <v>-4008.8954050478328</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-68151.221885813167</v>
      </c>
      <c r="BS5" s="64">
        <f>IF($B5&lt;Analysis!C$66,0,Analysis!C$31)</f>
        <v>0.1275</v>
      </c>
      <c r="BT5" s="1">
        <f>IF($B5&lt;Analysis!$C$66,0,AN5+BR5)</f>
        <v>466368.16545389791</v>
      </c>
      <c r="BU5" s="1">
        <f>IF($B5-Analysis!$C$66&gt;3,0,IF($AN5&gt;LOOKUP(Analysis!$C$66,$B:$B, AN:AN),$V5*(LOOKUP(Analysis!$C$66,$B:$B, AN:AN)-AN5),0))</f>
        <v>-11741.988410848795</v>
      </c>
      <c r="BV5" s="1">
        <f t="shared" si="23"/>
        <v>454626.17704304913</v>
      </c>
      <c r="BW5" s="42"/>
      <c r="BX5" s="1">
        <f>IF($B5&lt;Analysis!$C$66,$P5+$N5+$X5+$Z5,$P5+$N5+AS5+AV5+BB5+BE5+BG5+MAX(BI5,SUM(BJ5:BN5))+BP5)</f>
        <v>-94674.783345774398</v>
      </c>
      <c r="BY5" s="1">
        <f t="shared" si="24"/>
        <v>100652.41620869798</v>
      </c>
      <c r="BZ5" s="1">
        <f t="shared" si="46"/>
        <v>5977.6328629235795</v>
      </c>
      <c r="CA5" s="1">
        <f>IF(BZ5 &lt; 0,
    IF(CA4 + BZ5 &gt; 0,
        CA4 + BZ5, IF(CF4-ABS(CA4 + BZ5)*(1+$V5) &gt;= CA4 + BZ5,
        0, CA4 + BZ5)),
    MIN(CA4 + BZ5, Analysis!$C$7))+IF(CA4&lt;0, CA4*Analysis!$C$9,0)</f>
        <v>-11560.74001455217</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353000.96682271536</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-6357.3023458619919</v>
      </c>
      <c r="CQ5" s="1">
        <f>IF(OR($B5&lt;Analysis!$C$100, $B5&gt;=Analysis!$C$101),0,IF($B5=Analysis!$C$100,-CM5-CP5,MIN(0,CQ4-CP5)))</f>
        <v>-260940.19209030041</v>
      </c>
      <c r="CR5" s="64">
        <f>IF(OR($B5&lt;Analysis!$C$100, $B5&gt;=Analysis!$C$101),0,IF($B5=Analysis!$C$100,Analysis!$C$102,IF(($B5-Analysis!$C$100)&lt;LOOKUP(Analysis!$C$100,$B:$B,CN:CN),CR4,0)))</f>
        <v>3.6999999999999998E-2</v>
      </c>
      <c r="CS5" s="1">
        <f>IF(OR($B5&lt;Analysis!$C$100, $B5&gt;=Analysis!$C$101),0,IF($B5=Analysis!$C$100,-CR5*CM5,CR4*CQ4))</f>
        <v>-9890.0072941380095</v>
      </c>
      <c r="CT5" s="1">
        <f>IF(OR($B5&lt;Analysis!$C$100, $B5&gt;=Analysis!$C$101),0,IF($B5=Analysis!$C$100,PMT(CR5,CN5,CM5)*CN5-CU5-CQ5,IF(($B5-Analysis!$C$100+1)&lt;LOOKUP(Analysis!$C$100,$B:$B,CN:CN),IF(CT4-CS5&lt;0, CT4-CS5,0),0)))</f>
        <v>-142422.1362611076</v>
      </c>
      <c r="CU5" s="1">
        <f>IF(OR($B5&lt;Analysis!$C$100, $B5&gt;=Analysis!$C$101),0,IF($B5=Analysis!$C$100,CP5+CS5,IF(CQ4&lt;0,IF(CQ4&gt;LOOKUP(Analysis!$C$100,$B:$B,CU:CU), CQ4*(1+CR4),CU4),0)))</f>
        <v>-16247.309640000001</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15119.262670466116</v>
      </c>
      <c r="DC5" s="64">
        <f>IF(OR($B5&lt;Analysis!$C$100, $B5&gt;=Analysis!$C$101),0,((1+Analysis!$C$114)/(1+$S5))-1)</f>
        <v>2.941176470588247E-2</v>
      </c>
      <c r="DD5" s="1">
        <f t="shared" si="6"/>
        <v>20138.265570934262</v>
      </c>
      <c r="DE5" s="1">
        <f t="shared" si="27"/>
        <v>-1059.0029004681462</v>
      </c>
      <c r="DF5" s="64">
        <f>IF(OR($B5&lt;Analysis!$C$100, $B5&gt;=Analysis!$C$101),0,Analysis!$C$118)</f>
        <v>3.0000000000000001E-3</v>
      </c>
      <c r="DG5" s="1">
        <f t="shared" si="28"/>
        <v>-2647.5072511703652</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-6472</v>
      </c>
      <c r="DQ5" s="1">
        <f>-Analysis!$C$117*DB5</f>
        <v>-1133.9447002849586</v>
      </c>
      <c r="DR5" s="1">
        <f t="shared" si="29"/>
        <v>-15272.45485192347</v>
      </c>
      <c r="DS5" s="1">
        <f>MIN(0,-(DB5+DR5)*Analysis!$C$28)-CS5*Analysis!$C$28</f>
        <v>4382.2622320325518</v>
      </c>
      <c r="DT5" s="1">
        <f>-Analysis!$C$116*DD5/12</f>
        <v>-1678.1887975778552</v>
      </c>
      <c r="DU5" s="53"/>
      <c r="DV5" s="1">
        <f t="shared" si="30"/>
        <v>-45007.623269896212</v>
      </c>
      <c r="DW5" s="64">
        <f>IF(OR($B5&lt;Analysis!$C$100, $B5&gt;=Analysis!$C$101),0,IF($B5=Analysis!$C$100,Analysis!$C$31,DW4))</f>
        <v>0.1275</v>
      </c>
      <c r="DX5" s="1">
        <f>IF(OR($B5&lt;Analysis!$C$100, $B5&gt;=Analysis!$C$101),0,CK5+DV5)</f>
        <v>307993.34355281916</v>
      </c>
      <c r="DY5" s="1">
        <f>IF(OR($B5&lt;Analysis!$C$100, $B5&gt;=Analysis!$C$101),0,IF($B5-Analysis!$C$100&gt;3,0,IF(CK5&gt;LOOKUP(Analysis!$C$100,$B:$B, CK:CK),$V5*(LOOKUP(Analysis!$C$100,$B:$B, CK:CK)-CK5),0)))</f>
        <v>-7754.504999491176</v>
      </c>
      <c r="DZ5" s="1">
        <f t="shared" si="49"/>
        <v>300238.83855332801</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-101855.67717385174</v>
      </c>
      <c r="FM5" s="1">
        <f>$M5+$R5+DD5+IF(AND($B5&lt;&gt;Analysis!$C$130,$B5=Analysis!$C$101),DZ4+CQ4+CT4+CZ4,0)</f>
        <v>120790.68177963224</v>
      </c>
      <c r="FN5" s="1">
        <f t="shared" si="34"/>
        <v>18935.004605780501</v>
      </c>
      <c r="FO5" s="1">
        <f>IF(FN5 &lt; 0,
    IF(FO4 + FN5 &gt; 0,
        FO4 + FN5, IF(FT4-ABS(FO4 + FN5)*(1+$V5) &gt;= FO4 + FN5,
        0, FO4 + FN5)),
    MIN(FO4 + FN5, Analysis!$C$7))+IF(FO4&lt;0, FO4*Analysis!$C$9,0)</f>
        <v>24000</v>
      </c>
      <c r="FP5" s="53"/>
      <c r="FQ5" s="1">
        <f t="shared" si="51"/>
        <v>706.33786319952685</v>
      </c>
      <c r="FR5" s="1">
        <f>IF(OR($B5=Analysis!$C$100, $B5=Analysis!$C$130),0,IF(FN5 &gt;= 0,
    MAX(0, FO4 + FN5 - Analysis!$C$7),
    0))</f>
        <v>9473.4315617163957</v>
      </c>
      <c r="FS5" s="1">
        <f>IF(OR($B5=Analysis!$C$100, $B5=Analysis!$C$130),0,MAX(0, FS4 + FR5 - IF(FN5 &lt; 0, MIN(ABS(FN5), FS4 + FR5), 0)))</f>
        <v>9473.4315617163957</v>
      </c>
      <c r="FT5" s="1">
        <f>IF(OR($B5=Analysis!$C$100, $B5=Analysis!$C$130),0,IF(FN5 &lt; 0,
    IF(FN5 + FO4 &lt; 0,
        MAX(0, FT4 - (ABS(FN5 + FO4) * (1+$V4))),
        FT4 + FQ5),
    FT4 + FR5 + FQ5))</f>
        <v>19817.539535076085</v>
      </c>
      <c r="FU5" s="1">
        <f t="shared" si="35"/>
        <v>17089.281057102467</v>
      </c>
      <c r="FV5" s="36"/>
      <c r="FW5" s="1">
        <f t="shared" si="52"/>
        <v>353000.96682271536</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-6357.3023458619919</v>
      </c>
      <c r="GC5" s="1">
        <f>IF($B5&lt;Analysis!$C$159,0,IF($B5=Analysis!$C$159,-FY5-GB5,MIN(0,GC4-GB5)))</f>
        <v>-260940.19209030041</v>
      </c>
      <c r="GD5" s="64">
        <f>IF($B5&lt;Analysis!$C$159,0,IF($B5=Analysis!$C$159,Analysis!$C$160,IF(($B5-Analysis!$C$159)&lt;LOOKUP(Analysis!$C$159,$B:$B,FZ:FZ),GD4,0)))</f>
        <v>3.6999999999999998E-2</v>
      </c>
      <c r="GE5" s="1">
        <f>IF($B5&lt;Analysis!$C$159,0,IF($B5=Analysis!$C$159,-GD5*FY5,GD4*GC4))</f>
        <v>-9890.0072941380095</v>
      </c>
      <c r="GF5" s="1">
        <f>IF($B5&lt;Analysis!$C$159,0,IF($B5=Analysis!$C$159,PMT(GD5,FZ5,FY5)*FZ5-GG5-GC5,IF(($B5-Analysis!$C$159+1)&lt;LOOKUP(Analysis!$C$159,$B:$B,FZ:FZ),IF(GF4-GE5&lt;0, GF4-GE5,0),0)))</f>
        <v>-142422.1362611076</v>
      </c>
      <c r="GG5" s="1">
        <f>IF($B5&lt;Analysis!$C$159,0,IF($B5=Analysis!$C$159,GB5+GE5,IF(GC4&lt;0,IF(GC4&gt;LOOKUP(Analysis!$C$159,$B:$B,GG:GG), GC4*(1+GD4),GG4),0)))</f>
        <v>-16247.309640000001</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15119.262670466116</v>
      </c>
      <c r="GO5" s="64">
        <f>IF($B5&lt;Analysis!$C$159,0,((1+Analysis!$C$174)/(1+$S5))-1)</f>
        <v>2.941176470588247E-2</v>
      </c>
      <c r="GP5" s="1">
        <f t="shared" si="7"/>
        <v>20138.265570934262</v>
      </c>
      <c r="GQ5" s="1">
        <f t="shared" si="36"/>
        <v>-1059.0029004681462</v>
      </c>
      <c r="GR5" s="64">
        <f>IF($B5&lt;Analysis!$C$159,0,Analysis!$C$178)</f>
        <v>3.0000000000000001E-3</v>
      </c>
      <c r="GS5" s="1">
        <f t="shared" si="37"/>
        <v>-2647.5072511703652</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-6472</v>
      </c>
      <c r="HC5" s="1">
        <f>-Analysis!$C$177*GN5</f>
        <v>-1133.9447002849586</v>
      </c>
      <c r="HD5" s="1">
        <f t="shared" si="38"/>
        <v>-15272.45485192347</v>
      </c>
      <c r="HE5" s="1">
        <f>MIN(0,-(GN5+HD5)*Analysis!$C$28)-GE5*Analysis!$C$28</f>
        <v>4382.2622320325518</v>
      </c>
      <c r="HF5" s="1">
        <f>-Analysis!$C$176*GP5/12</f>
        <v>-1678.1887975778552</v>
      </c>
      <c r="HG5" s="38"/>
      <c r="HH5" s="1">
        <f>IF($B5&lt;Analysis!$C$159,0,-$HI5*$FW5)</f>
        <v>-45007.623269896212</v>
      </c>
      <c r="HI5" s="64">
        <f>IF($B5&lt;Analysis!$C$159,0,IF($B5=Analysis!$C$159,Analysis!$C$31,HI4))</f>
        <v>0.1275</v>
      </c>
      <c r="HJ5" s="1">
        <f>IF($B5&lt;Analysis!$C$159,0,$FW5+HH5)</f>
        <v>307993.34355281916</v>
      </c>
      <c r="HK5" s="1">
        <f>IF($B5-Analysis!$C$159&gt;10,0,IF($FW5&gt;LOOKUP(Analysis!$C$159,$B:$B, FW:FW),$V5*(LOOKUP(Analysis!$C$159,$B:$B, FW:FW)-FW5),0))</f>
        <v>-7754.504999491176</v>
      </c>
      <c r="HL5" s="1">
        <f t="shared" si="39"/>
        <v>300238.83855332801</v>
      </c>
      <c r="HM5" s="38"/>
      <c r="HN5" s="1">
        <f t="shared" si="40"/>
        <v>-101855.67717385174</v>
      </c>
      <c r="HO5" s="1">
        <f t="shared" si="8"/>
        <v>120790.68177963224</v>
      </c>
      <c r="HP5" s="1">
        <f t="shared" si="41"/>
        <v>18935.004605780501</v>
      </c>
      <c r="HQ5" s="1">
        <f>IF(HP5 &lt; 0,
    IF(HQ4 + HP5 &gt; 0,
        HQ4 + HP5, IF(HV4-ABS(HQ4 + HP5)*(1+$V5) &gt;= HQ4 + HP5,
        0, HQ4 + HP5)),
    MIN(HQ4 + HP5, Analysis!$C$7))+IF(HQ4&lt;0, HQ4*Analysis!$C$9,0)</f>
        <v>24000</v>
      </c>
      <c r="HR5" s="38"/>
      <c r="HS5" s="1">
        <f t="shared" si="54"/>
        <v>706.33786319952685</v>
      </c>
      <c r="HT5" s="1">
        <f>IF($B5=Analysis!$C$159,0,IF(HP5 &gt;= 0,
    MAX(0, HQ4 + HP5 - Analysis!$C$7),
    0))</f>
        <v>9473.4315617163957</v>
      </c>
      <c r="HU5" s="1">
        <f>IF($B5=Analysis!$C$159,0,MAX(0, HU4 + HT5 - IF(HP5 &lt; 0, MIN(ABS(HP5), HU4 + HT5), 0)))</f>
        <v>9473.4315617163957</v>
      </c>
      <c r="HV5" s="1">
        <f>IF($B5=Analysis!$C$159,0,IF(HP5 &lt; 0,
    IF(HP5 + HQ4 &lt; 0,
        MAX(0, HV4 - (ABS(HP5 + HQ4) * (1+$V4))),
        HV4 + HS5),
    HV4 + HT5 + HS5))</f>
        <v>19817.539535076085</v>
      </c>
      <c r="HW5" s="1">
        <f t="shared" si="42"/>
        <v>17089.281057102467</v>
      </c>
      <c r="HX5" s="36"/>
    </row>
    <row r="6" spans="1:232" x14ac:dyDescent="0.35">
      <c r="A6">
        <f t="shared" si="0"/>
        <v>39</v>
      </c>
      <c r="B6">
        <v>2029</v>
      </c>
      <c r="C6" s="1">
        <f>IF($B6&lt;Analysis!C$66,0,$AN6)+$AT6+$AW6+$BC6+$CF6+$CA6</f>
        <v>-126680.28692194101</v>
      </c>
      <c r="D6" s="1">
        <f>IF($B6&lt;Analysis!C$66, 0, BV6)+AT6+AW6+BC6+CG6+CA6</f>
        <v>-196835.95651027808</v>
      </c>
      <c r="E6" s="1">
        <f t="shared" si="1"/>
        <v>148249.98570310793</v>
      </c>
      <c r="F6" s="1">
        <f t="shared" si="9"/>
        <v>142834.33078201133</v>
      </c>
      <c r="G6" s="1">
        <f>IF(AND($B6&gt;=Analysis!$C$100, $B6&lt;Analysis!$C$101),$CK6,0)+IF($B6&gt;=Analysis!$C$130,EB6,0)+CQ6+CT6+CZ6+EH6+EK6+EQ6+$FO6+$FT6</f>
        <v>9057.4240869347705</v>
      </c>
      <c r="H6" s="1">
        <f t="shared" si="10"/>
        <v>-40376.320913663971</v>
      </c>
      <c r="I6" s="1">
        <f>IF($B6&lt;Analysis!$C$159,0,$FW6)+$GC6+$GF6+$GL6+$HQ6+$HV6</f>
        <v>9057.4240869347705</v>
      </c>
      <c r="J6" s="1">
        <f t="shared" si="2"/>
        <v>-50869.179001375473</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6557.6533290678008</v>
      </c>
      <c r="AI6" s="1">
        <f>IF(AE6 &gt;= 0,
    MAX(0, AF5 + AE6 - Analysis!$C$7),
    0)</f>
        <v>26072.019346598085</v>
      </c>
      <c r="AJ6" s="1">
        <f t="shared" si="44"/>
        <v>103716.69690274159</v>
      </c>
      <c r="AK6" s="1">
        <f t="shared" si="20"/>
        <v>124249.98570310793</v>
      </c>
      <c r="AL6" s="1">
        <f t="shared" si="5"/>
        <v>118834.33078201131</v>
      </c>
      <c r="AM6" s="36"/>
      <c r="AN6" s="1">
        <f t="shared" si="45"/>
        <v>550240.54579087906</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-10886.36173013159</v>
      </c>
      <c r="AT6" s="1">
        <f>IF($B6&lt;Analysis!$C$66,0,IF($B6=Analysis!$C$66,-AP6-AS6,MIN(0,AT5-AS6)))</f>
        <v>-420009.29421225796</v>
      </c>
      <c r="AU6" s="64">
        <f>IF($B6&lt;Analysis!$C$66,0,IF($B6=Analysis!$C$66,Analysis!$C$72,IF(($B6-Analysis!$C$66)&lt;LOOKUP(Analysis!$C$66,$B:$B,AQ:AQ),AU5,0)))</f>
        <v>3.6999999999999998E-2</v>
      </c>
      <c r="AV6" s="1">
        <f>IF($B6&lt;Analysis!$C$66,0,IF($B6=Analysis!$C$66,-AU6*AP6,AU5*AT5))</f>
        <v>-15943.139269868414</v>
      </c>
      <c r="AW6" s="1">
        <f>IF($B6&lt;Analysis!$C$66,0,IF($B6=Analysis!$C$66,PMT(AU6,AQ6,AP6)*AQ6-AX6-AT6,IF(($B6-Analysis!$C$66+1)&lt;LOOKUP(Analysis!$C$66,$B:$B,AQ:AQ),IF(AW5-AV6&lt;0, AW5-AV6,0),0)))</f>
        <v>-219241.32707600232</v>
      </c>
      <c r="AX6" s="1">
        <f>IF($B6&lt;Analysis!$C$66,0,IF($B6=Analysis!$C$66,AS6+AV6,IF(AT5&lt;0,IF(AT5&gt;LOOKUP(Analysis!$C$66,$B:$B,AX:AX), AT5*(1+AU5),AX5),0)))</f>
        <v>-26829.501000000004</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-1650.7216373726371</v>
      </c>
      <c r="BF6" s="64">
        <f>IF($B6&lt;Analysis!$C$66,0,Analysis!$C$78)</f>
        <v>3.0000000000000001E-3</v>
      </c>
      <c r="BG6" s="1">
        <f>IF($B6&lt;Analysis!$C$66,0,-BH6*AN6)</f>
        <v>-4126.8040934315932</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-70155.669588337085</v>
      </c>
      <c r="BS6" s="64">
        <f>IF($B6&lt;Analysis!C$66,0,Analysis!C$31)</f>
        <v>0.1275</v>
      </c>
      <c r="BT6" s="1">
        <f>IF($B6&lt;Analysis!$C$66,0,AN6+BR6)</f>
        <v>480084.87620254199</v>
      </c>
      <c r="BU6" s="1">
        <f>IF($B6-Analysis!$C$66&gt;3,0,IF($AN6&gt;LOOKUP(Analysis!$C$66,$B:$B, AN:AN),$V6*(LOOKUP(Analysis!$C$66,$B:$B, AN:AN)-AN6),0))</f>
        <v>0</v>
      </c>
      <c r="BV6" s="1">
        <f t="shared" si="23"/>
        <v>480084.87620254199</v>
      </c>
      <c r="BW6" s="42"/>
      <c r="BX6" s="1">
        <f>IF($B6&lt;Analysis!$C$66,$P6+$N6+$X6+$Z6,$P6+$N6+AS6+AV6+BB6+BE6+BG6+MAX(BI6,SUM(BJ6:BN6))+BP6)</f>
        <v>-97939.855509511646</v>
      </c>
      <c r="BY6" s="1">
        <f t="shared" si="24"/>
        <v>103119.38719420528</v>
      </c>
      <c r="BZ6" s="1">
        <f t="shared" si="46"/>
        <v>5179.531684693633</v>
      </c>
      <c r="CA6" s="1">
        <f>IF(BZ6 &lt; 0,
    IF(CA5 + BZ6 &gt; 0,
        CA5 + BZ6, IF(CF5-ABS(CA5 + BZ6)*(1+$V6) &gt;= CA5 + BZ6,
        0, CA5 + BZ6)),
    MIN(CA5 + BZ6, Analysis!$C$7))+IF(CA5&lt;0, CA5*Analysis!$C$9,0)</f>
        <v>-7306.0675310227107</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363383.34819985408</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-6592.5225326588861</v>
      </c>
      <c r="CQ6" s="1">
        <f>IF(OR($B6&lt;Analysis!$C$100, $B6&gt;=Analysis!$C$101),0,IF($B6=Analysis!$C$100,-CM6-CP6,MIN(0,CQ5-CP6)))</f>
        <v>-254347.66955764152</v>
      </c>
      <c r="CR6" s="64">
        <f>IF(OR($B6&lt;Analysis!$C$100, $B6&gt;=Analysis!$C$101),0,IF($B6=Analysis!$C$100,Analysis!$C$102,IF(($B6-Analysis!$C$100)&lt;LOOKUP(Analysis!$C$100,$B:$B,CN:CN),CR5,0)))</f>
        <v>3.6999999999999998E-2</v>
      </c>
      <c r="CS6" s="1">
        <f>IF(OR($B6&lt;Analysis!$C$100, $B6&gt;=Analysis!$C$101),0,IF($B6=Analysis!$C$100,-CR6*CM6,CR5*CQ5))</f>
        <v>-9654.7871073411152</v>
      </c>
      <c r="CT6" s="1">
        <f>IF(OR($B6&lt;Analysis!$C$100, $B6&gt;=Analysis!$C$101),0,IF($B6=Analysis!$C$100,PMT(CR6,CN6,CM6)*CN6-CU6-CQ6,IF(($B6-Analysis!$C$100+1)&lt;LOOKUP(Analysis!$C$100,$B:$B,CN:CN),IF(CT5-CS6&lt;0, CT5-CS6,0),0)))</f>
        <v>-132767.3491537665</v>
      </c>
      <c r="CU6" s="1">
        <f>IF(OR($B6&lt;Analysis!$C$100, $B6&gt;=Analysis!$C$101),0,IF($B6=Analysis!$C$100,CP6+CS6,IF(CQ5&lt;0,IF(CQ5&gt;LOOKUP(Analysis!$C$100,$B:$B,CU:CU), CQ5*(1+CR5),CU5),0)))</f>
        <v>-16247.309640000001</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15563.946866656297</v>
      </c>
      <c r="DC6" s="64">
        <f>IF(OR($B6&lt;Analysis!$C$100, $B6&gt;=Analysis!$C$101),0,((1+Analysis!$C$114)/(1+$S6))-1)</f>
        <v>2.941176470588247E-2</v>
      </c>
      <c r="DD6" s="1">
        <f t="shared" si="6"/>
        <v>20614.09691125586</v>
      </c>
      <c r="DE6" s="1">
        <f t="shared" si="27"/>
        <v>-1090.1500445995623</v>
      </c>
      <c r="DF6" s="64">
        <f>IF(OR($B6&lt;Analysis!$C$100, $B6&gt;=Analysis!$C$101),0,Analysis!$C$118)</f>
        <v>3.0000000000000001E-3</v>
      </c>
      <c r="DG6" s="1">
        <f t="shared" si="28"/>
        <v>-2725.3751114989054</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-6472</v>
      </c>
      <c r="DQ6" s="1">
        <f>-Analysis!$C$117*DB6</f>
        <v>-1167.2960149992223</v>
      </c>
      <c r="DR6" s="1">
        <f t="shared" si="29"/>
        <v>-15414.82117109769</v>
      </c>
      <c r="DS6" s="1">
        <f>MIN(0,-(DB6+DR6)*Analysis!$C$28)-CS6*Analysis!$C$28</f>
        <v>4211.9585715608291</v>
      </c>
      <c r="DT6" s="1">
        <f>-Analysis!$C$116*DD6/12</f>
        <v>-1717.8414092713217</v>
      </c>
      <c r="DU6" s="53"/>
      <c r="DV6" s="1">
        <f t="shared" si="30"/>
        <v>-46331.376895481393</v>
      </c>
      <c r="DW6" s="64">
        <f>IF(OR($B6&lt;Analysis!$C$100, $B6&gt;=Analysis!$C$101),0,IF($B6=Analysis!$C$100,Analysis!$C$31,DW5))</f>
        <v>0.1275</v>
      </c>
      <c r="DX6" s="1">
        <f>IF(OR($B6&lt;Analysis!$C$100, $B6&gt;=Analysis!$C$101),0,CK6+DV6)</f>
        <v>317051.97130437271</v>
      </c>
      <c r="DY6" s="1">
        <f>IF(OR($B6&lt;Analysis!$C$100, $B6&gt;=Analysis!$C$101),0,IF($B6-Analysis!$C$100&gt;3,0,IF(CK6&gt;LOOKUP(Analysis!$C$100,$B:$B, CK:CK),$V6*(LOOKUP(Analysis!$C$100,$B:$B, CK:CK)-CK6),0)))</f>
        <v>0</v>
      </c>
      <c r="DZ6" s="1">
        <f t="shared" si="49"/>
        <v>317051.97130437271</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-105816.21027512281</v>
      </c>
      <c r="FM6" s="1">
        <f>$M6+$R6+DD6+IF(AND($B6&lt;&gt;Analysis!$C$130,$B6=Analysis!$C$101),DZ5+CQ5+CT5+CZ5,0)</f>
        <v>123733.48410546113</v>
      </c>
      <c r="FN6" s="1">
        <f t="shared" si="34"/>
        <v>17917.273830338323</v>
      </c>
      <c r="FO6" s="1">
        <f>IF(FN6 &lt; 0,
    IF(FO5 + FN6 &gt; 0,
        FO5 + FN6, IF(FT5-ABS(FO5 + FN6)*(1+$V6) &gt;= FO5 + FN6,
        0, FO5 + FN6)),
    MIN(FO5 + FN6, Analysis!$C$7))+IF(FO5&lt;0, FO5*Analysis!$C$9,0)</f>
        <v>24000</v>
      </c>
      <c r="FP6" s="53"/>
      <c r="FQ6" s="1">
        <f t="shared" si="51"/>
        <v>1418.4251266113877</v>
      </c>
      <c r="FR6" s="1">
        <f>IF(OR($B6=Analysis!$C$100, $B6=Analysis!$C$130),0,IF(FN6 &gt;= 0,
    MAX(0, FO5 + FN6 - Analysis!$C$7),
    0))</f>
        <v>17917.273830338323</v>
      </c>
      <c r="FS6" s="1">
        <f>IF(OR($B6=Analysis!$C$100, $B6=Analysis!$C$130),0,MAX(0, FS5 + FR6 - IF(FN6 &lt; 0, MIN(ABS(FN6), FS5 + FR6), 0)))</f>
        <v>27390.705392054719</v>
      </c>
      <c r="FT6" s="1">
        <f>IF(OR($B6=Analysis!$C$100, $B6=Analysis!$C$130),0,IF(FN6 &lt; 0,
    IF(FN6 + FO5 &lt; 0,
        MAX(0, FT5 - (ABS(FN6 + FO5) * (1+$V5))),
        FT5 + FQ6),
    FT5 + FR6 + FQ6))</f>
        <v>39153.23849202579</v>
      </c>
      <c r="FU6" s="1">
        <f t="shared" si="35"/>
        <v>36050.87038690842</v>
      </c>
      <c r="FV6" s="36"/>
      <c r="FW6" s="1">
        <f t="shared" si="52"/>
        <v>363383.34819985408</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-6592.5225326588861</v>
      </c>
      <c r="GC6" s="1">
        <f>IF($B6&lt;Analysis!$C$159,0,IF($B6=Analysis!$C$159,-FY6-GB6,MIN(0,GC5-GB6)))</f>
        <v>-254347.66955764152</v>
      </c>
      <c r="GD6" s="64">
        <f>IF($B6&lt;Analysis!$C$159,0,IF($B6=Analysis!$C$159,Analysis!$C$160,IF(($B6-Analysis!$C$159)&lt;LOOKUP(Analysis!$C$159,$B:$B,FZ:FZ),GD5,0)))</f>
        <v>3.6999999999999998E-2</v>
      </c>
      <c r="GE6" s="1">
        <f>IF($B6&lt;Analysis!$C$159,0,IF($B6=Analysis!$C$159,-GD6*FY6,GD5*GC5))</f>
        <v>-9654.7871073411152</v>
      </c>
      <c r="GF6" s="1">
        <f>IF($B6&lt;Analysis!$C$159,0,IF($B6=Analysis!$C$159,PMT(GD6,FZ6,FY6)*FZ6-GG6-GC6,IF(($B6-Analysis!$C$159+1)&lt;LOOKUP(Analysis!$C$159,$B:$B,FZ:FZ),IF(GF5-GE6&lt;0, GF5-GE6,0),0)))</f>
        <v>-132767.3491537665</v>
      </c>
      <c r="GG6" s="1">
        <f>IF($B6&lt;Analysis!$C$159,0,IF($B6=Analysis!$C$159,GB6+GE6,IF(GC5&lt;0,IF(GC5&gt;LOOKUP(Analysis!$C$159,$B:$B,GG:GG), GC5*(1+GD5),GG5),0)))</f>
        <v>-16247.309640000001</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15563.946866656297</v>
      </c>
      <c r="GO6" s="64">
        <f>IF($B6&lt;Analysis!$C$159,0,((1+Analysis!$C$174)/(1+$S6))-1)</f>
        <v>2.941176470588247E-2</v>
      </c>
      <c r="GP6" s="1">
        <f t="shared" si="7"/>
        <v>20614.09691125586</v>
      </c>
      <c r="GQ6" s="1">
        <f t="shared" si="36"/>
        <v>-1090.1500445995623</v>
      </c>
      <c r="GR6" s="64">
        <f>IF($B6&lt;Analysis!$C$159,0,Analysis!$C$178)</f>
        <v>3.0000000000000001E-3</v>
      </c>
      <c r="GS6" s="1">
        <f t="shared" si="37"/>
        <v>-2725.3751114989054</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-6472</v>
      </c>
      <c r="HC6" s="1">
        <f>-Analysis!$C$177*GN6</f>
        <v>-1167.2960149992223</v>
      </c>
      <c r="HD6" s="1">
        <f t="shared" si="38"/>
        <v>-15414.82117109769</v>
      </c>
      <c r="HE6" s="1">
        <f>MIN(0,-(GN6+HD6)*Analysis!$C$28)-GE6*Analysis!$C$28</f>
        <v>4211.9585715608291</v>
      </c>
      <c r="HF6" s="1">
        <f>-Analysis!$C$176*GP6/12</f>
        <v>-1717.8414092713217</v>
      </c>
      <c r="HG6" s="38"/>
      <c r="HH6" s="1">
        <f>IF($B6&lt;Analysis!$C$159,0,-$HI6*$FW6)</f>
        <v>-46331.376895481393</v>
      </c>
      <c r="HI6" s="64">
        <f>IF($B6&lt;Analysis!$C$159,0,IF($B6=Analysis!$C$159,Analysis!$C$31,HI5))</f>
        <v>0.1275</v>
      </c>
      <c r="HJ6" s="1">
        <f>IF($B6&lt;Analysis!$C$159,0,$FW6+HH6)</f>
        <v>317051.97130437271</v>
      </c>
      <c r="HK6" s="1">
        <f>IF($B6-Analysis!$C$159&gt;10,0,IF($FW6&gt;LOOKUP(Analysis!$C$159,$B:$B, FW:FW),$V6*(LOOKUP(Analysis!$C$159,$B:$B, FW:FW)-FW6),0))</f>
        <v>-10492.858087711513</v>
      </c>
      <c r="HL6" s="1">
        <f t="shared" si="39"/>
        <v>306559.11321666121</v>
      </c>
      <c r="HM6" s="38"/>
      <c r="HN6" s="1">
        <f t="shared" si="40"/>
        <v>-105816.21027512281</v>
      </c>
      <c r="HO6" s="1">
        <f t="shared" si="8"/>
        <v>123733.48410546113</v>
      </c>
      <c r="HP6" s="1">
        <f t="shared" si="41"/>
        <v>17917.273830338323</v>
      </c>
      <c r="HQ6" s="1">
        <f>IF(HP6 &lt; 0,
    IF(HQ5 + HP6 &gt; 0,
        HQ5 + HP6, IF(HV5-ABS(HQ5 + HP6)*(1+$V6) &gt;= HQ5 + HP6,
        0, HQ5 + HP6)),
    MIN(HQ5 + HP6, Analysis!$C$7))+IF(HQ5&lt;0, HQ5*Analysis!$C$9,0)</f>
        <v>24000</v>
      </c>
      <c r="HR6" s="38"/>
      <c r="HS6" s="1">
        <f t="shared" si="54"/>
        <v>1418.4251266113877</v>
      </c>
      <c r="HT6" s="1">
        <f>IF($B6=Analysis!$C$159,0,IF(HP6 &gt;= 0,
    MAX(0, HQ5 + HP6 - Analysis!$C$7),
    0))</f>
        <v>17917.273830338323</v>
      </c>
      <c r="HU6" s="1">
        <f>IF($B6=Analysis!$C$159,0,MAX(0, HU5 + HT6 - IF(HP6 &lt; 0, MIN(ABS(HP6), HU5 + HT6), 0)))</f>
        <v>27390.705392054719</v>
      </c>
      <c r="HV6" s="1">
        <f>IF($B6=Analysis!$C$159,0,IF(HP6 &lt; 0,
    IF(HP6 + HQ5 &lt; 0,
        MAX(0, HV5 - (ABS(HP6 + HQ5) * (1+$V5))),
        HV5 + HS6),
    HV5 + HT6 + HS6))</f>
        <v>39153.23849202579</v>
      </c>
      <c r="HW6" s="1">
        <f t="shared" si="42"/>
        <v>36050.87038690842</v>
      </c>
      <c r="HX6" s="36"/>
    </row>
    <row r="7" spans="1:232" x14ac:dyDescent="0.35">
      <c r="A7">
        <f t="shared" si="0"/>
        <v>40</v>
      </c>
      <c r="B7">
        <v>2030</v>
      </c>
      <c r="C7" s="1">
        <f>IF($B7&lt;Analysis!C$66,0,$AN7)+$AT7+$AW7+$BC7+$CF7+$CA7</f>
        <v>-70641.856663318424</v>
      </c>
      <c r="D7" s="1">
        <f>IF($B7&lt;Analysis!C$66, 0, BV7)+AT7+AW7+BC7+CG7+CA7</f>
        <v>-142860.92829837132</v>
      </c>
      <c r="E7" s="1">
        <f t="shared" si="1"/>
        <v>185006.38017291311</v>
      </c>
      <c r="F7" s="1">
        <f t="shared" si="9"/>
        <v>177301.34965740159</v>
      </c>
      <c r="G7" s="1">
        <f>IF(AND($B7&gt;=Analysis!$C$100, $B7&lt;Analysis!$C$101),$CK7,0)+IF($B7&gt;=Analysis!$C$130,EB7,0)+CQ7+CT7+CZ7+EH7+EK7+EQ7+$FO7+$FT7</f>
        <v>64778.577558798832</v>
      </c>
      <c r="H7" s="1">
        <f t="shared" si="10"/>
        <v>13260.724648647636</v>
      </c>
      <c r="I7" s="1">
        <f>IF($B7&lt;Analysis!$C$159,0,$FW7)+$GC7+$GF7+$GL7+$HQ7+$HV7</f>
        <v>64778.577558798832</v>
      </c>
      <c r="J7" s="1">
        <f t="shared" si="2"/>
        <v>-51.026323996557039</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8680.0970404356303</v>
      </c>
      <c r="AI7" s="1">
        <f>IF(AE7 &gt;= 0,
    MAX(0, AF6 + AE7 - Analysis!$C$7),
    0)</f>
        <v>28076.297429369559</v>
      </c>
      <c r="AJ7" s="1">
        <f t="shared" si="44"/>
        <v>131792.99433211115</v>
      </c>
      <c r="AK7" s="1">
        <f t="shared" si="20"/>
        <v>161006.38017291311</v>
      </c>
      <c r="AL7" s="1">
        <f t="shared" si="5"/>
        <v>153301.34965740159</v>
      </c>
      <c r="AM7" s="36"/>
      <c r="AN7" s="1">
        <f t="shared" si="45"/>
        <v>566424.09125531674</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-11289.157114146461</v>
      </c>
      <c r="AT7" s="1">
        <f>IF($B7&lt;Analysis!$C$66,0,IF($B7=Analysis!$C$66,-AP7-AS7,MIN(0,AT6-AS7)))</f>
        <v>-408720.1370981115</v>
      </c>
      <c r="AU7" s="64">
        <f>IF($B7&lt;Analysis!$C$66,0,IF($B7=Analysis!$C$66,Analysis!$C$72,IF(($B7-Analysis!$C$66)&lt;LOOKUP(Analysis!$C$66,$B:$B,AQ:AQ),AU6,0)))</f>
        <v>3.6999999999999998E-2</v>
      </c>
      <c r="AV7" s="1">
        <f>IF($B7&lt;Analysis!$C$66,0,IF($B7=Analysis!$C$66,-AU7*AP7,AU6*AT6))</f>
        <v>-15540.343885853543</v>
      </c>
      <c r="AW7" s="1">
        <f>IF($B7&lt;Analysis!$C$66,0,IF($B7=Analysis!$C$66,PMT(AU7,AQ7,AP7)*AQ7-AX7-AT7,IF(($B7-Analysis!$C$66+1)&lt;LOOKUP(Analysis!$C$66,$B:$B,AQ:AQ),IF(AW6-AV7&lt;0, AW6-AV7,0),0)))</f>
        <v>-203700.98319014878</v>
      </c>
      <c r="AX7" s="1">
        <f>IF($B7&lt;Analysis!$C$66,0,IF($B7=Analysis!$C$66,AS7+AV7,IF(AT6&lt;0,IF(AT6&gt;LOOKUP(Analysis!$C$66,$B:$B,AX:AX), AT6*(1+AU6),AX6),0)))</f>
        <v>-26829.501000000004</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-1699.2722737659503</v>
      </c>
      <c r="BF7" s="64">
        <f>IF($B7&lt;Analysis!$C$66,0,Analysis!$C$78)</f>
        <v>3.0000000000000001E-3</v>
      </c>
      <c r="BG7" s="1">
        <f>IF($B7&lt;Analysis!$C$66,0,-BH7*AN7)</f>
        <v>-4248.180684414875</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-72219.071635052882</v>
      </c>
      <c r="BS7" s="64">
        <f>IF($B7&lt;Analysis!C$66,0,Analysis!C$31)</f>
        <v>0.1275</v>
      </c>
      <c r="BT7" s="1">
        <f>IF($B7&lt;Analysis!$C$66,0,AN7+BR7)</f>
        <v>494205.01962026383</v>
      </c>
      <c r="BU7" s="1">
        <f>IF($B7-Analysis!$C$66&gt;3,0,IF($AN7&gt;LOOKUP(Analysis!$C$66,$B:$B, AN:AN),$V7*(LOOKUP(Analysis!$C$66,$B:$B, AN:AN)-AN7),0))</f>
        <v>0</v>
      </c>
      <c r="BV7" s="1">
        <f t="shared" si="23"/>
        <v>494205.01962026383</v>
      </c>
      <c r="BW7" s="42"/>
      <c r="BX7" s="1">
        <f>IF($B7&lt;Analysis!$C$66,$P7+$N7+$X7+$Z7,$P7+$N7+AS7+AV7+BB7+BE7+BG7+MAX(BI7,SUM(BJ7:BN7))+BP7)</f>
        <v>-98109.782736888257</v>
      </c>
      <c r="BY7" s="1">
        <f t="shared" si="24"/>
        <v>105646.82315484756</v>
      </c>
      <c r="BZ7" s="1">
        <f t="shared" si="46"/>
        <v>7537.0404179593024</v>
      </c>
      <c r="CA7" s="1">
        <f>IF(BZ7 &lt; 0,
    IF(CA6 + BZ7 &gt; 0,
        CA6 + BZ7, IF(CF6-ABS(CA6 + BZ7)*(1+$V7) &gt;= CA6 + BZ7,
        0, CA6 + BZ7)),
    MIN(CA6 + BZ7, Analysis!$C$7))+IF(CA6&lt;0, CA6*Analysis!$C$9,0)</f>
        <v>-353.51251554522514</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374071.09373514395</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-6836.4458663672649</v>
      </c>
      <c r="CQ7" s="1">
        <f>IF(OR($B7&lt;Analysis!$C$100, $B7&gt;=Analysis!$C$101),0,IF($B7=Analysis!$C$100,-CM7-CP7,MIN(0,CQ6-CP7)))</f>
        <v>-247511.22369127427</v>
      </c>
      <c r="CR7" s="64">
        <f>IF(OR($B7&lt;Analysis!$C$100, $B7&gt;=Analysis!$C$101),0,IF($B7=Analysis!$C$100,Analysis!$C$102,IF(($B7-Analysis!$C$100)&lt;LOOKUP(Analysis!$C$100,$B:$B,CN:CN),CR6,0)))</f>
        <v>3.6999999999999998E-2</v>
      </c>
      <c r="CS7" s="1">
        <f>IF(OR($B7&lt;Analysis!$C$100, $B7&gt;=Analysis!$C$101),0,IF($B7=Analysis!$C$100,-CR7*CM7,CR6*CQ6))</f>
        <v>-9410.8637736327364</v>
      </c>
      <c r="CT7" s="1">
        <f>IF(OR($B7&lt;Analysis!$C$100, $B7&gt;=Analysis!$C$101),0,IF($B7=Analysis!$C$100,PMT(CR7,CN7,CM7)*CN7-CU7-CQ7,IF(($B7-Analysis!$C$100+1)&lt;LOOKUP(Analysis!$C$100,$B:$B,CN:CN),IF(CT6-CS7&lt;0, CT6-CS7,0),0)))</f>
        <v>-123356.48538013376</v>
      </c>
      <c r="CU7" s="1">
        <f>IF(OR($B7&lt;Analysis!$C$100, $B7&gt;=Analysis!$C$101),0,IF($B7=Analysis!$C$100,CP7+CS7,IF(CQ6&lt;0,IF(CQ6&gt;LOOKUP(Analysis!$C$100,$B:$B,CU:CU), CQ6*(1+CR6),CU6),0)))</f>
        <v>-16247.309640000001</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16021.710009793249</v>
      </c>
      <c r="DC7" s="64">
        <f>IF(OR($B7&lt;Analysis!$C$100, $B7&gt;=Analysis!$C$101),0,((1+Analysis!$C$114)/(1+$S7))-1)</f>
        <v>2.941176470588247E-2</v>
      </c>
      <c r="DD7" s="1">
        <f t="shared" si="6"/>
        <v>21103.923290998682</v>
      </c>
      <c r="DE7" s="1">
        <f t="shared" si="27"/>
        <v>-1122.2132812054319</v>
      </c>
      <c r="DF7" s="64">
        <f>IF(OR($B7&lt;Analysis!$C$100, $B7&gt;=Analysis!$C$101),0,Analysis!$C$118)</f>
        <v>3.0000000000000001E-3</v>
      </c>
      <c r="DG7" s="1">
        <f t="shared" si="28"/>
        <v>-2805.5332030135796</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-6472</v>
      </c>
      <c r="DQ7" s="1">
        <f>-Analysis!$C$117*DB7</f>
        <v>-1201.6282507344936</v>
      </c>
      <c r="DR7" s="1">
        <f t="shared" si="29"/>
        <v>-15561.374734953504</v>
      </c>
      <c r="DS7" s="1">
        <f>MIN(0,-(DB7+DR7)*Analysis!$C$28)-CS7*Analysis!$C$28</f>
        <v>3965.9791778151739</v>
      </c>
      <c r="DT7" s="1">
        <f>-Analysis!$C$116*DD7/12</f>
        <v>-1758.6602742498901</v>
      </c>
      <c r="DU7" s="53"/>
      <c r="DV7" s="1">
        <f t="shared" si="30"/>
        <v>-47694.064451230857</v>
      </c>
      <c r="DW7" s="64">
        <f>IF(OR($B7&lt;Analysis!$C$100, $B7&gt;=Analysis!$C$101),0,IF($B7=Analysis!$C$100,Analysis!$C$31,DW6))</f>
        <v>0.1275</v>
      </c>
      <c r="DX7" s="1">
        <f>IF(OR($B7&lt;Analysis!$C$100, $B7&gt;=Analysis!$C$101),0,CK7+DV7)</f>
        <v>326377.02928391309</v>
      </c>
      <c r="DY7" s="1">
        <f>IF(OR($B7&lt;Analysis!$C$100, $B7&gt;=Analysis!$C$101),0,IF($B7-Analysis!$C$100&gt;3,0,IF(CK7&gt;LOOKUP(Analysis!$C$100,$B:$B, CK:CK),$V7*(LOOKUP(Analysis!$C$100,$B:$B, CK:CK)-CK7),0)))</f>
        <v>0</v>
      </c>
      <c r="DZ7" s="1">
        <f t="shared" si="49"/>
        <v>326377.02928391309</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-106772.71997557365</v>
      </c>
      <c r="FM7" s="1">
        <f>$M7+$R7+DD7+IF(AND($B7&lt;&gt;Analysis!$C$130,$B7=Analysis!$C$101),DZ6+CQ6+CT6+CZ6,0)</f>
        <v>126750.74644584625</v>
      </c>
      <c r="FN7" s="1">
        <f t="shared" si="34"/>
        <v>19978.026470272598</v>
      </c>
      <c r="FO7" s="1">
        <f>IF(FN7 &lt; 0,
    IF(FO6 + FN7 &gt; 0,
        FO6 + FN7, IF(FT6-ABS(FO6 + FN7)*(1+$V7) &gt;= FO6 + FN7,
        0, FO6 + FN7)),
    MIN(FO6 + FN7, Analysis!$C$7))+IF(FO6&lt;0, FO6*Analysis!$C$9,0)</f>
        <v>24000</v>
      </c>
      <c r="FP7" s="53"/>
      <c r="FQ7" s="1">
        <f t="shared" si="51"/>
        <v>2735.2430475941901</v>
      </c>
      <c r="FR7" s="1">
        <f>IF(OR($B7=Analysis!$C$100, $B7=Analysis!$C$130),0,IF(FN7 &gt;= 0,
    MAX(0, FO6 + FN7 - Analysis!$C$7),
    0))</f>
        <v>19978.026470272598</v>
      </c>
      <c r="FS7" s="1">
        <f>IF(OR($B7=Analysis!$C$100, $B7=Analysis!$C$130),0,MAX(0, FS6 + FR7 - IF(FN7 &lt; 0, MIN(ABS(FN7), FS6 + FR7), 0)))</f>
        <v>47368.731862327317</v>
      </c>
      <c r="FT7" s="1">
        <f>IF(OR($B7=Analysis!$C$100, $B7=Analysis!$C$130),0,IF(FN7 &lt; 0,
    IF(FN7 + FO6 &lt; 0,
        MAX(0, FT6 - (ABS(FN7 + FO6) * (1+$V6))),
        FT6 + FQ7),
    FT6 + FR7 + FQ7))</f>
        <v>61866.508009892576</v>
      </c>
      <c r="FU7" s="1">
        <f t="shared" si="35"/>
        <v>58042.719550972237</v>
      </c>
      <c r="FV7" s="36"/>
      <c r="FW7" s="1">
        <f t="shared" si="52"/>
        <v>374071.09373514395</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-6836.4458663672649</v>
      </c>
      <c r="GC7" s="1">
        <f>IF($B7&lt;Analysis!$C$159,0,IF($B7=Analysis!$C$159,-FY7-GB7,MIN(0,GC6-GB7)))</f>
        <v>-247511.22369127427</v>
      </c>
      <c r="GD7" s="64">
        <f>IF($B7&lt;Analysis!$C$159,0,IF($B7=Analysis!$C$159,Analysis!$C$160,IF(($B7-Analysis!$C$159)&lt;LOOKUP(Analysis!$C$159,$B:$B,FZ:FZ),GD6,0)))</f>
        <v>3.6999999999999998E-2</v>
      </c>
      <c r="GE7" s="1">
        <f>IF($B7&lt;Analysis!$C$159,0,IF($B7=Analysis!$C$159,-GD7*FY7,GD6*GC6))</f>
        <v>-9410.8637736327364</v>
      </c>
      <c r="GF7" s="1">
        <f>IF($B7&lt;Analysis!$C$159,0,IF($B7=Analysis!$C$159,PMT(GD7,FZ7,FY7)*FZ7-GG7-GC7,IF(($B7-Analysis!$C$159+1)&lt;LOOKUP(Analysis!$C$159,$B:$B,FZ:FZ),IF(GF6-GE7&lt;0, GF6-GE7,0),0)))</f>
        <v>-123356.48538013376</v>
      </c>
      <c r="GG7" s="1">
        <f>IF($B7&lt;Analysis!$C$159,0,IF($B7=Analysis!$C$159,GB7+GE7,IF(GC6&lt;0,IF(GC6&gt;LOOKUP(Analysis!$C$159,$B:$B,GG:GG), GC6*(1+GD6),GG6),0)))</f>
        <v>-16247.309640000001</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16021.710009793249</v>
      </c>
      <c r="GO7" s="64">
        <f>IF($B7&lt;Analysis!$C$159,0,((1+Analysis!$C$174)/(1+$S7))-1)</f>
        <v>2.941176470588247E-2</v>
      </c>
      <c r="GP7" s="1">
        <f t="shared" si="7"/>
        <v>21103.923290998682</v>
      </c>
      <c r="GQ7" s="1">
        <f t="shared" si="36"/>
        <v>-1122.2132812054319</v>
      </c>
      <c r="GR7" s="64">
        <f>IF($B7&lt;Analysis!$C$159,0,Analysis!$C$178)</f>
        <v>3.0000000000000001E-3</v>
      </c>
      <c r="GS7" s="1">
        <f t="shared" si="37"/>
        <v>-2805.5332030135796</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-6472</v>
      </c>
      <c r="HC7" s="1">
        <f>-Analysis!$C$177*GN7</f>
        <v>-1201.6282507344936</v>
      </c>
      <c r="HD7" s="1">
        <f t="shared" si="38"/>
        <v>-15561.374734953504</v>
      </c>
      <c r="HE7" s="1">
        <f>MIN(0,-(GN7+HD7)*Analysis!$C$28)-GE7*Analysis!$C$28</f>
        <v>3965.9791778151739</v>
      </c>
      <c r="HF7" s="1">
        <f>-Analysis!$C$176*GP7/12</f>
        <v>-1758.6602742498901</v>
      </c>
      <c r="HG7" s="38"/>
      <c r="HH7" s="1">
        <f>IF($B7&lt;Analysis!$C$159,0,-$HI7*$FW7)</f>
        <v>-47694.064451230857</v>
      </c>
      <c r="HI7" s="64">
        <f>IF($B7&lt;Analysis!$C$159,0,IF($B7=Analysis!$C$159,Analysis!$C$31,HI6))</f>
        <v>0.1275</v>
      </c>
      <c r="HJ7" s="1">
        <f>IF($B7&lt;Analysis!$C$159,0,$FW7+HH7)</f>
        <v>326377.02928391309</v>
      </c>
      <c r="HK7" s="1">
        <f>IF($B7-Analysis!$C$159&gt;10,0,IF($FW7&gt;LOOKUP(Analysis!$C$159,$B:$B, FW:FW),$V7*(LOOKUP(Analysis!$C$159,$B:$B, FW:FW)-FW7),0))</f>
        <v>-13311.750972644217</v>
      </c>
      <c r="HL7" s="1">
        <f t="shared" si="39"/>
        <v>313065.27831126889</v>
      </c>
      <c r="HM7" s="38"/>
      <c r="HN7" s="1">
        <f t="shared" si="40"/>
        <v>-106772.71997557365</v>
      </c>
      <c r="HO7" s="1">
        <f t="shared" si="8"/>
        <v>126750.74644584625</v>
      </c>
      <c r="HP7" s="1">
        <f t="shared" si="41"/>
        <v>19978.026470272598</v>
      </c>
      <c r="HQ7" s="1">
        <f>IF(HP7 &lt; 0,
    IF(HQ6 + HP7 &gt; 0,
        HQ6 + HP7, IF(HV6-ABS(HQ6 + HP7)*(1+$V7) &gt;= HQ6 + HP7,
        0, HQ6 + HP7)),
    MIN(HQ6 + HP7, Analysis!$C$7))+IF(HQ6&lt;0, HQ6*Analysis!$C$9,0)</f>
        <v>24000</v>
      </c>
      <c r="HR7" s="38"/>
      <c r="HS7" s="1">
        <f t="shared" si="54"/>
        <v>2735.2430475941901</v>
      </c>
      <c r="HT7" s="1">
        <f>IF($B7=Analysis!$C$159,0,IF(HP7 &gt;= 0,
    MAX(0, HQ6 + HP7 - Analysis!$C$7),
    0))</f>
        <v>19978.026470272598</v>
      </c>
      <c r="HU7" s="1">
        <f>IF($B7=Analysis!$C$159,0,MAX(0, HU6 + HT7 - IF(HP7 &lt; 0, MIN(ABS(HP7), HU6 + HT7), 0)))</f>
        <v>47368.731862327317</v>
      </c>
      <c r="HV7" s="1">
        <f>IF($B7=Analysis!$C$159,0,IF(HP7 &lt; 0,
    IF(HP7 + HQ6 &lt; 0,
        MAX(0, HV6 - (ABS(HP7 + HQ6) * (1+$V6))),
        HV6 + HS7),
    HV6 + HT7 + HS7))</f>
        <v>61866.508009892576</v>
      </c>
      <c r="HW7" s="1">
        <f t="shared" si="42"/>
        <v>58042.719550972237</v>
      </c>
      <c r="HX7" s="36"/>
    </row>
    <row r="8" spans="1:232" x14ac:dyDescent="0.35">
      <c r="A8">
        <f t="shared" si="0"/>
        <v>41</v>
      </c>
      <c r="B8">
        <v>2031</v>
      </c>
      <c r="C8" s="1">
        <f>IF($B8&lt;Analysis!C$66,0,$AN8)+$AT8+$AW8+$BC8+$CF8+$CA8</f>
        <v>-14256.777538694067</v>
      </c>
      <c r="D8" s="1">
        <f>IF($B8&lt;Analysis!C$66, 0, BV8)+AT8+AW8+BC8+CG8+CA8</f>
        <v>-88599.939515954393</v>
      </c>
      <c r="E8" s="1">
        <f t="shared" si="1"/>
        <v>223005.40140994103</v>
      </c>
      <c r="F8" s="1">
        <f t="shared" si="9"/>
        <v>212406.53602484043</v>
      </c>
      <c r="G8" s="1">
        <f>IF(AND($B8&gt;=Analysis!$C$100, $B8&lt;Analysis!$C$101),$CK8,0)+IF($B8&gt;=Analysis!$C$130,EB8,0)+CQ8+CT8+CZ8+EH8+EK8+EQ8+$FO8+$FT8</f>
        <v>121302.92081760459</v>
      </c>
      <c r="H8" s="1">
        <f t="shared" si="10"/>
        <v>67270.348736449247</v>
      </c>
      <c r="I8" s="1">
        <f>IF($B8&lt;Analysis!$C$159,0,$FW8)+$GC8+$GF8+$GL8+$HQ8+$HV8</f>
        <v>121302.92081760459</v>
      </c>
      <c r="J8" s="1">
        <f t="shared" si="2"/>
        <v>51056.796264609598</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10971.885761475185</v>
      </c>
      <c r="AI8" s="1">
        <f>IF(AE8 &gt;= 0,
    MAX(0, AF7 + AE8 - Analysis!$C$7),
    0)</f>
        <v>27027.135475552743</v>
      </c>
      <c r="AJ8" s="1">
        <f t="shared" si="44"/>
        <v>158820.12980766391</v>
      </c>
      <c r="AK8" s="1">
        <f t="shared" si="20"/>
        <v>199005.40140994103</v>
      </c>
      <c r="AL8" s="1">
        <f t="shared" si="5"/>
        <v>188406.53602484043</v>
      </c>
      <c r="AM8" s="36"/>
      <c r="AN8" s="1">
        <f t="shared" si="45"/>
        <v>583083.62335106137</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-11706.855927369879</v>
      </c>
      <c r="AT8" s="1">
        <f>IF($B8&lt;Analysis!$C$66,0,IF($B8=Analysis!$C$66,-AP8-AS8,MIN(0,AT7-AS8)))</f>
        <v>-397013.2811707416</v>
      </c>
      <c r="AU8" s="64">
        <f>IF($B8&lt;Analysis!$C$66,0,IF($B8=Analysis!$C$66,Analysis!$C$72,IF(($B8-Analysis!$C$66)&lt;LOOKUP(Analysis!$C$66,$B:$B,AQ:AQ),AU7,0)))</f>
        <v>3.6999999999999998E-2</v>
      </c>
      <c r="AV8" s="1">
        <f>IF($B8&lt;Analysis!$C$66,0,IF($B8=Analysis!$C$66,-AU8*AP8,AU7*AT7))</f>
        <v>-15122.645072630125</v>
      </c>
      <c r="AW8" s="1">
        <f>IF($B8&lt;Analysis!$C$66,0,IF($B8=Analysis!$C$66,PMT(AU8,AQ8,AP8)*AQ8-AX8-AT8,IF(($B8-Analysis!$C$66+1)&lt;LOOKUP(Analysis!$C$66,$B:$B,AQ:AQ),IF(AW7-AV8&lt;0, AW7-AV8,0),0)))</f>
        <v>-188578.33811751867</v>
      </c>
      <c r="AX8" s="1">
        <f>IF($B8&lt;Analysis!$C$66,0,IF($B8=Analysis!$C$66,AS8+AV8,IF(AT7&lt;0,IF(AT7&gt;LOOKUP(Analysis!$C$66,$B:$B,AX:AX), AT7*(1+AU7),AX7),0)))</f>
        <v>-26829.501000000004</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-1749.2508700531841</v>
      </c>
      <c r="BF8" s="64">
        <f>IF($B8&lt;Analysis!$C$66,0,Analysis!$C$78)</f>
        <v>3.0000000000000001E-3</v>
      </c>
      <c r="BG8" s="1">
        <f>IF($B8&lt;Analysis!$C$66,0,-BH8*AN8)</f>
        <v>-4373.1271751329605</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-74343.16197726033</v>
      </c>
      <c r="BS8" s="64">
        <f>IF($B8&lt;Analysis!C$66,0,Analysis!C$31)</f>
        <v>0.1275</v>
      </c>
      <c r="BT8" s="1">
        <f>IF($B8&lt;Analysis!$C$66,0,AN8+BR8)</f>
        <v>508740.46137380105</v>
      </c>
      <c r="BU8" s="1">
        <f>IF($B8-Analysis!$C$66&gt;3,0,IF($AN8&gt;LOOKUP(Analysis!$C$66,$B:$B, AN:AN),$V8*(LOOKUP(Analysis!$C$66,$B:$B, AN:AN)-AN8),0))</f>
        <v>0</v>
      </c>
      <c r="BV8" s="1">
        <f t="shared" si="23"/>
        <v>508740.46137380105</v>
      </c>
      <c r="BW8" s="42"/>
      <c r="BX8" s="1">
        <f>IF($B8&lt;Analysis!$C$66,$P8+$N8+$X8+$Z8,$P8+$N8+AS8+AV8+BB8+BE8+BG8+MAX(BI8,SUM(BJ8:BN8))+BP8)</f>
        <v>-101384.70782389358</v>
      </c>
      <c r="BY8" s="1">
        <f t="shared" si="24"/>
        <v>108236.2060753095</v>
      </c>
      <c r="BZ8" s="1">
        <f t="shared" si="46"/>
        <v>6851.4982514159201</v>
      </c>
      <c r="CA8" s="1">
        <f>IF(BZ8 &lt; 0,
    IF(CA7 + BZ8 &gt; 0,
        CA7 + BZ8, IF(CF7-ABS(CA7 + BZ8)*(1+$V8) &gt;= CA7 + BZ8,
        0, CA7 + BZ8)),
    MIN(CA7 + BZ8, Analysis!$C$7))+IF(CA7&lt;0, CA7*Analysis!$C$9,0)</f>
        <v>6469.7047346270765</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385073.18472735409</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-7089.3943634228544</v>
      </c>
      <c r="CQ8" s="1">
        <f>IF(OR($B8&lt;Analysis!$C$100, $B8&gt;=Analysis!$C$101),0,IF($B8=Analysis!$C$100,-CM8-CP8,MIN(0,CQ7-CP8)))</f>
        <v>-240421.82932785142</v>
      </c>
      <c r="CR8" s="64">
        <f>IF(OR($B8&lt;Analysis!$C$100, $B8&gt;=Analysis!$C$101),0,IF($B8=Analysis!$C$100,Analysis!$C$102,IF(($B8-Analysis!$C$100)&lt;LOOKUP(Analysis!$C$100,$B:$B,CN:CN),CR7,0)))</f>
        <v>3.6999999999999998E-2</v>
      </c>
      <c r="CS8" s="1">
        <f>IF(OR($B8&lt;Analysis!$C$100, $B8&gt;=Analysis!$C$101),0,IF($B8=Analysis!$C$100,-CR8*CM8,CR7*CQ7))</f>
        <v>-9157.9152765771469</v>
      </c>
      <c r="CT8" s="1">
        <f>IF(OR($B8&lt;Analysis!$C$100, $B8&gt;=Analysis!$C$101),0,IF($B8=Analysis!$C$100,PMT(CR8,CN8,CM8)*CN8-CU8-CQ8,IF(($B8-Analysis!$C$100+1)&lt;LOOKUP(Analysis!$C$100,$B:$B,CN:CN),IF(CT7-CS8&lt;0, CT7-CS8,0),0)))</f>
        <v>-114198.57010355662</v>
      </c>
      <c r="CU8" s="1">
        <f>IF(OR($B8&lt;Analysis!$C$100, $B8&gt;=Analysis!$C$101),0,IF($B8=Analysis!$C$100,CP8+CS8,IF(CQ7&lt;0,IF(CQ7&gt;LOOKUP(Analysis!$C$100,$B:$B,CU:CU), CQ7*(1+CR7),CU7),0)))</f>
        <v>-16247.309640000001</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16492.936774787169</v>
      </c>
      <c r="DC8" s="64">
        <f>IF(OR($B8&lt;Analysis!$C$100, $B8&gt;=Analysis!$C$101),0,((1+Analysis!$C$114)/(1+$S8))-1)</f>
        <v>2.941176470588247E-2</v>
      </c>
      <c r="DD8" s="1">
        <f t="shared" si="6"/>
        <v>21608.156328969231</v>
      </c>
      <c r="DE8" s="1">
        <f t="shared" si="27"/>
        <v>-1155.2195541820622</v>
      </c>
      <c r="DF8" s="64">
        <f>IF(OR($B8&lt;Analysis!$C$100, $B8&gt;=Analysis!$C$101),0,Analysis!$C$118)</f>
        <v>3.0000000000000001E-3</v>
      </c>
      <c r="DG8" s="1">
        <f t="shared" si="28"/>
        <v>-2888.0488854551554</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-6472</v>
      </c>
      <c r="DQ8" s="1">
        <f>-Analysis!$C$117*DB8</f>
        <v>-1236.9702581090376</v>
      </c>
      <c r="DR8" s="1">
        <f t="shared" si="29"/>
        <v>-15712.238697746254</v>
      </c>
      <c r="DS8" s="1">
        <f>MIN(0,-(DB8+DR8)*Analysis!$C$28)-CS8*Analysis!$C$28</f>
        <v>3711.9449411145033</v>
      </c>
      <c r="DT8" s="1">
        <f>-Analysis!$C$116*DD8/12</f>
        <v>-1800.6796940807692</v>
      </c>
      <c r="DU8" s="53"/>
      <c r="DV8" s="1">
        <f t="shared" si="30"/>
        <v>-49096.831052737645</v>
      </c>
      <c r="DW8" s="64">
        <f>IF(OR($B8&lt;Analysis!$C$100, $B8&gt;=Analysis!$C$101),0,IF($B8=Analysis!$C$100,Analysis!$C$31,DW7))</f>
        <v>0.1275</v>
      </c>
      <c r="DX8" s="1">
        <f>IF(OR($B8&lt;Analysis!$C$100, $B8&gt;=Analysis!$C$101),0,CK8+DV8)</f>
        <v>335976.35367461643</v>
      </c>
      <c r="DY8" s="1">
        <f>IF(OR($B8&lt;Analysis!$C$100, $B8&gt;=Analysis!$C$101),0,IF($B8-Analysis!$C$100&gt;3,0,IF(CK8&gt;LOOKUP(Analysis!$C$100,$B:$B, CK:CK),$V8*(LOOKUP(Analysis!$C$100,$B:$B, CK:CK)-CK8),0)))</f>
        <v>0</v>
      </c>
      <c r="DZ8" s="1">
        <f t="shared" si="49"/>
        <v>335976.35367461643</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-110858.1824691767</v>
      </c>
      <c r="FM8" s="1">
        <f>$M8+$R8+DD8+IF(AND($B8&lt;&gt;Analysis!$C$130,$B8=Analysis!$C$101),DZ7+CQ7+CT7+CZ7,0)</f>
        <v>129844.36240427873</v>
      </c>
      <c r="FN8" s="1">
        <f t="shared" si="34"/>
        <v>18986.179935102031</v>
      </c>
      <c r="FO8" s="1">
        <f>IF(FN8 &lt; 0,
    IF(FO7 + FN8 &gt; 0,
        FO7 + FN8, IF(FT7-ABS(FO7 + FN8)*(1+$V8) &gt;= FO7 + FN8,
        0, FO7 + FN8)),
    MIN(FO7 + FN8, Analysis!$C$7))+IF(FO7&lt;0, FO7*Analysis!$C$9,0)</f>
        <v>24000</v>
      </c>
      <c r="FP8" s="53"/>
      <c r="FQ8" s="1">
        <f t="shared" si="51"/>
        <v>4215.9339127861931</v>
      </c>
      <c r="FR8" s="1">
        <f>IF(OR($B8=Analysis!$C$100, $B8=Analysis!$C$130),0,IF(FN8 &gt;= 0,
    MAX(0, FO7 + FN8 - Analysis!$C$7),
    0))</f>
        <v>18986.179935102031</v>
      </c>
      <c r="FS8" s="1">
        <f>IF(OR($B8=Analysis!$C$100, $B8=Analysis!$C$130),0,MAX(0, FS7 + FR8 - IF(FN8 &lt; 0, MIN(ABS(FN8), FS7 + FR8), 0)))</f>
        <v>66354.911797429348</v>
      </c>
      <c r="FT8" s="1">
        <f>IF(OR($B8=Analysis!$C$100, $B8=Analysis!$C$130),0,IF(FN8 &lt; 0,
    IF(FN8 + FO7 &lt; 0,
        MAX(0, FT7 - (ABS(FN8 + FO7) * (1+$V7))),
        FT7 + FQ8),
    FT7 + FR8 + FQ8))</f>
        <v>85068.621857780789</v>
      </c>
      <c r="FU8" s="1">
        <f t="shared" si="35"/>
        <v>80132.880829363101</v>
      </c>
      <c r="FV8" s="36"/>
      <c r="FW8" s="1">
        <f t="shared" si="52"/>
        <v>385073.18472735409</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-7089.3943634228544</v>
      </c>
      <c r="GC8" s="1">
        <f>IF($B8&lt;Analysis!$C$159,0,IF($B8=Analysis!$C$159,-FY8-GB8,MIN(0,GC7-GB8)))</f>
        <v>-240421.82932785142</v>
      </c>
      <c r="GD8" s="64">
        <f>IF($B8&lt;Analysis!$C$159,0,IF($B8=Analysis!$C$159,Analysis!$C$160,IF(($B8-Analysis!$C$159)&lt;LOOKUP(Analysis!$C$159,$B:$B,FZ:FZ),GD7,0)))</f>
        <v>3.6999999999999998E-2</v>
      </c>
      <c r="GE8" s="1">
        <f>IF($B8&lt;Analysis!$C$159,0,IF($B8=Analysis!$C$159,-GD8*FY8,GD7*GC7))</f>
        <v>-9157.9152765771469</v>
      </c>
      <c r="GF8" s="1">
        <f>IF($B8&lt;Analysis!$C$159,0,IF($B8=Analysis!$C$159,PMT(GD8,FZ8,FY8)*FZ8-GG8-GC8,IF(($B8-Analysis!$C$159+1)&lt;LOOKUP(Analysis!$C$159,$B:$B,FZ:FZ),IF(GF7-GE8&lt;0, GF7-GE8,0),0)))</f>
        <v>-114198.57010355662</v>
      </c>
      <c r="GG8" s="1">
        <f>IF($B8&lt;Analysis!$C$159,0,IF($B8=Analysis!$C$159,GB8+GE8,IF(GC7&lt;0,IF(GC7&gt;LOOKUP(Analysis!$C$159,$B:$B,GG:GG), GC7*(1+GD7),GG7),0)))</f>
        <v>-16247.309640000001</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16492.936774787169</v>
      </c>
      <c r="GO8" s="64">
        <f>IF($B8&lt;Analysis!$C$159,0,((1+Analysis!$C$174)/(1+$S8))-1)</f>
        <v>2.941176470588247E-2</v>
      </c>
      <c r="GP8" s="1">
        <f t="shared" si="7"/>
        <v>21608.156328969231</v>
      </c>
      <c r="GQ8" s="1">
        <f t="shared" si="36"/>
        <v>-1155.2195541820622</v>
      </c>
      <c r="GR8" s="64">
        <f>IF($B8&lt;Analysis!$C$159,0,Analysis!$C$178)</f>
        <v>3.0000000000000001E-3</v>
      </c>
      <c r="GS8" s="1">
        <f t="shared" si="37"/>
        <v>-2888.0488854551554</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-6472</v>
      </c>
      <c r="HC8" s="1">
        <f>-Analysis!$C$177*GN8</f>
        <v>-1236.9702581090376</v>
      </c>
      <c r="HD8" s="1">
        <f t="shared" si="38"/>
        <v>-15712.238697746254</v>
      </c>
      <c r="HE8" s="1">
        <f>MIN(0,-(GN8+HD8)*Analysis!$C$28)-GE8*Analysis!$C$28</f>
        <v>3711.9449411145033</v>
      </c>
      <c r="HF8" s="1">
        <f>-Analysis!$C$176*GP8/12</f>
        <v>-1800.6796940807692</v>
      </c>
      <c r="HG8" s="38"/>
      <c r="HH8" s="1">
        <f>IF($B8&lt;Analysis!$C$159,0,-$HI8*$FW8)</f>
        <v>-49096.831052737645</v>
      </c>
      <c r="HI8" s="64">
        <f>IF($B8&lt;Analysis!$C$159,0,IF($B8=Analysis!$C$159,Analysis!$C$31,HI7))</f>
        <v>0.1275</v>
      </c>
      <c r="HJ8" s="1">
        <f>IF($B8&lt;Analysis!$C$159,0,$FW8+HH8)</f>
        <v>335976.35367461643</v>
      </c>
      <c r="HK8" s="1">
        <f>IF($B8-Analysis!$C$159&gt;10,0,IF($FW8&gt;LOOKUP(Analysis!$C$159,$B:$B, FW:FW),$V8*(LOOKUP(Analysis!$C$159,$B:$B, FW:FW)-FW8),0))</f>
        <v>-16213.552471839641</v>
      </c>
      <c r="HL8" s="1">
        <f t="shared" si="39"/>
        <v>319762.80120277678</v>
      </c>
      <c r="HM8" s="38"/>
      <c r="HN8" s="1">
        <f t="shared" si="40"/>
        <v>-110858.1824691767</v>
      </c>
      <c r="HO8" s="1">
        <f t="shared" si="8"/>
        <v>129844.36240427873</v>
      </c>
      <c r="HP8" s="1">
        <f t="shared" si="41"/>
        <v>18986.179935102031</v>
      </c>
      <c r="HQ8" s="1">
        <f>IF(HP8 &lt; 0,
    IF(HQ7 + HP8 &gt; 0,
        HQ7 + HP8, IF(HV7-ABS(HQ7 + HP8)*(1+$V8) &gt;= HQ7 + HP8,
        0, HQ7 + HP8)),
    MIN(HQ7 + HP8, Analysis!$C$7))+IF(HQ7&lt;0, HQ7*Analysis!$C$9,0)</f>
        <v>24000</v>
      </c>
      <c r="HR8" s="38"/>
      <c r="HS8" s="1">
        <f t="shared" si="54"/>
        <v>4215.9339127861931</v>
      </c>
      <c r="HT8" s="1">
        <f>IF($B8=Analysis!$C$159,0,IF(HP8 &gt;= 0,
    MAX(0, HQ7 + HP8 - Analysis!$C$7),
    0))</f>
        <v>18986.179935102031</v>
      </c>
      <c r="HU8" s="1">
        <f>IF($B8=Analysis!$C$159,0,MAX(0, HU7 + HT8 - IF(HP8 &lt; 0, MIN(ABS(HP8), HU7 + HT8), 0)))</f>
        <v>66354.911797429348</v>
      </c>
      <c r="HV8" s="1">
        <f>IF($B8=Analysis!$C$159,0,IF(HP8 &lt; 0,
    IF(HP8 + HQ7 &lt; 0,
        MAX(0, HV7 - (ABS(HP8 + HQ7) * (1+$V7))),
        HV7 + HS8),
    HV7 + HT8 + HS8))</f>
        <v>85068.621857780789</v>
      </c>
      <c r="HW8" s="1">
        <f t="shared" si="42"/>
        <v>80132.880829363101</v>
      </c>
      <c r="HX8" s="36"/>
    </row>
    <row r="9" spans="1:232" x14ac:dyDescent="0.35">
      <c r="A9">
        <f t="shared" si="0"/>
        <v>42</v>
      </c>
      <c r="B9">
        <v>2032</v>
      </c>
      <c r="C9" s="1">
        <f>IF($B9&lt;Analysis!C$66,0,$AN9)+$AT9+$AW9+$BC9+$CF9+$CA9</f>
        <v>45119.34707089897</v>
      </c>
      <c r="D9" s="1">
        <f>IF($B9&lt;Analysis!C$66, 0, BV9)+AT9+AW9+BC9+CG9+CA9</f>
        <v>-31410.378493927834</v>
      </c>
      <c r="E9" s="1">
        <f t="shared" si="1"/>
        <v>265351.20260454051</v>
      </c>
      <c r="F9" s="1">
        <f t="shared" si="9"/>
        <v>251265.50895240257</v>
      </c>
      <c r="G9" s="1">
        <f>IF(AND($B9&gt;=Analysis!$C$100, $B9&lt;Analysis!$C$101),$CK9,0)+IF($B9&gt;=Analysis!$C$130,EB9,0)+CQ9+CT9+CZ9+EH9+EK9+EQ9+$FO9+$FT9</f>
        <v>181742.76081035979</v>
      </c>
      <c r="H9" s="1">
        <f t="shared" si="10"/>
        <v>124775.65361073597</v>
      </c>
      <c r="I9" s="1">
        <f>IF($B9&lt;Analysis!$C$159,0,$FW9)+$GC9+$GF9+$GL9+$HQ9+$HV9</f>
        <v>181742.76081035979</v>
      </c>
      <c r="J9" s="1">
        <f t="shared" si="2"/>
        <v>105574.95253678337</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13220.201960331024</v>
      </c>
      <c r="AI9" s="1">
        <f>IF(AE9 &gt;= 0,
    MAX(0, AF8 + AE9 - Analysis!$C$7),
    0)</f>
        <v>29125.599234268433</v>
      </c>
      <c r="AJ9" s="1">
        <f t="shared" si="44"/>
        <v>187945.72904193233</v>
      </c>
      <c r="AK9" s="1">
        <f t="shared" si="20"/>
        <v>241351.20260454048</v>
      </c>
      <c r="AL9" s="1">
        <f t="shared" si="5"/>
        <v>227265.50895240257</v>
      </c>
      <c r="AM9" s="36"/>
      <c r="AN9" s="1">
        <f t="shared" si="45"/>
        <v>600233.14168491622</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-12140.009596682565</v>
      </c>
      <c r="AT9" s="1">
        <f>IF($B9&lt;Analysis!$C$66,0,IF($B9=Analysis!$C$66,-AP9-AS9,MIN(0,AT8-AS9)))</f>
        <v>-384873.27157405904</v>
      </c>
      <c r="AU9" s="64">
        <f>IF($B9&lt;Analysis!$C$66,0,IF($B9=Analysis!$C$66,Analysis!$C$72,IF(($B9-Analysis!$C$66)&lt;LOOKUP(Analysis!$C$66,$B:$B,AQ:AQ),AU8,0)))</f>
        <v>3.6999999999999998E-2</v>
      </c>
      <c r="AV9" s="1">
        <f>IF($B9&lt;Analysis!$C$66,0,IF($B9=Analysis!$C$66,-AU9*AP9,AU8*AT8))</f>
        <v>-14689.491403317439</v>
      </c>
      <c r="AW9" s="1">
        <f>IF($B9&lt;Analysis!$C$66,0,IF($B9=Analysis!$C$66,PMT(AU9,AQ9,AP9)*AQ9-AX9-AT9,IF(($B9-Analysis!$C$66+1)&lt;LOOKUP(Analysis!$C$66,$B:$B,AQ:AQ),IF(AW8-AV9&lt;0, AW8-AV9,0),0)))</f>
        <v>-173888.84671420124</v>
      </c>
      <c r="AX9" s="1">
        <f>IF($B9&lt;Analysis!$C$66,0,IF($B9=Analysis!$C$66,AS9+AV9,IF(AT8&lt;0,IF(AT8&gt;LOOKUP(Analysis!$C$66,$B:$B,AX:AX), AT8*(1+AU8),AX8),0)))</f>
        <v>-26829.501000000004</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-1800.6994250547486</v>
      </c>
      <c r="BF9" s="64">
        <f>IF($B9&lt;Analysis!$C$66,0,Analysis!$C$78)</f>
        <v>3.0000000000000001E-3</v>
      </c>
      <c r="BG9" s="1">
        <f>IF($B9&lt;Analysis!$C$66,0,-BH9*AN9)</f>
        <v>-4501.7485626368716</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-76529.725564826818</v>
      </c>
      <c r="BS9" s="64">
        <f>IF($B9&lt;Analysis!C$66,0,Analysis!C$31)</f>
        <v>0.1275</v>
      </c>
      <c r="BT9" s="1">
        <f>IF($B9&lt;Analysis!$C$66,0,AN9+BR9)</f>
        <v>523703.41612008942</v>
      </c>
      <c r="BU9" s="1">
        <f>IF($B9-Analysis!$C$66&gt;3,0,IF($AN9&gt;LOOKUP(Analysis!$C$66,$B:$B, AN:AN),$V9*(LOOKUP(Analysis!$C$66,$B:$B, AN:AN)-AN9),0))</f>
        <v>0</v>
      </c>
      <c r="BV9" s="1">
        <f>BT9+BU9</f>
        <v>523703.41612008942</v>
      </c>
      <c r="BW9" s="42"/>
      <c r="BX9" s="1">
        <f>IF($B9&lt;Analysis!$C$66,$P9+$N9+$X9+$Z9,$P9+$N9+AS9+AV9+BB9+BE9+BG9+MAX(BI9,SUM(BJ9:BN9))+BP9)</f>
        <v>-101564.77776639904</v>
      </c>
      <c r="BY9" s="1">
        <f t="shared" si="24"/>
        <v>110889.05426342982</v>
      </c>
      <c r="BZ9" s="1">
        <f t="shared" si="46"/>
        <v>9324.2764970307762</v>
      </c>
      <c r="CA9" s="1">
        <f>IF(BZ9 &lt; 0,
    IF(CA8 + BZ9 &gt; 0,
        CA8 + BZ9, IF(CF8-ABS(CA8 + BZ9)*(1+$V9) &gt;= CA8 + BZ9,
        0, CA8 + BZ9)),
    MIN(CA8 + BZ9, Analysis!$C$7))+IF(CA8&lt;0, CA8*Analysis!$C$9,0)</f>
        <v>15793.981231657854</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396398.86663109984</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-7351.7019548694989</v>
      </c>
      <c r="CQ9" s="1">
        <f>IF(OR($B9&lt;Analysis!$C$100, $B9&gt;=Analysis!$C$101),0,IF($B9=Analysis!$C$100,-CM9-CP9,MIN(0,CQ8-CP9)))</f>
        <v>-233070.12737298192</v>
      </c>
      <c r="CR9" s="64">
        <f>IF(OR($B9&lt;Analysis!$C$100, $B9&gt;=Analysis!$C$101),0,IF($B9=Analysis!$C$100,Analysis!$C$102,IF(($B9-Analysis!$C$100)&lt;LOOKUP(Analysis!$C$100,$B:$B,CN:CN),CR8,0)))</f>
        <v>3.6999999999999998E-2</v>
      </c>
      <c r="CS9" s="1">
        <f>IF(OR($B9&lt;Analysis!$C$100, $B9&gt;=Analysis!$C$101),0,IF($B9=Analysis!$C$100,-CR9*CM9,CR8*CQ8))</f>
        <v>-8895.6076851305024</v>
      </c>
      <c r="CT9" s="1">
        <f>IF(OR($B9&lt;Analysis!$C$100, $B9&gt;=Analysis!$C$101),0,IF($B9=Analysis!$C$100,PMT(CR9,CN9,CM9)*CN9-CU9-CQ9,IF(($B9-Analysis!$C$100+1)&lt;LOOKUP(Analysis!$C$100,$B:$B,CN:CN),IF(CT8-CS9&lt;0, CT8-CS9,0),0)))</f>
        <v>-105302.96241842612</v>
      </c>
      <c r="CU9" s="1">
        <f>IF(OR($B9&lt;Analysis!$C$100, $B9&gt;=Analysis!$C$101),0,IF($B9=Analysis!$C$100,CP9+CS9,IF(CQ8&lt;0,IF(CQ8&gt;LOOKUP(Analysis!$C$100,$B:$B,CU:CU), CQ8*(1+CR8),CU8),0)))</f>
        <v>-16247.309640000001</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16978.023150516205</v>
      </c>
      <c r="DC9" s="64">
        <f>IF(OR($B9&lt;Analysis!$C$100, $B9&gt;=Analysis!$C$101),0,((1+Analysis!$C$114)/(1+$S9))-1)</f>
        <v>2.941176470588247E-2</v>
      </c>
      <c r="DD9" s="1">
        <f t="shared" si="6"/>
        <v>22127.219750409506</v>
      </c>
      <c r="DE9" s="1">
        <f t="shared" si="27"/>
        <v>-1189.1965998932994</v>
      </c>
      <c r="DF9" s="64">
        <f>IF(OR($B9&lt;Analysis!$C$100, $B9&gt;=Analysis!$C$101),0,Analysis!$C$118)</f>
        <v>3.0000000000000001E-3</v>
      </c>
      <c r="DG9" s="1">
        <f t="shared" si="28"/>
        <v>-2972.9914997332485</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-6472</v>
      </c>
      <c r="DQ9" s="1">
        <f>-Analysis!$C$117*DB9</f>
        <v>-1273.3517362887153</v>
      </c>
      <c r="DR9" s="1">
        <f t="shared" si="29"/>
        <v>-15867.539835915264</v>
      </c>
      <c r="DS9" s="1">
        <f>MIN(0,-(DB9+DR9)*Analysis!$C$28)-CS9*Analysis!$C$28</f>
        <v>3449.5886085816483</v>
      </c>
      <c r="DT9" s="1">
        <f>-Analysis!$C$116*DD9/12</f>
        <v>-1843.9349792007922</v>
      </c>
      <c r="DU9" s="53"/>
      <c r="DV9" s="1">
        <f t="shared" si="30"/>
        <v>-50540.855495465228</v>
      </c>
      <c r="DW9" s="64">
        <f>IF(OR($B9&lt;Analysis!$C$100, $B9&gt;=Analysis!$C$101),0,IF($B9=Analysis!$C$100,Analysis!$C$31,DW8))</f>
        <v>0.1275</v>
      </c>
      <c r="DX9" s="1">
        <f>IF(OR($B9&lt;Analysis!$C$100, $B9&gt;=Analysis!$C$101),0,CK9+DV9)</f>
        <v>345858.01113563462</v>
      </c>
      <c r="DY9" s="1">
        <f>IF(OR($B9&lt;Analysis!$C$100, $B9&gt;=Analysis!$C$101),0,IF($B9-Analysis!$C$100&gt;3,0,IF(CK9&gt;LOOKUP(Analysis!$C$100,$B:$B, CK:CK),$V9*(LOOKUP(Analysis!$C$100,$B:$B, CK:CK)-CK9),0)))</f>
        <v>0</v>
      </c>
      <c r="DZ9" s="1">
        <f t="shared" si="49"/>
        <v>345858.01113563462</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-111873.47965440321</v>
      </c>
      <c r="FM9" s="1">
        <f>$M9+$R9+DD9+IF(AND($B9&lt;&gt;Analysis!$C$130,$B9=Analysis!$C$101),DZ8+CQ8+CT8+CZ8,0)</f>
        <v>133016.27401383931</v>
      </c>
      <c r="FN9" s="1">
        <f t="shared" si="34"/>
        <v>21142.794359436099</v>
      </c>
      <c r="FO9" s="1">
        <f>IF(FN9 &lt; 0,
    IF(FO8 + FN9 &gt; 0,
        FO8 + FN9, IF(FT8-ABS(FO8 + FN9)*(1+$V9) &gt;= FO8 + FN9,
        0, FO8 + FN9)),
    MIN(FO8 + FN9, Analysis!$C$7))+IF(FO8&lt;0, FO8*Analysis!$C$9,0)</f>
        <v>24000</v>
      </c>
      <c r="FP9" s="53"/>
      <c r="FQ9" s="1">
        <f t="shared" si="51"/>
        <v>5651.2253108659252</v>
      </c>
      <c r="FR9" s="1">
        <f>IF(OR($B9=Analysis!$C$100, $B9=Analysis!$C$130),0,IF(FN9 &gt;= 0,
    MAX(0, FO8 + FN9 - Analysis!$C$7),
    0))</f>
        <v>21142.794359436099</v>
      </c>
      <c r="FS9" s="1">
        <f>IF(OR($B9=Analysis!$C$100, $B9=Analysis!$C$130),0,MAX(0, FS8 + FR9 - IF(FN9 &lt; 0, MIN(ABS(FN9), FS8 + FR9), 0)))</f>
        <v>87497.706156865446</v>
      </c>
      <c r="FT9" s="1">
        <f>IF(OR($B9=Analysis!$C$100, $B9=Analysis!$C$130),0,IF(FN9 &lt; 0,
    IF(FN9 + FO8 &lt; 0,
        MAX(0, FT8 - (ABS(FN9 + FO8) * (1+$V8))),
        FT8 + FQ9),
    FT8 + FR9 + FQ9))</f>
        <v>111862.64152808281</v>
      </c>
      <c r="FU9" s="1">
        <f t="shared" si="35"/>
        <v>105436.38982392423</v>
      </c>
      <c r="FV9" s="36"/>
      <c r="FW9" s="1">
        <f t="shared" si="52"/>
        <v>396398.86663109984</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-7351.7019548694989</v>
      </c>
      <c r="GC9" s="1">
        <f>IF($B9&lt;Analysis!$C$159,0,IF($B9=Analysis!$C$159,-FY9-GB9,MIN(0,GC8-GB9)))</f>
        <v>-233070.12737298192</v>
      </c>
      <c r="GD9" s="64">
        <f>IF($B9&lt;Analysis!$C$159,0,IF($B9=Analysis!$C$159,Analysis!$C$160,IF(($B9-Analysis!$C$159)&lt;LOOKUP(Analysis!$C$159,$B:$B,FZ:FZ),GD8,0)))</f>
        <v>3.6999999999999998E-2</v>
      </c>
      <c r="GE9" s="1">
        <f>IF($B9&lt;Analysis!$C$159,0,IF($B9=Analysis!$C$159,-GD9*FY9,GD8*GC8))</f>
        <v>-8895.6076851305024</v>
      </c>
      <c r="GF9" s="1">
        <f>IF($B9&lt;Analysis!$C$159,0,IF($B9=Analysis!$C$159,PMT(GD9,FZ9,FY9)*FZ9-GG9-GC9,IF(($B9-Analysis!$C$159+1)&lt;LOOKUP(Analysis!$C$159,$B:$B,FZ:FZ),IF(GF8-GE9&lt;0, GF8-GE9,0),0)))</f>
        <v>-105302.96241842612</v>
      </c>
      <c r="GG9" s="1">
        <f>IF($B9&lt;Analysis!$C$159,0,IF($B9=Analysis!$C$159,GB9+GE9,IF(GC8&lt;0,IF(GC8&gt;LOOKUP(Analysis!$C$159,$B:$B,GG:GG), GC8*(1+GD8),GG8),0)))</f>
        <v>-16247.309640000001</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16978.023150516205</v>
      </c>
      <c r="GO9" s="64">
        <f>IF($B9&lt;Analysis!$C$159,0,((1+Analysis!$C$174)/(1+$S9))-1)</f>
        <v>2.941176470588247E-2</v>
      </c>
      <c r="GP9" s="1">
        <f t="shared" si="7"/>
        <v>22127.219750409506</v>
      </c>
      <c r="GQ9" s="1">
        <f t="shared" si="36"/>
        <v>-1189.1965998932994</v>
      </c>
      <c r="GR9" s="64">
        <f>IF($B9&lt;Analysis!$C$159,0,Analysis!$C$178)</f>
        <v>3.0000000000000001E-3</v>
      </c>
      <c r="GS9" s="1">
        <f t="shared" si="37"/>
        <v>-2972.9914997332485</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-6472</v>
      </c>
      <c r="HC9" s="1">
        <f>-Analysis!$C$177*GN9</f>
        <v>-1273.3517362887153</v>
      </c>
      <c r="HD9" s="1">
        <f t="shared" si="38"/>
        <v>-15867.539835915264</v>
      </c>
      <c r="HE9" s="1">
        <f>MIN(0,-(GN9+HD9)*Analysis!$C$28)-GE9*Analysis!$C$28</f>
        <v>3449.5886085816483</v>
      </c>
      <c r="HF9" s="1">
        <f>-Analysis!$C$176*GP9/12</f>
        <v>-1843.9349792007922</v>
      </c>
      <c r="HG9" s="38"/>
      <c r="HH9" s="1">
        <f>IF($B9&lt;Analysis!$C$159,0,-$HI9*$FW9)</f>
        <v>-50540.855495465228</v>
      </c>
      <c r="HI9" s="64">
        <f>IF($B9&lt;Analysis!$C$159,0,IF($B9=Analysis!$C$159,Analysis!$C$31,HI8))</f>
        <v>0.1275</v>
      </c>
      <c r="HJ9" s="1">
        <f>IF($B9&lt;Analysis!$C$159,0,$FW9+HH9)</f>
        <v>345858.01113563462</v>
      </c>
      <c r="HK9" s="1">
        <f>IF($B9-Analysis!$C$159&gt;10,0,IF($FW9&gt;LOOKUP(Analysis!$C$159,$B:$B, FW:FW),$V9*(LOOKUP(Analysis!$C$159,$B:$B, FW:FW)-FW9),0))</f>
        <v>-19200.701073952579</v>
      </c>
      <c r="HL9" s="1">
        <f t="shared" si="39"/>
        <v>326657.31006168202</v>
      </c>
      <c r="HM9" s="38"/>
      <c r="HN9" s="1">
        <f t="shared" si="40"/>
        <v>-111873.47965440321</v>
      </c>
      <c r="HO9" s="1">
        <f t="shared" si="8"/>
        <v>133016.27401383931</v>
      </c>
      <c r="HP9" s="1">
        <f t="shared" si="41"/>
        <v>21142.794359436099</v>
      </c>
      <c r="HQ9" s="1">
        <f>IF(HP9 &lt; 0,
    IF(HQ8 + HP9 &gt; 0,
        HQ8 + HP9, IF(HV8-ABS(HQ8 + HP9)*(1+$V9) &gt;= HQ8 + HP9,
        0, HQ8 + HP9)),
    MIN(HQ8 + HP9, Analysis!$C$7))+IF(HQ8&lt;0, HQ8*Analysis!$C$9,0)</f>
        <v>24000</v>
      </c>
      <c r="HR9" s="38"/>
      <c r="HS9" s="1">
        <f t="shared" si="54"/>
        <v>5651.2253108659252</v>
      </c>
      <c r="HT9" s="1">
        <f>IF($B9=Analysis!$C$159,0,IF(HP9 &gt;= 0,
    MAX(0, HQ8 + HP9 - Analysis!$C$7),
    0))</f>
        <v>21142.794359436099</v>
      </c>
      <c r="HU9" s="1">
        <f>IF($B9=Analysis!$C$159,0,MAX(0, HU8 + HT9 - IF(HP9 &lt; 0, MIN(ABS(HP9), HU8 + HT9), 0)))</f>
        <v>87497.706156865446</v>
      </c>
      <c r="HV9" s="1">
        <f>IF($B9=Analysis!$C$159,0,IF(HP9 &lt; 0,
    IF(HP9 + HQ8 &lt; 0,
        MAX(0, HV8 - (ABS(HP9 + HQ8) * (1+$V8))),
        HV8 + HS9),
    HV8 + HT9 + HS9))</f>
        <v>111862.64152808281</v>
      </c>
      <c r="HW9" s="1">
        <f t="shared" si="42"/>
        <v>105436.38982392423</v>
      </c>
      <c r="HX9" s="36"/>
    </row>
    <row r="10" spans="1:232" x14ac:dyDescent="0.35">
      <c r="A10">
        <f t="shared" si="0"/>
        <v>43</v>
      </c>
      <c r="B10">
        <v>2033</v>
      </c>
      <c r="C10" s="1">
        <f>IF($B10&lt;Analysis!C$66,0,$AN10)+$AT10+$AW10+$BC10+$CF10+$CA10</f>
        <v>107532.37213830632</v>
      </c>
      <c r="D10" s="1">
        <f>IF($B10&lt;Analysis!C$66, 0, BV10)+AT10+AW10+BC10+CG10+CA10</f>
        <v>28751.772292161058</v>
      </c>
      <c r="E10" s="1">
        <f t="shared" si="1"/>
        <v>312243.52769868047</v>
      </c>
      <c r="F10" s="1">
        <f t="shared" si="9"/>
        <v>294038.17859475757</v>
      </c>
      <c r="G10" s="1">
        <f>IF(AND($B10&gt;=Analysis!$C$100, $B10&lt;Analysis!$C$101),$CK10,0)+IF($B10&gt;=Analysis!$C$130,EB10,0)+CQ10+CT10+CZ10+EH10+EK10+EQ10+$FO10+$FT10</f>
        <v>246310.06620227179</v>
      </c>
      <c r="H10" s="1">
        <f t="shared" si="10"/>
        <v>185947.06509752406</v>
      </c>
      <c r="I10" s="1">
        <f>IF($B10&lt;Analysis!$C$159,0,$FW10)+$GC10+$GF10+$GL10+$HQ10+$HV10</f>
        <v>246310.06620227179</v>
      </c>
      <c r="J10" s="1">
        <f t="shared" si="2"/>
        <v>163671.35810963166</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15619.546736625547</v>
      </c>
      <c r="AI10" s="1">
        <f>IF(AE10 &gt;= 0,
    MAX(0, AF9 + AE10 - Analysis!$C$7),
    0)</f>
        <v>31272.778357514413</v>
      </c>
      <c r="AJ10" s="1">
        <f t="shared" si="44"/>
        <v>219218.50739944674</v>
      </c>
      <c r="AK10" s="1">
        <f t="shared" si="20"/>
        <v>288243.52769868047</v>
      </c>
      <c r="AL10" s="1">
        <f t="shared" si="5"/>
        <v>270038.17859475757</v>
      </c>
      <c r="AM10" s="36"/>
      <c r="AN10" s="1">
        <f t="shared" si="45"/>
        <v>617887.05761682556</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-12589.189951759819</v>
      </c>
      <c r="AT10" s="1">
        <f>IF($B10&lt;Analysis!$C$66,0,IF($B10=Analysis!$C$66,-AP10-AS10,MIN(0,AT9-AS10)))</f>
        <v>-372284.08162229921</v>
      </c>
      <c r="AU10" s="64">
        <f>IF($B10&lt;Analysis!$C$66,0,IF($B10=Analysis!$C$66,Analysis!$C$72,IF(($B10-Analysis!$C$66)&lt;LOOKUP(Analysis!$C$66,$B:$B,AQ:AQ),AU9,0)))</f>
        <v>3.6999999999999998E-2</v>
      </c>
      <c r="AV10" s="1">
        <f>IF($B10&lt;Analysis!$C$66,0,IF($B10=Analysis!$C$66,-AU10*AP10,AU9*AT9))</f>
        <v>-14240.311048240184</v>
      </c>
      <c r="AW10" s="1">
        <f>IF($B10&lt;Analysis!$C$66,0,IF($B10=Analysis!$C$66,PMT(AU10,AQ10,AP10)*AQ10-AX10-AT10,IF(($B10-Analysis!$C$66+1)&lt;LOOKUP(Analysis!$C$66,$B:$B,AQ:AQ),IF(AW9-AV10&lt;0, AW9-AV10,0),0)))</f>
        <v>-159648.53566596104</v>
      </c>
      <c r="AX10" s="1">
        <f>IF($B10&lt;Analysis!$C$66,0,IF($B10=Analysis!$C$66,AS10+AV10,IF(AT9&lt;0,IF(AT9&gt;LOOKUP(Analysis!$C$66,$B:$B,AX:AX), AT9*(1+AU9),AX9),0)))</f>
        <v>-26829.501000000004</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-1853.6611728504768</v>
      </c>
      <c r="BF10" s="64">
        <f>IF($B10&lt;Analysis!$C$66,0,Analysis!$C$78)</f>
        <v>3.0000000000000001E-3</v>
      </c>
      <c r="BG10" s="1">
        <f>IF($B10&lt;Analysis!$C$66,0,-BH10*AN10)</f>
        <v>-4634.1529321261914</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-78780.599846145255</v>
      </c>
      <c r="BS10" s="64">
        <f>IF($B10&lt;Analysis!C$66,0,Analysis!C$31)</f>
        <v>0.1275</v>
      </c>
      <c r="BT10" s="1">
        <f>IF($B10&lt;Analysis!$C$66,0,AN10+BR10)</f>
        <v>539106.45777068031</v>
      </c>
      <c r="BU10" s="1">
        <f>IF($B10-Analysis!$C$66&gt;3,0,IF($AN10&gt;LOOKUP(Analysis!$C$66,$B:$B, AN:AN),$V10*(LOOKUP(Analysis!$C$66,$B:$B, AN:AN)-AN10),0))</f>
        <v>0</v>
      </c>
      <c r="BV10" s="1">
        <f t="shared" si="23"/>
        <v>539106.45777068031</v>
      </c>
      <c r="BW10" s="42"/>
      <c r="BX10" s="1">
        <f>IF($B10&lt;Analysis!$C$66,$P10+$N10+$X10+$Z10,$P10+$N10+AS10+AV10+BB10+BE10+BG10+MAX(BI10,SUM(BJ10:BN10))+BP10)</f>
        <v>-101750.1438836841</v>
      </c>
      <c r="BY10" s="1">
        <f t="shared" si="24"/>
        <v>113606.92324047466</v>
      </c>
      <c r="BZ10" s="1">
        <f t="shared" si="46"/>
        <v>11856.779356790561</v>
      </c>
      <c r="CA10" s="1">
        <f>IF(BZ10 &lt; 0,
    IF(CA9 + BZ10 &gt; 0,
        CA9 + BZ10, IF(CF9-ABS(CA9 + BZ10)*(1+$V10) &gt;= CA9 + BZ10,
        0, CA9 + BZ10)),
    MIN(CA9 + BZ10, Analysis!$C$7))+IF(CA9&lt;0, CA9*Analysis!$C$9,0)</f>
        <v>24000</v>
      </c>
      <c r="CB10" s="42"/>
      <c r="CC10" s="1">
        <f t="shared" si="47"/>
        <v>0</v>
      </c>
      <c r="CD10" s="1">
        <f>IF(BZ10 &gt;= 0,
    MAX(0, CA9 + BZ10 - Analysis!$C$7),
    0)</f>
        <v>3650.7605884484146</v>
      </c>
      <c r="CE10" s="1">
        <f>IF($B10=Analysis!$C$66,0,MAX(0, CE9 + CD10 - IF(BZ10 &lt; 0, MIN(ABS(BZ10), CE9 + CD10), 0)))</f>
        <v>3650.7605884484146</v>
      </c>
      <c r="CF10" s="1">
        <f>IF($B10=Analysis!$C$66,0,IF(BZ10 &lt; 0,
    IF(BZ10 + CA9 &lt; 0,
        MAX(0, CF9 - (ABS(BZ10 + CA9) * (1+$V9))),
        CF9 + CC10),
    CF9 + CD10 + CC10))</f>
        <v>3650.7605884484146</v>
      </c>
      <c r="CG10" s="1">
        <f t="shared" si="25"/>
        <v>3650.7605884484146</v>
      </c>
      <c r="CH10" s="36"/>
      <c r="CI10" s="1">
        <f>IF(OR($B10&lt;Analysis!$C$100, $B10&gt;=Analysis!$C$130),0,X10)</f>
        <v>-19974.144882960245</v>
      </c>
      <c r="CJ10" s="1">
        <f>IF(OR($B10&lt;Analysis!$C$100, $B10&gt;=Analysis!$C$130),0,Z10)</f>
        <v>-3960</v>
      </c>
      <c r="CK10" s="1">
        <f t="shared" si="26"/>
        <v>408057.65682613221</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-7623.7149271996714</v>
      </c>
      <c r="CQ10" s="1">
        <f>IF(OR($B10&lt;Analysis!$C$100, $B10&gt;=Analysis!$C$101),0,IF($B10=Analysis!$C$100,-CM10-CP10,MIN(0,CQ9-CP10)))</f>
        <v>-225446.41244578225</v>
      </c>
      <c r="CR10" s="64">
        <f>IF(OR($B10&lt;Analysis!$C$100, $B10&gt;=Analysis!$C$101),0,IF($B10=Analysis!$C$100,Analysis!$C$102,IF(($B10-Analysis!$C$100)&lt;LOOKUP(Analysis!$C$100,$B:$B,CN:CN),CR9,0)))</f>
        <v>3.6999999999999998E-2</v>
      </c>
      <c r="CS10" s="1">
        <f>IF(OR($B10&lt;Analysis!$C$100, $B10&gt;=Analysis!$C$101),0,IF($B10=Analysis!$C$100,-CR10*CM10,CR9*CQ9))</f>
        <v>-8623.5947128003299</v>
      </c>
      <c r="CT10" s="1">
        <f>IF(OR($B10&lt;Analysis!$C$100, $B10&gt;=Analysis!$C$101),0,IF($B10=Analysis!$C$100,PMT(CR10,CN10,CM10)*CN10-CU10-CQ10,IF(($B10-Analysis!$C$100+1)&lt;LOOKUP(Analysis!$C$100,$B:$B,CN:CN),IF(CT9-CS10&lt;0, CT9-CS10,0),0)))</f>
        <v>-96679.367705625787</v>
      </c>
      <c r="CU10" s="1">
        <f>IF(OR($B10&lt;Analysis!$C$100, $B10&gt;=Analysis!$C$101),0,IF($B10=Analysis!$C$100,CP10+CS10,IF(CQ9&lt;0,IF(CQ9&gt;LOOKUP(Analysis!$C$100,$B:$B,CU:CU), CQ9*(1+CR9),CU9),0)))</f>
        <v>-16247.309640000001</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22661.549743068612</v>
      </c>
      <c r="DE10" s="1">
        <f t="shared" si="27"/>
        <v>-1224.1729704783966</v>
      </c>
      <c r="DF10" s="64">
        <f>IF(OR($B10&lt;Analysis!$C$100, $B10&gt;=Analysis!$C$101),0,Analysis!$C$118)</f>
        <v>3.0000000000000001E-3</v>
      </c>
      <c r="DG10" s="1">
        <f t="shared" si="28"/>
        <v>-3060.4324261959914</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-6472</v>
      </c>
      <c r="DQ10" s="1">
        <f>-Analysis!$C$117*DB10</f>
        <v>-1310.8032579442661</v>
      </c>
      <c r="DR10" s="1">
        <f t="shared" si="29"/>
        <v>-16027.408654618654</v>
      </c>
      <c r="DS10" s="1">
        <f>MIN(0,-(DB10+DR10)*Analysis!$C$28)-CS10*Analysis!$C$28</f>
        <v>3178.6339441686273</v>
      </c>
      <c r="DT10" s="1">
        <f>-Analysis!$C$116*DD10/12</f>
        <v>-1888.462478589051</v>
      </c>
      <c r="DU10" s="53"/>
      <c r="DV10" s="1">
        <f t="shared" si="30"/>
        <v>-52027.351245331854</v>
      </c>
      <c r="DW10" s="64">
        <f>IF(OR($B10&lt;Analysis!$C$100, $B10&gt;=Analysis!$C$101),0,IF($B10=Analysis!$C$100,Analysis!$C$31,DW9))</f>
        <v>0.1275</v>
      </c>
      <c r="DX10" s="1">
        <f>IF(OR($B10&lt;Analysis!$C$100, $B10&gt;=Analysis!$C$101),0,CK10+DV10)</f>
        <v>356030.30558080034</v>
      </c>
      <c r="DY10" s="1">
        <f>IF(OR($B10&lt;Analysis!$C$100, $B10&gt;=Analysis!$C$101),0,IF($B10-Analysis!$C$100&gt;3,0,IF(CK10&gt;LOOKUP(Analysis!$C$100,$B:$B, CK:CK),$V10*(LOOKUP(Analysis!$C$100,$B:$B, CK:CK)-CK10),0)))</f>
        <v>0</v>
      </c>
      <c r="DZ10" s="1">
        <f t="shared" si="49"/>
        <v>356030.30558080034</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-112919.52049070674</v>
      </c>
      <c r="FM10" s="1">
        <f>$M10+$R10+DD10+IF(AND($B10&lt;&gt;Analysis!$C$130,$B10=Analysis!$C$101),DZ9+CQ9+CT9+CZ9,0)</f>
        <v>136268.47298354327</v>
      </c>
      <c r="FN10" s="1">
        <f t="shared" si="34"/>
        <v>23348.952492836528</v>
      </c>
      <c r="FO10" s="1">
        <f>IF(FN10 &lt; 0,
    IF(FO9 + FN10 &gt; 0,
        FO9 + FN10, IF(FT9-ABS(FO9 + FN10)*(1+$V10) &gt;= FO9 + FN10,
        0, FO9 + FN10)),
    MIN(FO9 + FN10, Analysis!$C$7))+IF(FO9&lt;0, FO9*Analysis!$C$9,0)</f>
        <v>24000</v>
      </c>
      <c r="FP10" s="53"/>
      <c r="FQ10" s="1">
        <f t="shared" si="51"/>
        <v>7239.4242853356673</v>
      </c>
      <c r="FR10" s="1">
        <f>IF(OR($B10=Analysis!$C$100, $B10=Analysis!$C$130),0,IF(FN10 &gt;= 0,
    MAX(0, FO9 + FN10 - Analysis!$C$7),
    0))</f>
        <v>23348.952492836528</v>
      </c>
      <c r="FS10" s="1">
        <f>IF(OR($B10=Analysis!$C$100, $B10=Analysis!$C$130),0,MAX(0, FS9 + FR10 - IF(FN10 &lt; 0, MIN(ABS(FN10), FS9 + FR10), 0)))</f>
        <v>110846.65864970197</v>
      </c>
      <c r="FT10" s="1">
        <f>IF(OR($B10=Analysis!$C$100, $B10=Analysis!$C$130),0,IF(FN10 &lt; 0,
    IF(FN10 + FO9 &lt; 0,
        MAX(0, FT9 - (ABS(FN10 + FO9) * (1+$V9))),
        FT9 + FQ10),
    FT9 + FR10 + FQ10))</f>
        <v>142451.01830625502</v>
      </c>
      <c r="FU10" s="1">
        <f t="shared" si="35"/>
        <v>134115.36844683916</v>
      </c>
      <c r="FV10" s="36"/>
      <c r="FW10" s="1">
        <f t="shared" si="52"/>
        <v>408057.65682613221</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-7623.7149271996714</v>
      </c>
      <c r="GC10" s="1">
        <f>IF($B10&lt;Analysis!$C$159,0,IF($B10=Analysis!$C$159,-FY10-GB10,MIN(0,GC9-GB10)))</f>
        <v>-225446.41244578225</v>
      </c>
      <c r="GD10" s="64">
        <f>IF($B10&lt;Analysis!$C$159,0,IF($B10=Analysis!$C$159,Analysis!$C$160,IF(($B10-Analysis!$C$159)&lt;LOOKUP(Analysis!$C$159,$B:$B,FZ:FZ),GD9,0)))</f>
        <v>3.6999999999999998E-2</v>
      </c>
      <c r="GE10" s="1">
        <f>IF($B10&lt;Analysis!$C$159,0,IF($B10=Analysis!$C$159,-GD10*FY10,GD9*GC9))</f>
        <v>-8623.5947128003299</v>
      </c>
      <c r="GF10" s="1">
        <f>IF($B10&lt;Analysis!$C$159,0,IF($B10=Analysis!$C$159,PMT(GD10,FZ10,FY10)*FZ10-GG10-GC10,IF(($B10-Analysis!$C$159+1)&lt;LOOKUP(Analysis!$C$159,$B:$B,FZ:FZ),IF(GF9-GE10&lt;0, GF9-GE10,0),0)))</f>
        <v>-96679.367705625787</v>
      </c>
      <c r="GG10" s="1">
        <f>IF($B10&lt;Analysis!$C$159,0,IF($B10=Analysis!$C$159,GB10+GE10,IF(GC9&lt;0,IF(GC9&gt;LOOKUP(Analysis!$C$159,$B:$B,GG:GG), GC9*(1+GD9),GG9),0)))</f>
        <v>-16247.309640000001</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17477.376772590214</v>
      </c>
      <c r="GO10" s="64">
        <f>IF($B10&lt;Analysis!$C$159,0,((1+Analysis!$C$174)/(1+$S10))-1)</f>
        <v>2.941176470588247E-2</v>
      </c>
      <c r="GP10" s="1">
        <f t="shared" si="7"/>
        <v>22661.549743068612</v>
      </c>
      <c r="GQ10" s="1">
        <f t="shared" si="36"/>
        <v>-1224.1729704783966</v>
      </c>
      <c r="GR10" s="64">
        <f>IF($B10&lt;Analysis!$C$159,0,Analysis!$C$178)</f>
        <v>3.0000000000000001E-3</v>
      </c>
      <c r="GS10" s="1">
        <f t="shared" si="37"/>
        <v>-3060.4324261959914</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-6472</v>
      </c>
      <c r="HC10" s="1">
        <f>-Analysis!$C$177*GN10</f>
        <v>-1310.8032579442661</v>
      </c>
      <c r="HD10" s="1">
        <f t="shared" si="38"/>
        <v>-16027.408654618654</v>
      </c>
      <c r="HE10" s="1">
        <f>MIN(0,-(GN10+HD10)*Analysis!$C$28)-GE10*Analysis!$C$28</f>
        <v>3178.6339441686273</v>
      </c>
      <c r="HF10" s="1">
        <f>-Analysis!$C$176*GP10/12</f>
        <v>-1888.462478589051</v>
      </c>
      <c r="HG10" s="38"/>
      <c r="HH10" s="1">
        <f>IF($B10&lt;Analysis!$C$159,0,-$HI10*$FW10)</f>
        <v>-52027.351245331854</v>
      </c>
      <c r="HI10" s="64">
        <f>IF($B10&lt;Analysis!$C$159,0,IF($B10=Analysis!$C$159,Analysis!$C$31,HI9))</f>
        <v>0.1275</v>
      </c>
      <c r="HJ10" s="1">
        <f>IF($B10&lt;Analysis!$C$159,0,$FW10+HH10)</f>
        <v>356030.30558080034</v>
      </c>
      <c r="HK10" s="1">
        <f>IF($B10-Analysis!$C$159&gt;10,0,IF($FW10&gt;LOOKUP(Analysis!$C$159,$B:$B, FW:FW),$V10*(LOOKUP(Analysis!$C$159,$B:$B, FW:FW)-FW10),0))</f>
        <v>-22275.706987892368</v>
      </c>
      <c r="HL10" s="1">
        <f t="shared" si="39"/>
        <v>333754.59859290795</v>
      </c>
      <c r="HM10" s="38"/>
      <c r="HN10" s="1">
        <f t="shared" si="40"/>
        <v>-112919.52049070674</v>
      </c>
      <c r="HO10" s="1">
        <f t="shared" si="8"/>
        <v>136268.47298354327</v>
      </c>
      <c r="HP10" s="1">
        <f t="shared" si="41"/>
        <v>23348.952492836528</v>
      </c>
      <c r="HQ10" s="1">
        <f>IF(HP10 &lt; 0,
    IF(HQ9 + HP10 &gt; 0,
        HQ9 + HP10, IF(HV9-ABS(HQ9 + HP10)*(1+$V10) &gt;= HQ9 + HP10,
        0, HQ9 + HP10)),
    MIN(HQ9 + HP10, Analysis!$C$7))+IF(HQ9&lt;0, HQ9*Analysis!$C$9,0)</f>
        <v>24000</v>
      </c>
      <c r="HR10" s="38"/>
      <c r="HS10" s="1">
        <f t="shared" si="54"/>
        <v>7239.4242853356673</v>
      </c>
      <c r="HT10" s="1">
        <f>IF($B10=Analysis!$C$159,0,IF(HP10 &gt;= 0,
    MAX(0, HQ9 + HP10 - Analysis!$C$7),
    0))</f>
        <v>23348.952492836528</v>
      </c>
      <c r="HU10" s="1">
        <f>IF($B10=Analysis!$C$159,0,MAX(0, HU9 + HT10 - IF(HP10 &lt; 0, MIN(ABS(HP10), HU9 + HT10), 0)))</f>
        <v>110846.65864970197</v>
      </c>
      <c r="HV10" s="1">
        <f>IF($B10=Analysis!$C$159,0,IF(HP10 &lt; 0,
    IF(HP10 + HQ9 &lt; 0,
        MAX(0, HV9 - (ABS(HP10 + HQ9) * (1+$V9))),
        HV9 + HS10),
    HV9 + HT10 + HS10))</f>
        <v>142451.01830625502</v>
      </c>
      <c r="HW10" s="1">
        <f t="shared" si="42"/>
        <v>134115.36844683916</v>
      </c>
      <c r="HX10" s="36"/>
    </row>
    <row r="11" spans="1:232" x14ac:dyDescent="0.35">
      <c r="A11">
        <f t="shared" si="0"/>
        <v>44</v>
      </c>
      <c r="B11">
        <v>2034</v>
      </c>
      <c r="C11" s="1">
        <f>IF($B11&lt;Analysis!C$66,0,$AN11)+$AT11+$AW11+$BC11+$CF11+$CA11</f>
        <v>173288.30352137849</v>
      </c>
      <c r="D11" s="1">
        <f>IF($B11&lt;Analysis!C$66, 0, BV11)+AT11+AW11+BC11+CG11+CA11</f>
        <v>92129.962561376713</v>
      </c>
      <c r="E11" s="1">
        <f t="shared" si="1"/>
        <v>363873.46426930919</v>
      </c>
      <c r="F11" s="1">
        <f t="shared" si="9"/>
        <v>340878.37569523667</v>
      </c>
      <c r="G11" s="1">
        <f>IF(AND($B11&gt;=Analysis!$C$100, $B11&lt;Analysis!$C$101),$CK11,0)+IF($B11&gt;=Analysis!$C$130,EB11,0)+CQ11+CT11+CZ11+EH11+EK11+EQ11+$FO11+$FT11</f>
        <v>315212.47372673807</v>
      </c>
      <c r="H11" s="1">
        <f t="shared" si="10"/>
        <v>250952.14943378716</v>
      </c>
      <c r="I11" s="1">
        <f>IF($B11&lt;Analysis!$C$159,0,$FW11)+$GC11+$GF11+$GL11+$HQ11+$HV11</f>
        <v>315212.47372673807</v>
      </c>
      <c r="J11" s="1">
        <f t="shared" si="2"/>
        <v>225510.99518154503</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18160.149649856419</v>
      </c>
      <c r="AI11" s="1">
        <f>IF(AE11 &gt;= 0,
    MAX(0, AF10 + AE11 - Analysis!$C$7),
    0)</f>
        <v>33469.786920772298</v>
      </c>
      <c r="AJ11" s="1">
        <f t="shared" si="44"/>
        <v>252688.29432021902</v>
      </c>
      <c r="AK11" s="1">
        <f t="shared" si="20"/>
        <v>339873.46426930919</v>
      </c>
      <c r="AL11" s="1">
        <f t="shared" si="5"/>
        <v>316878.37569523667</v>
      </c>
      <c r="AM11" s="36"/>
      <c r="AN11" s="1">
        <f t="shared" si="45"/>
        <v>636060.20637026173</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-13054.989979974933</v>
      </c>
      <c r="AT11" s="1">
        <f>IF($B11&lt;Analysis!$C$66,0,IF($B11=Analysis!$C$66,-AP11-AS11,MIN(0,AT10-AS11)))</f>
        <v>-359229.09164232429</v>
      </c>
      <c r="AU11" s="64">
        <f>IF($B11&lt;Analysis!$C$66,0,IF($B11=Analysis!$C$66,Analysis!$C$72,IF(($B11-Analysis!$C$66)&lt;LOOKUP(Analysis!$C$66,$B:$B,AQ:AQ),AU10,0)))</f>
        <v>3.6999999999999998E-2</v>
      </c>
      <c r="AV11" s="1">
        <f>IF($B11&lt;Analysis!$C$66,0,IF($B11=Analysis!$C$66,-AU11*AP11,AU10*AT10))</f>
        <v>-13774.511020025071</v>
      </c>
      <c r="AW11" s="1">
        <f>IF($B11&lt;Analysis!$C$66,0,IF($B11=Analysis!$C$66,PMT(AU11,AQ11,AP11)*AQ11-AX11-AT11,IF(($B11-Analysis!$C$66+1)&lt;LOOKUP(Analysis!$C$66,$B:$B,AQ:AQ),IF(AW10-AV11&lt;0, AW10-AV11,0),0)))</f>
        <v>-145874.02464593598</v>
      </c>
      <c r="AX11" s="1">
        <f>IF($B11&lt;Analysis!$C$66,0,IF($B11=Analysis!$C$66,AS11+AV11,IF(AT10&lt;0,IF(AT10&gt;LOOKUP(Analysis!$C$66,$B:$B,AX:AX), AT10*(1+AU10),AX10),0)))</f>
        <v>-26829.501000000004</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-1908.1806191107853</v>
      </c>
      <c r="BF11" s="64">
        <f>IF($B11&lt;Analysis!$C$66,0,Analysis!$C$78)</f>
        <v>3.0000000000000001E-3</v>
      </c>
      <c r="BG11" s="1">
        <f>IF($B11&lt;Analysis!$C$66,0,-BH11*AN11)</f>
        <v>-4770.4515477769628</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-81097.676312208365</v>
      </c>
      <c r="BS11" s="64">
        <f>IF($B11&lt;Analysis!C$66,0,Analysis!C$31)</f>
        <v>0.1275</v>
      </c>
      <c r="BT11" s="1">
        <f>IF($B11&lt;Analysis!$C$66,0,AN11+BR11)</f>
        <v>554962.53005805332</v>
      </c>
      <c r="BU11" s="1">
        <f>IF($B11-Analysis!$C$66&gt;3,0,IF($AN11&gt;LOOKUP(Analysis!$C$66,$B:$B, AN:AN),$V11*(LOOKUP(Analysis!$C$66,$B:$B, AN:AN)-AN11),0))</f>
        <v>0</v>
      </c>
      <c r="BV11" s="1">
        <f t="shared" si="23"/>
        <v>554962.53005805332</v>
      </c>
      <c r="BW11" s="42"/>
      <c r="BX11" s="1">
        <f>IF($B11&lt;Analysis!$C$66,$P11+$N11+$X11+$Z11,$P11+$N11+AS11+AV11+BB11+BE11+BG11+MAX(BI11,SUM(BJ11:BN11))+BP11)</f>
        <v>-101940.96194559516</v>
      </c>
      <c r="BY11" s="1">
        <f t="shared" si="24"/>
        <v>116391.40665323137</v>
      </c>
      <c r="BZ11" s="1">
        <f t="shared" si="46"/>
        <v>14450.444707636212</v>
      </c>
      <c r="CA11" s="1">
        <f>IF(BZ11 &lt; 0,
    IF(CA10 + BZ11 &gt; 0,
        CA10 + BZ11, IF(CF10-ABS(CA10 + BZ11)*(1+$V11) &gt;= CA10 + BZ11,
        0, CA10 + BZ11)),
    MIN(CA10 + BZ11, Analysis!$C$7))+IF(CA10&lt;0, CA10*Analysis!$C$9,0)</f>
        <v>24000</v>
      </c>
      <c r="CB11" s="42"/>
      <c r="CC11" s="1">
        <f t="shared" si="47"/>
        <v>230.00814329238659</v>
      </c>
      <c r="CD11" s="1">
        <f>IF(BZ11 &gt;= 0,
    MAX(0, CA10 + BZ11 - Analysis!$C$7),
    0)</f>
        <v>14450.444707636212</v>
      </c>
      <c r="CE11" s="1">
        <f>IF($B11=Analysis!$C$66,0,MAX(0, CE10 + CD11 - IF(BZ11 &lt; 0, MIN(ABS(BZ11), CE10 + CD11), 0)))</f>
        <v>18101.205296084627</v>
      </c>
      <c r="CF11" s="1">
        <f>IF($B11=Analysis!$C$66,0,IF(BZ11 &lt; 0,
    IF(BZ11 + CA10 &lt; 0,
        MAX(0, CF10 - (ABS(BZ11 + CA10) * (1+$V10))),
        CF10 + CC11),
    CF10 + CD11 + CC11))</f>
        <v>18331.213439377014</v>
      </c>
      <c r="CG11" s="1">
        <f t="shared" si="25"/>
        <v>18270.548791583646</v>
      </c>
      <c r="CH11" s="36"/>
      <c r="CI11" s="1">
        <f>IF(OR($B11&lt;Analysis!$C$100, $B11&gt;=Analysis!$C$130),0,X11)</f>
        <v>-20561.619732459079</v>
      </c>
      <c r="CJ11" s="1">
        <f>IF(OR($B11&lt;Analysis!$C$100, $B11&gt;=Analysis!$C$130),0,Z11)</f>
        <v>-3960</v>
      </c>
      <c r="CK11" s="1">
        <f t="shared" si="26"/>
        <v>420059.35261513613</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-7905.7923795060578</v>
      </c>
      <c r="CQ11" s="1">
        <f>IF(OR($B11&lt;Analysis!$C$100, $B11&gt;=Analysis!$C$101),0,IF($B11=Analysis!$C$100,-CM11-CP11,MIN(0,CQ10-CP11)))</f>
        <v>-217540.6200662762</v>
      </c>
      <c r="CR11" s="64">
        <f>IF(OR($B11&lt;Analysis!$C$100, $B11&gt;=Analysis!$C$101),0,IF($B11=Analysis!$C$100,Analysis!$C$102,IF(($B11-Analysis!$C$100)&lt;LOOKUP(Analysis!$C$100,$B:$B,CN:CN),CR10,0)))</f>
        <v>3.6999999999999998E-2</v>
      </c>
      <c r="CS11" s="1">
        <f>IF(OR($B11&lt;Analysis!$C$100, $B11&gt;=Analysis!$C$101),0,IF($B11=Analysis!$C$100,-CR11*CM11,CR10*CQ10))</f>
        <v>-8341.5172604939435</v>
      </c>
      <c r="CT11" s="1">
        <f>IF(OR($B11&lt;Analysis!$C$100, $B11&gt;=Analysis!$C$101),0,IF($B11=Analysis!$C$100,PMT(CR11,CN11,CM11)*CN11-CU11-CQ11,IF(($B11-Analysis!$C$100+1)&lt;LOOKUP(Analysis!$C$100,$B:$B,CN:CN),IF(CT10-CS11&lt;0, CT10-CS11,0),0)))</f>
        <v>-88337.850445131844</v>
      </c>
      <c r="CU11" s="1">
        <f>IF(OR($B11&lt;Analysis!$C$100, $B11&gt;=Analysis!$C$101),0,IF($B11=Analysis!$C$100,CP11+CS11,IF(CQ10&lt;0,IF(CQ10&gt;LOOKUP(Analysis!$C$100,$B:$B,CU:CU), CQ10*(1+CR10),CU10),0)))</f>
        <v>-16247.309640000001</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23211.595323747104</v>
      </c>
      <c r="DE11" s="1">
        <f t="shared" si="27"/>
        <v>-1260.1780578454084</v>
      </c>
      <c r="DF11" s="64">
        <f>IF(OR($B11&lt;Analysis!$C$100, $B11&gt;=Analysis!$C$101),0,Analysis!$C$118)</f>
        <v>3.0000000000000001E-3</v>
      </c>
      <c r="DG11" s="1">
        <f t="shared" si="28"/>
        <v>-3150.4451446135208</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-6472</v>
      </c>
      <c r="DQ11" s="1">
        <f>-Analysis!$C$117*DB11</f>
        <v>-1349.3562949426271</v>
      </c>
      <c r="DR11" s="1">
        <f t="shared" si="29"/>
        <v>-16191.979497401557</v>
      </c>
      <c r="DS11" s="1">
        <f>MIN(0,-(DB11+DR11)*Analysis!$C$28)-CS11*Analysis!$C$28</f>
        <v>2898.7954229024549</v>
      </c>
      <c r="DT11" s="1">
        <f>-Analysis!$C$116*DD11/12</f>
        <v>-1934.2996103122587</v>
      </c>
      <c r="DU11" s="53"/>
      <c r="DV11" s="1">
        <f t="shared" si="30"/>
        <v>-53557.567458429854</v>
      </c>
      <c r="DW11" s="64">
        <f>IF(OR($B11&lt;Analysis!$C$100, $B11&gt;=Analysis!$C$101),0,IF($B11=Analysis!$C$100,Analysis!$C$31,DW10))</f>
        <v>0.1275</v>
      </c>
      <c r="DX11" s="1">
        <f>IF(OR($B11&lt;Analysis!$C$100, $B11&gt;=Analysis!$C$101),0,CK11+DV11)</f>
        <v>366501.78515670629</v>
      </c>
      <c r="DY11" s="1">
        <f>IF(OR($B11&lt;Analysis!$C$100, $B11&gt;=Analysis!$C$101),0,IF($B11-Analysis!$C$100&gt;3,0,IF(CK11&gt;LOOKUP(Analysis!$C$100,$B:$B, CK:CK),$V11*(LOOKUP(Analysis!$C$100,$B:$B, CK:CK)-CK11),0)))</f>
        <v>0</v>
      </c>
      <c r="DZ11" s="1">
        <f t="shared" si="49"/>
        <v>366501.78515670629</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-113997.24183597785</v>
      </c>
      <c r="FM11" s="1">
        <f>$M11+$R11+DD11+IF(AND($B11&lt;&gt;Analysis!$C$130,$B11=Analysis!$C$101),DZ10+CQ10+CT10+CZ10,0)</f>
        <v>139603.00197697847</v>
      </c>
      <c r="FN11" s="1">
        <f t="shared" si="34"/>
        <v>25605.760141000617</v>
      </c>
      <c r="FO11" s="1">
        <f>IF(FN11 &lt; 0,
    IF(FO10 + FN11 &gt; 0,
        FO10 + FN11, IF(FT10-ABS(FO10 + FN11)*(1+$V11) &gt;= FO10 + FN11,
        0, FO10 + FN11)),
    MIN(FO10 + FN11, Analysis!$C$7))+IF(FO10&lt;0, FO10*Analysis!$C$9,0)</f>
        <v>24000</v>
      </c>
      <c r="FP11" s="53"/>
      <c r="FQ11" s="1">
        <f t="shared" si="51"/>
        <v>8974.8131757543379</v>
      </c>
      <c r="FR11" s="1">
        <f>IF(OR($B11=Analysis!$C$100, $B11=Analysis!$C$130),0,IF(FN11 &gt;= 0,
    MAX(0, FO10 + FN11 - Analysis!$C$7),
    0))</f>
        <v>25605.760141000617</v>
      </c>
      <c r="FS11" s="1">
        <f>IF(OR($B11=Analysis!$C$100, $B11=Analysis!$C$130),0,MAX(0, FS10 + FR11 - IF(FN11 &lt; 0, MIN(ABS(FN11), FS10 + FR11), 0)))</f>
        <v>136452.41879070259</v>
      </c>
      <c r="FT11" s="1">
        <f>IF(OR($B11=Analysis!$C$100, $B11=Analysis!$C$130),0,IF(FN11 &lt; 0,
    IF(FN11 + FO10 &lt; 0,
        MAX(0, FT10 - (ABS(FN11 + FO10) * (1+$V10))),
        FT10 + FQ11),
    FT10 + FR11 + FQ11))</f>
        <v>177031.59162300997</v>
      </c>
      <c r="FU11" s="1">
        <f t="shared" si="35"/>
        <v>166328.83478848889</v>
      </c>
      <c r="FV11" s="36"/>
      <c r="FW11" s="1">
        <f t="shared" si="52"/>
        <v>420059.35261513613</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-7905.7923795060578</v>
      </c>
      <c r="GC11" s="1">
        <f>IF($B11&lt;Analysis!$C$159,0,IF($B11=Analysis!$C$159,-FY11-GB11,MIN(0,GC10-GB11)))</f>
        <v>-217540.6200662762</v>
      </c>
      <c r="GD11" s="64">
        <f>IF($B11&lt;Analysis!$C$159,0,IF($B11=Analysis!$C$159,Analysis!$C$160,IF(($B11-Analysis!$C$159)&lt;LOOKUP(Analysis!$C$159,$B:$B,FZ:FZ),GD10,0)))</f>
        <v>3.6999999999999998E-2</v>
      </c>
      <c r="GE11" s="1">
        <f>IF($B11&lt;Analysis!$C$159,0,IF($B11=Analysis!$C$159,-GD11*FY11,GD10*GC10))</f>
        <v>-8341.5172604939435</v>
      </c>
      <c r="GF11" s="1">
        <f>IF($B11&lt;Analysis!$C$159,0,IF($B11=Analysis!$C$159,PMT(GD11,FZ11,FY11)*FZ11-GG11-GC11,IF(($B11-Analysis!$C$159+1)&lt;LOOKUP(Analysis!$C$159,$B:$B,FZ:FZ),IF(GF10-GE11&lt;0, GF10-GE11,0),0)))</f>
        <v>-88337.850445131844</v>
      </c>
      <c r="GG11" s="1">
        <f>IF($B11&lt;Analysis!$C$159,0,IF($B11=Analysis!$C$159,GB11+GE11,IF(GC10&lt;0,IF(GC10&gt;LOOKUP(Analysis!$C$159,$B:$B,GG:GG), GC10*(1+GD10),GG10),0)))</f>
        <v>-16247.309640000001</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7"/>
        <v>23211.595323747104</v>
      </c>
      <c r="GQ11" s="1">
        <f t="shared" si="36"/>
        <v>-1260.1780578454084</v>
      </c>
      <c r="GR11" s="64">
        <f>IF($B11&lt;Analysis!$C$159,0,Analysis!$C$178)</f>
        <v>3.0000000000000001E-3</v>
      </c>
      <c r="GS11" s="1">
        <f t="shared" si="37"/>
        <v>-3150.4451446135208</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-6472</v>
      </c>
      <c r="HC11" s="1">
        <f>-Analysis!$C$177*GN11</f>
        <v>-1349.3562949426271</v>
      </c>
      <c r="HD11" s="1">
        <f t="shared" si="38"/>
        <v>-16191.979497401557</v>
      </c>
      <c r="HE11" s="1">
        <f>MIN(0,-(GN11+HD11)*Analysis!$C$28)-GE11*Analysis!$C$28</f>
        <v>2898.7954229024549</v>
      </c>
      <c r="HF11" s="1">
        <f>-Analysis!$C$176*GP11/12</f>
        <v>-1934.2996103122587</v>
      </c>
      <c r="HG11" s="38"/>
      <c r="HH11" s="1">
        <f>IF($B11&lt;Analysis!$C$159,0,-$HI11*$FW11)</f>
        <v>-53557.567458429854</v>
      </c>
      <c r="HI11" s="64">
        <f>IF($B11&lt;Analysis!$C$159,0,IF($B11=Analysis!$C$159,Analysis!$C$31,HI10))</f>
        <v>0.1275</v>
      </c>
      <c r="HJ11" s="1">
        <f>IF($B11&lt;Analysis!$C$159,0,$FW11+HH11)</f>
        <v>366501.78515670629</v>
      </c>
      <c r="HK11" s="1">
        <f>IF($B11-Analysis!$C$159&gt;10,0,IF($FW11&gt;LOOKUP(Analysis!$C$159,$B:$B, FW:FW),$V11*(LOOKUP(Analysis!$C$159,$B:$B, FW:FW)-FW11),0))</f>
        <v>-25441.154252242151</v>
      </c>
      <c r="HL11" s="1">
        <f t="shared" si="39"/>
        <v>341060.63090446417</v>
      </c>
      <c r="HM11" s="38"/>
      <c r="HN11" s="1">
        <f t="shared" si="40"/>
        <v>-113997.24183597785</v>
      </c>
      <c r="HO11" s="1">
        <f t="shared" si="8"/>
        <v>139603.00197697847</v>
      </c>
      <c r="HP11" s="1">
        <f t="shared" si="41"/>
        <v>25605.760141000617</v>
      </c>
      <c r="HQ11" s="1">
        <f>IF(HP11 &lt; 0,
    IF(HQ10 + HP11 &gt; 0,
        HQ10 + HP11, IF(HV10-ABS(HQ10 + HP11)*(1+$V11) &gt;= HQ10 + HP11,
        0, HQ10 + HP11)),
    MIN(HQ10 + HP11, Analysis!$C$7))+IF(HQ10&lt;0, HQ10*Analysis!$C$9,0)</f>
        <v>24000</v>
      </c>
      <c r="HR11" s="38"/>
      <c r="HS11" s="1">
        <f t="shared" si="54"/>
        <v>8974.8131757543379</v>
      </c>
      <c r="HT11" s="1">
        <f>IF($B11=Analysis!$C$159,0,IF(HP11 &gt;= 0,
    MAX(0, HQ10 + HP11 - Analysis!$C$7),
    0))</f>
        <v>25605.760141000617</v>
      </c>
      <c r="HU11" s="1">
        <f>IF($B11=Analysis!$C$159,0,MAX(0, HU10 + HT11 - IF(HP11 &lt; 0, MIN(ABS(HP11), HU10 + HT11), 0)))</f>
        <v>136452.41879070259</v>
      </c>
      <c r="HV11" s="1">
        <f>IF($B11=Analysis!$C$159,0,IF(HP11 &lt; 0,
    IF(HP11 + HQ10 &lt; 0,
        MAX(0, HV10 - (ABS(HP11 + HQ10) * (1+$V10))),
        HV10 + HS11),
    HV10 + HT11 + HS11))</f>
        <v>177031.59162300997</v>
      </c>
      <c r="HW11" s="1">
        <f t="shared" si="42"/>
        <v>166328.83478848889</v>
      </c>
      <c r="HX11" s="36"/>
    </row>
    <row r="12" spans="1:232" x14ac:dyDescent="0.35">
      <c r="A12">
        <f t="shared" si="0"/>
        <v>45</v>
      </c>
      <c r="B12">
        <v>2035</v>
      </c>
      <c r="C12" s="1">
        <f>IF($B12&lt;Analysis!C$66,0,$AN12)+$AT12+$AW12+$BC12+$CF12+$CA12</f>
        <v>241702.15891331574</v>
      </c>
      <c r="D12" s="1">
        <f>IF($B12&lt;Analysis!C$66, 0, BV12)+AT12+AW12+BC12+CG12+CA12</f>
        <v>157862.27093831444</v>
      </c>
      <c r="E12" s="1">
        <f t="shared" si="1"/>
        <v>418995.20299716713</v>
      </c>
      <c r="F12" s="1">
        <f t="shared" si="9"/>
        <v>390506.11223463929</v>
      </c>
      <c r="G12" s="1">
        <f>IF(AND($B12&gt;=Analysis!$C$100, $B12&lt;Analysis!$C$101),$CK12,0)+IF($B12&gt;=Analysis!$C$130,EB12,0)+CQ12+CT12+CZ12+EH12+EK12+EQ12+$FO12+$FT12</f>
        <v>387225.28375393135</v>
      </c>
      <c r="H12" s="1">
        <f t="shared" si="10"/>
        <v>318528.04848386231</v>
      </c>
      <c r="I12" s="1">
        <f>IF($B12&lt;Analysis!$C$159,0,$FW12)+$GC12+$GF12+$GL12+$HQ12+$HV12</f>
        <v>387225.28375393135</v>
      </c>
      <c r="J12" s="1">
        <f t="shared" si="2"/>
        <v>289828.34557714243</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20830.340051015432</v>
      </c>
      <c r="AI12" s="1">
        <f>IF(AE12 &gt;= 0,
    MAX(0, AF11 + AE12 - Analysis!$C$7),
    0)</f>
        <v>34291.398676842495</v>
      </c>
      <c r="AJ12" s="1">
        <f t="shared" si="44"/>
        <v>286979.69299706153</v>
      </c>
      <c r="AK12" s="1">
        <f t="shared" si="20"/>
        <v>394995.20299716713</v>
      </c>
      <c r="AL12" s="1">
        <f t="shared" si="5"/>
        <v>366506.11223463929</v>
      </c>
      <c r="AM12" s="36"/>
      <c r="AN12" s="1">
        <f t="shared" si="45"/>
        <v>654767.85949879896</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-13538.024609234006</v>
      </c>
      <c r="AT12" s="1">
        <f>IF($B12&lt;Analysis!$C$66,0,IF($B12=Analysis!$C$66,-AP12-AS12,MIN(0,AT11-AS12)))</f>
        <v>-345691.06703309028</v>
      </c>
      <c r="AU12" s="64">
        <f>IF($B12&lt;Analysis!$C$66,0,IF($B12=Analysis!$C$66,Analysis!$C$72,IF(($B12-Analysis!$C$66)&lt;LOOKUP(Analysis!$C$66,$B:$B,AQ:AQ),AU11,0)))</f>
        <v>3.6999999999999998E-2</v>
      </c>
      <c r="AV12" s="1">
        <f>IF($B12&lt;Analysis!$C$66,0,IF($B12=Analysis!$C$66,-AU12*AP12,AU11*AT11))</f>
        <v>-13291.476390765998</v>
      </c>
      <c r="AW12" s="1">
        <f>IF($B12&lt;Analysis!$C$66,0,IF($B12=Analysis!$C$66,PMT(AU12,AQ12,AP12)*AQ12-AX12-AT12,IF(($B12-Analysis!$C$66+1)&lt;LOOKUP(Analysis!$C$66,$B:$B,AQ:AQ),IF(AW11-AV12&lt;0, AW11-AV12,0),0)))</f>
        <v>-132582.54825516997</v>
      </c>
      <c r="AX12" s="1">
        <f>IF($B12&lt;Analysis!$C$66,0,IF($B12=Analysis!$C$66,AS12+AV12,IF(AT11&lt;0,IF(AT11&gt;LOOKUP(Analysis!$C$66,$B:$B,AX:AX), AT11*(1+AU11),AX11),0)))</f>
        <v>-26829.501000000004</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-1964.303578496397</v>
      </c>
      <c r="BF12" s="64">
        <f>IF($B12&lt;Analysis!$C$66,0,Analysis!$C$78)</f>
        <v>3.0000000000000001E-3</v>
      </c>
      <c r="BG12" s="1">
        <f>IF($B12&lt;Analysis!$C$66,0,-BH12*AN12)</f>
        <v>-4910.7589462409924</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-83482.902086096874</v>
      </c>
      <c r="BS12" s="64">
        <f>IF($B12&lt;Analysis!C$66,0,Analysis!C$31)</f>
        <v>0.1275</v>
      </c>
      <c r="BT12" s="1">
        <f>IF($B12&lt;Analysis!$C$66,0,AN12+BR12)</f>
        <v>571284.95741270203</v>
      </c>
      <c r="BU12" s="1">
        <f>IF($B12-Analysis!$C$66&gt;3,0,IF($AN12&gt;LOOKUP(Analysis!$C$66,$B:$B, AN:AN),$V12*(LOOKUP(Analysis!$C$66,$B:$B, AN:AN)-AN12),0))</f>
        <v>0</v>
      </c>
      <c r="BV12" s="1">
        <f t="shared" si="23"/>
        <v>571284.95741270203</v>
      </c>
      <c r="BW12" s="42"/>
      <c r="BX12" s="1">
        <f>IF($B12&lt;Analysis!$C$66,$P12+$N12+$X12+$Z12,$P12+$N12+AS12+AV12+BB12+BE12+BG12+MAX(BI12,SUM(BJ12:BN12))+BP12)</f>
        <v>-96064.563524737401</v>
      </c>
      <c r="BY12" s="1">
        <f t="shared" si="24"/>
        <v>117817.77193084449</v>
      </c>
      <c r="BZ12" s="1">
        <f t="shared" si="46"/>
        <v>21753.208406107093</v>
      </c>
      <c r="CA12" s="1">
        <f>IF(BZ12 &lt; 0,
    IF(CA11 + BZ12 &gt; 0,
        CA11 + BZ12, IF(CF11-ABS(CA11 + BZ12)*(1+$V12) &gt;= CA11 + BZ12,
        0, CA11 + BZ12)),
    MIN(CA11 + BZ12, Analysis!$C$7))+IF(CA11&lt;0, CA11*Analysis!$C$9,0)</f>
        <v>24000</v>
      </c>
      <c r="CB12" s="42"/>
      <c r="CC12" s="1">
        <f t="shared" si="47"/>
        <v>1123.4928572929143</v>
      </c>
      <c r="CD12" s="1">
        <f>IF(BZ12 &gt;= 0,
    MAX(0, CA11 + BZ12 - Analysis!$C$7),
    0)</f>
        <v>21753.208406107093</v>
      </c>
      <c r="CE12" s="1">
        <f>IF($B12=Analysis!$C$66,0,MAX(0, CE11 + CD12 - IF(BZ12 &lt; 0, MIN(ABS(BZ12), CE11 + CD12), 0)))</f>
        <v>39854.413702191719</v>
      </c>
      <c r="CF12" s="1">
        <f>IF($B12=Analysis!$C$66,0,IF(BZ12 &lt; 0,
    IF(BZ12 + CA11 &lt; 0,
        MAX(0, CF11 - (ABS(BZ12 + CA11) * (1+$V11))),
        CF11 + CC12),
    CF11 + CD12 + CC12))</f>
        <v>41207.914702777016</v>
      </c>
      <c r="CG12" s="1">
        <f>IF(CF12-CE12&gt;0, CF12-$V12*(CF12-CE12),CF12)</f>
        <v>40850.928813872641</v>
      </c>
      <c r="CH12" s="36"/>
      <c r="CI12" s="1">
        <f>IF(OR($B12&lt;Analysis!$C$100, $B12&gt;=Analysis!$C$130),0,X12)</f>
        <v>-21166.373254001996</v>
      </c>
      <c r="CJ12" s="1">
        <f>IF(OR($B12&lt;Analysis!$C$100, $B12&gt;=Analysis!$C$130),0,Z12)</f>
        <v>-3960</v>
      </c>
      <c r="CK12" s="1">
        <f t="shared" si="26"/>
        <v>432414.03945675783</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-8198.3066975477814</v>
      </c>
      <c r="CQ12" s="1">
        <f>IF(OR($B12&lt;Analysis!$C$100, $B12&gt;=Analysis!$C$101),0,IF($B12=Analysis!$C$100,-CM12-CP12,MIN(0,CQ11-CP12)))</f>
        <v>-209342.31336872841</v>
      </c>
      <c r="CR12" s="64">
        <f>IF(OR($B12&lt;Analysis!$C$100, $B12&gt;=Analysis!$C$101),0,IF($B12=Analysis!$C$100,Analysis!$C$102,IF(($B12-Analysis!$C$100)&lt;LOOKUP(Analysis!$C$100,$B:$B,CN:CN),CR11,0)))</f>
        <v>3.6999999999999998E-2</v>
      </c>
      <c r="CS12" s="1">
        <f>IF(OR($B12&lt;Analysis!$C$100, $B12&gt;=Analysis!$C$101),0,IF($B12=Analysis!$C$100,-CR12*CM12,CR11*CQ11))</f>
        <v>-8049.002942452219</v>
      </c>
      <c r="CT12" s="1">
        <f>IF(OR($B12&lt;Analysis!$C$100, $B12&gt;=Analysis!$C$101),0,IF($B12=Analysis!$C$100,PMT(CR12,CN12,CM12)*CN12-CU12-CQ12,IF(($B12-Analysis!$C$100+1)&lt;LOOKUP(Analysis!$C$100,$B:$B,CN:CN),IF(CT11-CS12&lt;0, CT11-CS12,0),0)))</f>
        <v>-80288.847502679622</v>
      </c>
      <c r="CU12" s="1">
        <f>IF(OR($B12&lt;Analysis!$C$100, $B12&gt;=Analysis!$C$101),0,IF($B12=Analysis!$C$100,CP12+CS12,IF(CQ11&lt;0,IF(CQ11&gt;LOOKUP(Analysis!$C$100,$B:$B,CU:CU), CQ11*(1+CR11),CU11),0)))</f>
        <v>-16247.309640000001</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23777.818715622023</v>
      </c>
      <c r="DE12" s="1">
        <f t="shared" si="27"/>
        <v>-1297.2421183702736</v>
      </c>
      <c r="DF12" s="64">
        <f>IF(OR($B12&lt;Analysis!$C$100, $B12&gt;=Analysis!$C$101),0,Analysis!$C$118)</f>
        <v>3.0000000000000001E-3</v>
      </c>
      <c r="DG12" s="1">
        <f t="shared" si="28"/>
        <v>-3243.1052959256835</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-6472</v>
      </c>
      <c r="DQ12" s="1">
        <f>-Analysis!$C$117*DB12</f>
        <v>-1389.0432447938811</v>
      </c>
      <c r="DR12" s="1">
        <f t="shared" si="29"/>
        <v>-16361.390659089837</v>
      </c>
      <c r="DS12" s="1">
        <f>MIN(0,-(DB12+DR12)*Analysis!$C$28)-CS12*Analysis!$C$28</f>
        <v>2609.7779146010353</v>
      </c>
      <c r="DT12" s="1">
        <f>-Analysis!$C$116*DD12/12</f>
        <v>-1981.484892968502</v>
      </c>
      <c r="DU12" s="53"/>
      <c r="DV12" s="1">
        <f t="shared" si="30"/>
        <v>-55132.790030736622</v>
      </c>
      <c r="DW12" s="64">
        <f>IF(OR($B12&lt;Analysis!$C$100, $B12&gt;=Analysis!$C$101),0,IF($B12=Analysis!$C$100,Analysis!$C$31,DW11))</f>
        <v>0.1275</v>
      </c>
      <c r="DX12" s="1">
        <f>IF(OR($B12&lt;Analysis!$C$100, $B12&gt;=Analysis!$C$101),0,CK12+DV12)</f>
        <v>377281.24942602124</v>
      </c>
      <c r="DY12" s="1">
        <f>IF(OR($B12&lt;Analysis!$C$100, $B12&gt;=Analysis!$C$101),0,IF($B12-Analysis!$C$100&gt;3,0,IF(CK12&gt;LOOKUP(Analysis!$C$100,$B:$B, CK:CK),$V12*(LOOKUP(Analysis!$C$100,$B:$B, CK:CK)-CK12),0)))</f>
        <v>0</v>
      </c>
      <c r="DZ12" s="1">
        <f t="shared" si="49"/>
        <v>377281.24942602124</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-109034.7805314593</v>
      </c>
      <c r="FM12" s="1">
        <f>$M12+$R12+DD12+IF(AND($B12&lt;&gt;Analysis!$C$130,$B12=Analysis!$C$101),DZ11+CQ11+CT11+CZ11,0)</f>
        <v>141595.59064646653</v>
      </c>
      <c r="FN12" s="1">
        <f t="shared" si="34"/>
        <v>32560.810115007233</v>
      </c>
      <c r="FO12" s="1">
        <f>IF(FN12 &lt; 0,
    IF(FO11 + FN12 &gt; 0,
        FO11 + FN12, IF(FT11-ABS(FO11 + FN12)*(1+$V12) &gt;= FO11 + FN12,
        0, FO11 + FN12)),
    MIN(FO11 + FN12, Analysis!$C$7))+IF(FO11&lt;0, FO11*Analysis!$C$9,0)</f>
        <v>24000</v>
      </c>
      <c r="FP12" s="53"/>
      <c r="FQ12" s="1">
        <f t="shared" si="51"/>
        <v>10850.003430564344</v>
      </c>
      <c r="FR12" s="1">
        <f>IF(OR($B12=Analysis!$C$100, $B12=Analysis!$C$130),0,IF(FN12 &gt;= 0,
    MAX(0, FO11 + FN12 - Analysis!$C$7),
    0))</f>
        <v>32560.810115007233</v>
      </c>
      <c r="FS12" s="1">
        <f>IF(OR($B12=Analysis!$C$100, $B12=Analysis!$C$130),0,MAX(0, FS11 + FR12 - IF(FN12 &lt; 0, MIN(ABS(FN12), FS11 + FR12), 0)))</f>
        <v>169013.22890570981</v>
      </c>
      <c r="FT12" s="1">
        <f>IF(OR($B12=Analysis!$C$100, $B12=Analysis!$C$130),0,IF(FN12 &lt; 0,
    IF(FN12 + FO11 &lt; 0,
        MAX(0, FT11 - (ABS(FN12 + FO11) * (1+$V11))),
        FT11 + FQ12),
    FT11 + FR12 + FQ12))</f>
        <v>220442.40516858155</v>
      </c>
      <c r="FU12" s="1">
        <f>IF(FT12-FS12&gt;0, FT12-$V12*(FT12-FS12),FT12)</f>
        <v>206877.95992924913</v>
      </c>
      <c r="FV12" s="36"/>
      <c r="FW12" s="1">
        <f t="shared" si="52"/>
        <v>432414.03945675783</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-8198.3066975477814</v>
      </c>
      <c r="GC12" s="1">
        <f>IF($B12&lt;Analysis!$C$159,0,IF($B12=Analysis!$C$159,-FY12-GB12,MIN(0,GC11-GB12)))</f>
        <v>-209342.31336872841</v>
      </c>
      <c r="GD12" s="64">
        <f>IF($B12&lt;Analysis!$C$159,0,IF($B12=Analysis!$C$159,Analysis!$C$160,IF(($B12-Analysis!$C$159)&lt;LOOKUP(Analysis!$C$159,$B:$B,FZ:FZ),GD11,0)))</f>
        <v>3.6999999999999998E-2</v>
      </c>
      <c r="GE12" s="1">
        <f>IF($B12&lt;Analysis!$C$159,0,IF($B12=Analysis!$C$159,-GD12*FY12,GD11*GC11))</f>
        <v>-8049.002942452219</v>
      </c>
      <c r="GF12" s="1">
        <f>IF($B12&lt;Analysis!$C$159,0,IF($B12=Analysis!$C$159,PMT(GD12,FZ12,FY12)*FZ12-GG12-GC12,IF(($B12-Analysis!$C$159+1)&lt;LOOKUP(Analysis!$C$159,$B:$B,FZ:FZ),IF(GF11-GE12&lt;0, GF11-GE12,0),0)))</f>
        <v>-80288.847502679622</v>
      </c>
      <c r="GG12" s="1">
        <f>IF($B12&lt;Analysis!$C$159,0,IF($B12=Analysis!$C$159,GB12+GE12,IF(GC11&lt;0,IF(GC11&gt;LOOKUP(Analysis!$C$159,$B:$B,GG:GG), GC11*(1+GD11),GG11),0)))</f>
        <v>-16247.309640000001</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23777.818715622023</v>
      </c>
      <c r="GQ12" s="1">
        <f t="shared" si="36"/>
        <v>-1297.2421183702736</v>
      </c>
      <c r="GR12" s="64">
        <f>IF($B12&lt;Analysis!$C$159,0,Analysis!$C$178)</f>
        <v>3.0000000000000001E-3</v>
      </c>
      <c r="GS12" s="1">
        <f t="shared" si="37"/>
        <v>-3243.1052959256835</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-6472</v>
      </c>
      <c r="HC12" s="1">
        <f>-Analysis!$C$177*GN12</f>
        <v>-1389.0432447938811</v>
      </c>
      <c r="HD12" s="1">
        <f t="shared" si="38"/>
        <v>-16361.390659089837</v>
      </c>
      <c r="HE12" s="1">
        <f>MIN(0,-(GN12+HD12)*Analysis!$C$28)-GE12*Analysis!$C$28</f>
        <v>2609.7779146010353</v>
      </c>
      <c r="HF12" s="1">
        <f>-Analysis!$C$176*GP12/12</f>
        <v>-1981.484892968502</v>
      </c>
      <c r="HG12" s="38"/>
      <c r="HH12" s="1">
        <f>IF($B12&lt;Analysis!$C$159,0,-$HI12*$FW12)</f>
        <v>-55132.790030736622</v>
      </c>
      <c r="HI12" s="64">
        <f>IF($B12&lt;Analysis!$C$159,0,IF($B12=Analysis!$C$159,Analysis!$C$31,HI11))</f>
        <v>0.1275</v>
      </c>
      <c r="HJ12" s="1">
        <f>IF($B12&lt;Analysis!$C$159,0,$FW12+HH12)</f>
        <v>377281.24942602124</v>
      </c>
      <c r="HK12" s="1">
        <f>IF($B12-Analysis!$C$159&gt;10,0,IF($FW12&gt;LOOKUP(Analysis!$C$159,$B:$B, FW:FW),$V12*(LOOKUP(Analysis!$C$159,$B:$B, FW:FW)-FW12),0))</f>
        <v>-28699.702906719878</v>
      </c>
      <c r="HL12" s="1">
        <f t="shared" si="39"/>
        <v>348581.54651930137</v>
      </c>
      <c r="HM12" s="38"/>
      <c r="HN12" s="1">
        <f t="shared" si="40"/>
        <v>-109034.7805314593</v>
      </c>
      <c r="HO12" s="1">
        <f t="shared" si="8"/>
        <v>141595.59064646653</v>
      </c>
      <c r="HP12" s="1">
        <f t="shared" si="41"/>
        <v>32560.810115007233</v>
      </c>
      <c r="HQ12" s="1">
        <f>IF(HP12 &lt; 0,
    IF(HQ11 + HP12 &gt; 0,
        HQ11 + HP12, IF(HV11-ABS(HQ11 + HP12)*(1+$V12) &gt;= HQ11 + HP12,
        0, HQ11 + HP12)),
    MIN(HQ11 + HP12, Analysis!$C$7))+IF(HQ11&lt;0, HQ11*Analysis!$C$9,0)</f>
        <v>24000</v>
      </c>
      <c r="HR12" s="38"/>
      <c r="HS12" s="1">
        <f t="shared" si="54"/>
        <v>10850.003430564344</v>
      </c>
      <c r="HT12" s="1">
        <f>IF($B12=Analysis!$C$159,0,IF(HP12 &gt;= 0,
    MAX(0, HQ11 + HP12 - Analysis!$C$7),
    0))</f>
        <v>32560.810115007233</v>
      </c>
      <c r="HU12" s="1">
        <f>IF($B12=Analysis!$C$159,0,MAX(0, HU11 + HT12 - IF(HP12 &lt; 0, MIN(ABS(HP12), HU11 + HT12), 0)))</f>
        <v>169013.22890570981</v>
      </c>
      <c r="HV12" s="1">
        <f>IF($B12=Analysis!$C$159,0,IF(HP12 &lt; 0,
    IF(HP12 + HQ11 &lt; 0,
        MAX(0, HV11 - (ABS(HP12 + HQ11) * (1+$V11))),
        HV11 + HS12),
    HV11 + HT12 + HS12))</f>
        <v>220442.40516858155</v>
      </c>
      <c r="HW12" s="1">
        <f>IF(HV12-HU12&gt;0, HV12-$V12*(HV12-HU12),HV12)</f>
        <v>206877.95992924913</v>
      </c>
      <c r="HX12" s="36"/>
    </row>
    <row r="13" spans="1:232" x14ac:dyDescent="0.35">
      <c r="A13">
        <f t="shared" si="0"/>
        <v>46</v>
      </c>
      <c r="B13">
        <v>2036</v>
      </c>
      <c r="C13" s="1">
        <f>IF($B13&lt;Analysis!C$66,0,$AN13)+$AT13+$AW13+$BC13+$CF13+$CA13</f>
        <v>309489.31383853708</v>
      </c>
      <c r="D13" s="1">
        <f>IF($B13&lt;Analysis!C$66, 0, BV13)+AT13+AW13+BC13+CG13+CA13</f>
        <v>222546.55866209386</v>
      </c>
      <c r="E13" s="1">
        <f t="shared" si="1"/>
        <v>473889.44147897937</v>
      </c>
      <c r="F13" s="1">
        <f t="shared" si="9"/>
        <v>439193.90837324585</v>
      </c>
      <c r="G13" s="1">
        <f>IF(AND($B13&gt;=Analysis!$C$100, $B13&lt;Analysis!$C$101),$CK13,0)+IF($B13&gt;=Analysis!$C$130,EB13,0)+CQ13+CT13+CZ13+EH13+EK13+EQ13+$FO13+$FT13</f>
        <v>459016.86336186831</v>
      </c>
      <c r="H13" s="1">
        <f t="shared" si="10"/>
        <v>385234.32938490977</v>
      </c>
      <c r="I13" s="1">
        <f>IF($B13&lt;Analysis!$C$159,0,$FW13)+$GC13+$GF13+$GL13+$HQ13+$HV13</f>
        <v>459016.86336186831</v>
      </c>
      <c r="J13" s="1">
        <f t="shared" si="2"/>
        <v>385234.32938490977</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23531.534950542798</v>
      </c>
      <c r="AI13" s="1">
        <f>IF(AE13 &gt;= 0,
    MAX(0, AF12 + AE13 - Analysis!$C$7),
    0)</f>
        <v>31362.70353126945</v>
      </c>
      <c r="AJ13" s="1">
        <f t="shared" si="44"/>
        <v>318342.39652833098</v>
      </c>
      <c r="AK13" s="1">
        <f t="shared" si="20"/>
        <v>449889.44147897937</v>
      </c>
      <c r="AL13" s="1">
        <f t="shared" si="5"/>
        <v>415193.90837324585</v>
      </c>
      <c r="AM13" s="36"/>
      <c r="AN13" s="1">
        <f t="shared" si="45"/>
        <v>674025.73771935201</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-14038.931519775664</v>
      </c>
      <c r="AT13" s="1">
        <f>IF($B13&lt;Analysis!$C$66,0,IF($B13=Analysis!$C$66,-AP13-AS13,MIN(0,AT12-AS13)))</f>
        <v>-331652.13551331463</v>
      </c>
      <c r="AU13" s="64">
        <f>IF($B13&lt;Analysis!$C$66,0,IF($B13=Analysis!$C$66,Analysis!$C$72,IF(($B13-Analysis!$C$66)&lt;LOOKUP(Analysis!$C$66,$B:$B,AQ:AQ),AU12,0)))</f>
        <v>3.6999999999999998E-2</v>
      </c>
      <c r="AV13" s="1">
        <f>IF($B13&lt;Analysis!$C$66,0,IF($B13=Analysis!$C$66,-AU13*AP13,AU12*AT12))</f>
        <v>-12790.56948022434</v>
      </c>
      <c r="AW13" s="1">
        <f>IF($B13&lt;Analysis!$C$66,0,IF($B13=Analysis!$C$66,PMT(AU13,AQ13,AP13)*AQ13-AX13-AT13,IF(($B13-Analysis!$C$66+1)&lt;LOOKUP(Analysis!$C$66,$B:$B,AQ:AQ),IF(AW12-AV13&lt;0, AW12-AV13,0),0)))</f>
        <v>-119791.97877494563</v>
      </c>
      <c r="AX13" s="1">
        <f>IF($B13&lt;Analysis!$C$66,0,IF($B13=Analysis!$C$66,AS13+AV13,IF(AT12&lt;0,IF(AT12&gt;LOOKUP(Analysis!$C$66,$B:$B,AX:AX), AT12*(1+AU12),AX12),0)))</f>
        <v>-26829.501000000004</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-2022.0772131580561</v>
      </c>
      <c r="BF13" s="64">
        <f>IF($B13&lt;Analysis!$C$66,0,Analysis!$C$78)</f>
        <v>3.0000000000000001E-3</v>
      </c>
      <c r="BG13" s="1">
        <f>IF($B13&lt;Analysis!$C$66,0,-BH13*AN13)</f>
        <v>-5055.1930328951403</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-85938.281559217387</v>
      </c>
      <c r="BS13" s="64">
        <f>IF($B13&lt;Analysis!C$66,0,Analysis!C$31)</f>
        <v>0.1275</v>
      </c>
      <c r="BT13" s="1">
        <f>IF($B13&lt;Analysis!$C$66,0,AN13+BR13)</f>
        <v>588087.45616013464</v>
      </c>
      <c r="BU13" s="1">
        <f>IF($B13-Analysis!$C$66&gt;3,0,IF($AN13&gt;LOOKUP(Analysis!$C$66,$B:$B, AN:AN),$V13*(LOOKUP(Analysis!$C$66,$B:$B, AN:AN)-AN13),0))</f>
        <v>0</v>
      </c>
      <c r="BV13" s="1">
        <f t="shared" si="23"/>
        <v>588087.45616013464</v>
      </c>
      <c r="BW13" s="42"/>
      <c r="BX13" s="1">
        <f>IF($B13&lt;Analysis!$C$66,$P13+$N13+$X13+$Z13,$P13+$N13+AS13+AV13+BB13+BE13+BG13+MAX(BI13,SUM(BJ13:BN13))+BP13)</f>
        <v>-100016.77124605321</v>
      </c>
      <c r="BY13" s="1">
        <f t="shared" si="24"/>
        <v>119261.61717509503</v>
      </c>
      <c r="BZ13" s="1">
        <f t="shared" si="46"/>
        <v>19244.845929041825</v>
      </c>
      <c r="CA13" s="1">
        <f>IF(BZ13 &lt; 0,
    IF(CA12 + BZ13 &gt; 0,
        CA12 + BZ13, IF(CF12-ABS(CA12 + BZ13)*(1+$V13) &gt;= CA12 + BZ13,
        0, CA12 + BZ13)),
    MIN(CA12 + BZ13, Analysis!$C$7))+IF(CA12&lt;0, CA12*Analysis!$C$9,0)</f>
        <v>24000</v>
      </c>
      <c r="CB13" s="42"/>
      <c r="CC13" s="1">
        <f t="shared" si="47"/>
        <v>2454.9297756265114</v>
      </c>
      <c r="CD13" s="1">
        <f>IF(BZ13 &gt;= 0,
    MAX(0, CA12 + BZ13 - Analysis!$C$7),
    0)</f>
        <v>19244.845929041825</v>
      </c>
      <c r="CE13" s="1">
        <f>IF($B13=Analysis!$C$66,0,MAX(0, CE12 + CD13 - IF(BZ13 &lt; 0, MIN(ABS(BZ13), CE12 + CD13), 0)))</f>
        <v>59099.259631233544</v>
      </c>
      <c r="CF13" s="1">
        <f>IF($B13=Analysis!$C$66,0,IF(BZ13 &lt; 0,
    IF(BZ13 + CA12 &lt; 0,
        MAX(0, CF12 - (ABS(BZ13 + CA12) * (1+$V12))),
        CF12 + CC13),
    CF12 + CD13 + CC13))</f>
        <v>62907.690407445349</v>
      </c>
      <c r="CG13" s="1">
        <f t="shared" si="25"/>
        <v>61903.216790219485</v>
      </c>
      <c r="CH13" s="36"/>
      <c r="CI13" s="1">
        <f>IF(OR($B13&lt;Analysis!$C$100, $B13&gt;=Analysis!$C$130),0,X13)</f>
        <v>-21788.913643825585</v>
      </c>
      <c r="CJ13" s="1">
        <f>IF(OR($B13&lt;Analysis!$C$100, $B13&gt;=Analysis!$C$130),0,Z13)</f>
        <v>-3960</v>
      </c>
      <c r="CK13" s="1">
        <f t="shared" si="26"/>
        <v>445132.09944078018</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-8501.6440453570503</v>
      </c>
      <c r="CQ13" s="1">
        <f>IF(OR($B13&lt;Analysis!$C$100, $B13&gt;=Analysis!$C$101),0,IF($B13=Analysis!$C$100,-CM13-CP13,MIN(0,CQ12-CP13)))</f>
        <v>-200840.66932337137</v>
      </c>
      <c r="CR13" s="64">
        <f>IF(OR($B13&lt;Analysis!$C$100, $B13&gt;=Analysis!$C$101),0,IF($B13=Analysis!$C$100,Analysis!$C$102,IF(($B13-Analysis!$C$100)&lt;LOOKUP(Analysis!$C$100,$B:$B,CN:CN),CR12,0)))</f>
        <v>3.6999999999999998E-2</v>
      </c>
      <c r="CS13" s="1">
        <f>IF(OR($B13&lt;Analysis!$C$100, $B13&gt;=Analysis!$C$101),0,IF($B13=Analysis!$C$100,-CR13*CM13,CR12*CQ12))</f>
        <v>-7745.665594642951</v>
      </c>
      <c r="CT13" s="1">
        <f>IF(OR($B13&lt;Analysis!$C$100, $B13&gt;=Analysis!$C$101),0,IF($B13=Analysis!$C$100,PMT(CR13,CN13,CM13)*CN13-CU13-CQ13,IF(($B13-Analysis!$C$100+1)&lt;LOOKUP(Analysis!$C$100,$B:$B,CN:CN),IF(CT12-CS13&lt;0, CT12-CS13,0),0)))</f>
        <v>-72543.181908036669</v>
      </c>
      <c r="CU13" s="1">
        <f>IF(OR($B13&lt;Analysis!$C$100, $B13&gt;=Analysis!$C$101),0,IF($B13=Analysis!$C$100,CP13+CS13,IF(CQ12&lt;0,IF(CQ12&gt;LOOKUP(Analysis!$C$100,$B:$B,CU:CU), CQ12*(1+CR12),CU12),0)))</f>
        <v>-16247.309640000001</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24360.695736669728</v>
      </c>
      <c r="DE13" s="1">
        <f t="shared" si="27"/>
        <v>-1335.3962983223405</v>
      </c>
      <c r="DF13" s="64">
        <f>IF(OR($B13&lt;Analysis!$C$100, $B13&gt;=Analysis!$C$101),0,Analysis!$C$118)</f>
        <v>3.0000000000000001E-3</v>
      </c>
      <c r="DG13" s="1">
        <f t="shared" si="28"/>
        <v>-3338.490745805851</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-6472</v>
      </c>
      <c r="DQ13" s="1">
        <f>-Analysis!$C$117*DB13</f>
        <v>-1429.8974578760542</v>
      </c>
      <c r="DR13" s="1">
        <f t="shared" si="29"/>
        <v>-16535.784502004244</v>
      </c>
      <c r="DS13" s="1">
        <f>MIN(0,-(DB13+DR13)*Analysis!$C$28)-CS13*Analysis!$C$28</f>
        <v>2311.2763566926442</v>
      </c>
      <c r="DT13" s="1">
        <f>-Analysis!$C$116*DD13/12</f>
        <v>-2030.0579780558107</v>
      </c>
      <c r="DU13" s="53"/>
      <c r="DV13" s="1">
        <f t="shared" si="30"/>
        <v>-56754.342678699475</v>
      </c>
      <c r="DW13" s="64">
        <f>IF(OR($B13&lt;Analysis!$C$100, $B13&gt;=Analysis!$C$101),0,IF($B13=Analysis!$C$100,Analysis!$C$31,DW12))</f>
        <v>0.1275</v>
      </c>
      <c r="DX13" s="1">
        <f>IF(OR($B13&lt;Analysis!$C$100, $B13&gt;=Analysis!$C$101),0,CK13+DV13)</f>
        <v>388377.75676208071</v>
      </c>
      <c r="DY13" s="1">
        <f>IF(OR($B13&lt;Analysis!$C$100, $B13&gt;=Analysis!$C$101),0,IF($B13-Analysis!$C$100&gt;3,0,IF(CK13&gt;LOOKUP(Analysis!$C$100,$B:$B, CK:CK),$V13*(LOOKUP(Analysis!$C$100,$B:$B, CK:CK)-CK13),0)))</f>
        <v>0</v>
      </c>
      <c r="DZ13" s="1">
        <f t="shared" si="49"/>
        <v>388377.75676208071</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-113928.78940719299</v>
      </c>
      <c r="FM13" s="1">
        <f>$M13+$R13+DD13+IF(AND($B13&lt;&gt;Analysis!$C$130,$B13=Analysis!$C$101),DZ12+CQ12+CT12+CZ12,0)</f>
        <v>143622.31291176475</v>
      </c>
      <c r="FN13" s="1">
        <f t="shared" si="34"/>
        <v>29693.523504571756</v>
      </c>
      <c r="FO13" s="1">
        <f>IF(FN13 &lt; 0,
    IF(FO12 + FN13 &gt; 0,
        FO12 + FN13, IF(FT12-ABS(FO12 + FN13)*(1+$V13) &gt;= FO12 + FN13,
        0, FO12 + FN13)),
    MIN(FO12 + FN13, Analysis!$C$7))+IF(FO12&lt;0, FO12*Analysis!$C$9,0)</f>
        <v>24000</v>
      </c>
      <c r="FP13" s="53"/>
      <c r="FQ13" s="1">
        <f t="shared" si="51"/>
        <v>13132.686479342879</v>
      </c>
      <c r="FR13" s="1">
        <f>IF(OR($B13=Analysis!$C$100, $B13=Analysis!$C$130),0,IF(FN13 &gt;= 0,
    MAX(0, FO12 + FN13 - Analysis!$C$7),
    0))</f>
        <v>29693.523504571756</v>
      </c>
      <c r="FS13" s="1">
        <f>IF(OR($B13=Analysis!$C$100, $B13=Analysis!$C$130),0,MAX(0, FS12 + FR13 - IF(FN13 &lt; 0, MIN(ABS(FN13), FS12 + FR13), 0)))</f>
        <v>198706.75241028157</v>
      </c>
      <c r="FT13" s="1">
        <f>IF(OR($B13=Analysis!$C$100, $B13=Analysis!$C$130),0,IF(FN13 &lt; 0,
    IF(FN13 + FO12 &lt; 0,
        MAX(0, FT12 - (ABS(FN13 + FO12) * (1+$V12))),
        FT12 + FQ13),
    FT12 + FR13 + FQ13))</f>
        <v>263268.6151524962</v>
      </c>
      <c r="FU13" s="1">
        <f t="shared" ref="FU13:FU16" si="55">IF(FT13-FS13&gt;0, FT13-$V13*(FT13-FS13),FT13)</f>
        <v>246240.4238542371</v>
      </c>
      <c r="FV13" s="36"/>
      <c r="FW13" s="1">
        <f t="shared" si="52"/>
        <v>445132.09944078018</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-8501.6440453570503</v>
      </c>
      <c r="GC13" s="1">
        <f>IF($B13&lt;Analysis!$C$159,0,IF($B13=Analysis!$C$159,-FY13-GB13,MIN(0,GC12-GB13)))</f>
        <v>-200840.66932337137</v>
      </c>
      <c r="GD13" s="64">
        <f>IF($B13&lt;Analysis!$C$159,0,IF($B13=Analysis!$C$159,Analysis!$C$160,IF(($B13-Analysis!$C$159)&lt;LOOKUP(Analysis!$C$159,$B:$B,FZ:FZ),GD12,0)))</f>
        <v>3.6999999999999998E-2</v>
      </c>
      <c r="GE13" s="1">
        <f>IF($B13&lt;Analysis!$C$159,0,IF($B13=Analysis!$C$159,-GD13*FY13,GD12*GC12))</f>
        <v>-7745.665594642951</v>
      </c>
      <c r="GF13" s="1">
        <f>IF($B13&lt;Analysis!$C$159,0,IF($B13=Analysis!$C$159,PMT(GD13,FZ13,FY13)*FZ13-GG13-GC13,IF(($B13-Analysis!$C$159+1)&lt;LOOKUP(Analysis!$C$159,$B:$B,FZ:FZ),IF(GF12-GE13&lt;0, GF12-GE13,0),0)))</f>
        <v>-72543.181908036669</v>
      </c>
      <c r="GG13" s="1">
        <f>IF($B13&lt;Analysis!$C$159,0,IF($B13=Analysis!$C$159,GB13+GE13,IF(GC12&lt;0,IF(GC12&gt;LOOKUP(Analysis!$C$159,$B:$B,GG:GG), GC12*(1+GD12),GG12),0)))</f>
        <v>-16247.309640000001</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24360.695736669728</v>
      </c>
      <c r="GQ13" s="1">
        <f t="shared" si="36"/>
        <v>-1335.3962983223405</v>
      </c>
      <c r="GR13" s="64">
        <f>IF($B13&lt;Analysis!$C$159,0,Analysis!$C$178)</f>
        <v>3.0000000000000001E-3</v>
      </c>
      <c r="GS13" s="1">
        <f t="shared" si="37"/>
        <v>-3338.490745805851</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-6472</v>
      </c>
      <c r="HC13" s="1">
        <f>-Analysis!$C$177*GN13</f>
        <v>-1429.8974578760542</v>
      </c>
      <c r="HD13" s="1">
        <f t="shared" si="38"/>
        <v>-16535.784502004244</v>
      </c>
      <c r="HE13" s="1">
        <f>MIN(0,-(GN13+HD13)*Analysis!$C$28)-GE13*Analysis!$C$28</f>
        <v>2311.2763566926442</v>
      </c>
      <c r="HF13" s="1">
        <f>-Analysis!$C$176*GP13/12</f>
        <v>-2030.0579780558107</v>
      </c>
      <c r="HG13" s="38"/>
      <c r="HH13" s="1">
        <f>IF($B13&lt;Analysis!$C$159,0,-$HI13*$FW13)</f>
        <v>-56754.342678699475</v>
      </c>
      <c r="HI13" s="64">
        <f>IF($B13&lt;Analysis!$C$159,0,IF($B13=Analysis!$C$159,Analysis!$C$31,HI12))</f>
        <v>0.1275</v>
      </c>
      <c r="HJ13" s="1">
        <f>IF($B13&lt;Analysis!$C$159,0,$FW13+HH13)</f>
        <v>388377.75676208071</v>
      </c>
      <c r="HK13" s="1">
        <f>IF($B13-Analysis!$C$159&gt;10,0,IF($FW13&gt;LOOKUP(Analysis!$C$159,$B:$B, FW:FW),$V13*(LOOKUP(Analysis!$C$159,$B:$B, FW:FW)-FW13),0))</f>
        <v>0</v>
      </c>
      <c r="HL13" s="1">
        <f t="shared" si="39"/>
        <v>388377.75676208071</v>
      </c>
      <c r="HM13" s="38"/>
      <c r="HN13" s="1">
        <f t="shared" si="40"/>
        <v>-113928.78940719299</v>
      </c>
      <c r="HO13" s="1">
        <f t="shared" si="8"/>
        <v>143622.31291176475</v>
      </c>
      <c r="HP13" s="1">
        <f t="shared" si="41"/>
        <v>29693.523504571756</v>
      </c>
      <c r="HQ13" s="1">
        <f>IF(HP13 &lt; 0,
    IF(HQ12 + HP13 &gt; 0,
        HQ12 + HP13, IF(HV12-ABS(HQ12 + HP13)*(1+$V13) &gt;= HQ12 + HP13,
        0, HQ12 + HP13)),
    MIN(HQ12 + HP13, Analysis!$C$7))+IF(HQ12&lt;0, HQ12*Analysis!$C$9,0)</f>
        <v>24000</v>
      </c>
      <c r="HR13" s="38"/>
      <c r="HS13" s="1">
        <f t="shared" si="54"/>
        <v>13132.686479342879</v>
      </c>
      <c r="HT13" s="1">
        <f>IF($B13=Analysis!$C$159,0,IF(HP13 &gt;= 0,
    MAX(0, HQ12 + HP13 - Analysis!$C$7),
    0))</f>
        <v>29693.523504571756</v>
      </c>
      <c r="HU13" s="1">
        <f>IF($B13=Analysis!$C$159,0,MAX(0, HU12 + HT13 - IF(HP13 &lt; 0, MIN(ABS(HP13), HU12 + HT13), 0)))</f>
        <v>198706.75241028157</v>
      </c>
      <c r="HV13" s="1">
        <f>IF($B13=Analysis!$C$159,0,IF(HP13 &lt; 0,
    IF(HP13 + HQ12 &lt; 0,
        MAX(0, HV12 - (ABS(HP13 + HQ12) * (1+$V12))),
        HV12 + HS13),
    HV12 + HT13 + HS13))</f>
        <v>263268.6151524962</v>
      </c>
      <c r="HW13" s="1">
        <f t="shared" ref="HW13:HW16" si="56">IF(HV13-HU13&gt;0, HV13-$V13*(HV13-HU13),HV13)</f>
        <v>246240.4238542371</v>
      </c>
      <c r="HX13" s="36"/>
    </row>
    <row r="14" spans="1:232" x14ac:dyDescent="0.35">
      <c r="A14">
        <f t="shared" si="0"/>
        <v>47</v>
      </c>
      <c r="B14">
        <v>2037</v>
      </c>
      <c r="C14" s="1">
        <f>IF($B14&lt;Analysis!C$66,0,$AN14)+$AT14+$AW14+$BC14+$CF14+$CA14</f>
        <v>380281.16703275242</v>
      </c>
      <c r="D14" s="1">
        <f>IF($B14&lt;Analysis!C$66, 0, BV14)+AT14+AW14+BC14+CG14+CA14</f>
        <v>289850.8087418403</v>
      </c>
      <c r="E14" s="1">
        <f t="shared" si="1"/>
        <v>532103.4119152088</v>
      </c>
      <c r="F14" s="1">
        <f t="shared" si="9"/>
        <v>490542.31389360322</v>
      </c>
      <c r="G14" s="1">
        <f>IF(AND($B14&gt;=Analysis!$C$100, $B14&lt;Analysis!$C$101),$CK14,0)+IF($B14&gt;=Analysis!$C$130,EB14,0)+CQ14+CT14+CZ14+EH14+EK14+EQ14+$FO14+$FT14</f>
        <v>534165.40816997038</v>
      </c>
      <c r="H14" s="1">
        <f t="shared" si="10"/>
        <v>454696.00226346153</v>
      </c>
      <c r="I14" s="1">
        <f>IF($B14&lt;Analysis!$C$159,0,$FW14)+$GC14+$GF14+$GL14+$HQ14+$HV14</f>
        <v>534165.40816997038</v>
      </c>
      <c r="J14" s="1">
        <f t="shared" si="2"/>
        <v>454696.00226346153</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26030.577880083558</v>
      </c>
      <c r="AI14" s="1">
        <f>IF(AE14 &gt;= 0,
    MAX(0, AF13 + AE14 - Analysis!$C$7),
    0)</f>
        <v>32183.392556145831</v>
      </c>
      <c r="AJ14" s="1">
        <f t="shared" si="44"/>
        <v>350525.78908447683</v>
      </c>
      <c r="AK14" s="1">
        <f t="shared" si="20"/>
        <v>508103.4119152088</v>
      </c>
      <c r="AL14" s="1">
        <f t="shared" si="5"/>
        <v>466542.31389360322</v>
      </c>
      <c r="AM14" s="36"/>
      <c r="AN14" s="1">
        <f t="shared" si="45"/>
        <v>693850.02412286249</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-14558.371986007363</v>
      </c>
      <c r="AT14" s="1">
        <f>IF($B14&lt;Analysis!$C$66,0,IF($B14=Analysis!$C$66,-AP14-AS14,MIN(0,AT13-AS14)))</f>
        <v>-317093.76352730725</v>
      </c>
      <c r="AU14" s="64">
        <f>IF($B14&lt;Analysis!$C$66,0,IF($B14=Analysis!$C$66,Analysis!$C$72,IF(($B14-Analysis!$C$66)&lt;LOOKUP(Analysis!$C$66,$B:$B,AQ:AQ),AU13,0)))</f>
        <v>3.6999999999999998E-2</v>
      </c>
      <c r="AV14" s="1">
        <f>IF($B14&lt;Analysis!$C$66,0,IF($B14=Analysis!$C$66,-AU14*AP14,AU13*AT13))</f>
        <v>-12271.12901399264</v>
      </c>
      <c r="AW14" s="1">
        <f>IF($B14&lt;Analysis!$C$66,0,IF($B14=Analysis!$C$66,PMT(AU14,AQ14,AP14)*AQ14-AX14-AT14,IF(($B14-Analysis!$C$66+1)&lt;LOOKUP(Analysis!$C$66,$B:$B,AQ:AQ),IF(AW13-AV14&lt;0, AW13-AV14,0),0)))</f>
        <v>-107520.84976095299</v>
      </c>
      <c r="AX14" s="1">
        <f>IF($B14&lt;Analysis!$C$66,0,IF($B14=Analysis!$C$66,AS14+AV14,IF(AT13&lt;0,IF(AT13&gt;LOOKUP(Analysis!$C$66,$B:$B,AX:AX), AT13*(1+AU13),AX13),0)))</f>
        <v>-26829.501000000004</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-2081.5500723685877</v>
      </c>
      <c r="BF14" s="64">
        <f>IF($B14&lt;Analysis!$C$66,0,Analysis!$C$78)</f>
        <v>3.0000000000000001E-3</v>
      </c>
      <c r="BG14" s="1">
        <f>IF($B14&lt;Analysis!$C$66,0,-BH14*AN14)</f>
        <v>-5203.8751809214682</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-88465.878075664965</v>
      </c>
      <c r="BS14" s="64">
        <f>IF($B14&lt;Analysis!C$66,0,Analysis!C$31)</f>
        <v>0.1275</v>
      </c>
      <c r="BT14" s="1">
        <f>IF($B14&lt;Analysis!$C$66,0,AN14+BR14)</f>
        <v>605384.14604719752</v>
      </c>
      <c r="BU14" s="1">
        <f>IF($B14-Analysis!$C$66&gt;3,0,IF($AN14&gt;LOOKUP(Analysis!$C$66,$B:$B, AN:AN),$V14*(LOOKUP(Analysis!$C$66,$B:$B, AN:AN)-AN14),0))</f>
        <v>0</v>
      </c>
      <c r="BV14" s="1">
        <f t="shared" si="23"/>
        <v>605384.14604719752</v>
      </c>
      <c r="BW14" s="42"/>
      <c r="BX14" s="1">
        <f>IF($B14&lt;Analysis!$C$66,$P14+$N14+$X14+$Z14,$P14+$N14+AS14+AV14+BB14+BE14+BG14+MAX(BI14,SUM(BJ14:BN14))+BP14)</f>
        <v>-100224.92625329006</v>
      </c>
      <c r="BY14" s="1">
        <f t="shared" si="24"/>
        <v>120723.1566012604</v>
      </c>
      <c r="BZ14" s="1">
        <f t="shared" si="46"/>
        <v>20498.230347970341</v>
      </c>
      <c r="CA14" s="1">
        <f>IF(BZ14 &lt; 0,
    IF(CA13 + BZ14 &gt; 0,
        CA13 + BZ14, IF(CF13-ABS(CA13 + BZ14)*(1+$V14) &gt;= CA13 + BZ14,
        0, CA13 + BZ14)),
    MIN(CA13 + BZ14, Analysis!$C$7))+IF(CA13&lt;0, CA13*Analysis!$C$9,0)</f>
        <v>24000</v>
      </c>
      <c r="CB14" s="42"/>
      <c r="CC14" s="1">
        <f t="shared" si="47"/>
        <v>3639.8354427344411</v>
      </c>
      <c r="CD14" s="1">
        <f>IF(BZ14 &gt;= 0,
    MAX(0, CA13 + BZ14 - Analysis!$C$7),
    0)</f>
        <v>20498.230347970341</v>
      </c>
      <c r="CE14" s="1">
        <f>IF($B14=Analysis!$C$66,0,MAX(0, CE13 + CD14 - IF(BZ14 &lt; 0, MIN(ABS(BZ14), CE13 + CD14), 0)))</f>
        <v>79597.489979203878</v>
      </c>
      <c r="CF14" s="1">
        <f>IF($B14=Analysis!$C$66,0,IF(BZ14 &lt; 0,
    IF(BZ14 + CA13 &lt; 0,
        MAX(0, CF13 - (ABS(BZ14 + CA13) * (1+$V13))),
        CF13 + CC14),
    CF13 + CD14 + CC14))</f>
        <v>87045.756198150135</v>
      </c>
      <c r="CG14" s="1">
        <f t="shared" si="25"/>
        <v>85081.275982903055</v>
      </c>
      <c r="CH14" s="36"/>
      <c r="CI14" s="1">
        <f>IF(OR($B14&lt;Analysis!$C$100, $B14&gt;=Analysis!$C$130),0,X14)</f>
        <v>-22429.764045114574</v>
      </c>
      <c r="CJ14" s="1">
        <f>IF(OR($B14&lt;Analysis!$C$100, $B14&gt;=Analysis!$C$130),0,Z14)</f>
        <v>-3960</v>
      </c>
      <c r="CK14" s="1">
        <f t="shared" si="26"/>
        <v>458224.22001256788</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-8816.2048750352606</v>
      </c>
      <c r="CQ14" s="1">
        <f>IF(OR($B14&lt;Analysis!$C$100, $B14&gt;=Analysis!$C$101),0,IF($B14=Analysis!$C$100,-CM14-CP14,MIN(0,CQ13-CP14)))</f>
        <v>-192024.4644483361</v>
      </c>
      <c r="CR14" s="64">
        <f>IF(OR($B14&lt;Analysis!$C$100, $B14&gt;=Analysis!$C$101),0,IF($B14=Analysis!$C$100,Analysis!$C$102,IF(($B14-Analysis!$C$100)&lt;LOOKUP(Analysis!$C$100,$B:$B,CN:CN),CR13,0)))</f>
        <v>3.6999999999999998E-2</v>
      </c>
      <c r="CS14" s="1">
        <f>IF(OR($B14&lt;Analysis!$C$100, $B14&gt;=Analysis!$C$101),0,IF($B14=Analysis!$C$100,-CR14*CM14,CR13*CQ13))</f>
        <v>-7431.1047649647408</v>
      </c>
      <c r="CT14" s="1">
        <f>IF(OR($B14&lt;Analysis!$C$100, $B14&gt;=Analysis!$C$101),0,IF($B14=Analysis!$C$100,PMT(CR14,CN14,CM14)*CN14-CU14-CQ14,IF(($B14-Analysis!$C$100+1)&lt;LOOKUP(Analysis!$C$100,$B:$B,CN:CN),IF(CT13-CS14&lt;0, CT13-CS14,0),0)))</f>
        <v>-65112.077143071932</v>
      </c>
      <c r="CU14" s="1">
        <f>IF(OR($B14&lt;Analysis!$C$100, $B14&gt;=Analysis!$C$101),0,IF($B14=Analysis!$C$100,CP14+CS14,IF(CQ13&lt;0,IF(CQ13&gt;LOOKUP(Analysis!$C$100,$B:$B,CU:CU), CQ13*(1+CR13),CU13),0)))</f>
        <v>-16247.309640000001</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24960.716199512961</v>
      </c>
      <c r="DE14" s="1">
        <f t="shared" si="27"/>
        <v>-1374.6726600377037</v>
      </c>
      <c r="DF14" s="64">
        <f>IF(OR($B14&lt;Analysis!$C$100, $B14&gt;=Analysis!$C$101),0,Analysis!$C$118)</f>
        <v>3.0000000000000001E-3</v>
      </c>
      <c r="DG14" s="1">
        <f t="shared" si="28"/>
        <v>-3436.6816500942591</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-6472</v>
      </c>
      <c r="DQ14" s="1">
        <f>-Analysis!$C$117*DB14</f>
        <v>-1471.9532654606442</v>
      </c>
      <c r="DR14" s="1">
        <f t="shared" si="29"/>
        <v>-16715.307575592607</v>
      </c>
      <c r="DS14" s="1">
        <f>MIN(0,-(DB14+DR14)*Analysis!$C$28)-CS14*Analysis!$C$28</f>
        <v>2002.9754157594746</v>
      </c>
      <c r="DT14" s="1">
        <f>-Analysis!$C$116*DD14/12</f>
        <v>-2080.0596832927467</v>
      </c>
      <c r="DU14" s="53"/>
      <c r="DV14" s="1">
        <f t="shared" si="30"/>
        <v>-58423.588051602404</v>
      </c>
      <c r="DW14" s="64">
        <f>IF(OR($B14&lt;Analysis!$C$100, $B14&gt;=Analysis!$C$101),0,IF($B14=Analysis!$C$100,Analysis!$C$31,DW13))</f>
        <v>0.1275</v>
      </c>
      <c r="DX14" s="1">
        <f>IF(OR($B14&lt;Analysis!$C$100, $B14&gt;=Analysis!$C$101),0,CK14+DV14)</f>
        <v>399800.63196096546</v>
      </c>
      <c r="DY14" s="1">
        <f>IF(OR($B14&lt;Analysis!$C$100, $B14&gt;=Analysis!$C$101),0,IF($B14-Analysis!$C$100&gt;3,0,IF(CK14&gt;LOOKUP(Analysis!$C$100,$B:$B, CK:CK),$V14*(LOOKUP(Analysis!$C$100,$B:$B, CK:CK)-CK14),0)))</f>
        <v>0</v>
      </c>
      <c r="DZ14" s="1">
        <f t="shared" si="49"/>
        <v>399800.63196096546</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-115107.46552824044</v>
      </c>
      <c r="FM14" s="1">
        <f>$M14+$R14+DD14+IF(AND($B14&lt;&gt;Analysis!$C$130,$B14=Analysis!$C$101),DZ13+CQ13+CT13+CZ13,0)</f>
        <v>145683.87280077336</v>
      </c>
      <c r="FN14" s="1">
        <f t="shared" si="34"/>
        <v>30576.407272532917</v>
      </c>
      <c r="FO14" s="1">
        <f>IF(FN14 &lt; 0,
    IF(FO13 + FN14 &gt; 0,
        FO13 + FN14, IF(FT13-ABS(FO13 + FN14)*(1+$V14) &gt;= FO13 + FN14,
        0, FO13 + FN14)),
    MIN(FO13 + FN14, Analysis!$C$7))+IF(FO13&lt;0, FO13*Analysis!$C$9,0)</f>
        <v>24000</v>
      </c>
      <c r="FP14" s="53"/>
      <c r="FQ14" s="1">
        <f t="shared" si="51"/>
        <v>15232.707323781457</v>
      </c>
      <c r="FR14" s="1">
        <f>IF(OR($B14=Analysis!$C$100, $B14=Analysis!$C$130),0,IF(FN14 &gt;= 0,
    MAX(0, FO13 + FN14 - Analysis!$C$7),
    0))</f>
        <v>30576.407272532917</v>
      </c>
      <c r="FS14" s="1">
        <f>IF(OR($B14=Analysis!$C$100, $B14=Analysis!$C$130),0,MAX(0, FS13 + FR14 - IF(FN14 &lt; 0, MIN(ABS(FN14), FS13 + FR14), 0)))</f>
        <v>229283.1596828145</v>
      </c>
      <c r="FT14" s="1">
        <f>IF(OR($B14=Analysis!$C$100, $B14=Analysis!$C$130),0,IF(FN14 &lt; 0,
    IF(FN14 + FO13 &lt; 0,
        MAX(0, FT13 - (ABS(FN14 + FO13) * (1+$V13))),
        FT13 + FQ14),
    FT13 + FR14 + FQ14))</f>
        <v>309077.72974881058</v>
      </c>
      <c r="FU14" s="1">
        <f t="shared" si="55"/>
        <v>288031.91189390409</v>
      </c>
      <c r="FV14" s="36"/>
      <c r="FW14" s="1">
        <f t="shared" si="52"/>
        <v>458224.22001256788</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-8816.2048750352606</v>
      </c>
      <c r="GC14" s="1">
        <f>IF($B14&lt;Analysis!$C$159,0,IF($B14=Analysis!$C$159,-FY14-GB14,MIN(0,GC13-GB14)))</f>
        <v>-192024.4644483361</v>
      </c>
      <c r="GD14" s="64">
        <f>IF($B14&lt;Analysis!$C$159,0,IF($B14=Analysis!$C$159,Analysis!$C$160,IF(($B14-Analysis!$C$159)&lt;LOOKUP(Analysis!$C$159,$B:$B,FZ:FZ),GD13,0)))</f>
        <v>3.6999999999999998E-2</v>
      </c>
      <c r="GE14" s="1">
        <f>IF($B14&lt;Analysis!$C$159,0,IF($B14=Analysis!$C$159,-GD14*FY14,GD13*GC13))</f>
        <v>-7431.1047649647408</v>
      </c>
      <c r="GF14" s="1">
        <f>IF($B14&lt;Analysis!$C$159,0,IF($B14=Analysis!$C$159,PMT(GD14,FZ14,FY14)*FZ14-GG14-GC14,IF(($B14-Analysis!$C$159+1)&lt;LOOKUP(Analysis!$C$159,$B:$B,FZ:FZ),IF(GF13-GE14&lt;0, GF13-GE14,0),0)))</f>
        <v>-65112.077143071932</v>
      </c>
      <c r="GG14" s="1">
        <f>IF($B14&lt;Analysis!$C$159,0,IF($B14=Analysis!$C$159,GB14+GE14,IF(GC13&lt;0,IF(GC13&gt;LOOKUP(Analysis!$C$159,$B:$B,GG:GG), GC13*(1+GD13),GG13),0)))</f>
        <v>-16247.309640000001</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24960.716199512961</v>
      </c>
      <c r="GQ14" s="1">
        <f t="shared" si="36"/>
        <v>-1374.6726600377037</v>
      </c>
      <c r="GR14" s="64">
        <f>IF($B14&lt;Analysis!$C$159,0,Analysis!$C$178)</f>
        <v>3.0000000000000001E-3</v>
      </c>
      <c r="GS14" s="1">
        <f t="shared" si="37"/>
        <v>-3436.6816500942591</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-6472</v>
      </c>
      <c r="HC14" s="1">
        <f>-Analysis!$C$177*GN14</f>
        <v>-1471.9532654606442</v>
      </c>
      <c r="HD14" s="1">
        <f t="shared" si="38"/>
        <v>-16715.307575592607</v>
      </c>
      <c r="HE14" s="1">
        <f>MIN(0,-(GN14+HD14)*Analysis!$C$28)-GE14*Analysis!$C$28</f>
        <v>2002.9754157594746</v>
      </c>
      <c r="HF14" s="1">
        <f>-Analysis!$C$176*GP14/12</f>
        <v>-2080.0596832927467</v>
      </c>
      <c r="HG14" s="38"/>
      <c r="HH14" s="1">
        <f>IF($B14&lt;Analysis!$C$159,0,-$HI14*$FW14)</f>
        <v>-58423.588051602404</v>
      </c>
      <c r="HI14" s="64">
        <f>IF($B14&lt;Analysis!$C$159,0,IF($B14=Analysis!$C$159,Analysis!$C$31,HI13))</f>
        <v>0.1275</v>
      </c>
      <c r="HJ14" s="1">
        <f>IF($B14&lt;Analysis!$C$159,0,$FW14+HH14)</f>
        <v>399800.63196096546</v>
      </c>
      <c r="HK14" s="1">
        <f>IF($B14-Analysis!$C$159&gt;10,0,IF($FW14&gt;LOOKUP(Analysis!$C$159,$B:$B, FW:FW),$V14*(LOOKUP(Analysis!$C$159,$B:$B, FW:FW)-FW14),0))</f>
        <v>0</v>
      </c>
      <c r="HL14" s="1">
        <f t="shared" si="39"/>
        <v>399800.63196096546</v>
      </c>
      <c r="HM14" s="38"/>
      <c r="HN14" s="1">
        <f t="shared" si="40"/>
        <v>-115107.46552824044</v>
      </c>
      <c r="HO14" s="1">
        <f t="shared" si="8"/>
        <v>145683.87280077336</v>
      </c>
      <c r="HP14" s="1">
        <f t="shared" si="41"/>
        <v>30576.407272532917</v>
      </c>
      <c r="HQ14" s="1">
        <f>IF(HP14 &lt; 0,
    IF(HQ13 + HP14 &gt; 0,
        HQ13 + HP14, IF(HV13-ABS(HQ13 + HP14)*(1+$V14) &gt;= HQ13 + HP14,
        0, HQ13 + HP14)),
    MIN(HQ13 + HP14, Analysis!$C$7))+IF(HQ13&lt;0, HQ13*Analysis!$C$9,0)</f>
        <v>24000</v>
      </c>
      <c r="HR14" s="38"/>
      <c r="HS14" s="1">
        <f t="shared" si="54"/>
        <v>15232.707323781457</v>
      </c>
      <c r="HT14" s="1">
        <f>IF($B14=Analysis!$C$159,0,IF(HP14 &gt;= 0,
    MAX(0, HQ13 + HP14 - Analysis!$C$7),
    0))</f>
        <v>30576.407272532917</v>
      </c>
      <c r="HU14" s="1">
        <f>IF($B14=Analysis!$C$159,0,MAX(0, HU13 + HT14 - IF(HP14 &lt; 0, MIN(ABS(HP14), HU13 + HT14), 0)))</f>
        <v>229283.1596828145</v>
      </c>
      <c r="HV14" s="1">
        <f>IF($B14=Analysis!$C$159,0,IF(HP14 &lt; 0,
    IF(HP14 + HQ13 &lt; 0,
        MAX(0, HV13 - (ABS(HP14 + HQ13) * (1+$V13))),
        HV13 + HS14),
    HV13 + HT14 + HS14))</f>
        <v>309077.72974881058</v>
      </c>
      <c r="HW14" s="1">
        <f t="shared" si="56"/>
        <v>288031.91189390409</v>
      </c>
      <c r="HX14" s="36"/>
    </row>
    <row r="15" spans="1:232" x14ac:dyDescent="0.35">
      <c r="A15">
        <f t="shared" si="0"/>
        <v>48</v>
      </c>
      <c r="B15">
        <v>2038</v>
      </c>
      <c r="C15" s="1">
        <f>IF($B15&lt;Analysis!C$66,0,$AN15)+$AT15+$AW15+$BC15+$CF15+$CA15</f>
        <v>450418.66654738039</v>
      </c>
      <c r="D15" s="1">
        <f>IF($B15&lt;Analysis!C$66, 0, BV15)+AT15+AW15+BC15+CG15+CA15</f>
        <v>356097.36077820387</v>
      </c>
      <c r="E15" s="1">
        <f t="shared" si="1"/>
        <v>589884.3565052069</v>
      </c>
      <c r="F15" s="1">
        <f t="shared" si="9"/>
        <v>540799.05109439127</v>
      </c>
      <c r="G15" s="1">
        <f>IF(AND($B15&gt;=Analysis!$C$100, $B15&lt;Analysis!$C$101),$CK15,0)+IF($B15&gt;=Analysis!$C$130,EB15,0)+CQ15+CT15+CZ15+EH15+EK15+EQ15+$FO15+$FT15</f>
        <v>608952.39845891984</v>
      </c>
      <c r="H15" s="1">
        <f t="shared" si="10"/>
        <v>523187.69970641506</v>
      </c>
      <c r="I15" s="1">
        <f>IF($B15&lt;Analysis!$C$159,0,$FW15)+$GC15+$GF15+$GL15+$HQ15+$HV15</f>
        <v>608952.39845891984</v>
      </c>
      <c r="J15" s="1">
        <f t="shared" si="2"/>
        <v>523187.69970641506</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28527.800527810869</v>
      </c>
      <c r="AI15" s="1">
        <f>IF(AE15 &gt;= 0,
    MAX(0, AF14 + AE15 - Analysis!$C$7),
    0)</f>
        <v>29253.144062187319</v>
      </c>
      <c r="AJ15" s="1">
        <f t="shared" si="44"/>
        <v>379778.93314666417</v>
      </c>
      <c r="AK15" s="1">
        <f t="shared" si="20"/>
        <v>565884.3565052069</v>
      </c>
      <c r="AL15" s="1">
        <f t="shared" si="5"/>
        <v>516799.05109439127</v>
      </c>
      <c r="AM15" s="36"/>
      <c r="AN15" s="1">
        <f t="shared" si="45"/>
        <v>714257.37777353497</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-15097.031749489635</v>
      </c>
      <c r="AT15" s="1">
        <f>IF($B15&lt;Analysis!$C$66,0,IF($B15=Analysis!$C$66,-AP15-AS15,MIN(0,AT14-AS15)))</f>
        <v>-301996.73177781759</v>
      </c>
      <c r="AU15" s="64">
        <f>IF($B15&lt;Analysis!$C$66,0,IF($B15=Analysis!$C$66,Analysis!$C$72,IF(($B15-Analysis!$C$66)&lt;LOOKUP(Analysis!$C$66,$B:$B,AQ:AQ),AU14,0)))</f>
        <v>3.6999999999999998E-2</v>
      </c>
      <c r="AV15" s="1">
        <f>IF($B15&lt;Analysis!$C$66,0,IF($B15=Analysis!$C$66,-AU15*AP15,AU14*AT14))</f>
        <v>-11732.469250510369</v>
      </c>
      <c r="AW15" s="1">
        <f>IF($B15&lt;Analysis!$C$66,0,IF($B15=Analysis!$C$66,PMT(AU15,AQ15,AP15)*AQ15-AX15-AT15,IF(($B15-Analysis!$C$66+1)&lt;LOOKUP(Analysis!$C$66,$B:$B,AQ:AQ),IF(AW14-AV15&lt;0, AW14-AV15,0),0)))</f>
        <v>-95788.380510442614</v>
      </c>
      <c r="AX15" s="1">
        <f>IF($B15&lt;Analysis!$C$66,0,IF($B15=Analysis!$C$66,AS15+AV15,IF(AT14&lt;0,IF(AT14&gt;LOOKUP(Analysis!$C$66,$B:$B,AX:AX), AT14*(1+AU14),AX14),0)))</f>
        <v>-26829.501000000004</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-2142.772133320605</v>
      </c>
      <c r="BF15" s="64">
        <f>IF($B15&lt;Analysis!$C$66,0,Analysis!$C$78)</f>
        <v>3.0000000000000001E-3</v>
      </c>
      <c r="BG15" s="1">
        <f>IF($B15&lt;Analysis!$C$66,0,-BH15*AN15)</f>
        <v>-5356.9303333015123</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-91067.815666125709</v>
      </c>
      <c r="BS15" s="64">
        <f>IF($B15&lt;Analysis!C$66,0,Analysis!C$31)</f>
        <v>0.1275</v>
      </c>
      <c r="BT15" s="1">
        <f>IF($B15&lt;Analysis!$C$66,0,AN15+BR15)</f>
        <v>623189.56210740923</v>
      </c>
      <c r="BU15" s="1">
        <f>IF($B15-Analysis!$C$66&gt;3,0,IF($AN15&gt;LOOKUP(Analysis!$C$66,$B:$B, AN:AN),$V15*(LOOKUP(Analysis!$C$66,$B:$B, AN:AN)-AN15),0))</f>
        <v>0</v>
      </c>
      <c r="BV15" s="1">
        <f t="shared" si="23"/>
        <v>623189.56210740923</v>
      </c>
      <c r="BW15" s="42"/>
      <c r="BX15" s="1">
        <f>IF($B15&lt;Analysis!$C$66,$P15+$N15+$X15+$Z15,$P15+$N15+AS15+AV15+BB15+BE15+BG15+MAX(BI15,SUM(BJ15:BN15))+BP15)</f>
        <v>-104189.20346662212</v>
      </c>
      <c r="BY15" s="1">
        <f t="shared" si="24"/>
        <v>122202.60704980526</v>
      </c>
      <c r="BZ15" s="1">
        <f t="shared" si="46"/>
        <v>18013.403583183142</v>
      </c>
      <c r="CA15" s="1">
        <f>IF(BZ15 &lt; 0,
    IF(CA14 + BZ15 &gt; 0,
        CA14 + BZ15, IF(CF14-ABS(CA14 + BZ15)*(1+$V15) &gt;= CA14 + BZ15,
        0, CA14 + BZ15)),
    MIN(CA14 + BZ15, Analysis!$C$7))+IF(CA14&lt;0, CA14*Analysis!$C$9,0)</f>
        <v>24000</v>
      </c>
      <c r="CB15" s="42"/>
      <c r="CC15" s="1">
        <f t="shared" si="47"/>
        <v>4887.2412807723458</v>
      </c>
      <c r="CD15" s="1">
        <f>IF(BZ15 &gt;= 0,
    MAX(0, CA14 + BZ15 - Analysis!$C$7),
    0)</f>
        <v>18013.403583183142</v>
      </c>
      <c r="CE15" s="1">
        <f>IF($B15=Analysis!$C$66,0,MAX(0, CE14 + CD15 - IF(BZ15 &lt; 0, MIN(ABS(BZ15), CE14 + CD15), 0)))</f>
        <v>97610.89356238702</v>
      </c>
      <c r="CF15" s="1">
        <f>IF($B15=Analysis!$C$66,0,IF(BZ15 &lt; 0,
    IF(BZ15 + CA14 &lt; 0,
        MAX(0, CF14 - (ABS(BZ15 + CA14) * (1+$V14))),
        CF14 + CC15),
    CF14 + CD15 + CC15))</f>
        <v>109946.40106210562</v>
      </c>
      <c r="CG15" s="1">
        <f t="shared" si="25"/>
        <v>106692.91095905485</v>
      </c>
      <c r="CH15" s="36"/>
      <c r="CI15" s="1">
        <f>IF(OR($B15&lt;Analysis!$C$100, $B15&gt;=Analysis!$C$130),0,X15)</f>
        <v>-23089.462987617946</v>
      </c>
      <c r="CJ15" s="1">
        <f>IF(OR($B15&lt;Analysis!$C$100, $B15&gt;=Analysis!$C$130),0,Z15)</f>
        <v>-3960</v>
      </c>
      <c r="CK15" s="1">
        <f t="shared" si="26"/>
        <v>471701.40295411402</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-9142.4044554115662</v>
      </c>
      <c r="CQ15" s="1">
        <f>IF(OR($B15&lt;Analysis!$C$100, $B15&gt;=Analysis!$C$101),0,IF($B15=Analysis!$C$100,-CM15-CP15,MIN(0,CQ14-CP15)))</f>
        <v>-182882.05999292454</v>
      </c>
      <c r="CR15" s="64">
        <f>IF(OR($B15&lt;Analysis!$C$100, $B15&gt;=Analysis!$C$101),0,IF($B15=Analysis!$C$100,Analysis!$C$102,IF(($B15-Analysis!$C$100)&lt;LOOKUP(Analysis!$C$100,$B:$B,CN:CN),CR14,0)))</f>
        <v>3.6999999999999998E-2</v>
      </c>
      <c r="CS15" s="1">
        <f>IF(OR($B15&lt;Analysis!$C$100, $B15&gt;=Analysis!$C$101),0,IF($B15=Analysis!$C$100,-CR15*CM15,CR14*CQ14))</f>
        <v>-7104.9051845884351</v>
      </c>
      <c r="CT15" s="1">
        <f>IF(OR($B15&lt;Analysis!$C$100, $B15&gt;=Analysis!$C$101),0,IF($B15=Analysis!$C$100,PMT(CR15,CN15,CM15)*CN15-CU15-CQ15,IF(($B15-Analysis!$C$100+1)&lt;LOOKUP(Analysis!$C$100,$B:$B,CN:CN),IF(CT14-CS15&lt;0, CT14-CS15,0),0)))</f>
        <v>-58007.171958483494</v>
      </c>
      <c r="CU15" s="1">
        <f>IF(OR($B15&lt;Analysis!$C$100, $B15&gt;=Analysis!$C$101),0,IF($B15=Analysis!$C$100,CP15+CS15,IF(CQ14&lt;0,IF(CQ14&gt;LOOKUP(Analysis!$C$100,$B:$B,CU:CU), CQ14*(1+CR14),CU14),0)))</f>
        <v>-16247.309640000001</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25578.384323028051</v>
      </c>
      <c r="DE15" s="1">
        <f t="shared" si="27"/>
        <v>-1415.1042088623421</v>
      </c>
      <c r="DF15" s="64">
        <f>IF(OR($B15&lt;Analysis!$C$100, $B15&gt;=Analysis!$C$101),0,Analysis!$C$118)</f>
        <v>3.0000000000000001E-3</v>
      </c>
      <c r="DG15" s="1">
        <f t="shared" si="28"/>
        <v>-3537.7605221558551</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-6472</v>
      </c>
      <c r="DQ15" s="1">
        <f>-Analysis!$C$117*DB15</f>
        <v>-1515.246008562428</v>
      </c>
      <c r="DR15" s="1">
        <f t="shared" si="29"/>
        <v>-16900.110739580625</v>
      </c>
      <c r="DS15" s="1">
        <f>MIN(0,-(DB15+DR15)*Analysis!$C$28)-CS15*Analysis!$C$28</f>
        <v>1684.5491374124852</v>
      </c>
      <c r="DT15" s="1">
        <f>-Analysis!$C$116*DD15/12</f>
        <v>-2131.5320269190042</v>
      </c>
      <c r="DU15" s="53"/>
      <c r="DV15" s="1">
        <f t="shared" si="30"/>
        <v>-60141.928876649537</v>
      </c>
      <c r="DW15" s="64">
        <f>IF(OR($B15&lt;Analysis!$C$100, $B15&gt;=Analysis!$C$101),0,IF($B15=Analysis!$C$100,Analysis!$C$31,DW14))</f>
        <v>0.1275</v>
      </c>
      <c r="DX15" s="1">
        <f>IF(OR($B15&lt;Analysis!$C$100, $B15&gt;=Analysis!$C$101),0,CK15+DV15)</f>
        <v>411559.47407746449</v>
      </c>
      <c r="DY15" s="1">
        <f>IF(OR($B15&lt;Analysis!$C$100, $B15&gt;=Analysis!$C$101),0,IF($B15-Analysis!$C$100&gt;3,0,IF(CK15&gt;LOOKUP(Analysis!$C$100,$B:$B, CK:CK),$V15*(LOOKUP(Analysis!$C$100,$B:$B, CK:CK)-CK15),0)))</f>
        <v>0</v>
      </c>
      <c r="DZ15" s="1">
        <f t="shared" si="49"/>
        <v>411559.47407746449</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-120071.86625670508</v>
      </c>
      <c r="FM15" s="1">
        <f>$M15+$R15+DD15+IF(AND($B15&lt;&gt;Analysis!$C$130,$B15=Analysis!$C$101),DZ14+CQ14+CT14+CZ14,0)</f>
        <v>147780.99137283332</v>
      </c>
      <c r="FN15" s="1">
        <f t="shared" si="34"/>
        <v>27709.125116128242</v>
      </c>
      <c r="FO15" s="1">
        <f>IF(FN15 &lt; 0,
    IF(FO14 + FN15 &gt; 0,
        FO14 + FN15, IF(FT14-ABS(FO14 + FN15)*(1+$V15) &gt;= FO14 + FN15,
        0, FO14 + FN15)),
    MIN(FO14 + FN15, Analysis!$C$7))+IF(FO14&lt;0, FO14*Analysis!$C$9,0)</f>
        <v>24000</v>
      </c>
      <c r="FP15" s="53"/>
      <c r="FQ15" s="1">
        <f t="shared" si="51"/>
        <v>17353.372591275016</v>
      </c>
      <c r="FR15" s="1">
        <f>IF(OR($B15=Analysis!$C$100, $B15=Analysis!$C$130),0,IF(FN15 &gt;= 0,
    MAX(0, FO14 + FN15 - Analysis!$C$7),
    0))</f>
        <v>27709.125116128242</v>
      </c>
      <c r="FS15" s="1">
        <f>IF(OR($B15=Analysis!$C$100, $B15=Analysis!$C$130),0,MAX(0, FS14 + FR15 - IF(FN15 &lt; 0, MIN(ABS(FN15), FS14 + FR15), 0)))</f>
        <v>256992.28479894274</v>
      </c>
      <c r="FT15" s="1">
        <f>IF(OR($B15=Analysis!$C$100, $B15=Analysis!$C$130),0,IF(FN15 &lt; 0,
    IF(FN15 + FO14 &lt; 0,
        MAX(0, FT14 - (ABS(FN15 + FO14) * (1+$V14))),
        FT14 + FQ15),
    FT14 + FR15 + FQ15))</f>
        <v>354140.22745621385</v>
      </c>
      <c r="FU15" s="1">
        <f t="shared" si="55"/>
        <v>328517.4575803586</v>
      </c>
      <c r="FV15" s="36"/>
      <c r="FW15" s="1">
        <f t="shared" si="52"/>
        <v>471701.40295411402</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-9142.4044554115662</v>
      </c>
      <c r="GC15" s="1">
        <f>IF($B15&lt;Analysis!$C$159,0,IF($B15=Analysis!$C$159,-FY15-GB15,MIN(0,GC14-GB15)))</f>
        <v>-182882.05999292454</v>
      </c>
      <c r="GD15" s="64">
        <f>IF($B15&lt;Analysis!$C$159,0,IF($B15=Analysis!$C$159,Analysis!$C$160,IF(($B15-Analysis!$C$159)&lt;LOOKUP(Analysis!$C$159,$B:$B,FZ:FZ),GD14,0)))</f>
        <v>3.6999999999999998E-2</v>
      </c>
      <c r="GE15" s="1">
        <f>IF($B15&lt;Analysis!$C$159,0,IF($B15=Analysis!$C$159,-GD15*FY15,GD14*GC14))</f>
        <v>-7104.9051845884351</v>
      </c>
      <c r="GF15" s="1">
        <f>IF($B15&lt;Analysis!$C$159,0,IF($B15=Analysis!$C$159,PMT(GD15,FZ15,FY15)*FZ15-GG15-GC15,IF(($B15-Analysis!$C$159+1)&lt;LOOKUP(Analysis!$C$159,$B:$B,FZ:FZ),IF(GF14-GE15&lt;0, GF14-GE15,0),0)))</f>
        <v>-58007.171958483494</v>
      </c>
      <c r="GG15" s="1">
        <f>IF($B15&lt;Analysis!$C$159,0,IF($B15=Analysis!$C$159,GB15+GE15,IF(GC14&lt;0,IF(GC14&gt;LOOKUP(Analysis!$C$159,$B:$B,GG:GG), GC14*(1+GD14),GG14),0)))</f>
        <v>-16247.309640000001</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25578.384323028051</v>
      </c>
      <c r="GQ15" s="1">
        <f t="shared" si="36"/>
        <v>-1415.1042088623421</v>
      </c>
      <c r="GR15" s="64">
        <f>IF($B15&lt;Analysis!$C$159,0,Analysis!$C$178)</f>
        <v>3.0000000000000001E-3</v>
      </c>
      <c r="GS15" s="1">
        <f t="shared" si="37"/>
        <v>-3537.7605221558551</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-6472</v>
      </c>
      <c r="HC15" s="1">
        <f>-Analysis!$C$177*GN15</f>
        <v>-1515.246008562428</v>
      </c>
      <c r="HD15" s="1">
        <f t="shared" si="38"/>
        <v>-16900.110739580625</v>
      </c>
      <c r="HE15" s="1">
        <f>MIN(0,-(GN15+HD15)*Analysis!$C$28)-GE15*Analysis!$C$28</f>
        <v>1684.5491374124852</v>
      </c>
      <c r="HF15" s="1">
        <f>-Analysis!$C$176*GP15/12</f>
        <v>-2131.5320269190042</v>
      </c>
      <c r="HG15" s="38"/>
      <c r="HH15" s="1">
        <f>IF($B15&lt;Analysis!$C$159,0,-$HI15*$FW15)</f>
        <v>-60141.928876649537</v>
      </c>
      <c r="HI15" s="64">
        <f>IF($B15&lt;Analysis!$C$159,0,IF($B15=Analysis!$C$159,Analysis!$C$31,HI14))</f>
        <v>0.1275</v>
      </c>
      <c r="HJ15" s="1">
        <f>IF($B15&lt;Analysis!$C$159,0,$FW15+HH15)</f>
        <v>411559.47407746449</v>
      </c>
      <c r="HK15" s="1">
        <f>IF($B15-Analysis!$C$159&gt;10,0,IF($FW15&gt;LOOKUP(Analysis!$C$159,$B:$B, FW:FW),$V15*(LOOKUP(Analysis!$C$159,$B:$B, FW:FW)-FW15),0))</f>
        <v>0</v>
      </c>
      <c r="HL15" s="1">
        <f t="shared" si="39"/>
        <v>411559.47407746449</v>
      </c>
      <c r="HM15" s="38"/>
      <c r="HN15" s="1">
        <f t="shared" si="40"/>
        <v>-120071.86625670508</v>
      </c>
      <c r="HO15" s="1">
        <f t="shared" si="8"/>
        <v>147780.99137283332</v>
      </c>
      <c r="HP15" s="1">
        <f t="shared" si="41"/>
        <v>27709.125116128242</v>
      </c>
      <c r="HQ15" s="1">
        <f>IF(HP15 &lt; 0,
    IF(HQ14 + HP15 &gt; 0,
        HQ14 + HP15, IF(HV14-ABS(HQ14 + HP15)*(1+$V15) &gt;= HQ14 + HP15,
        0, HQ14 + HP15)),
    MIN(HQ14 + HP15, Analysis!$C$7))+IF(HQ14&lt;0, HQ14*Analysis!$C$9,0)</f>
        <v>24000</v>
      </c>
      <c r="HR15" s="38"/>
      <c r="HS15" s="1">
        <f t="shared" si="54"/>
        <v>17353.372591275016</v>
      </c>
      <c r="HT15" s="1">
        <f>IF($B15=Analysis!$C$159,0,IF(HP15 &gt;= 0,
    MAX(0, HQ14 + HP15 - Analysis!$C$7),
    0))</f>
        <v>27709.125116128242</v>
      </c>
      <c r="HU15" s="1">
        <f>IF($B15=Analysis!$C$159,0,MAX(0, HU14 + HT15 - IF(HP15 &lt; 0, MIN(ABS(HP15), HU14 + HT15), 0)))</f>
        <v>256992.28479894274</v>
      </c>
      <c r="HV15" s="1">
        <f>IF($B15=Analysis!$C$159,0,IF(HP15 &lt; 0,
    IF(HP15 + HQ14 &lt; 0,
        MAX(0, HV14 - (ABS(HP15 + HQ14) * (1+$V14))),
        HV14 + HS15),
    HV14 + HT15 + HS15))</f>
        <v>354140.22745621385</v>
      </c>
      <c r="HW15" s="1">
        <f t="shared" si="56"/>
        <v>328517.4575803586</v>
      </c>
      <c r="HX15" s="36"/>
    </row>
    <row r="16" spans="1:232" x14ac:dyDescent="0.35">
      <c r="A16">
        <f t="shared" si="0"/>
        <v>49</v>
      </c>
      <c r="B16">
        <v>2039</v>
      </c>
      <c r="C16" s="1">
        <f>IF($B16&lt;Analysis!C$66,0,$AN16)+$AT16+$AW16+$BC16+$CF16+$CA16</f>
        <v>523530.67606615002</v>
      </c>
      <c r="D16" s="1">
        <f>IF($B16&lt;Analysis!C$66, 0, BV16)+AT16+AW16+BC16+CG16+CA16</f>
        <v>424952.4844153102</v>
      </c>
      <c r="E16" s="1">
        <f t="shared" si="1"/>
        <v>650757.84191216214</v>
      </c>
      <c r="F16" s="1">
        <f t="shared" si="9"/>
        <v>593548.54533855396</v>
      </c>
      <c r="G16" s="1">
        <f>IF(AND($B16&gt;=Analysis!$C$100, $B16&lt;Analysis!$C$101),$CK16,0)+IF($B16&gt;=Analysis!$C$130,EB16,0)+CQ16+CT16+CZ16+EH16+EK16+EQ16+$FO16+$FT16</f>
        <v>686940.94315406214</v>
      </c>
      <c r="H16" s="1">
        <f t="shared" si="10"/>
        <v>594323.22982015368</v>
      </c>
      <c r="I16" s="1">
        <f>IF($B16&lt;Analysis!$C$159,0,$FW16)+$GC16+$GF16+$GL16+$HQ16+$HV16</f>
        <v>686940.94315406214</v>
      </c>
      <c r="J16" s="1">
        <f t="shared" si="2"/>
        <v>594323.22982015368</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30801.862228597252</v>
      </c>
      <c r="AI16" s="1">
        <f>IF(AE16 &gt;= 0,
    MAX(0, AF15 + AE16 - Analysis!$C$7),
    0)</f>
        <v>30071.623178357928</v>
      </c>
      <c r="AJ16" s="1">
        <f t="shared" si="44"/>
        <v>409850.55632502213</v>
      </c>
      <c r="AK16" s="1">
        <f t="shared" si="20"/>
        <v>626757.84191216214</v>
      </c>
      <c r="AL16" s="1">
        <f t="shared" si="5"/>
        <v>569548.54533855396</v>
      </c>
      <c r="AM16" s="36"/>
      <c r="AN16" s="1">
        <f t="shared" si="45"/>
        <v>735264.94770805084</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-15655.621924220753</v>
      </c>
      <c r="AT16" s="1">
        <f>IF($B16&lt;Analysis!$C$66,0,IF($B16=Analysis!$C$66,-AP16-AS16,MIN(0,AT15-AS16)))</f>
        <v>-286341.10985359683</v>
      </c>
      <c r="AU16" s="64">
        <f>IF($B16&lt;Analysis!$C$66,0,IF($B16=Analysis!$C$66,Analysis!$C$72,IF(($B16-Analysis!$C$66)&lt;LOOKUP(Analysis!$C$66,$B:$B,AQ:AQ),AU15,0)))</f>
        <v>3.6999999999999998E-2</v>
      </c>
      <c r="AV16" s="1">
        <f>IF($B16&lt;Analysis!$C$66,0,IF($B16=Analysis!$C$66,-AU16*AP16,AU15*AT15))</f>
        <v>-11173.87907577925</v>
      </c>
      <c r="AW16" s="1">
        <f>IF($B16&lt;Analysis!$C$66,0,IF($B16=Analysis!$C$66,PMT(AU16,AQ16,AP16)*AQ16-AX16-AT16,IF(($B16-Analysis!$C$66+1)&lt;LOOKUP(Analysis!$C$66,$B:$B,AQ:AQ),IF(AW15-AV16&lt;0, AW15-AV16,0),0)))</f>
        <v>-84614.501434663369</v>
      </c>
      <c r="AX16" s="1">
        <f>IF($B16&lt;Analysis!$C$66,0,IF($B16=Analysis!$C$66,AS16+AV16,IF(AT15&lt;0,IF(AT15&gt;LOOKUP(Analysis!$C$66,$B:$B,AX:AX), AT15*(1+AU15),AX15),0)))</f>
        <v>-26829.501000000004</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-2205.7948431241525</v>
      </c>
      <c r="BF16" s="64">
        <f>IF($B16&lt;Analysis!$C$66,0,Analysis!$C$78)</f>
        <v>3.0000000000000001E-3</v>
      </c>
      <c r="BG16" s="1">
        <f>IF($B16&lt;Analysis!$C$66,0,-BH16*AN16)</f>
        <v>-5514.4871078103806</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-93746.28083277648</v>
      </c>
      <c r="BS16" s="64">
        <f>IF($B16&lt;Analysis!C$66,0,Analysis!C$31)</f>
        <v>0.1275</v>
      </c>
      <c r="BT16" s="1">
        <f>IF($B16&lt;Analysis!$C$66,0,AN16+BR16)</f>
        <v>641518.66687527439</v>
      </c>
      <c r="BU16" s="1">
        <f>IF($B16-Analysis!$C$66&gt;3,0,IF($AN16&gt;LOOKUP(Analysis!$C$66,$B:$B, AN:AN),$V16*(LOOKUP(Analysis!$C$66,$B:$B, AN:AN)-AN16),0))</f>
        <v>0</v>
      </c>
      <c r="BV16" s="1">
        <f t="shared" si="23"/>
        <v>641518.66687527439</v>
      </c>
      <c r="BW16" s="42"/>
      <c r="BX16" s="1">
        <f>IF($B16&lt;Analysis!$C$66,$P16+$N16+$X16+$Z16,$P16+$N16+AS16+AV16+BB16+BE16+BG16+MAX(BI16,SUM(BJ16:BN16))+BP16)</f>
        <v>-104409.78295093453</v>
      </c>
      <c r="BY16" s="1">
        <f t="shared" si="24"/>
        <v>123700.18801855287</v>
      </c>
      <c r="BZ16" s="1">
        <f t="shared" si="46"/>
        <v>19290.40506761834</v>
      </c>
      <c r="CA16" s="1">
        <f>IF(BZ16 &lt; 0,
    IF(CA15 + BZ16 &gt; 0,
        CA15 + BZ16, IF(CF15-ABS(CA15 + BZ16)*(1+$V16) &gt;= CA15 + BZ16,
        0, CA15 + BZ16)),
    MIN(CA15 + BZ16, Analysis!$C$7))+IF(CA15&lt;0, CA15*Analysis!$C$9,0)</f>
        <v>24000</v>
      </c>
      <c r="CB16" s="42"/>
      <c r="CC16" s="1">
        <f t="shared" si="47"/>
        <v>5984.5335166354171</v>
      </c>
      <c r="CD16" s="1">
        <f>IF(BZ16 &gt;= 0,
    MAX(0, CA15 + BZ16 - Analysis!$C$7),
    0)</f>
        <v>19290.40506761834</v>
      </c>
      <c r="CE16" s="1">
        <f>IF($B16=Analysis!$C$66,0,MAX(0, CE15 + CD16 - IF(BZ16 &lt; 0, MIN(ABS(BZ16), CE15 + CD16), 0)))</f>
        <v>116901.29863000536</v>
      </c>
      <c r="CF16" s="1">
        <f>IF($B16=Analysis!$C$66,0,IF(BZ16 &lt; 0,
    IF(BZ16 + CA15 &lt; 0,
        MAX(0, CF15 - (ABS(BZ16 + CA15) * (1+$V15))),
        CF15 + CC16),
    CF15 + CD16 + CC16))</f>
        <v>135221.33964635938</v>
      </c>
      <c r="CG16" s="1">
        <f t="shared" si="25"/>
        <v>130389.428828296</v>
      </c>
      <c r="CH16" s="36"/>
      <c r="CI16" s="1">
        <f>IF(OR($B16&lt;Analysis!$C$100, $B16&gt;=Analysis!$C$130),0,X16)</f>
        <v>-23768.564840194947</v>
      </c>
      <c r="CJ16" s="1">
        <f>IF(OR($B16&lt;Analysis!$C$100, $B16&gt;=Analysis!$C$130),0,Z16)</f>
        <v>-3960</v>
      </c>
      <c r="CK16" s="1">
        <f t="shared" si="26"/>
        <v>485574.97362923506</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-9480.6734202617936</v>
      </c>
      <c r="CQ16" s="1">
        <f>IF(OR($B16&lt;Analysis!$C$100, $B16&gt;=Analysis!$C$101),0,IF($B16=Analysis!$C$100,-CM16-CP16,MIN(0,CQ15-CP16)))</f>
        <v>-173401.38657266274</v>
      </c>
      <c r="CR16" s="64">
        <f>IF(OR($B16&lt;Analysis!$C$100, $B16&gt;=Analysis!$C$101),0,IF($B16=Analysis!$C$100,Analysis!$C$102,IF(($B16-Analysis!$C$100)&lt;LOOKUP(Analysis!$C$100,$B:$B,CN:CN),CR15,0)))</f>
        <v>3.6999999999999998E-2</v>
      </c>
      <c r="CS16" s="1">
        <f>IF(OR($B16&lt;Analysis!$C$100, $B16&gt;=Analysis!$C$101),0,IF($B16=Analysis!$C$100,-CR16*CM16,CR15*CQ15))</f>
        <v>-6766.6362197382077</v>
      </c>
      <c r="CT16" s="1">
        <f>IF(OR($B16&lt;Analysis!$C$100, $B16&gt;=Analysis!$C$101),0,IF($B16=Analysis!$C$100,PMT(CR16,CN16,CM16)*CN16-CU16-CQ16,IF(($B16-Analysis!$C$100+1)&lt;LOOKUP(Analysis!$C$100,$B:$B,CN:CN),IF(CT15-CS16&lt;0, CT15-CS16,0),0)))</f>
        <v>-51240.535738745282</v>
      </c>
      <c r="CU16" s="1">
        <f>IF(OR($B16&lt;Analysis!$C$100, $B16&gt;=Analysis!$C$101),0,IF($B16=Analysis!$C$100,CP16+CS16,IF(CQ15&lt;0,IF(CQ15&gt;LOOKUP(Analysis!$C$100,$B:$B,CU:CU), CQ15*(1+CR15),CU15),0)))</f>
        <v>-16247.309640000001</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26214.219156058287</v>
      </c>
      <c r="DE16" s="1">
        <f t="shared" si="27"/>
        <v>-1456.7249208877051</v>
      </c>
      <c r="DF16" s="64">
        <f>IF(OR($B16&lt;Analysis!$C$100, $B16&gt;=Analysis!$C$101),0,Analysis!$C$118)</f>
        <v>3.0000000000000001E-3</v>
      </c>
      <c r="DG16" s="1">
        <f t="shared" si="28"/>
        <v>-3641.8123022192626</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-6472</v>
      </c>
      <c r="DQ16" s="1">
        <f>-Analysis!$C$117*DB16</f>
        <v>-1559.8120676377937</v>
      </c>
      <c r="DR16" s="1">
        <f t="shared" si="29"/>
        <v>-17090.349290744762</v>
      </c>
      <c r="DS16" s="1">
        <f>MIN(0,-(DB16+DR16)*Analysis!$C$28)-CS16*Analysis!$C$28</f>
        <v>1355.6605840909181</v>
      </c>
      <c r="DT16" s="1">
        <f>-Analysis!$C$116*DD16/12</f>
        <v>-2184.5182630048571</v>
      </c>
      <c r="DU16" s="53"/>
      <c r="DV16" s="1">
        <f t="shared" si="30"/>
        <v>-61910.809137727469</v>
      </c>
      <c r="DW16" s="64">
        <f>IF(OR($B16&lt;Analysis!$C$100, $B16&gt;=Analysis!$C$101),0,IF($B16=Analysis!$C$100,Analysis!$C$31,DW15))</f>
        <v>0.1275</v>
      </c>
      <c r="DX16" s="1">
        <f>IF(OR($B16&lt;Analysis!$C$100, $B16&gt;=Analysis!$C$101),0,CK16+DV16)</f>
        <v>423664.16449150757</v>
      </c>
      <c r="DY16" s="1">
        <f>IF(OR($B16&lt;Analysis!$C$100, $B16&gt;=Analysis!$C$101),0,IF($B16-Analysis!$C$100&gt;3,0,IF(CK16&gt;LOOKUP(Analysis!$C$100,$B:$B, CK:CK),$V16*(LOOKUP(Analysis!$C$100,$B:$B, CK:CK)-CK16),0)))</f>
        <v>0</v>
      </c>
      <c r="DZ16" s="1">
        <f t="shared" si="49"/>
        <v>423664.16449150757</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-121323.08144985363</v>
      </c>
      <c r="FM16" s="1">
        <f>$M16+$R16+DD16+IF(AND($B16&lt;&gt;Analysis!$C$130,$B16=Analysis!$C$101),DZ15+CQ15+CT15+CZ15,0)</f>
        <v>149914.40717461117</v>
      </c>
      <c r="FN16" s="1">
        <f t="shared" si="34"/>
        <v>28591.325724757538</v>
      </c>
      <c r="FO16" s="1">
        <f>IF(FN16 &lt; 0,
    IF(FO15 + FN16 &gt; 0,
        FO15 + FN16, IF(FT15-ABS(FO15 + FN16)*(1+$V16) &gt;= FO15 + FN16,
        0, FO15 + FN16)),
    MIN(FO15 + FN16, Analysis!$C$7))+IF(FO15&lt;0, FO15*Analysis!$C$9,0)</f>
        <v>24000</v>
      </c>
      <c r="FP16" s="53"/>
      <c r="FQ16" s="1">
        <f t="shared" si="51"/>
        <v>19276.338655263786</v>
      </c>
      <c r="FR16" s="1">
        <f>IF(OR($B16=Analysis!$C$100, $B16=Analysis!$C$130),0,IF(FN16 &gt;= 0,
    MAX(0, FO15 + FN16 - Analysis!$C$7),
    0))</f>
        <v>28591.325724757538</v>
      </c>
      <c r="FS16" s="1">
        <f>IF(OR($B16=Analysis!$C$100, $B16=Analysis!$C$130),0,MAX(0, FS15 + FR16 - IF(FN16 &lt; 0, MIN(ABS(FN16), FS15 + FR16), 0)))</f>
        <v>285583.61052370025</v>
      </c>
      <c r="FT16" s="1">
        <f>IF(OR($B16=Analysis!$C$100, $B16=Analysis!$C$130),0,IF(FN16 &lt; 0,
    IF(FN16 + FO15 &lt; 0,
        MAX(0, FT15 - (ABS(FN16 + FO15) * (1+$V15))),
        FT15 + FQ16),
    FT15 + FR16 + FQ16))</f>
        <v>402007.89183623518</v>
      </c>
      <c r="FU16" s="1">
        <f t="shared" si="55"/>
        <v>371300.98764005408</v>
      </c>
      <c r="FV16" s="36"/>
      <c r="FW16" s="1">
        <f t="shared" si="52"/>
        <v>485574.97362923506</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-9480.6734202617936</v>
      </c>
      <c r="GC16" s="1">
        <f>IF($B16&lt;Analysis!$C$159,0,IF($B16=Analysis!$C$159,-FY16-GB16,MIN(0,GC15-GB16)))</f>
        <v>-173401.38657266274</v>
      </c>
      <c r="GD16" s="64">
        <f>IF($B16&lt;Analysis!$C$159,0,IF($B16=Analysis!$C$159,Analysis!$C$160,IF(($B16-Analysis!$C$159)&lt;LOOKUP(Analysis!$C$159,$B:$B,FZ:FZ),GD15,0)))</f>
        <v>3.6999999999999998E-2</v>
      </c>
      <c r="GE16" s="1">
        <f>IF($B16&lt;Analysis!$C$159,0,IF($B16=Analysis!$C$159,-GD16*FY16,GD15*GC15))</f>
        <v>-6766.6362197382077</v>
      </c>
      <c r="GF16" s="1">
        <f>IF($B16&lt;Analysis!$C$159,0,IF($B16=Analysis!$C$159,PMT(GD16,FZ16,FY16)*FZ16-GG16-GC16,IF(($B16-Analysis!$C$159+1)&lt;LOOKUP(Analysis!$C$159,$B:$B,FZ:FZ),IF(GF15-GE16&lt;0, GF15-GE16,0),0)))</f>
        <v>-51240.535738745282</v>
      </c>
      <c r="GG16" s="1">
        <f>IF($B16&lt;Analysis!$C$159,0,IF($B16=Analysis!$C$159,GB16+GE16,IF(GC15&lt;0,IF(GC15&gt;LOOKUP(Analysis!$C$159,$B:$B,GG:GG), GC15*(1+GD15),GG15),0)))</f>
        <v>-16247.309640000001</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26214.219156058287</v>
      </c>
      <c r="GQ16" s="1">
        <f t="shared" si="36"/>
        <v>-1456.7249208877051</v>
      </c>
      <c r="GR16" s="64">
        <f>IF($B16&lt;Analysis!$C$159,0,Analysis!$C$178)</f>
        <v>3.0000000000000001E-3</v>
      </c>
      <c r="GS16" s="1">
        <f t="shared" si="37"/>
        <v>-3641.8123022192626</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-6472</v>
      </c>
      <c r="HC16" s="1">
        <f>-Analysis!$C$177*GN16</f>
        <v>-1559.8120676377937</v>
      </c>
      <c r="HD16" s="1">
        <f t="shared" si="38"/>
        <v>-17090.349290744762</v>
      </c>
      <c r="HE16" s="1">
        <f>MIN(0,-(GN16+HD16)*Analysis!$C$28)-GE16*Analysis!$C$28</f>
        <v>1355.6605840909181</v>
      </c>
      <c r="HF16" s="1">
        <f>-Analysis!$C$176*GP16/12</f>
        <v>-2184.5182630048571</v>
      </c>
      <c r="HG16" s="38"/>
      <c r="HH16" s="1">
        <f>IF($B16&lt;Analysis!$C$159,0,-$HI16*$FW16)</f>
        <v>-61910.809137727469</v>
      </c>
      <c r="HI16" s="64">
        <f>IF($B16&lt;Analysis!$C$159,0,IF($B16=Analysis!$C$159,Analysis!$C$31,HI15))</f>
        <v>0.1275</v>
      </c>
      <c r="HJ16" s="1">
        <f>IF($B16&lt;Analysis!$C$159,0,$FW16+HH16)</f>
        <v>423664.16449150757</v>
      </c>
      <c r="HK16" s="1">
        <f>IF($B16-Analysis!$C$159&gt;10,0,IF($FW16&gt;LOOKUP(Analysis!$C$159,$B:$B, FW:FW),$V16*(LOOKUP(Analysis!$C$159,$B:$B, FW:FW)-FW16),0))</f>
        <v>0</v>
      </c>
      <c r="HL16" s="1">
        <f t="shared" si="39"/>
        <v>423664.16449150757</v>
      </c>
      <c r="HM16" s="38"/>
      <c r="HN16" s="1">
        <f t="shared" si="40"/>
        <v>-121323.08144985363</v>
      </c>
      <c r="HO16" s="1">
        <f t="shared" si="8"/>
        <v>149914.40717461117</v>
      </c>
      <c r="HP16" s="1">
        <f t="shared" si="41"/>
        <v>28591.325724757538</v>
      </c>
      <c r="HQ16" s="1">
        <f>IF(HP16 &lt; 0,
    IF(HQ15 + HP16 &gt; 0,
        HQ15 + HP16, IF(HV15-ABS(HQ15 + HP16)*(1+$V16) &gt;= HQ15 + HP16,
        0, HQ15 + HP16)),
    MIN(HQ15 + HP16, Analysis!$C$7))+IF(HQ15&lt;0, HQ15*Analysis!$C$9,0)</f>
        <v>24000</v>
      </c>
      <c r="HR16" s="38"/>
      <c r="HS16" s="1">
        <f t="shared" si="54"/>
        <v>19276.338655263786</v>
      </c>
      <c r="HT16" s="1">
        <f>IF($B16=Analysis!$C$159,0,IF(HP16 &gt;= 0,
    MAX(0, HQ15 + HP16 - Analysis!$C$7),
    0))</f>
        <v>28591.325724757538</v>
      </c>
      <c r="HU16" s="1">
        <f>IF($B16=Analysis!$C$159,0,MAX(0, HU15 + HT16 - IF(HP16 &lt; 0, MIN(ABS(HP16), HU15 + HT16), 0)))</f>
        <v>285583.61052370025</v>
      </c>
      <c r="HV16" s="1">
        <f>IF($B16=Analysis!$C$159,0,IF(HP16 &lt; 0,
    IF(HP16 + HQ15 &lt; 0,
        MAX(0, HV15 - (ABS(HP16 + HQ15) * (1+$V15))),
        HV15 + HS16),
    HV15 + HT16 + HS16))</f>
        <v>402007.89183623518</v>
      </c>
      <c r="HW16" s="1">
        <f t="shared" si="56"/>
        <v>371300.98764005408</v>
      </c>
      <c r="HX16" s="36"/>
    </row>
    <row r="17" spans="1:232" x14ac:dyDescent="0.35">
      <c r="A17">
        <f t="shared" si="0"/>
        <v>50</v>
      </c>
      <c r="B17">
        <v>2040</v>
      </c>
      <c r="C17" s="1">
        <f>IF($B17&lt;Analysis!C$66,0,$AN17)+$AT17+$AW17+$BC17+$CF17+$CA17</f>
        <v>599693.36343678064</v>
      </c>
      <c r="D17" s="1">
        <f>IF($B17&lt;Analysis!C$66, 0, BV17)+AT17+AW17+BC17+CG17+CA17</f>
        <v>496477.79292334337</v>
      </c>
      <c r="E17" s="1">
        <f t="shared" si="1"/>
        <v>714687.17090717575</v>
      </c>
      <c r="F17" s="1">
        <f t="shared" si="9"/>
        <v>648763.35078528314</v>
      </c>
      <c r="G17" s="1">
        <f>IF(AND($B17&gt;=Analysis!$C$100, $B17&lt;Analysis!$C$101),$CK17,0)+IF($B17&gt;=Analysis!$C$130,EB17,0)+CQ17+CT17+CZ17+EH17+EK17+EQ17+$FO17+$FT17</f>
        <v>768135.19684901112</v>
      </c>
      <c r="H17" s="1">
        <f t="shared" si="10"/>
        <v>668107.00671049324</v>
      </c>
      <c r="I17" s="1">
        <f>IF($B17&lt;Analysis!$C$159,0,$FW17)+$GC17+$GF17+$GL17+$HQ17+$HV17</f>
        <v>768135.19684901112</v>
      </c>
      <c r="J17" s="1">
        <f t="shared" si="2"/>
        <v>668107.00671049324</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33040.847576433989</v>
      </c>
      <c r="AI17" s="1">
        <f>IF(AE17 &gt;= 0,
    MAX(0, AF16 + AE17 - Analysis!$C$7),
    0)</f>
        <v>30888.48141857954</v>
      </c>
      <c r="AJ17" s="1">
        <f t="shared" si="44"/>
        <v>440739.03774360166</v>
      </c>
      <c r="AK17" s="1">
        <f t="shared" si="20"/>
        <v>690687.17090717575</v>
      </c>
      <c r="AL17" s="1">
        <f t="shared" si="5"/>
        <v>624763.35078528314</v>
      </c>
      <c r="AM17" s="36"/>
      <c r="AN17" s="1">
        <f t="shared" si="45"/>
        <v>756890.387346523</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-16234.879935416922</v>
      </c>
      <c r="AT17" s="1">
        <f>IF($B17&lt;Analysis!$C$66,0,IF($B17=Analysis!$C$66,-AP17-AS17,MIN(0,AT16-AS17)))</f>
        <v>-270106.22991817992</v>
      </c>
      <c r="AU17" s="64">
        <f>IF($B17&lt;Analysis!$C$66,0,IF($B17=Analysis!$C$66,Analysis!$C$72,IF(($B17-Analysis!$C$66)&lt;LOOKUP(Analysis!$C$66,$B:$B,AQ:AQ),AU16,0)))</f>
        <v>3.6999999999999998E-2</v>
      </c>
      <c r="AV17" s="1">
        <f>IF($B17&lt;Analysis!$C$66,0,IF($B17=Analysis!$C$66,-AU17*AP17,AU16*AT16))</f>
        <v>-10594.621064583082</v>
      </c>
      <c r="AW17" s="1">
        <f>IF($B17&lt;Analysis!$C$66,0,IF($B17=Analysis!$C$66,PMT(AU17,AQ17,AP17)*AQ17-AX17-AT17,IF(($B17-Analysis!$C$66+1)&lt;LOOKUP(Analysis!$C$66,$B:$B,AQ:AQ),IF(AW16-AV17&lt;0, AW16-AV17,0),0)))</f>
        <v>-74019.880370080282</v>
      </c>
      <c r="AX17" s="1">
        <f>IF($B17&lt;Analysis!$C$66,0,IF($B17=Analysis!$C$66,AS17+AV17,IF(AT16&lt;0,IF(AT16&gt;LOOKUP(Analysis!$C$66,$B:$B,AX:AX), AT16*(1+AU16),AX16),0)))</f>
        <v>-26829.501000000004</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-2270.671162039569</v>
      </c>
      <c r="BF17" s="64">
        <f>IF($B17&lt;Analysis!$C$66,0,Analysis!$C$78)</f>
        <v>3.0000000000000001E-3</v>
      </c>
      <c r="BG17" s="1">
        <f>IF($B17&lt;Analysis!$C$66,0,-BH17*AN17)</f>
        <v>-5676.6779050989226</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-96503.524386681689</v>
      </c>
      <c r="BS17" s="64">
        <f>IF($B17&lt;Analysis!C$66,0,Analysis!C$31)</f>
        <v>0.1275</v>
      </c>
      <c r="BT17" s="1">
        <f>IF($B17&lt;Analysis!$C$66,0,AN17+BR17)</f>
        <v>660386.86295984127</v>
      </c>
      <c r="BU17" s="1">
        <f>IF($B17-Analysis!$C$66&gt;3,0,IF($AN17&gt;LOOKUP(Analysis!$C$66,$B:$B, AN:AN),$V17*(LOOKUP(Analysis!$C$66,$B:$B, AN:AN)-AN17),0))</f>
        <v>0</v>
      </c>
      <c r="BV17" s="1">
        <f t="shared" si="23"/>
        <v>660386.86295984127</v>
      </c>
      <c r="BW17" s="42"/>
      <c r="BX17" s="1">
        <f>IF($B17&lt;Analysis!$C$66,$P17+$N17+$X17+$Z17,$P17+$N17+AS17+AV17+BB17+BE17+BG17+MAX(BI17,SUM(BJ17:BN17))+BP17)</f>
        <v>-104636.8500671385</v>
      </c>
      <c r="BY17" s="1">
        <f t="shared" si="24"/>
        <v>125216.12169525081</v>
      </c>
      <c r="BZ17" s="1">
        <f t="shared" si="46"/>
        <v>20579.271628112314</v>
      </c>
      <c r="CA17" s="1">
        <f>IF(BZ17 &lt; 0,
    IF(CA16 + BZ17 &gt; 0,
        CA16 + BZ17, IF(CF16-ABS(CA16 + BZ17)*(1+$V17) &gt;= CA16 + BZ17,
        0, CA16 + BZ17)),
    MIN(CA16 + BZ17, Analysis!$C$7))+IF(CA16&lt;0, CA16*Analysis!$C$9,0)</f>
        <v>24000</v>
      </c>
      <c r="CB17" s="42"/>
      <c r="CC17" s="1">
        <f t="shared" si="47"/>
        <v>7128.4751040461979</v>
      </c>
      <c r="CD17" s="1">
        <f>IF(BZ17 &gt;= 0,
    MAX(0, CA16 + BZ17 - Analysis!$C$7),
    0)</f>
        <v>20579.271628112314</v>
      </c>
      <c r="CE17" s="1">
        <f>IF($B17=Analysis!$C$66,0,MAX(0, CE16 + CD17 - IF(BZ17 &lt; 0, MIN(ABS(BZ17), CE16 + CD17), 0)))</f>
        <v>137480.57025811769</v>
      </c>
      <c r="CF17" s="1">
        <f>IF($B17=Analysis!$C$66,0,IF(BZ17 &lt; 0,
    IF(BZ17 + CA16 &lt; 0,
        MAX(0, CF16 - (ABS(BZ17 + CA16) * (1+$V16))),
        CF16 + CC17),
    CF16 + CD17 + CC17))</f>
        <v>162929.08637851788</v>
      </c>
      <c r="CG17" s="1">
        <f>IF(CF17-CE17&gt;0, CF17-$V17*(CF17-CE17),CF17)</f>
        <v>156217.04025176234</v>
      </c>
      <c r="CH17" s="36"/>
      <c r="CI17" s="1">
        <f>IF(OR($B17&lt;Analysis!$C$100, $B17&gt;=Analysis!$C$130),0,X17)</f>
        <v>-24467.640276671271</v>
      </c>
      <c r="CJ17" s="1">
        <f>IF(OR($B17&lt;Analysis!$C$100, $B17&gt;=Analysis!$C$130),0,Z17)</f>
        <v>-3960</v>
      </c>
      <c r="CK17" s="1">
        <f t="shared" si="26"/>
        <v>499856.59050068323</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-9831.45833681148</v>
      </c>
      <c r="CQ17" s="1">
        <f>IF(OR($B17&lt;Analysis!$C$100, $B17&gt;=Analysis!$C$101),0,IF($B17=Analysis!$C$100,-CM17-CP17,MIN(0,CQ16-CP17)))</f>
        <v>-163569.92823585126</v>
      </c>
      <c r="CR17" s="64">
        <f>IF(OR($B17&lt;Analysis!$C$100, $B17&gt;=Analysis!$C$101),0,IF($B17=Analysis!$C$100,Analysis!$C$102,IF(($B17-Analysis!$C$100)&lt;LOOKUP(Analysis!$C$100,$B:$B,CN:CN),CR16,0)))</f>
        <v>3.6999999999999998E-2</v>
      </c>
      <c r="CS17" s="1">
        <f>IF(OR($B17&lt;Analysis!$C$100, $B17&gt;=Analysis!$C$101),0,IF($B17=Analysis!$C$100,-CR17*CM17,CR16*CQ16))</f>
        <v>-6415.8513031885213</v>
      </c>
      <c r="CT17" s="1">
        <f>IF(OR($B17&lt;Analysis!$C$100, $B17&gt;=Analysis!$C$101),0,IF($B17=Analysis!$C$100,PMT(CR17,CN17,CM17)*CN17-CU17-CQ17,IF(($B17-Analysis!$C$100+1)&lt;LOOKUP(Analysis!$C$100,$B:$B,CN:CN),IF(CT16-CS17&lt;0, CT16-CS17,0),0)))</f>
        <v>-44824.684435556759</v>
      </c>
      <c r="CU17" s="1">
        <f>IF(OR($B17&lt;Analysis!$C$100, $B17&gt;=Analysis!$C$101),0,IF($B17=Analysis!$C$100,CP17+CS17,IF(CQ16&lt;0,IF(CQ16&gt;LOOKUP(Analysis!$C$100,$B:$B,CU:CU), CQ16*(1+CR16),CU16),0)))</f>
        <v>-16247.309640000001</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26868.755013589416</v>
      </c>
      <c r="DE17" s="1">
        <f t="shared" si="27"/>
        <v>-1499.5697715020497</v>
      </c>
      <c r="DF17" s="64">
        <f>IF(OR($B17&lt;Analysis!$C$100, $B17&gt;=Analysis!$C$101),0,Analysis!$C$118)</f>
        <v>3.0000000000000001E-3</v>
      </c>
      <c r="DG17" s="1">
        <f t="shared" si="28"/>
        <v>-3748.9244287551242</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-6472</v>
      </c>
      <c r="DQ17" s="1">
        <f>-Analysis!$C$117*DB17</f>
        <v>-1605.6888931565525</v>
      </c>
      <c r="DR17" s="1">
        <f t="shared" si="29"/>
        <v>-17286.183093413725</v>
      </c>
      <c r="DS17" s="1">
        <f>MIN(0,-(DB17+DR17)*Analysis!$C$28)-CS17*Analysis!$C$28</f>
        <v>1015.9614603655434</v>
      </c>
      <c r="DT17" s="1">
        <f>-Analysis!$C$116*DD17/12</f>
        <v>-2239.0629177991182</v>
      </c>
      <c r="DU17" s="53"/>
      <c r="DV17" s="1">
        <f t="shared" si="30"/>
        <v>-63731.715288837113</v>
      </c>
      <c r="DW17" s="64">
        <f>IF(OR($B17&lt;Analysis!$C$100, $B17&gt;=Analysis!$C$101),0,IF($B17=Analysis!$C$100,Analysis!$C$31,DW16))</f>
        <v>0.1275</v>
      </c>
      <c r="DX17" s="1">
        <f>IF(OR($B17&lt;Analysis!$C$100, $B17&gt;=Analysis!$C$101),0,CK17+DV17)</f>
        <v>436124.87521184614</v>
      </c>
      <c r="DY17" s="1">
        <f>IF(OR($B17&lt;Analysis!$C$100, $B17&gt;=Analysis!$C$101),0,IF($B17-Analysis!$C$100&gt;3,0,IF(CK17&gt;LOOKUP(Analysis!$C$100,$B:$B, CK:CK),$V17*(LOOKUP(Analysis!$C$100,$B:$B, CK:CK)-CK17),0)))</f>
        <v>0</v>
      </c>
      <c r="DZ17" s="1">
        <f t="shared" si="49"/>
        <v>436124.87521184614</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-122612.23446751857</v>
      </c>
      <c r="FM17" s="1">
        <f>$M17+$R17+DD17+IF(AND($B17&lt;&gt;Analysis!$C$130,$B17=Analysis!$C$101),DZ16+CQ16+CT16+CZ16,0)</f>
        <v>152084.87670884022</v>
      </c>
      <c r="FN17" s="1">
        <f t="shared" si="34"/>
        <v>29472.64224132165</v>
      </c>
      <c r="FO17" s="1">
        <f>IF(FN17 &lt; 0,
    IF(FO16 + FN17 &gt; 0,
        FO16 + FN17, IF(FT16-ABS(FO16 + FN17)*(1+$V17) &gt;= FO16 + FN17,
        0, FO16 + FN17)),
    MIN(FO16 + FN17, Analysis!$C$7))+IF(FO16&lt;0, FO16*Analysis!$C$9,0)</f>
        <v>24000</v>
      </c>
      <c r="FP17" s="53"/>
      <c r="FQ17" s="1">
        <f t="shared" si="51"/>
        <v>21192.684942179196</v>
      </c>
      <c r="FR17" s="1">
        <f>IF(OR($B17=Analysis!$C$100, $B17=Analysis!$C$130),0,IF(FN17 &gt;= 0,
    MAX(0, FO16 + FN17 - Analysis!$C$7),
    0))</f>
        <v>29472.64224132165</v>
      </c>
      <c r="FS17" s="1">
        <f>IF(OR($B17=Analysis!$C$100, $B17=Analysis!$C$130),0,MAX(0, FS16 + FR17 - IF(FN17 &lt; 0, MIN(ABS(FN17), FS16 + FR17), 0)))</f>
        <v>315056.25276502187</v>
      </c>
      <c r="FT17" s="1">
        <f>IF(OR($B17=Analysis!$C$100, $B17=Analysis!$C$130),0,IF(FN17 &lt; 0,
    IF(FN17 + FO16 &lt; 0,
        MAX(0, FT16 - (ABS(FN17 + FO16) * (1+$V16))),
        FT16 + FQ17),
    FT16 + FR17 + FQ17))</f>
        <v>452673.21901973599</v>
      </c>
      <c r="FU17" s="1">
        <f>IF(FT17-FS17&gt;0, FT17-$V17*(FT17-FS17),FT17)</f>
        <v>416376.74417005514</v>
      </c>
      <c r="FV17" s="36"/>
      <c r="FW17" s="1">
        <f t="shared" si="52"/>
        <v>499856.59050068323</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-9831.45833681148</v>
      </c>
      <c r="GC17" s="1">
        <f>IF($B17&lt;Analysis!$C$159,0,IF($B17=Analysis!$C$159,-FY17-GB17,MIN(0,GC16-GB17)))</f>
        <v>-163569.92823585126</v>
      </c>
      <c r="GD17" s="64">
        <f>IF($B17&lt;Analysis!$C$159,0,IF($B17=Analysis!$C$159,Analysis!$C$160,IF(($B17-Analysis!$C$159)&lt;LOOKUP(Analysis!$C$159,$B:$B,FZ:FZ),GD16,0)))</f>
        <v>3.6999999999999998E-2</v>
      </c>
      <c r="GE17" s="1">
        <f>IF($B17&lt;Analysis!$C$159,0,IF($B17=Analysis!$C$159,-GD17*FY17,GD16*GC16))</f>
        <v>-6415.8513031885213</v>
      </c>
      <c r="GF17" s="1">
        <f>IF($B17&lt;Analysis!$C$159,0,IF($B17=Analysis!$C$159,PMT(GD17,FZ17,FY17)*FZ17-GG17-GC17,IF(($B17-Analysis!$C$159+1)&lt;LOOKUP(Analysis!$C$159,$B:$B,FZ:FZ),IF(GF16-GE17&lt;0, GF16-GE17,0),0)))</f>
        <v>-44824.684435556759</v>
      </c>
      <c r="GG17" s="1">
        <f>IF($B17&lt;Analysis!$C$159,0,IF($B17=Analysis!$C$159,GB17+GE17,IF(GC16&lt;0,IF(GC16&gt;LOOKUP(Analysis!$C$159,$B:$B,GG:GG), GC16*(1+GD16),GG16),0)))</f>
        <v>-16247.309640000001</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26868.755013589416</v>
      </c>
      <c r="GQ17" s="1">
        <f t="shared" si="36"/>
        <v>-1499.5697715020497</v>
      </c>
      <c r="GR17" s="64">
        <f>IF($B17&lt;Analysis!$C$159,0,Analysis!$C$178)</f>
        <v>3.0000000000000001E-3</v>
      </c>
      <c r="GS17" s="1">
        <f t="shared" si="37"/>
        <v>-3748.9244287551242</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-6472</v>
      </c>
      <c r="HC17" s="1">
        <f>-Analysis!$C$177*GN17</f>
        <v>-1605.6888931565525</v>
      </c>
      <c r="HD17" s="1">
        <f t="shared" si="38"/>
        <v>-17286.183093413725</v>
      </c>
      <c r="HE17" s="1">
        <f>MIN(0,-(GN17+HD17)*Analysis!$C$28)-GE17*Analysis!$C$28</f>
        <v>1015.9614603655434</v>
      </c>
      <c r="HF17" s="1">
        <f>-Analysis!$C$176*GP17/12</f>
        <v>-2239.0629177991182</v>
      </c>
      <c r="HG17" s="38"/>
      <c r="HH17" s="1">
        <f>IF($B17&lt;Analysis!$C$159,0,-$HI17*$FW17)</f>
        <v>-63731.715288837113</v>
      </c>
      <c r="HI17" s="64">
        <f>IF($B17&lt;Analysis!$C$159,0,IF($B17=Analysis!$C$159,Analysis!$C$31,HI16))</f>
        <v>0.1275</v>
      </c>
      <c r="HJ17" s="1">
        <f>IF($B17&lt;Analysis!$C$159,0,$FW17+HH17)</f>
        <v>436124.87521184614</v>
      </c>
      <c r="HK17" s="1">
        <f>IF($B17-Analysis!$C$159&gt;10,0,IF($FW17&gt;LOOKUP(Analysis!$C$159,$B:$B, FW:FW),$V17*(LOOKUP(Analysis!$C$159,$B:$B, FW:FW)-FW17),0))</f>
        <v>0</v>
      </c>
      <c r="HL17" s="1">
        <f t="shared" si="39"/>
        <v>436124.87521184614</v>
      </c>
      <c r="HM17" s="38"/>
      <c r="HN17" s="1">
        <f t="shared" si="40"/>
        <v>-122612.23446751857</v>
      </c>
      <c r="HO17" s="1">
        <f t="shared" si="8"/>
        <v>152084.87670884022</v>
      </c>
      <c r="HP17" s="1">
        <f t="shared" si="41"/>
        <v>29472.64224132165</v>
      </c>
      <c r="HQ17" s="1">
        <f>IF(HP17 &lt; 0,
    IF(HQ16 + HP17 &gt; 0,
        HQ16 + HP17, IF(HV16-ABS(HQ16 + HP17)*(1+$V17) &gt;= HQ16 + HP17,
        0, HQ16 + HP17)),
    MIN(HQ16 + HP17, Analysis!$C$7))+IF(HQ16&lt;0, HQ16*Analysis!$C$9,0)</f>
        <v>24000</v>
      </c>
      <c r="HR17" s="38"/>
      <c r="HS17" s="1">
        <f t="shared" si="54"/>
        <v>21192.684942179196</v>
      </c>
      <c r="HT17" s="1">
        <f>IF($B17=Analysis!$C$159,0,IF(HP17 &gt;= 0,
    MAX(0, HQ16 + HP17 - Analysis!$C$7),
    0))</f>
        <v>29472.64224132165</v>
      </c>
      <c r="HU17" s="1">
        <f>IF($B17=Analysis!$C$159,0,MAX(0, HU16 + HT17 - IF(HP17 &lt; 0, MIN(ABS(HP17), HU16 + HT17), 0)))</f>
        <v>315056.25276502187</v>
      </c>
      <c r="HV17" s="1">
        <f>IF($B17=Analysis!$C$159,0,IF(HP17 &lt; 0,
    IF(HP17 + HQ16 &lt; 0,
        MAX(0, HV16 - (ABS(HP17 + HQ16) * (1+$V16))),
        HV16 + HS17),
    HV16 + HT17 + HS17))</f>
        <v>452673.21901973599</v>
      </c>
      <c r="HW17" s="1">
        <f>IF(HV17-HU17&gt;0, HV17-$V17*(HV17-HU17),HV17)</f>
        <v>416376.74417005514</v>
      </c>
      <c r="HX17" s="36"/>
    </row>
    <row r="18" spans="1:232" x14ac:dyDescent="0.35">
      <c r="A18">
        <f t="shared" si="0"/>
        <v>51</v>
      </c>
      <c r="B18">
        <v>2041</v>
      </c>
      <c r="C18" s="1">
        <f>IF($B18&lt;Analysis!C$66,0,$AN18)+$AT18+$AW18+$BC18+$CF18+$CA18</f>
        <v>678974.22356945975</v>
      </c>
      <c r="D18" s="1">
        <f>IF($B18&lt;Analysis!C$66, 0, BV18)+AT18+AW18+BC18+CG18+CA18</f>
        <v>570728.5938590453</v>
      </c>
      <c r="E18" s="1">
        <f t="shared" si="1"/>
        <v>781617.50755653845</v>
      </c>
      <c r="F18" s="1">
        <f t="shared" si="9"/>
        <v>706402.57135039428</v>
      </c>
      <c r="G18" s="1">
        <f>IF(AND($B18&gt;=Analysis!$C$100, $B18&lt;Analysis!$C$101),$CK18,0)+IF($B18&gt;=Analysis!$C$130,EB18,0)+CQ18+CT18+CZ18+EH18+EK18+EQ18+$FO18+$FT18</f>
        <v>852524.46478296677</v>
      </c>
      <c r="H18" s="1">
        <f t="shared" si="10"/>
        <v>744532.45735978661</v>
      </c>
      <c r="I18" s="1">
        <f>IF($B18&lt;Analysis!$C$159,0,$FW18)+$GC18+$GF18+$GL18+$HQ18+$HV18</f>
        <v>852524.46478296677</v>
      </c>
      <c r="J18" s="1">
        <f t="shared" si="2"/>
        <v>744532.45735978661</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35226.980414223814</v>
      </c>
      <c r="AI18" s="1">
        <f>IF(AE18 &gt;= 0,
    MAX(0, AF17 + AE18 - Analysis!$C$7),
    0)</f>
        <v>31703.356235138839</v>
      </c>
      <c r="AJ18" s="1">
        <f t="shared" si="44"/>
        <v>472442.3939787405</v>
      </c>
      <c r="AK18" s="1">
        <f t="shared" si="20"/>
        <v>757617.50755653845</v>
      </c>
      <c r="AL18" s="1">
        <f t="shared" si="5"/>
        <v>682402.57135039428</v>
      </c>
      <c r="AM18" s="36"/>
      <c r="AN18" s="1">
        <f t="shared" si="45"/>
        <v>779151.86932730314</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-16835.57049302735</v>
      </c>
      <c r="AT18" s="1">
        <f>IF($B18&lt;Analysis!$C$66,0,IF($B18=Analysis!$C$66,-AP18-AS18,MIN(0,AT17-AS18)))</f>
        <v>-253270.65942515258</v>
      </c>
      <c r="AU18" s="64">
        <f>IF($B18&lt;Analysis!$C$66,0,IF($B18=Analysis!$C$66,Analysis!$C$72,IF(($B18-Analysis!$C$66)&lt;LOOKUP(Analysis!$C$66,$B:$B,AQ:AQ),AU17,0)))</f>
        <v>3.6999999999999998E-2</v>
      </c>
      <c r="AV18" s="1">
        <f>IF($B18&lt;Analysis!$C$66,0,IF($B18=Analysis!$C$66,-AU18*AP18,AU17*AT17))</f>
        <v>-9993.9305069726561</v>
      </c>
      <c r="AW18" s="1">
        <f>IF($B18&lt;Analysis!$C$66,0,IF($B18=Analysis!$C$66,PMT(AU18,AQ18,AP18)*AQ18-AX18-AT18,IF(($B18-Analysis!$C$66+1)&lt;LOOKUP(Analysis!$C$66,$B:$B,AQ:AQ),IF(AW17-AV18&lt;0, AW17-AV18,0),0)))</f>
        <v>-64025.949863107628</v>
      </c>
      <c r="AX18" s="1">
        <f>IF($B18&lt;Analysis!$C$66,0,IF($B18=Analysis!$C$66,AS18+AV18,IF(AT17&lt;0,IF(AT17&gt;LOOKUP(Analysis!$C$66,$B:$B,AX:AX), AT17*(1+AU17),AX17),0)))</f>
        <v>-26829.501000000004</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-2337.4556079819095</v>
      </c>
      <c r="BF18" s="64">
        <f>IF($B18&lt;Analysis!$C$66,0,Analysis!$C$78)</f>
        <v>3.0000000000000001E-3</v>
      </c>
      <c r="BG18" s="1">
        <f>IF($B18&lt;Analysis!$C$66,0,-BH18*AN18)</f>
        <v>-5843.6390199547732</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-99341.863339231146</v>
      </c>
      <c r="BS18" s="64">
        <f>IF($B18&lt;Analysis!C$66,0,Analysis!C$31)</f>
        <v>0.1275</v>
      </c>
      <c r="BT18" s="1">
        <f>IF($B18&lt;Analysis!$C$66,0,AN18+BR18)</f>
        <v>679810.00598807202</v>
      </c>
      <c r="BU18" s="1">
        <f>IF($B18-Analysis!$C$66&gt;3,0,IF($AN18&gt;LOOKUP(Analysis!$C$66,$B:$B, AN:AN),$V18*(LOOKUP(Analysis!$C$66,$B:$B, AN:AN)-AN18),0))</f>
        <v>0</v>
      </c>
      <c r="BV18" s="1">
        <f t="shared" si="23"/>
        <v>679810.00598807202</v>
      </c>
      <c r="BW18" s="42"/>
      <c r="BX18" s="1">
        <f>IF($B18&lt;Analysis!$C$66,$P18+$N18+$X18+$Z18,$P18+$N18+AS18+AV18+BB18+BE18+BG18+MAX(BI18,SUM(BJ18:BN18))+BP18)</f>
        <v>-104870.59562793669</v>
      </c>
      <c r="BY18" s="1">
        <f t="shared" si="24"/>
        <v>126750.63299053574</v>
      </c>
      <c r="BZ18" s="1">
        <f t="shared" si="46"/>
        <v>21880.037362599047</v>
      </c>
      <c r="CA18" s="1">
        <f>IF(BZ18 &lt; 0,
    IF(CA17 + BZ18 &gt; 0,
        CA17 + BZ18, IF(CF17-ABS(CA17 + BZ18)*(1+$V18) &gt;= CA17 + BZ18,
        0, CA17 + BZ18)),
    MIN(CA17 + BZ18, Analysis!$C$7))+IF(CA17&lt;0, CA17*Analysis!$C$9,0)</f>
        <v>24000</v>
      </c>
      <c r="CB18" s="42"/>
      <c r="CC18" s="1">
        <f t="shared" si="47"/>
        <v>8309.8397892999001</v>
      </c>
      <c r="CD18" s="1">
        <f>IF(BZ18 &gt;= 0,
    MAX(0, CA17 + BZ18 - Analysis!$C$7),
    0)</f>
        <v>21880.037362599047</v>
      </c>
      <c r="CE18" s="1">
        <f>IF($B18=Analysis!$C$66,0,MAX(0, CE17 + CD18 - IF(BZ18 &lt; 0, MIN(ABS(BZ18), CE17 + CD18), 0)))</f>
        <v>159360.60762071674</v>
      </c>
      <c r="CF18" s="1">
        <f>IF($B18=Analysis!$C$66,0,IF(BZ18 &lt; 0,
    IF(BZ18 + CA17 &lt; 0,
        MAX(0, CF17 - (ABS(BZ18 + CA17) * (1+$V17))),
        CF17 + CC18),
    CF17 + CD18 + CC18))</f>
        <v>193118.96353041683</v>
      </c>
      <c r="CG18" s="1">
        <f>IF(CF18-CE18&gt;0, CF18-$V18*(CF18-CE18),CF18)</f>
        <v>184215.19715923344</v>
      </c>
      <c r="CH18" s="36"/>
      <c r="CI18" s="1">
        <f>IF(OR($B18&lt;Analysis!$C$100, $B18&gt;=Analysis!$C$130),0,X18)</f>
        <v>-25187.276755396899</v>
      </c>
      <c r="CJ18" s="1">
        <f>IF(OR($B18&lt;Analysis!$C$100, $B18&gt;=Analysis!$C$130),0,Z18)</f>
        <v>-3960</v>
      </c>
      <c r="CK18" s="1">
        <f t="shared" si="26"/>
        <v>514558.25492717396</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-10195.222295273505</v>
      </c>
      <c r="CQ18" s="1">
        <f>IF(OR($B18&lt;Analysis!$C$100, $B18&gt;=Analysis!$C$101),0,IF($B18=Analysis!$C$100,-CM18-CP18,MIN(0,CQ17-CP18)))</f>
        <v>-153374.70594057775</v>
      </c>
      <c r="CR18" s="64">
        <f>IF(OR($B18&lt;Analysis!$C$100, $B18&gt;=Analysis!$C$101),0,IF($B18=Analysis!$C$100,Analysis!$C$102,IF(($B18-Analysis!$C$100)&lt;LOOKUP(Analysis!$C$100,$B:$B,CN:CN),CR17,0)))</f>
        <v>3.6999999999999998E-2</v>
      </c>
      <c r="CS18" s="1">
        <f>IF(OR($B18&lt;Analysis!$C$100, $B18&gt;=Analysis!$C$101),0,IF($B18=Analysis!$C$100,-CR18*CM18,CR17*CQ17))</f>
        <v>-6052.0873447264967</v>
      </c>
      <c r="CT18" s="1">
        <f>IF(OR($B18&lt;Analysis!$C$100, $B18&gt;=Analysis!$C$101),0,IF($B18=Analysis!$C$100,PMT(CR18,CN18,CM18)*CN18-CU18-CQ18,IF(($B18-Analysis!$C$100+1)&lt;LOOKUP(Analysis!$C$100,$B:$B,CN:CN),IF(CT17-CS18&lt;0, CT17-CS18,0),0)))</f>
        <v>-38772.597090830262</v>
      </c>
      <c r="CU18" s="1">
        <f>IF(OR($B18&lt;Analysis!$C$100, $B18&gt;=Analysis!$C$101),0,IF($B18=Analysis!$C$100,CP18+CS18,IF(CQ17&lt;0,IF(CQ17&gt;LOOKUP(Analysis!$C$100,$B:$B,CU:CU), CQ17*(1+CR17),CU17),0)))</f>
        <v>-16247.309640000001</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27542.541925753812</v>
      </c>
      <c r="DE18" s="1">
        <f t="shared" si="27"/>
        <v>-1543.6747647815218</v>
      </c>
      <c r="DF18" s="64">
        <f>IF(OR($B18&lt;Analysis!$C$100, $B18&gt;=Analysis!$C$101),0,Analysis!$C$118)</f>
        <v>3.0000000000000001E-3</v>
      </c>
      <c r="DG18" s="1">
        <f t="shared" si="28"/>
        <v>-3859.1869119538046</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-6472</v>
      </c>
      <c r="DQ18" s="1">
        <f>-Analysis!$C$117*DB18</f>
        <v>-1652.9150370729219</v>
      </c>
      <c r="DR18" s="1">
        <f t="shared" si="29"/>
        <v>-17487.776713808249</v>
      </c>
      <c r="DS18" s="1">
        <f>MIN(0,-(DB18+DR18)*Analysis!$C$28)-CS18*Analysis!$C$28</f>
        <v>665.09172530992328</v>
      </c>
      <c r="DT18" s="1">
        <f>-Analysis!$C$116*DD18/12</f>
        <v>-2295.2118271461509</v>
      </c>
      <c r="DU18" s="53"/>
      <c r="DV18" s="1">
        <f t="shared" si="30"/>
        <v>-65606.177503214683</v>
      </c>
      <c r="DW18" s="64">
        <f>IF(OR($B18&lt;Analysis!$C$100, $B18&gt;=Analysis!$C$101),0,IF($B18=Analysis!$C$100,Analysis!$C$31,DW17))</f>
        <v>0.1275</v>
      </c>
      <c r="DX18" s="1">
        <f>IF(OR($B18&lt;Analysis!$C$100, $B18&gt;=Analysis!$C$101),0,CK18+DV18)</f>
        <v>448952.07742395927</v>
      </c>
      <c r="DY18" s="1">
        <f>IF(OR($B18&lt;Analysis!$C$100, $B18&gt;=Analysis!$C$101),0,IF($B18-Analysis!$C$100&gt;3,0,IF(CK18&gt;LOOKUP(Analysis!$C$100,$B:$B, CK:CK),$V18*(LOOKUP(Analysis!$C$100,$B:$B, CK:CK)-CK18),0)))</f>
        <v>0</v>
      </c>
      <c r="DZ18" s="1">
        <f t="shared" si="49"/>
        <v>448952.07742395927</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-123940.48321104138</v>
      </c>
      <c r="FM18" s="1">
        <f>$M18+$R18+DD18+IF(AND($B18&lt;&gt;Analysis!$C$130,$B18=Analysis!$C$101),DZ17+CQ17+CT17+CZ17,0)</f>
        <v>154293.17491628954</v>
      </c>
      <c r="FN18" s="1">
        <f t="shared" si="34"/>
        <v>30352.691705248159</v>
      </c>
      <c r="FO18" s="1">
        <f>IF(FN18 &lt; 0,
    IF(FO17 + FN18 &gt; 0,
        FO17 + FN18, IF(FT17-ABS(FO17 + FN18)*(1+$V18) &gt;= FO17 + FN18,
        0, FO17 + FN18)),
    MIN(FO17 + FN18, Analysis!$C$7))+IF(FO17&lt;0, FO17*Analysis!$C$9,0)</f>
        <v>24000</v>
      </c>
      <c r="FP18" s="53"/>
      <c r="FQ18" s="1">
        <f t="shared" si="51"/>
        <v>23087.602162216761</v>
      </c>
      <c r="FR18" s="1">
        <f>IF(OR($B18=Analysis!$C$100, $B18=Analysis!$C$130),0,IF(FN18 &gt;= 0,
    MAX(0, FO17 + FN18 - Analysis!$C$7),
    0))</f>
        <v>30352.691705248159</v>
      </c>
      <c r="FS18" s="1">
        <f>IF(OR($B18=Analysis!$C$100, $B18=Analysis!$C$130),0,MAX(0, FS17 + FR18 - IF(FN18 &lt; 0, MIN(ABS(FN18), FS17 + FR18), 0)))</f>
        <v>345408.94447027001</v>
      </c>
      <c r="FT18" s="1">
        <f>IF(OR($B18=Analysis!$C$100, $B18=Analysis!$C$130),0,IF(FN18 &lt; 0,
    IF(FN18 + FO17 &lt; 0,
        MAX(0, FT17 - (ABS(FN18 + FO17) * (1+$V17))),
        FT17 + FQ18),
    FT17 + FR18 + FQ18))</f>
        <v>506113.51288720092</v>
      </c>
      <c r="FU18" s="1">
        <f>IF(FT18-FS18&gt;0, FT18-$V18*(FT18-FS18),FT18)</f>
        <v>463727.68296723539</v>
      </c>
      <c r="FV18" s="36"/>
      <c r="FW18" s="1">
        <f t="shared" si="52"/>
        <v>514558.25492717396</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-10195.222295273505</v>
      </c>
      <c r="GC18" s="1">
        <f>IF($B18&lt;Analysis!$C$159,0,IF($B18=Analysis!$C$159,-FY18-GB18,MIN(0,GC17-GB18)))</f>
        <v>-153374.70594057775</v>
      </c>
      <c r="GD18" s="64">
        <f>IF($B18&lt;Analysis!$C$159,0,IF($B18=Analysis!$C$159,Analysis!$C$160,IF(($B18-Analysis!$C$159)&lt;LOOKUP(Analysis!$C$159,$B:$B,FZ:FZ),GD17,0)))</f>
        <v>3.6999999999999998E-2</v>
      </c>
      <c r="GE18" s="1">
        <f>IF($B18&lt;Analysis!$C$159,0,IF($B18=Analysis!$C$159,-GD18*FY18,GD17*GC17))</f>
        <v>-6052.0873447264967</v>
      </c>
      <c r="GF18" s="1">
        <f>IF($B18&lt;Analysis!$C$159,0,IF($B18=Analysis!$C$159,PMT(GD18,FZ18,FY18)*FZ18-GG18-GC18,IF(($B18-Analysis!$C$159+1)&lt;LOOKUP(Analysis!$C$159,$B:$B,FZ:FZ),IF(GF17-GE18&lt;0, GF17-GE18,0),0)))</f>
        <v>-38772.597090830262</v>
      </c>
      <c r="GG18" s="1">
        <f>IF($B18&lt;Analysis!$C$159,0,IF($B18=Analysis!$C$159,GB18+GE18,IF(GC17&lt;0,IF(GC17&gt;LOOKUP(Analysis!$C$159,$B:$B,GG:GG), GC17*(1+GD17),GG17),0)))</f>
        <v>-16247.309640000001</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27542.541925753812</v>
      </c>
      <c r="GQ18" s="1">
        <f t="shared" si="36"/>
        <v>-1543.6747647815218</v>
      </c>
      <c r="GR18" s="64">
        <f>IF($B18&lt;Analysis!$C$159,0,Analysis!$C$178)</f>
        <v>3.0000000000000001E-3</v>
      </c>
      <c r="GS18" s="1">
        <f t="shared" si="37"/>
        <v>-3859.1869119538046</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-6472</v>
      </c>
      <c r="HC18" s="1">
        <f>-Analysis!$C$177*GN18</f>
        <v>-1652.9150370729219</v>
      </c>
      <c r="HD18" s="1">
        <f t="shared" si="38"/>
        <v>-17487.776713808249</v>
      </c>
      <c r="HE18" s="1">
        <f>MIN(0,-(GN18+HD18)*Analysis!$C$28)-GE18*Analysis!$C$28</f>
        <v>665.09172530992328</v>
      </c>
      <c r="HF18" s="1">
        <f>-Analysis!$C$176*GP18/12</f>
        <v>-2295.2118271461509</v>
      </c>
      <c r="HG18" s="38"/>
      <c r="HH18" s="1">
        <f>IF($B18&lt;Analysis!$C$159,0,-$HI18*$FW18)</f>
        <v>-65606.177503214683</v>
      </c>
      <c r="HI18" s="64">
        <f>IF($B18&lt;Analysis!$C$159,0,IF($B18=Analysis!$C$159,Analysis!$C$31,HI17))</f>
        <v>0.1275</v>
      </c>
      <c r="HJ18" s="1">
        <f>IF($B18&lt;Analysis!$C$159,0,$FW18+HH18)</f>
        <v>448952.07742395927</v>
      </c>
      <c r="HK18" s="1">
        <f>IF($B18-Analysis!$C$159&gt;10,0,IF($FW18&gt;LOOKUP(Analysis!$C$159,$B:$B, FW:FW),$V18*(LOOKUP(Analysis!$C$159,$B:$B, FW:FW)-FW18),0))</f>
        <v>0</v>
      </c>
      <c r="HL18" s="1">
        <f t="shared" si="39"/>
        <v>448952.07742395927</v>
      </c>
      <c r="HM18" s="38"/>
      <c r="HN18" s="1">
        <f t="shared" si="40"/>
        <v>-123940.48321104138</v>
      </c>
      <c r="HO18" s="1">
        <f t="shared" si="8"/>
        <v>154293.17491628954</v>
      </c>
      <c r="HP18" s="1">
        <f t="shared" si="41"/>
        <v>30352.691705248159</v>
      </c>
      <c r="HQ18" s="1">
        <f>IF(HP18 &lt; 0,
    IF(HQ17 + HP18 &gt; 0,
        HQ17 + HP18, IF(HV17-ABS(HQ17 + HP18)*(1+$V18) &gt;= HQ17 + HP18,
        0, HQ17 + HP18)),
    MIN(HQ17 + HP18, Analysis!$C$7))+IF(HQ17&lt;0, HQ17*Analysis!$C$9,0)</f>
        <v>24000</v>
      </c>
      <c r="HR18" s="38"/>
      <c r="HS18" s="1">
        <f t="shared" si="54"/>
        <v>23087.602162216761</v>
      </c>
      <c r="HT18" s="1">
        <f>IF($B18=Analysis!$C$159,0,IF(HP18 &gt;= 0,
    MAX(0, HQ17 + HP18 - Analysis!$C$7),
    0))</f>
        <v>30352.691705248159</v>
      </c>
      <c r="HU18" s="1">
        <f>IF($B18=Analysis!$C$159,0,MAX(0, HU17 + HT18 - IF(HP18 &lt; 0, MIN(ABS(HP18), HU17 + HT18), 0)))</f>
        <v>345408.94447027001</v>
      </c>
      <c r="HV18" s="1">
        <f>IF($B18=Analysis!$C$159,0,IF(HP18 &lt; 0,
    IF(HP18 + HQ17 &lt; 0,
        MAX(0, HV17 - (ABS(HP18 + HQ17) * (1+$V17))),
        HV17 + HS18),
    HV17 + HT18 + HS18))</f>
        <v>506113.51288720092</v>
      </c>
      <c r="HW18" s="1">
        <f>IF(HV18-HU18&gt;0, HV18-$V18*(HV18-HU18),HV18)</f>
        <v>463727.68296723539</v>
      </c>
      <c r="HX18" s="36"/>
    </row>
    <row r="19" spans="1:232" x14ac:dyDescent="0.35">
      <c r="A19">
        <f t="shared" si="0"/>
        <v>52</v>
      </c>
      <c r="B19">
        <v>2042</v>
      </c>
      <c r="C19" s="1">
        <f>IF($B19&lt;Analysis!C$66,0,$AN19)+$AT19+$AW19+$BC19+$CF19+$CA19</f>
        <v>761431.236542586</v>
      </c>
      <c r="D19" s="1">
        <f>IF($B19&lt;Analysis!C$66, 0, BV19)+AT19+AW19+BC19+CG19+CA19</f>
        <v>647753.27054851979</v>
      </c>
      <c r="E19" s="1">
        <f t="shared" si="1"/>
        <v>851475.22030811093</v>
      </c>
      <c r="F19" s="1">
        <f t="shared" si="9"/>
        <v>766411.37322351581</v>
      </c>
      <c r="G19" s="1">
        <f>IF(AND($B19&gt;=Analysis!$C$100, $B19&lt;Analysis!$C$101),$CK19,0)+IF($B19&gt;=Analysis!$C$130,EB19,0)+CQ19+CT19+CZ19+EH19+EK19+EQ19+$FO19+$FT19</f>
        <v>940082.4988981497</v>
      </c>
      <c r="H19" s="1">
        <f t="shared" si="10"/>
        <v>823581.50032412901</v>
      </c>
      <c r="I19" s="1">
        <f>IF($B19&lt;Analysis!$C$159,0,$FW19)+$GC19+$GF19+$GL19+$HQ19+$HV19</f>
        <v>940082.4988981497</v>
      </c>
      <c r="J19" s="1">
        <f t="shared" si="2"/>
        <v>823581.50032412901</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37341.842193178993</v>
      </c>
      <c r="AI19" s="1">
        <f>IF(AE19 &gt;= 0,
    MAX(0, AF18 + AE19 - Analysis!$C$7),
    0)</f>
        <v>32515.870558393523</v>
      </c>
      <c r="AJ19" s="1">
        <f t="shared" si="44"/>
        <v>504958.26453713403</v>
      </c>
      <c r="AK19" s="1">
        <f t="shared" si="20"/>
        <v>827475.22030811093</v>
      </c>
      <c r="AL19" s="1">
        <f t="shared" si="5"/>
        <v>742411.37322351581</v>
      </c>
      <c r="AM19" s="36"/>
      <c r="AN19" s="1">
        <f t="shared" si="45"/>
        <v>802068.10077810625</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-17458.48660126936</v>
      </c>
      <c r="AT19" s="1">
        <f>IF($B19&lt;Analysis!$C$66,0,IF($B19=Analysis!$C$66,-AP19-AS19,MIN(0,AT18-AS19)))</f>
        <v>-235812.17282388321</v>
      </c>
      <c r="AU19" s="64">
        <f>IF($B19&lt;Analysis!$C$66,0,IF($B19=Analysis!$C$66,Analysis!$C$72,IF(($B19-Analysis!$C$66)&lt;LOOKUP(Analysis!$C$66,$B:$B,AQ:AQ),AU18,0)))</f>
        <v>3.6999999999999998E-2</v>
      </c>
      <c r="AV19" s="1">
        <f>IF($B19&lt;Analysis!$C$66,0,IF($B19=Analysis!$C$66,-AU19*AP19,AU18*AT18))</f>
        <v>-9371.0143987306456</v>
      </c>
      <c r="AW19" s="1">
        <f>IF($B19&lt;Analysis!$C$66,0,IF($B19=Analysis!$C$66,PMT(AU19,AQ19,AP19)*AQ19-AX19-AT19,IF(($B19-Analysis!$C$66+1)&lt;LOOKUP(Analysis!$C$66,$B:$B,AQ:AQ),IF(AW18-AV19&lt;0, AW18-AV19,0),0)))</f>
        <v>-54654.935464376984</v>
      </c>
      <c r="AX19" s="1">
        <f>IF($B19&lt;Analysis!$C$66,0,IF($B19=Analysis!$C$66,AS19+AV19,IF(AT18&lt;0,IF(AT18&gt;LOOKUP(Analysis!$C$66,$B:$B,AX:AX), AT18*(1+AU18),AX18),0)))</f>
        <v>-26829.501000000004</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-2406.204302334319</v>
      </c>
      <c r="BF19" s="64">
        <f>IF($B19&lt;Analysis!$C$66,0,Analysis!$C$78)</f>
        <v>3.0000000000000001E-3</v>
      </c>
      <c r="BG19" s="1">
        <f>IF($B19&lt;Analysis!$C$66,0,-BH19*AN19)</f>
        <v>-6015.5107558357968</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-102263.68284920855</v>
      </c>
      <c r="BS19" s="64">
        <f>IF($B19&lt;Analysis!C$66,0,Analysis!C$31)</f>
        <v>0.1275</v>
      </c>
      <c r="BT19" s="1">
        <f>IF($B19&lt;Analysis!$C$66,0,AN19+BR19)</f>
        <v>699804.41792889766</v>
      </c>
      <c r="BU19" s="1">
        <f>IF($B19-Analysis!$C$66&gt;3,0,IF($AN19&gt;LOOKUP(Analysis!$C$66,$B:$B, AN:AN),$V19*(LOOKUP(Analysis!$C$66,$B:$B, AN:AN)-AN19),0))</f>
        <v>0</v>
      </c>
      <c r="BV19" s="1">
        <f t="shared" si="23"/>
        <v>699804.41792889766</v>
      </c>
      <c r="BW19" s="42"/>
      <c r="BX19" s="1">
        <f>IF($B19&lt;Analysis!$C$66,$P19+$N19+$X19+$Z19,$P19+$N19+AS19+AV19+BB19+BE19+BG19+MAX(BI19,SUM(BJ19:BN19))+BP19)</f>
        <v>-105111.21605817013</v>
      </c>
      <c r="BY19" s="1">
        <f t="shared" si="24"/>
        <v>128303.9495713021</v>
      </c>
      <c r="BZ19" s="1">
        <f t="shared" si="46"/>
        <v>23192.733513131971</v>
      </c>
      <c r="CA19" s="1">
        <f>IF(BZ19 &lt; 0,
    IF(CA18 + BZ19 &gt; 0,
        CA18 + BZ19, IF(CF18-ABS(CA18 + BZ19)*(1+$V19) &gt;= CA18 + BZ19,
        0, CA18 + BZ19)),
    MIN(CA18 + BZ19, Analysis!$C$7))+IF(CA18&lt;0, CA18*Analysis!$C$9,0)</f>
        <v>24000</v>
      </c>
      <c r="CB19" s="42"/>
      <c r="CC19" s="1">
        <f t="shared" si="47"/>
        <v>9518.5470091911138</v>
      </c>
      <c r="CD19" s="1">
        <f>IF(BZ19 &gt;= 0,
    MAX(0, CA18 + BZ19 - Analysis!$C$7),
    0)</f>
        <v>23192.733513131971</v>
      </c>
      <c r="CE19" s="1">
        <f>IF($B19=Analysis!$C$66,0,MAX(0, CE18 + CD19 - IF(BZ19 &lt; 0, MIN(ABS(BZ19), CE18 + CD19), 0)))</f>
        <v>182553.34113384871</v>
      </c>
      <c r="CF19" s="1">
        <f>IF($B19=Analysis!$C$66,0,IF(BZ19 &lt; 0,
    IF(BZ19 + CA18 &lt; 0,
        MAX(0, CF18 - (ABS(BZ19 + CA18) * (1+$V18))),
        CF18 + CC19),
    CF18 + CD19 + CC19))</f>
        <v>225830.24405273993</v>
      </c>
      <c r="CG19" s="1">
        <f t="shared" si="25"/>
        <v>214415.96090788237</v>
      </c>
      <c r="CH19" s="36"/>
      <c r="CI19" s="1">
        <f>IF(OR($B19&lt;Analysis!$C$100, $B19&gt;=Analysis!$C$130),0,X19)</f>
        <v>-25928.079012908576</v>
      </c>
      <c r="CJ19" s="1">
        <f>IF(OR($B19&lt;Analysis!$C$100, $B19&gt;=Analysis!$C$130),0,Z19)</f>
        <v>-3960</v>
      </c>
      <c r="CK19" s="1">
        <f t="shared" si="26"/>
        <v>529692.32124856149</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-10572.445520198624</v>
      </c>
      <c r="CQ19" s="1">
        <f>IF(OR($B19&lt;Analysis!$C$100, $B19&gt;=Analysis!$C$101),0,IF($B19=Analysis!$C$100,-CM19-CP19,MIN(0,CQ18-CP19)))</f>
        <v>-142802.26042037914</v>
      </c>
      <c r="CR19" s="64">
        <f>IF(OR($B19&lt;Analysis!$C$100, $B19&gt;=Analysis!$C$101),0,IF($B19=Analysis!$C$100,Analysis!$C$102,IF(($B19-Analysis!$C$100)&lt;LOOKUP(Analysis!$C$100,$B:$B,CN:CN),CR18,0)))</f>
        <v>3.6999999999999998E-2</v>
      </c>
      <c r="CS19" s="1">
        <f>IF(OR($B19&lt;Analysis!$C$100, $B19&gt;=Analysis!$C$101),0,IF($B19=Analysis!$C$100,-CR19*CM19,CR18*CQ18))</f>
        <v>-5674.8641198013765</v>
      </c>
      <c r="CT19" s="1">
        <f>IF(OR($B19&lt;Analysis!$C$100, $B19&gt;=Analysis!$C$101),0,IF($B19=Analysis!$C$100,PMT(CR19,CN19,CM19)*CN19-CU19-CQ19,IF(($B19-Analysis!$C$100+1)&lt;LOOKUP(Analysis!$C$100,$B:$B,CN:CN),IF(CT18-CS19&lt;0, CT18-CS19,0),0)))</f>
        <v>-33097.732971028883</v>
      </c>
      <c r="CU19" s="1">
        <f>IF(OR($B19&lt;Analysis!$C$100, $B19&gt;=Analysis!$C$101),0,IF($B19=Analysis!$C$100,CP19+CS19,IF(CQ18&lt;0,IF(CQ18&gt;LOOKUP(Analysis!$C$100,$B:$B,CU:CU), CQ18*(1+CR18),CU18),0)))</f>
        <v>-16247.309640000001</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28236.146100040693</v>
      </c>
      <c r="DE19" s="1">
        <f t="shared" si="27"/>
        <v>-1589.0769637456845</v>
      </c>
      <c r="DF19" s="64">
        <f>IF(OR($B19&lt;Analysis!$C$100, $B19&gt;=Analysis!$C$101),0,Analysis!$C$118)</f>
        <v>3.0000000000000001E-3</v>
      </c>
      <c r="DG19" s="1">
        <f t="shared" si="28"/>
        <v>-3972.692409364211</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-6472</v>
      </c>
      <c r="DQ19" s="1">
        <f>-Analysis!$C$117*DB19</f>
        <v>-1701.5301852221257</v>
      </c>
      <c r="DR19" s="1">
        <f t="shared" si="29"/>
        <v>-17695.299558332023</v>
      </c>
      <c r="DS19" s="1">
        <f>MIN(0,-(DB19+DR19)*Analysis!$C$28)-CS19*Analysis!$C$28</f>
        <v>302.67919148859028</v>
      </c>
      <c r="DT19" s="1">
        <f>-Analysis!$C$116*DD19/12</f>
        <v>-2353.0121750033909</v>
      </c>
      <c r="DU19" s="53"/>
      <c r="DV19" s="1">
        <f t="shared" si="30"/>
        <v>-67535.770959191592</v>
      </c>
      <c r="DW19" s="64">
        <f>IF(OR($B19&lt;Analysis!$C$100, $B19&gt;=Analysis!$C$101),0,IF($B19=Analysis!$C$100,Analysis!$C$31,DW18))</f>
        <v>0.1275</v>
      </c>
      <c r="DX19" s="1">
        <f>IF(OR($B19&lt;Analysis!$C$100, $B19&gt;=Analysis!$C$101),0,CK19+DV19)</f>
        <v>462156.55028936989</v>
      </c>
      <c r="DY19" s="1">
        <f>IF(OR($B19&lt;Analysis!$C$100, $B19&gt;=Analysis!$C$101),0,IF($B19-Analysis!$C$100&gt;3,0,IF(CK19&gt;LOOKUP(Analysis!$C$100,$B:$B, CK:CK),$V19*(LOOKUP(Analysis!$C$100,$B:$B, CK:CK)-CK19),0)))</f>
        <v>0</v>
      </c>
      <c r="DZ19" s="1">
        <f t="shared" si="49"/>
        <v>462156.55028936989</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-125309.02119475542</v>
      </c>
      <c r="FM19" s="1">
        <f>$M19+$R19+DD19+IF(AND($B19&lt;&gt;Analysis!$C$130,$B19=Analysis!$C$101),DZ18+CQ18+CT18+CZ18,0)</f>
        <v>156540.0956713428</v>
      </c>
      <c r="FN19" s="1">
        <f t="shared" si="34"/>
        <v>31231.074476587382</v>
      </c>
      <c r="FO19" s="1">
        <f>IF(FN19 &lt; 0,
    IF(FO18 + FN19 &gt; 0,
        FO18 + FN19, IF(FT18-ABS(FO18 + FN19)*(1+$V19) &gt;= FO18 + FN19,
        0, FO18 + FN19)),
    MIN(FO18 + FN19, Analysis!$C$7))+IF(FO18&lt;0, FO18*Analysis!$C$9,0)</f>
        <v>24000</v>
      </c>
      <c r="FP19" s="53"/>
      <c r="FQ19" s="1">
        <f t="shared" si="51"/>
        <v>24945.583677207902</v>
      </c>
      <c r="FR19" s="1">
        <f>IF(OR($B19=Analysis!$C$100, $B19=Analysis!$C$130),0,IF(FN19 &gt;= 0,
    MAX(0, FO18 + FN19 - Analysis!$C$7),
    0))</f>
        <v>31231.074476587382</v>
      </c>
      <c r="FS19" s="1">
        <f>IF(OR($B19=Analysis!$C$100, $B19=Analysis!$C$130),0,MAX(0, FS18 + FR19 - IF(FN19 &lt; 0, MIN(ABS(FN19), FS18 + FR19), 0)))</f>
        <v>376640.01894685742</v>
      </c>
      <c r="FT19" s="1">
        <f>IF(OR($B19=Analysis!$C$100, $B19=Analysis!$C$130),0,IF(FN19 &lt; 0,
    IF(FN19 + FO18 &lt; 0,
        MAX(0, FT18 - (ABS(FN19 + FO18) * (1+$V18))),
        FT18 + FQ19),
    FT18 + FR19 + FQ19))</f>
        <v>562290.17104099621</v>
      </c>
      <c r="FU19" s="1">
        <f t="shared" ref="FU19:FU52" si="57">IF(FT19-FS19&gt;0, FT19-$V19*(FT19-FS19),FT19)</f>
        <v>513324.94342616713</v>
      </c>
      <c r="FV19" s="36"/>
      <c r="FW19" s="1">
        <f t="shared" si="52"/>
        <v>529692.32124856149</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-10572.445520198624</v>
      </c>
      <c r="GC19" s="1">
        <f>IF($B19&lt;Analysis!$C$159,0,IF($B19=Analysis!$C$159,-FY19-GB19,MIN(0,GC18-GB19)))</f>
        <v>-142802.26042037914</v>
      </c>
      <c r="GD19" s="64">
        <f>IF($B19&lt;Analysis!$C$159,0,IF($B19=Analysis!$C$159,Analysis!$C$160,IF(($B19-Analysis!$C$159)&lt;LOOKUP(Analysis!$C$159,$B:$B,FZ:FZ),GD18,0)))</f>
        <v>3.6999999999999998E-2</v>
      </c>
      <c r="GE19" s="1">
        <f>IF($B19&lt;Analysis!$C$159,0,IF($B19=Analysis!$C$159,-GD19*FY19,GD18*GC18))</f>
        <v>-5674.8641198013765</v>
      </c>
      <c r="GF19" s="1">
        <f>IF($B19&lt;Analysis!$C$159,0,IF($B19=Analysis!$C$159,PMT(GD19,FZ19,FY19)*FZ19-GG19-GC19,IF(($B19-Analysis!$C$159+1)&lt;LOOKUP(Analysis!$C$159,$B:$B,FZ:FZ),IF(GF18-GE19&lt;0, GF18-GE19,0),0)))</f>
        <v>-33097.732971028883</v>
      </c>
      <c r="GG19" s="1">
        <f>IF($B19&lt;Analysis!$C$159,0,IF($B19=Analysis!$C$159,GB19+GE19,IF(GC18&lt;0,IF(GC18&gt;LOOKUP(Analysis!$C$159,$B:$B,GG:GG), GC18*(1+GD18),GG18),0)))</f>
        <v>-16247.309640000001</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28236.146100040693</v>
      </c>
      <c r="GQ19" s="1">
        <f t="shared" si="36"/>
        <v>-1589.0769637456845</v>
      </c>
      <c r="GR19" s="64">
        <f>IF($B19&lt;Analysis!$C$159,0,Analysis!$C$178)</f>
        <v>3.0000000000000001E-3</v>
      </c>
      <c r="GS19" s="1">
        <f t="shared" si="37"/>
        <v>-3972.692409364211</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-6472</v>
      </c>
      <c r="HC19" s="1">
        <f>-Analysis!$C$177*GN19</f>
        <v>-1701.5301852221257</v>
      </c>
      <c r="HD19" s="1">
        <f t="shared" si="38"/>
        <v>-17695.299558332023</v>
      </c>
      <c r="HE19" s="1">
        <f>MIN(0,-(GN19+HD19)*Analysis!$C$28)-GE19*Analysis!$C$28</f>
        <v>302.67919148859028</v>
      </c>
      <c r="HF19" s="1">
        <f>-Analysis!$C$176*GP19/12</f>
        <v>-2353.0121750033909</v>
      </c>
      <c r="HG19" s="38"/>
      <c r="HH19" s="1">
        <f>IF($B19&lt;Analysis!$C$159,0,-$HI19*$FW19)</f>
        <v>-67535.770959191592</v>
      </c>
      <c r="HI19" s="64">
        <f>IF($B19&lt;Analysis!$C$159,0,IF($B19=Analysis!$C$159,Analysis!$C$31,HI18))</f>
        <v>0.1275</v>
      </c>
      <c r="HJ19" s="1">
        <f>IF($B19&lt;Analysis!$C$159,0,$FW19+HH19)</f>
        <v>462156.55028936989</v>
      </c>
      <c r="HK19" s="1">
        <f>IF($B19-Analysis!$C$159&gt;10,0,IF($FW19&gt;LOOKUP(Analysis!$C$159,$B:$B, FW:FW),$V19*(LOOKUP(Analysis!$C$159,$B:$B, FW:FW)-FW19),0))</f>
        <v>0</v>
      </c>
      <c r="HL19" s="1">
        <f t="shared" si="39"/>
        <v>462156.55028936989</v>
      </c>
      <c r="HM19" s="38"/>
      <c r="HN19" s="1">
        <f t="shared" si="40"/>
        <v>-125309.02119475542</v>
      </c>
      <c r="HO19" s="1">
        <f t="shared" si="8"/>
        <v>156540.0956713428</v>
      </c>
      <c r="HP19" s="1">
        <f t="shared" si="41"/>
        <v>31231.074476587382</v>
      </c>
      <c r="HQ19" s="1">
        <f>IF(HP19 &lt; 0,
    IF(HQ18 + HP19 &gt; 0,
        HQ18 + HP19, IF(HV18-ABS(HQ18 + HP19)*(1+$V19) &gt;= HQ18 + HP19,
        0, HQ18 + HP19)),
    MIN(HQ18 + HP19, Analysis!$C$7))+IF(HQ18&lt;0, HQ18*Analysis!$C$9,0)</f>
        <v>24000</v>
      </c>
      <c r="HR19" s="38"/>
      <c r="HS19" s="1">
        <f t="shared" si="54"/>
        <v>24945.583677207902</v>
      </c>
      <c r="HT19" s="1">
        <f>IF($B19=Analysis!$C$159,0,IF(HP19 &gt;= 0,
    MAX(0, HQ18 + HP19 - Analysis!$C$7),
    0))</f>
        <v>31231.074476587382</v>
      </c>
      <c r="HU19" s="1">
        <f>IF($B19=Analysis!$C$159,0,MAX(0, HU18 + HT19 - IF(HP19 &lt; 0, MIN(ABS(HP19), HU18 + HT19), 0)))</f>
        <v>376640.01894685742</v>
      </c>
      <c r="HV19" s="1">
        <f>IF($B19=Analysis!$C$159,0,IF(HP19 &lt; 0,
    IF(HP19 + HQ18 &lt; 0,
        MAX(0, HV18 - (ABS(HP19 + HQ18) * (1+$V18))),
        HV18 + HS19),
    HV18 + HT19 + HS19))</f>
        <v>562290.17104099621</v>
      </c>
      <c r="HW19" s="1">
        <f t="shared" ref="HW19:HW52" si="58">IF(HV19-HU19&gt;0, HV19-$V19*(HV19-HU19),HV19)</f>
        <v>513324.94342616713</v>
      </c>
      <c r="HX19" s="36"/>
    </row>
    <row r="20" spans="1:232" x14ac:dyDescent="0.35">
      <c r="A20">
        <f t="shared" si="0"/>
        <v>53</v>
      </c>
      <c r="B20">
        <v>2043</v>
      </c>
      <c r="C20" s="1">
        <f>IF($B20&lt;Analysis!C$66,0,$AN20)+$AT20+$AW20+$BC20+$CF20+$CA20</f>
        <v>847112.06403730216</v>
      </c>
      <c r="D20" s="1">
        <f>IF($B20&lt;Analysis!C$66, 0, BV20)+AT20+AW20+BC20+CG20+CA20</f>
        <v>727592.69181618211</v>
      </c>
      <c r="E20" s="1">
        <f t="shared" si="1"/>
        <v>924167.34882575355</v>
      </c>
      <c r="F20" s="1">
        <f t="shared" si="9"/>
        <v>828720.58836965472</v>
      </c>
      <c r="G20" s="1">
        <f>IF(AND($B20&gt;=Analysis!$C$100, $B20&lt;Analysis!$C$101),$CK20,0)+IF($B20&gt;=Analysis!$C$130,EB20,0)+CQ20+CT20+CZ20+EH20+EK20+EQ20+$FO20+$FT20</f>
        <v>1030766.8898483565</v>
      </c>
      <c r="H20" s="1">
        <f t="shared" si="10"/>
        <v>905224.09495793586</v>
      </c>
      <c r="I20" s="1">
        <f>IF($B20&lt;Analysis!$C$159,0,$FW20)+$GC20+$GF20+$GL20+$HQ20+$HV20</f>
        <v>1030766.8898483565</v>
      </c>
      <c r="J20" s="1">
        <f t="shared" si="2"/>
        <v>905224.09495793586</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39366.496195274536</v>
      </c>
      <c r="AI20" s="1">
        <f>IF(AE20 &gt;= 0,
    MAX(0, AF19 + AE20 - Analysis!$C$7),
    0)</f>
        <v>33325.632322368052</v>
      </c>
      <c r="AJ20" s="1">
        <f t="shared" si="44"/>
        <v>538283.89685950207</v>
      </c>
      <c r="AK20" s="1">
        <f t="shared" si="20"/>
        <v>900167.34882575355</v>
      </c>
      <c r="AL20" s="1">
        <f t="shared" si="5"/>
        <v>804720.58836965472</v>
      </c>
      <c r="AM20" s="36"/>
      <c r="AN20" s="1">
        <f t="shared" si="45"/>
        <v>825658.33903628599</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-18104.450605516326</v>
      </c>
      <c r="AT20" s="1">
        <f>IF($B20&lt;Analysis!$C$66,0,IF($B20=Analysis!$C$66,-AP20-AS20,MIN(0,AT19-AS20)))</f>
        <v>-217707.72221836689</v>
      </c>
      <c r="AU20" s="64">
        <f>IF($B20&lt;Analysis!$C$66,0,IF($B20=Analysis!$C$66,Analysis!$C$72,IF(($B20-Analysis!$C$66)&lt;LOOKUP(Analysis!$C$66,$B:$B,AQ:AQ),AU19,0)))</f>
        <v>3.6999999999999998E-2</v>
      </c>
      <c r="AV20" s="1">
        <f>IF($B20&lt;Analysis!$C$66,0,IF($B20=Analysis!$C$66,-AU20*AP20,AU19*AT19))</f>
        <v>-8725.0503944836782</v>
      </c>
      <c r="AW20" s="1">
        <f>IF($B20&lt;Analysis!$C$66,0,IF($B20=Analysis!$C$66,PMT(AU20,AQ20,AP20)*AQ20-AX20-AT20,IF(($B20-Analysis!$C$66+1)&lt;LOOKUP(Analysis!$C$66,$B:$B,AQ:AQ),IF(AW19-AV20&lt;0, AW19-AV20,0),0)))</f>
        <v>-45929.885069893309</v>
      </c>
      <c r="AX20" s="1">
        <f>IF($B20&lt;Analysis!$C$66,0,IF($B20=Analysis!$C$66,AS20+AV20,IF(AT19&lt;0,IF(AT19&gt;LOOKUP(Analysis!$C$66,$B:$B,AX:AX), AT19*(1+AU19),AX19),0)))</f>
        <v>-26829.501000000004</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-2476.9750171088581</v>
      </c>
      <c r="BF20" s="64">
        <f>IF($B20&lt;Analysis!$C$66,0,Analysis!$C$78)</f>
        <v>3.0000000000000001E-3</v>
      </c>
      <c r="BG20" s="1">
        <f>IF($B20&lt;Analysis!$C$66,0,-BH20*AN20)</f>
        <v>-6192.4375427721443</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-105271.43822712646</v>
      </c>
      <c r="BS20" s="64">
        <f>IF($B20&lt;Analysis!C$66,0,Analysis!C$31)</f>
        <v>0.1275</v>
      </c>
      <c r="BT20" s="1">
        <f>IF($B20&lt;Analysis!$C$66,0,AN20+BR20)</f>
        <v>720386.9008091595</v>
      </c>
      <c r="BU20" s="1">
        <f>IF($B20-Analysis!$C$66&gt;3,0,IF($AN20&gt;LOOKUP(Analysis!$C$66,$B:$B, AN:AN),$V20*(LOOKUP(Analysis!$C$66,$B:$B, AN:AN)-AN20),0))</f>
        <v>0</v>
      </c>
      <c r="BV20" s="1">
        <f t="shared" si="23"/>
        <v>720386.9008091595</v>
      </c>
      <c r="BW20" s="42"/>
      <c r="BX20" s="1">
        <f>IF($B20&lt;Analysis!$C$66,$P20+$N20+$X20+$Z20,$P20+$N20+AS20+AV20+BB20+BE20+BG20+MAX(BI20,SUM(BJ20:BN20))+BP20)</f>
        <v>-105358.913559881</v>
      </c>
      <c r="BY20" s="1">
        <f t="shared" si="24"/>
        <v>129876.30189447982</v>
      </c>
      <c r="BZ20" s="1">
        <f t="shared" si="46"/>
        <v>24517.388334598829</v>
      </c>
      <c r="CA20" s="1">
        <f>IF(BZ20 &lt; 0,
    IF(CA19 + BZ20 &gt; 0,
        CA19 + BZ20, IF(CF19-ABS(CA19 + BZ20)*(1+$V20) &gt;= CA19 + BZ20,
        0, CA19 + BZ20)),
    MIN(CA19 + BZ20, Analysis!$C$7))+IF(CA19&lt;0, CA19*Analysis!$C$9,0)</f>
        <v>24000</v>
      </c>
      <c r="CB20" s="42"/>
      <c r="CC20" s="1">
        <f t="shared" si="47"/>
        <v>10743.699901937674</v>
      </c>
      <c r="CD20" s="1">
        <f>IF(BZ20 &gt;= 0,
    MAX(0, CA19 + BZ20 - Analysis!$C$7),
    0)</f>
        <v>24517.388334598829</v>
      </c>
      <c r="CE20" s="1">
        <f>IF($B20=Analysis!$C$66,0,MAX(0, CE19 + CD20 - IF(BZ20 &lt; 0, MIN(ABS(BZ20), CE19 + CD20), 0)))</f>
        <v>207070.72946844753</v>
      </c>
      <c r="CF20" s="1">
        <f>IF($B20=Analysis!$C$66,0,IF(BZ20 &lt; 0,
    IF(BZ20 + CA19 &lt; 0,
        MAX(0, CF19 - (ABS(BZ20 + CA19) * (1+$V19))),
        CF19 + CC20),
    CF19 + CD20 + CC20))</f>
        <v>261091.33228927644</v>
      </c>
      <c r="CG20" s="1">
        <f t="shared" si="25"/>
        <v>246843.39829528282</v>
      </c>
      <c r="CH20" s="36"/>
      <c r="CI20" s="1">
        <f>IF(OR($B20&lt;Analysis!$C$100, $B20&gt;=Analysis!$C$130),0,X20)</f>
        <v>-26690.669572111772</v>
      </c>
      <c r="CJ20" s="1">
        <f>IF(OR($B20&lt;Analysis!$C$100, $B20&gt;=Analysis!$C$130),0,Z20)</f>
        <v>-3960</v>
      </c>
      <c r="CK20" s="1">
        <f t="shared" si="26"/>
        <v>545271.50716763688</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-10963.626004445974</v>
      </c>
      <c r="CQ20" s="1">
        <f>IF(OR($B20&lt;Analysis!$C$100, $B20&gt;=Analysis!$C$101),0,IF($B20=Analysis!$C$100,-CM20-CP20,MIN(0,CQ19-CP20)))</f>
        <v>-131838.63441593316</v>
      </c>
      <c r="CR20" s="64">
        <f>IF(OR($B20&lt;Analysis!$C$100, $B20&gt;=Analysis!$C$101),0,IF($B20=Analysis!$C$100,Analysis!$C$102,IF(($B20-Analysis!$C$100)&lt;LOOKUP(Analysis!$C$100,$B:$B,CN:CN),CR19,0)))</f>
        <v>3.6999999999999998E-2</v>
      </c>
      <c r="CS20" s="1">
        <f>IF(OR($B20&lt;Analysis!$C$100, $B20&gt;=Analysis!$C$101),0,IF($B20=Analysis!$C$100,-CR20*CM20,CR19*CQ19))</f>
        <v>-5283.6836355540281</v>
      </c>
      <c r="CT20" s="1">
        <f>IF(OR($B20&lt;Analysis!$C$100, $B20&gt;=Analysis!$C$101),0,IF($B20=Analysis!$C$100,PMT(CR20,CN20,CM20)*CN20-CU20-CQ20,IF(($B20-Analysis!$C$100+1)&lt;LOOKUP(Analysis!$C$100,$B:$B,CN:CN),IF(CT19-CS20&lt;0, CT19-CS20,0),0)))</f>
        <v>-27814.049335474854</v>
      </c>
      <c r="CU20" s="1">
        <f>IF(OR($B20&lt;Analysis!$C$100, $B20&gt;=Analysis!$C$101),0,IF($B20=Analysis!$C$100,CP20+CS20,IF(CQ19&lt;0,IF(CQ19&gt;LOOKUP(Analysis!$C$100,$B:$B,CU:CU), CQ19*(1+CR19),CU19),0)))</f>
        <v>-16247.309640000001</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28950.150397100719</v>
      </c>
      <c r="DE20" s="1">
        <f t="shared" si="27"/>
        <v>-1635.8145215029108</v>
      </c>
      <c r="DF20" s="64">
        <f>IF(OR($B20&lt;Analysis!$C$100, $B20&gt;=Analysis!$C$101),0,Analysis!$C$118)</f>
        <v>3.0000000000000001E-3</v>
      </c>
      <c r="DG20" s="1">
        <f t="shared" si="28"/>
        <v>-4089.5363037572765</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-6472</v>
      </c>
      <c r="DQ20" s="1">
        <f>-Analysis!$C$117*DB20</f>
        <v>-1751.5751906698356</v>
      </c>
      <c r="DR20" s="1">
        <f t="shared" si="29"/>
        <v>-17908.926015930025</v>
      </c>
      <c r="DS20" s="1">
        <f>MIN(0,-(DB20+DR20)*Analysis!$C$28)-CS20*Analysis!$C$28</f>
        <v>-71.660889904805117</v>
      </c>
      <c r="DT20" s="1">
        <f>-Analysis!$C$116*DD20/12</f>
        <v>-2412.5125330917267</v>
      </c>
      <c r="DU20" s="53"/>
      <c r="DV20" s="1">
        <f t="shared" si="30"/>
        <v>-69522.1171638737</v>
      </c>
      <c r="DW20" s="64">
        <f>IF(OR($B20&lt;Analysis!$C$100, $B20&gt;=Analysis!$C$101),0,IF($B20=Analysis!$C$100,Analysis!$C$31,DW19))</f>
        <v>0.1275</v>
      </c>
      <c r="DX20" s="1">
        <f>IF(OR($B20&lt;Analysis!$C$100, $B20&gt;=Analysis!$C$101),0,CK20+DV20)</f>
        <v>475749.3900037632</v>
      </c>
      <c r="DY20" s="1">
        <f>IF(OR($B20&lt;Analysis!$C$100, $B20&gt;=Analysis!$C$101),0,IF($B20-Analysis!$C$100&gt;3,0,IF(CK20&gt;LOOKUP(Analysis!$C$100,$B:$B, CK:CK),$V20*(LOOKUP(Analysis!$C$100,$B:$B, CK:CK)-CK20),0)))</f>
        <v>0</v>
      </c>
      <c r="DZ20" s="1">
        <f t="shared" si="49"/>
        <v>475749.3900037632</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-126719.07865103833</v>
      </c>
      <c r="FM20" s="1">
        <f>$M20+$R20+DD20+IF(AND($B20&lt;&gt;Analysis!$C$130,$B20=Analysis!$C$101),DZ19+CQ19+CT19+CZ19,0)</f>
        <v>158826.45229158056</v>
      </c>
      <c r="FN20" s="1">
        <f t="shared" si="34"/>
        <v>32107.373640542224</v>
      </c>
      <c r="FO20" s="1">
        <f>IF(FN20 &lt; 0,
    IF(FO19 + FN20 &gt; 0,
        FO19 + FN20, IF(FT19-ABS(FO19 + FN20)*(1+$V20) &gt;= FO19 + FN20,
        0, FO19 + FN20)),
    MIN(FO19 + FN20, Analysis!$C$7))+IF(FO19&lt;0, FO19*Analysis!$C$9,0)</f>
        <v>24000</v>
      </c>
      <c r="FP20" s="53"/>
      <c r="FQ20" s="1">
        <f t="shared" si="51"/>
        <v>26750.52175058912</v>
      </c>
      <c r="FR20" s="1">
        <f>IF(OR($B20=Analysis!$C$100, $B20=Analysis!$C$130),0,IF(FN20 &gt;= 0,
    MAX(0, FO19 + FN20 - Analysis!$C$7),
    0))</f>
        <v>32107.373640542224</v>
      </c>
      <c r="FS20" s="1">
        <f>IF(OR($B20=Analysis!$C$100, $B20=Analysis!$C$130),0,MAX(0, FS19 + FR20 - IF(FN20 &lt; 0, MIN(ABS(FN20), FS19 + FR20), 0)))</f>
        <v>408747.39258739963</v>
      </c>
      <c r="FT20" s="1">
        <f>IF(OR($B20=Analysis!$C$100, $B20=Analysis!$C$130),0,IF(FN20 &lt; 0,
    IF(FN20 + FO19 &lt; 0,
        MAX(0, FT19 - (ABS(FN20 + FO19) * (1+$V19))),
        FT19 + FQ20),
    FT19 + FR20 + FQ20))</f>
        <v>621148.06643212761</v>
      </c>
      <c r="FU20" s="1">
        <f t="shared" si="57"/>
        <v>565127.38870558061</v>
      </c>
      <c r="FV20" s="36"/>
      <c r="FW20" s="1">
        <f t="shared" si="52"/>
        <v>545271.50716763688</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-10963.626004445974</v>
      </c>
      <c r="GC20" s="1">
        <f>IF($B20&lt;Analysis!$C$159,0,IF($B20=Analysis!$C$159,-FY20-GB20,MIN(0,GC19-GB20)))</f>
        <v>-131838.63441593316</v>
      </c>
      <c r="GD20" s="64">
        <f>IF($B20&lt;Analysis!$C$159,0,IF($B20=Analysis!$C$159,Analysis!$C$160,IF(($B20-Analysis!$C$159)&lt;LOOKUP(Analysis!$C$159,$B:$B,FZ:FZ),GD19,0)))</f>
        <v>3.6999999999999998E-2</v>
      </c>
      <c r="GE20" s="1">
        <f>IF($B20&lt;Analysis!$C$159,0,IF($B20=Analysis!$C$159,-GD20*FY20,GD19*GC19))</f>
        <v>-5283.6836355540281</v>
      </c>
      <c r="GF20" s="1">
        <f>IF($B20&lt;Analysis!$C$159,0,IF($B20=Analysis!$C$159,PMT(GD20,FZ20,FY20)*FZ20-GG20-GC20,IF(($B20-Analysis!$C$159+1)&lt;LOOKUP(Analysis!$C$159,$B:$B,FZ:FZ),IF(GF19-GE20&lt;0, GF19-GE20,0),0)))</f>
        <v>-27814.049335474854</v>
      </c>
      <c r="GG20" s="1">
        <f>IF($B20&lt;Analysis!$C$159,0,IF($B20=Analysis!$C$159,GB20+GE20,IF(GC19&lt;0,IF(GC19&gt;LOOKUP(Analysis!$C$159,$B:$B,GG:GG), GC19*(1+GD19),GG19),0)))</f>
        <v>-16247.309640000001</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28950.150397100719</v>
      </c>
      <c r="GQ20" s="1">
        <f t="shared" si="36"/>
        <v>-1635.8145215029108</v>
      </c>
      <c r="GR20" s="64">
        <f>IF($B20&lt;Analysis!$C$159,0,Analysis!$C$178)</f>
        <v>3.0000000000000001E-3</v>
      </c>
      <c r="GS20" s="1">
        <f t="shared" si="37"/>
        <v>-4089.5363037572765</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-6472</v>
      </c>
      <c r="HC20" s="1">
        <f>-Analysis!$C$177*GN20</f>
        <v>-1751.5751906698356</v>
      </c>
      <c r="HD20" s="1">
        <f t="shared" si="38"/>
        <v>-17908.926015930025</v>
      </c>
      <c r="HE20" s="1">
        <f>MIN(0,-(GN20+HD20)*Analysis!$C$28)-GE20*Analysis!$C$28</f>
        <v>-71.660889904805117</v>
      </c>
      <c r="HF20" s="1">
        <f>-Analysis!$C$176*GP20/12</f>
        <v>-2412.5125330917267</v>
      </c>
      <c r="HG20" s="38"/>
      <c r="HH20" s="1">
        <f>IF($B20&lt;Analysis!$C$159,0,-$HI20*$FW20)</f>
        <v>-69522.1171638737</v>
      </c>
      <c r="HI20" s="64">
        <f>IF($B20&lt;Analysis!$C$159,0,IF($B20=Analysis!$C$159,Analysis!$C$31,HI19))</f>
        <v>0.1275</v>
      </c>
      <c r="HJ20" s="1">
        <f>IF($B20&lt;Analysis!$C$159,0,$FW20+HH20)</f>
        <v>475749.3900037632</v>
      </c>
      <c r="HK20" s="1">
        <f>IF($B20-Analysis!$C$159&gt;10,0,IF($FW20&gt;LOOKUP(Analysis!$C$159,$B:$B, FW:FW),$V20*(LOOKUP(Analysis!$C$159,$B:$B, FW:FW)-FW20),0))</f>
        <v>0</v>
      </c>
      <c r="HL20" s="1">
        <f t="shared" si="39"/>
        <v>475749.3900037632</v>
      </c>
      <c r="HM20" s="38"/>
      <c r="HN20" s="1">
        <f t="shared" si="40"/>
        <v>-126719.07865103833</v>
      </c>
      <c r="HO20" s="1">
        <f t="shared" si="8"/>
        <v>158826.45229158056</v>
      </c>
      <c r="HP20" s="1">
        <f t="shared" si="41"/>
        <v>32107.373640542224</v>
      </c>
      <c r="HQ20" s="1">
        <f>IF(HP20 &lt; 0,
    IF(HQ19 + HP20 &gt; 0,
        HQ19 + HP20, IF(HV19-ABS(HQ19 + HP20)*(1+$V20) &gt;= HQ19 + HP20,
        0, HQ19 + HP20)),
    MIN(HQ19 + HP20, Analysis!$C$7))+IF(HQ19&lt;0, HQ19*Analysis!$C$9,0)</f>
        <v>24000</v>
      </c>
      <c r="HR20" s="38"/>
      <c r="HS20" s="1">
        <f t="shared" si="54"/>
        <v>26750.52175058912</v>
      </c>
      <c r="HT20" s="1">
        <f>IF($B20=Analysis!$C$159,0,IF(HP20 &gt;= 0,
    MAX(0, HQ19 + HP20 - Analysis!$C$7),
    0))</f>
        <v>32107.373640542224</v>
      </c>
      <c r="HU20" s="1">
        <f>IF($B20=Analysis!$C$159,0,MAX(0, HU19 + HT20 - IF(HP20 &lt; 0, MIN(ABS(HP20), HU19 + HT20), 0)))</f>
        <v>408747.39258739963</v>
      </c>
      <c r="HV20" s="1">
        <f>IF($B20=Analysis!$C$159,0,IF(HP20 &lt; 0,
    IF(HP20 + HQ19 &lt; 0,
        MAX(0, HV19 - (ABS(HP20 + HQ19) * (1+$V19))),
        HV19 + HS20),
    HV19 + HT20 + HS20))</f>
        <v>621148.06643212761</v>
      </c>
      <c r="HW20" s="1">
        <f t="shared" si="58"/>
        <v>565127.38870558061</v>
      </c>
      <c r="HX20" s="36"/>
    </row>
    <row r="21" spans="1:232" x14ac:dyDescent="0.35">
      <c r="A21">
        <f t="shared" si="0"/>
        <v>54</v>
      </c>
      <c r="B21">
        <v>2044</v>
      </c>
      <c r="C21" s="1">
        <f>IF($B21&lt;Analysis!C$66,0,$AN21)+$AT21+$AW21+$BC21+$CF21+$CA21</f>
        <v>931803.29466330353</v>
      </c>
      <c r="D21" s="1">
        <f>IF($B21&lt;Analysis!C$66, 0, BV21)+AT21+AW21+BC21+CG21+CA21</f>
        <v>806029.65773710457</v>
      </c>
      <c r="E21" s="1">
        <f t="shared" si="1"/>
        <v>995331.20698917622</v>
      </c>
      <c r="F21" s="1">
        <f t="shared" si="9"/>
        <v>888996.41815359634</v>
      </c>
      <c r="G21" s="1">
        <f>IF(AND($B21&gt;=Analysis!$C$100, $B21&lt;Analysis!$C$101),$CK21,0)+IF($B21&gt;=Analysis!$C$130,EB21,0)+CQ21+CT21+CZ21+EH21+EK21+EQ21+$FO21+$FT21</f>
        <v>1120268.5666781322</v>
      </c>
      <c r="H21" s="1">
        <f t="shared" si="10"/>
        <v>985167.8697902261</v>
      </c>
      <c r="I21" s="1">
        <f>IF($B21&lt;Analysis!$C$159,0,$FW21)+$GC21+$GF21+$GL21+$HQ21+$HV21</f>
        <v>1120268.5666781322</v>
      </c>
      <c r="J21" s="1">
        <f t="shared" si="2"/>
        <v>985167.8697902261</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41281.62418760587</v>
      </c>
      <c r="AI21" s="1">
        <f>IF(AE21 &gt;= 0,
    MAX(0, AF20 + AE21 - Analysis!$C$7),
    0)</f>
        <v>29882.233975816707</v>
      </c>
      <c r="AJ21" s="1">
        <f t="shared" si="44"/>
        <v>568166.13083531882</v>
      </c>
      <c r="AK21" s="1">
        <f t="shared" si="20"/>
        <v>971331.20698917622</v>
      </c>
      <c r="AL21" s="1">
        <f t="shared" si="5"/>
        <v>864996.41815359634</v>
      </c>
      <c r="AM21" s="36"/>
      <c r="AN21" s="1">
        <f t="shared" si="45"/>
        <v>849942.40783147095</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-18774.315277920428</v>
      </c>
      <c r="AT21" s="1">
        <f>IF($B21&lt;Analysis!$C$66,0,IF($B21=Analysis!$C$66,-AP21-AS21,MIN(0,AT20-AS21)))</f>
        <v>-198933.40694044647</v>
      </c>
      <c r="AU21" s="64">
        <f>IF($B21&lt;Analysis!$C$66,0,IF($B21=Analysis!$C$66,Analysis!$C$72,IF(($B21-Analysis!$C$66)&lt;LOOKUP(Analysis!$C$66,$B:$B,AQ:AQ),AU20,0)))</f>
        <v>3.6999999999999998E-2</v>
      </c>
      <c r="AV21" s="1">
        <f>IF($B21&lt;Analysis!$C$66,0,IF($B21=Analysis!$C$66,-AU21*AP21,AU20*AT20))</f>
        <v>-8055.1857220795746</v>
      </c>
      <c r="AW21" s="1">
        <f>IF($B21&lt;Analysis!$C$66,0,IF($B21=Analysis!$C$66,PMT(AU21,AQ21,AP21)*AQ21-AX21-AT21,IF(($B21-Analysis!$C$66+1)&lt;LOOKUP(Analysis!$C$66,$B:$B,AQ:AQ),IF(AW20-AV21&lt;0, AW20-AV21,0),0)))</f>
        <v>-37874.699347813737</v>
      </c>
      <c r="AX21" s="1">
        <f>IF($B21&lt;Analysis!$C$66,0,IF($B21=Analysis!$C$66,AS21+AV21,IF(AT20&lt;0,IF(AT20&gt;LOOKUP(Analysis!$C$66,$B:$B,AX:AX), AT20*(1+AU20),AX20),0)))</f>
        <v>-26829.501000000004</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-2549.8272234944129</v>
      </c>
      <c r="BF21" s="64">
        <f>IF($B21&lt;Analysis!$C$66,0,Analysis!$C$78)</f>
        <v>3.0000000000000001E-3</v>
      </c>
      <c r="BG21" s="1">
        <f>IF($B21&lt;Analysis!$C$66,0,-BH21*AN21)</f>
        <v>-6374.5680587360321</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-108367.65699851255</v>
      </c>
      <c r="BS21" s="64">
        <f>IF($B21&lt;Analysis!C$66,0,Analysis!C$31)</f>
        <v>0.1275</v>
      </c>
      <c r="BT21" s="1">
        <f>IF($B21&lt;Analysis!$C$66,0,AN21+BR21)</f>
        <v>741574.75083295838</v>
      </c>
      <c r="BU21" s="1">
        <f>IF($B21-Analysis!$C$66&gt;3,0,IF($AN21&gt;LOOKUP(Analysis!$C$66,$B:$B, AN:AN),$V21*(LOOKUP(Analysis!$C$66,$B:$B, AN:AN)-AN21),0))</f>
        <v>0</v>
      </c>
      <c r="BV21" s="1">
        <f t="shared" si="23"/>
        <v>741574.75083295838</v>
      </c>
      <c r="BW21" s="42"/>
      <c r="BX21" s="1">
        <f>IF($B21&lt;Analysis!$C$66,$P21+$N21+$X21+$Z21,$P21+$N21+AS21+AV21+BB21+BE21+BG21+MAX(BI21,SUM(BJ21:BN21))+BP21)</f>
        <v>-109863.89628223045</v>
      </c>
      <c r="BY21" s="1">
        <f t="shared" si="24"/>
        <v>131467.92324122589</v>
      </c>
      <c r="BZ21" s="1">
        <f t="shared" si="46"/>
        <v>21604.026958995441</v>
      </c>
      <c r="CA21" s="1">
        <f>IF(BZ21 &lt; 0,
    IF(CA20 + BZ21 &gt; 0,
        CA20 + BZ21, IF(CF20-ABS(CA20 + BZ21)*(1+$V21) &gt;= CA20 + BZ21,
        0, CA20 + BZ21)),
    MIN(CA20 + BZ21, Analysis!$C$7))+IF(CA20&lt;0, CA20*Analysis!$C$9,0)</f>
        <v>24000</v>
      </c>
      <c r="CB21" s="42"/>
      <c r="CC21" s="1">
        <f t="shared" si="47"/>
        <v>11973.63387182087</v>
      </c>
      <c r="CD21" s="1">
        <f>IF(BZ21 &gt;= 0,
    MAX(0, CA20 + BZ21 - Analysis!$C$7),
    0)</f>
        <v>21604.026958995441</v>
      </c>
      <c r="CE21" s="1">
        <f>IF($B21=Analysis!$C$66,0,MAX(0, CE20 + CD21 - IF(BZ21 &lt; 0, MIN(ABS(BZ21), CE20 + CD21), 0)))</f>
        <v>228674.75642744298</v>
      </c>
      <c r="CF21" s="1">
        <f>IF($B21=Analysis!$C$66,0,IF(BZ21 &lt; 0,
    IF(BZ21 + CA20 &lt; 0,
        MAX(0, CF20 - (ABS(BZ21 + CA20) * (1+$V20))),
        CF20 + CC21),
    CF20 + CD21 + CC21))</f>
        <v>294668.99312009278</v>
      </c>
      <c r="CG21" s="1">
        <f t="shared" si="25"/>
        <v>277263.01319240639</v>
      </c>
      <c r="CH21" s="36"/>
      <c r="CI21" s="1">
        <f>IF(OR($B21&lt;Analysis!$C$100, $B21&gt;=Analysis!$C$130),0,X21)</f>
        <v>-27475.689265409179</v>
      </c>
      <c r="CJ21" s="1">
        <f>IF(OR($B21&lt;Analysis!$C$100, $B21&gt;=Analysis!$C$130),0,Z21)</f>
        <v>-3960</v>
      </c>
      <c r="CK21" s="1">
        <f t="shared" si="26"/>
        <v>561308.90443727328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-11369.280166610475</v>
      </c>
      <c r="CQ21" s="1">
        <f>IF(OR($B21&lt;Analysis!$C$100, $B21&gt;=Analysis!$C$101),0,IF($B21=Analysis!$C$100,-CM21-CP21,MIN(0,CQ20-CP21)))</f>
        <v>-120469.35424932269</v>
      </c>
      <c r="CR21" s="64">
        <f>IF(OR($B21&lt;Analysis!$C$100, $B21&gt;=Analysis!$C$101),0,IF($B21=Analysis!$C$100,Analysis!$C$102,IF(($B21-Analysis!$C$100)&lt;LOOKUP(Analysis!$C$100,$B:$B,CN:CN),CR20,0)))</f>
        <v>3.6999999999999998E-2</v>
      </c>
      <c r="CS21" s="1">
        <f>IF(OR($B21&lt;Analysis!$C$100, $B21&gt;=Analysis!$C$101),0,IF($B21=Analysis!$C$100,-CR21*CM21,CR20*CQ20))</f>
        <v>-4878.0294733895271</v>
      </c>
      <c r="CT21" s="1">
        <f>IF(OR($B21&lt;Analysis!$C$100, $B21&gt;=Analysis!$C$101),0,IF($B21=Analysis!$C$100,PMT(CR21,CN21,CM21)*CN21-CU21-CQ21,IF(($B21-Analysis!$C$100+1)&lt;LOOKUP(Analysis!$C$100,$B:$B,CN:CN),IF(CT20-CS21&lt;0, CT20-CS21,0),0)))</f>
        <v>-22936.019862085326</v>
      </c>
      <c r="CU21" s="1">
        <f>IF(OR($B21&lt;Analysis!$C$100, $B21&gt;=Analysis!$C$101),0,IF($B21=Analysis!$C$100,CP21+CS21,IF(CQ20&lt;0,IF(CQ20&gt;LOOKUP(Analysis!$C$100,$B:$B,CU:CU), CQ20*(1+CR20),CU20),0)))</f>
        <v>-16247.309640000001</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29685.15482054486</v>
      </c>
      <c r="DE21" s="1">
        <f t="shared" si="27"/>
        <v>-1683.9267133118199</v>
      </c>
      <c r="DF21" s="64">
        <f>IF(OR($B21&lt;Analysis!$C$100, $B21&gt;=Analysis!$C$101),0,Analysis!$C$118)</f>
        <v>3.0000000000000001E-3</v>
      </c>
      <c r="DG21" s="1">
        <f t="shared" si="28"/>
        <v>-4209.8167832795498</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-6472</v>
      </c>
      <c r="DQ21" s="1">
        <f>-Analysis!$C$117*DB21</f>
        <v>-1803.092108042478</v>
      </c>
      <c r="DR21" s="1">
        <f t="shared" si="29"/>
        <v>-18128.835604633849</v>
      </c>
      <c r="DS21" s="1">
        <f>MIN(0,-(DB21+DR21)*Analysis!$C$28)-CS21*Analysis!$C$28</f>
        <v>-458.3262582428024</v>
      </c>
      <c r="DT21" s="1">
        <f>-Analysis!$C$116*DD21/12</f>
        <v>-2473.7629017120717</v>
      </c>
      <c r="DU21" s="53"/>
      <c r="DV21" s="1">
        <f t="shared" si="30"/>
        <v>-71566.885315752341</v>
      </c>
      <c r="DW21" s="64">
        <f>IF(OR($B21&lt;Analysis!$C$100, $B21&gt;=Analysis!$C$101),0,IF($B21=Analysis!$C$100,Analysis!$C$31,DW20))</f>
        <v>0.1275</v>
      </c>
      <c r="DX21" s="1">
        <f>IF(OR($B21&lt;Analysis!$C$100, $B21&gt;=Analysis!$C$101),0,CK21+DV21)</f>
        <v>489742.01912152092</v>
      </c>
      <c r="DY21" s="1">
        <f>IF(OR($B21&lt;Analysis!$C$100, $B21&gt;=Analysis!$C$101),0,IF($B21-Analysis!$C$100&gt;3,0,IF(CK21&gt;LOOKUP(Analysis!$C$100,$B:$B, CK:CK),$V21*(LOOKUP(Analysis!$C$100,$B:$B, CK:CK)-CK21),0)))</f>
        <v>0</v>
      </c>
      <c r="DZ21" s="1">
        <f t="shared" si="49"/>
        <v>489742.01912152092</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-132421.92366999789</v>
      </c>
      <c r="FM21" s="1">
        <f>$M21+$R21+DD21+IF(AND($B21&lt;&gt;Analysis!$C$130,$B21=Analysis!$C$101),DZ20+CQ20+CT20+CZ20,0)</f>
        <v>161153.07806177074</v>
      </c>
      <c r="FN21" s="1">
        <f t="shared" si="34"/>
        <v>28731.154391772841</v>
      </c>
      <c r="FO21" s="1">
        <f>IF(FN21 &lt; 0,
    IF(FO20 + FN21 &gt; 0,
        FO20 + FN21, IF(FT20-ABS(FO20 + FN21)*(1+$V21) &gt;= FO20 + FN21,
        0, FO20 + FN21)),
    MIN(FO20 + FN21, Analysis!$C$7))+IF(FO20&lt;0, FO20*Analysis!$C$9,0)</f>
        <v>24000</v>
      </c>
      <c r="FP21" s="53"/>
      <c r="FQ21" s="1">
        <f t="shared" si="51"/>
        <v>28485.815528366478</v>
      </c>
      <c r="FR21" s="1">
        <f>IF(OR($B21=Analysis!$C$100, $B21=Analysis!$C$130),0,IF(FN21 &gt;= 0,
    MAX(0, FO20 + FN21 - Analysis!$C$7),
    0))</f>
        <v>28731.154391772841</v>
      </c>
      <c r="FS21" s="1">
        <f>IF(OR($B21=Analysis!$C$100, $B21=Analysis!$C$130),0,MAX(0, FS20 + FR21 - IF(FN21 &lt; 0, MIN(ABS(FN21), FS20 + FR21), 0)))</f>
        <v>437478.5469791725</v>
      </c>
      <c r="FT21" s="1">
        <f>IF(OR($B21=Analysis!$C$100, $B21=Analysis!$C$130),0,IF(FN21 &lt; 0,
    IF(FN21 + FO20 &lt; 0,
        MAX(0, FT20 - (ABS(FN21 + FO20) * (1+$V20))),
        FT20 + FQ21),
    FT20 + FR21 + FQ21))</f>
        <v>678365.03635226691</v>
      </c>
      <c r="FU21" s="1">
        <f t="shared" si="57"/>
        <v>614831.2247801132</v>
      </c>
      <c r="FV21" s="36"/>
      <c r="FW21" s="1">
        <f t="shared" si="52"/>
        <v>561308.90443727328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-11369.280166610475</v>
      </c>
      <c r="GC21" s="1">
        <f>IF($B21&lt;Analysis!$C$159,0,IF($B21=Analysis!$C$159,-FY21-GB21,MIN(0,GC20-GB21)))</f>
        <v>-120469.35424932269</v>
      </c>
      <c r="GD21" s="64">
        <f>IF($B21&lt;Analysis!$C$159,0,IF($B21=Analysis!$C$159,Analysis!$C$160,IF(($B21-Analysis!$C$159)&lt;LOOKUP(Analysis!$C$159,$B:$B,FZ:FZ),GD20,0)))</f>
        <v>3.6999999999999998E-2</v>
      </c>
      <c r="GE21" s="1">
        <f>IF($B21&lt;Analysis!$C$159,0,IF($B21=Analysis!$C$159,-GD21*FY21,GD20*GC20))</f>
        <v>-4878.0294733895271</v>
      </c>
      <c r="GF21" s="1">
        <f>IF($B21&lt;Analysis!$C$159,0,IF($B21=Analysis!$C$159,PMT(GD21,FZ21,FY21)*FZ21-GG21-GC21,IF(($B21-Analysis!$C$159+1)&lt;LOOKUP(Analysis!$C$159,$B:$B,FZ:FZ),IF(GF20-GE21&lt;0, GF20-GE21,0),0)))</f>
        <v>-22936.019862085326</v>
      </c>
      <c r="GG21" s="1">
        <f>IF($B21&lt;Analysis!$C$159,0,IF($B21=Analysis!$C$159,GB21+GE21,IF(GC20&lt;0,IF(GC20&gt;LOOKUP(Analysis!$C$159,$B:$B,GG:GG), GC20*(1+GD20),GG20),0)))</f>
        <v>-16247.309640000001</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29685.15482054486</v>
      </c>
      <c r="GQ21" s="1">
        <f t="shared" si="36"/>
        <v>-1683.9267133118199</v>
      </c>
      <c r="GR21" s="64">
        <f>IF($B21&lt;Analysis!$C$159,0,Analysis!$C$178)</f>
        <v>3.0000000000000001E-3</v>
      </c>
      <c r="GS21" s="1">
        <f t="shared" si="37"/>
        <v>-4209.8167832795498</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-6472</v>
      </c>
      <c r="HC21" s="1">
        <f>-Analysis!$C$177*GN21</f>
        <v>-1803.092108042478</v>
      </c>
      <c r="HD21" s="1">
        <f t="shared" si="38"/>
        <v>-18128.835604633849</v>
      </c>
      <c r="HE21" s="1">
        <f>MIN(0,-(GN21+HD21)*Analysis!$C$28)-GE21*Analysis!$C$28</f>
        <v>-458.3262582428024</v>
      </c>
      <c r="HF21" s="1">
        <f>-Analysis!$C$176*GP21/12</f>
        <v>-2473.7629017120717</v>
      </c>
      <c r="HG21" s="38"/>
      <c r="HH21" s="1">
        <f>IF($B21&lt;Analysis!$C$159,0,-$HI21*$FW21)</f>
        <v>-71566.885315752341</v>
      </c>
      <c r="HI21" s="64">
        <f>IF($B21&lt;Analysis!$C$159,0,IF($B21=Analysis!$C$159,Analysis!$C$31,HI20))</f>
        <v>0.1275</v>
      </c>
      <c r="HJ21" s="1">
        <f>IF($B21&lt;Analysis!$C$159,0,$FW21+HH21)</f>
        <v>489742.01912152092</v>
      </c>
      <c r="HK21" s="1">
        <f>IF($B21-Analysis!$C$159&gt;10,0,IF($FW21&gt;LOOKUP(Analysis!$C$159,$B:$B, FW:FW),$V21*(LOOKUP(Analysis!$C$159,$B:$B, FW:FW)-FW21),0))</f>
        <v>0</v>
      </c>
      <c r="HL21" s="1">
        <f t="shared" si="39"/>
        <v>489742.01912152092</v>
      </c>
      <c r="HM21" s="38"/>
      <c r="HN21" s="1">
        <f t="shared" si="40"/>
        <v>-132421.92366999789</v>
      </c>
      <c r="HO21" s="1">
        <f t="shared" si="8"/>
        <v>161153.07806177074</v>
      </c>
      <c r="HP21" s="1">
        <f t="shared" si="41"/>
        <v>28731.154391772841</v>
      </c>
      <c r="HQ21" s="1">
        <f>IF(HP21 &lt; 0,
    IF(HQ20 + HP21 &gt; 0,
        HQ20 + HP21, IF(HV20-ABS(HQ20 + HP21)*(1+$V21) &gt;= HQ20 + HP21,
        0, HQ20 + HP21)),
    MIN(HQ20 + HP21, Analysis!$C$7))+IF(HQ20&lt;0, HQ20*Analysis!$C$9,0)</f>
        <v>24000</v>
      </c>
      <c r="HR21" s="38"/>
      <c r="HS21" s="1">
        <f t="shared" si="54"/>
        <v>28485.815528366478</v>
      </c>
      <c r="HT21" s="1">
        <f>IF($B21=Analysis!$C$159,0,IF(HP21 &gt;= 0,
    MAX(0, HQ20 + HP21 - Analysis!$C$7),
    0))</f>
        <v>28731.154391772841</v>
      </c>
      <c r="HU21" s="1">
        <f>IF($B21=Analysis!$C$159,0,MAX(0, HU20 + HT21 - IF(HP21 &lt; 0, MIN(ABS(HP21), HU20 + HT21), 0)))</f>
        <v>437478.5469791725</v>
      </c>
      <c r="HV21" s="1">
        <f>IF($B21=Analysis!$C$159,0,IF(HP21 &lt; 0,
    IF(HP21 + HQ20 &lt; 0,
        MAX(0, HV20 - (ABS(HP21 + HQ20) * (1+$V20))),
        HV20 + HS21),
    HV20 + HT21 + HS21))</f>
        <v>678365.03635226691</v>
      </c>
      <c r="HW21" s="1">
        <f t="shared" si="58"/>
        <v>614831.2247801132</v>
      </c>
      <c r="HX21" s="36"/>
    </row>
    <row r="22" spans="1:232" x14ac:dyDescent="0.35">
      <c r="A22">
        <f t="shared" si="0"/>
        <v>55</v>
      </c>
      <c r="B22">
        <v>2045</v>
      </c>
      <c r="C22" s="1">
        <f>IF($B22&lt;Analysis!C$66,0,$AN22)+$AT22+$AW22+$BC22+$CF22+$CA22</f>
        <v>1067981.0031918781</v>
      </c>
      <c r="D22" s="1">
        <f>IF($B22&lt;Analysis!C$66, 0, BV22)+AT22+AW22+BC22+CG22+CA22</f>
        <v>935589.12816431606</v>
      </c>
      <c r="E22" s="1">
        <f t="shared" si="1"/>
        <v>1117285.3879814148</v>
      </c>
      <c r="F22" s="1">
        <f t="shared" si="9"/>
        <v>999640.98450131982</v>
      </c>
      <c r="G22" s="1">
        <f>IF(AND($B22&gt;=Analysis!$C$100, $B22&lt;Analysis!$C$101),$CK22,0)+IF($B22&gt;=Analysis!$C$130,EB22,0)+CQ22+CT22+CZ22+EH22+EK22+EQ22+$FO22+$FT22</f>
        <v>1260962.6697028265</v>
      </c>
      <c r="H22" s="1">
        <f t="shared" si="10"/>
        <v>1115858.5771778873</v>
      </c>
      <c r="I22" s="1">
        <f>IF($B22&lt;Analysis!$C$159,0,$FW22)+$GC22+$GF22+$GL22+$HQ22+$HV22</f>
        <v>1260962.6697028265</v>
      </c>
      <c r="J22" s="1">
        <f t="shared" si="2"/>
        <v>1115858.5771778873</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42880.055524228235</v>
      </c>
      <c r="AI22" s="1">
        <f>IF(AE22 &gt;= 0,
    MAX(0, AF21 + AE22 - Analysis!$C$7),
    0)</f>
        <v>79074.125468010549</v>
      </c>
      <c r="AJ22" s="1">
        <f t="shared" si="44"/>
        <v>647240.25630332937</v>
      </c>
      <c r="AK22" s="1">
        <f t="shared" si="20"/>
        <v>1093285.3879814148</v>
      </c>
      <c r="AL22" s="1">
        <f t="shared" si="5"/>
        <v>975640.98450131982</v>
      </c>
      <c r="AM22" s="36"/>
      <c r="AN22" s="1">
        <f t="shared" si="45"/>
        <v>874940.71394416143</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-19468.964943203486</v>
      </c>
      <c r="AT22" s="1">
        <f>IF($B22&lt;Analysis!$C$66,0,IF($B22=Analysis!$C$66,-AP22-AS22,MIN(0,AT21-AS22)))</f>
        <v>-179464.44199724298</v>
      </c>
      <c r="AU22" s="64">
        <f>IF($B22&lt;Analysis!$C$66,0,IF($B22=Analysis!$C$66,Analysis!$C$72,IF(($B22-Analysis!$C$66)&lt;LOOKUP(Analysis!$C$66,$B:$B,AQ:AQ),AU21,0)))</f>
        <v>3.6999999999999998E-2</v>
      </c>
      <c r="AV22" s="1">
        <f>IF($B22&lt;Analysis!$C$66,0,IF($B22=Analysis!$C$66,-AU22*AP22,AU21*AT21))</f>
        <v>-7360.536056796519</v>
      </c>
      <c r="AW22" s="1">
        <f>IF($B22&lt;Analysis!$C$66,0,IF($B22=Analysis!$C$66,PMT(AU22,AQ22,AP22)*AQ22-AX22-AT22,IF(($B22-Analysis!$C$66+1)&lt;LOOKUP(Analysis!$C$66,$B:$B,AQ:AQ),IF(AW21-AV22&lt;0, AW21-AV22,0),0)))</f>
        <v>-30514.163291017219</v>
      </c>
      <c r="AX22" s="1">
        <f>IF($B22&lt;Analysis!$C$66,0,IF($B22=Analysis!$C$66,AS22+AV22,IF(AT21&lt;0,IF(AT21&gt;LOOKUP(Analysis!$C$66,$B:$B,AX:AX), AT21*(1+AU21),AX21),0)))</f>
        <v>-26829.501000000004</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-2624.8221418324842</v>
      </c>
      <c r="BF22" s="64">
        <f>IF($B22&lt;Analysis!$C$66,0,Analysis!$C$78)</f>
        <v>3.0000000000000001E-3</v>
      </c>
      <c r="BG22" s="1">
        <f>IF($B22&lt;Analysis!$C$66,0,-BH22*AN22)</f>
        <v>-6562.0553545812108</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-111554.94102788059</v>
      </c>
      <c r="BS22" s="64">
        <f>IF($B22&lt;Analysis!C$66,0,Analysis!C$31)</f>
        <v>0.1275</v>
      </c>
      <c r="BT22" s="1">
        <f>IF($B22&lt;Analysis!$C$66,0,AN22+BR22)</f>
        <v>763385.7729162809</v>
      </c>
      <c r="BU22" s="1">
        <f>IF($B22-Analysis!$C$66&gt;3,0,IF($AN22&gt;LOOKUP(Analysis!$C$66,$B:$B, AN:AN),$V22*(LOOKUP(Analysis!$C$66,$B:$B, AN:AN)-AN22),0))</f>
        <v>0</v>
      </c>
      <c r="BV22" s="1">
        <f t="shared" si="23"/>
        <v>763385.7729162809</v>
      </c>
      <c r="BW22" s="42"/>
      <c r="BX22" s="1">
        <f>IF($B22&lt;Analysis!$C$66,$P22+$N22+$X22+$Z22,$P22+$N22+AS22+AV22+BB22+BE22+BG22+MAX(BI22,SUM(BJ22:BN22))+BP22)</f>
        <v>-110126.37849641372</v>
      </c>
      <c r="BY22" s="1">
        <f t="shared" si="24"/>
        <v>181467.92324122589</v>
      </c>
      <c r="BZ22" s="1">
        <f t="shared" si="46"/>
        <v>71341.54474481217</v>
      </c>
      <c r="CA22" s="1">
        <f>IF(BZ22 &lt; 0,
    IF(CA21 + BZ22 &gt; 0,
        CA21 + BZ22, IF(CF21-ABS(CA21 + BZ22)*(1+$V22) &gt;= CA21 + BZ22,
        0, CA21 + BZ22)),
    MIN(CA21 + BZ22, Analysis!$C$7))+IF(CA21&lt;0, CA21*Analysis!$C$9,0)</f>
        <v>24000</v>
      </c>
      <c r="CB22" s="42"/>
      <c r="CC22" s="1">
        <f t="shared" si="47"/>
        <v>13008.356671071935</v>
      </c>
      <c r="CD22" s="1">
        <f>IF(BZ22 &gt;= 0,
    MAX(0, CA21 + BZ22 - Analysis!$C$7),
    0)</f>
        <v>71341.54474481217</v>
      </c>
      <c r="CE22" s="1">
        <f>IF($B22=Analysis!$C$66,0,MAX(0, CE21 + CD22 - IF(BZ22 &lt; 0, MIN(ABS(BZ22), CE21 + CD22), 0)))</f>
        <v>300016.30117225513</v>
      </c>
      <c r="CF22" s="1">
        <f>IF($B22=Analysis!$C$66,0,IF(BZ22 &lt; 0,
    IF(BZ22 + CA21 &lt; 0,
        MAX(0, CF21 - (ABS(BZ22 + CA21) * (1+$V21))),
        CF21 + CC22),
    CF21 + CD22 + CC22))</f>
        <v>379018.89453597693</v>
      </c>
      <c r="CG22" s="1">
        <f t="shared" si="25"/>
        <v>358181.96053629532</v>
      </c>
      <c r="CH22" s="36"/>
      <c r="CI22" s="1">
        <f>IF(OR($B22&lt;Analysis!$C$100, $B22&gt;=Analysis!$C$130),0,X22)</f>
        <v>-28283.797773215334</v>
      </c>
      <c r="CJ22" s="1">
        <f>IF(OR($B22&lt;Analysis!$C$100, $B22&gt;=Analysis!$C$130),0,Z22)</f>
        <v>-3960</v>
      </c>
      <c r="CK22" s="1">
        <f t="shared" si="26"/>
        <v>577817.98986189906</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-11789.943532775062</v>
      </c>
      <c r="CQ22" s="1">
        <f>IF(OR($B22&lt;Analysis!$C$100, $B22&gt;=Analysis!$C$101),0,IF($B22=Analysis!$C$100,-CM22-CP22,MIN(0,CQ21-CP22)))</f>
        <v>-108679.41071654763</v>
      </c>
      <c r="CR22" s="64">
        <f>IF(OR($B22&lt;Analysis!$C$100, $B22&gt;=Analysis!$C$101),0,IF($B22=Analysis!$C$100,Analysis!$C$102,IF(($B22-Analysis!$C$100)&lt;LOOKUP(Analysis!$C$100,$B:$B,CN:CN),CR21,0)))</f>
        <v>3.6999999999999998E-2</v>
      </c>
      <c r="CS22" s="1">
        <f>IF(OR($B22&lt;Analysis!$C$100, $B22&gt;=Analysis!$C$101),0,IF($B22=Analysis!$C$100,-CR22*CM22,CR21*CQ21))</f>
        <v>-4457.3661072249388</v>
      </c>
      <c r="CT22" s="1">
        <f>IF(OR($B22&lt;Analysis!$C$100, $B22&gt;=Analysis!$C$101),0,IF($B22=Analysis!$C$100,PMT(CR22,CN22,CM22)*CN22-CU22-CQ22,IF(($B22-Analysis!$C$100+1)&lt;LOOKUP(Analysis!$C$100,$B:$B,CN:CN),IF(CT21-CS22&lt;0, CT21-CS22,0),0)))</f>
        <v>-18478.653754860388</v>
      </c>
      <c r="CU22" s="1">
        <f>IF(OR($B22&lt;Analysis!$C$100, $B22&gt;=Analysis!$C$101),0,IF($B22=Analysis!$C$100,CP22+CS22,IF(CQ21&lt;0,IF(CQ21&gt;LOOKUP(Analysis!$C$100,$B:$B,CU:CU), CQ21*(1+CR21),CU21),0)))</f>
        <v>-16247.309640000001</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30441.777021149126</v>
      </c>
      <c r="DE22" s="1">
        <f t="shared" si="27"/>
        <v>-1733.4539695856972</v>
      </c>
      <c r="DF22" s="64">
        <f>IF(OR($B22&lt;Analysis!$C$100, $B22&gt;=Analysis!$C$101),0,Analysis!$C$118)</f>
        <v>3.0000000000000001E-3</v>
      </c>
      <c r="DG22" s="1">
        <f t="shared" si="28"/>
        <v>-4333.6349239642432</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-6472</v>
      </c>
      <c r="DQ22" s="1">
        <f>-Analysis!$C$117*DB22</f>
        <v>-1856.124228867257</v>
      </c>
      <c r="DR22" s="1">
        <f t="shared" si="29"/>
        <v>-18355.213122417197</v>
      </c>
      <c r="DS22" s="1">
        <f>MIN(0,-(DB22+DR22)*Analysis!$C$28)-CS22*Analysis!$C$28</f>
        <v>-857.72808749332444</v>
      </c>
      <c r="DT22" s="1">
        <f>-Analysis!$C$116*DD22/12</f>
        <v>-2536.814751762427</v>
      </c>
      <c r="DU22" s="53"/>
      <c r="DV22" s="1">
        <f t="shared" si="30"/>
        <v>-73671.793707392135</v>
      </c>
      <c r="DW22" s="64">
        <f>IF(OR($B22&lt;Analysis!$C$100, $B22&gt;=Analysis!$C$101),0,IF($B22=Analysis!$C$100,Analysis!$C$31,DW21))</f>
        <v>0.1275</v>
      </c>
      <c r="DX22" s="1">
        <f>IF(OR($B22&lt;Analysis!$C$100, $B22&gt;=Analysis!$C$101),0,CK22+DV22)</f>
        <v>504146.19615450694</v>
      </c>
      <c r="DY22" s="1">
        <f>IF(OR($B22&lt;Analysis!$C$100, $B22&gt;=Analysis!$C$101),0,IF($B22-Analysis!$C$100&gt;3,0,IF(CK22&gt;LOOKUP(Analysis!$C$100,$B:$B, CK:CK),$V22*(LOOKUP(Analysis!$C$100,$B:$B, CK:CK)-CK22),0)))</f>
        <v>0</v>
      </c>
      <c r="DZ22" s="1">
        <f t="shared" si="49"/>
        <v>504146.19615450694</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-133918.86337488829</v>
      </c>
      <c r="FM22" s="1">
        <f>$M22+$R22+DD22+IF(AND($B22&lt;&gt;Analysis!$C$130,$B22=Analysis!$C$101),DZ21+CQ21+CT21+CZ21,0)</f>
        <v>211909.700262375</v>
      </c>
      <c r="FN22" s="1">
        <f t="shared" si="34"/>
        <v>77990.836887486716</v>
      </c>
      <c r="FO22" s="1">
        <f>IF(FN22 &lt; 0,
    IF(FO21 + FN22 &gt; 0,
        FO21 + FN22, IF(FT21-ABS(FO21 + FN22)*(1+$V22) &gt;= FO21 + FN22,
        0, FO21 + FN22)),
    MIN(FO21 + FN22, Analysis!$C$7))+IF(FO21&lt;0, FO21*Analysis!$C$9,0)</f>
        <v>24000</v>
      </c>
      <c r="FP22" s="53"/>
      <c r="FQ22" s="1">
        <f t="shared" si="51"/>
        <v>29946.871072581987</v>
      </c>
      <c r="FR22" s="1">
        <f>IF(OR($B22=Analysis!$C$100, $B22=Analysis!$C$130),0,IF(FN22 &gt;= 0,
    MAX(0, FO21 + FN22 - Analysis!$C$7),
    0))</f>
        <v>77990.836887486716</v>
      </c>
      <c r="FS22" s="1">
        <f>IF(OR($B22=Analysis!$C$100, $B22=Analysis!$C$130),0,MAX(0, FS21 + FR22 - IF(FN22 &lt; 0, MIN(ABS(FN22), FS21 + FR22), 0)))</f>
        <v>515469.38386665925</v>
      </c>
      <c r="FT22" s="1">
        <f>IF(OR($B22=Analysis!$C$100, $B22=Analysis!$C$130),0,IF(FN22 &lt; 0,
    IF(FN22 + FO21 &lt; 0,
        MAX(0, FT21 - (ABS(FN22 + FO21) * (1+$V21))),
        FT21 + FQ22),
    FT21 + FR22 + FQ22))</f>
        <v>786302.74431233562</v>
      </c>
      <c r="FU22" s="1">
        <f t="shared" si="57"/>
        <v>714870.44549478847</v>
      </c>
      <c r="FV22" s="36"/>
      <c r="FW22" s="1">
        <f t="shared" si="52"/>
        <v>577817.98986189906</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-11789.943532775062</v>
      </c>
      <c r="GC22" s="1">
        <f>IF($B22&lt;Analysis!$C$159,0,IF($B22=Analysis!$C$159,-FY22-GB22,MIN(0,GC21-GB22)))</f>
        <v>-108679.41071654763</v>
      </c>
      <c r="GD22" s="64">
        <f>IF($B22&lt;Analysis!$C$159,0,IF($B22=Analysis!$C$159,Analysis!$C$160,IF(($B22-Analysis!$C$159)&lt;LOOKUP(Analysis!$C$159,$B:$B,FZ:FZ),GD21,0)))</f>
        <v>3.6999999999999998E-2</v>
      </c>
      <c r="GE22" s="1">
        <f>IF($B22&lt;Analysis!$C$159,0,IF($B22=Analysis!$C$159,-GD22*FY22,GD21*GC21))</f>
        <v>-4457.3661072249388</v>
      </c>
      <c r="GF22" s="1">
        <f>IF($B22&lt;Analysis!$C$159,0,IF($B22=Analysis!$C$159,PMT(GD22,FZ22,FY22)*FZ22-GG22-GC22,IF(($B22-Analysis!$C$159+1)&lt;LOOKUP(Analysis!$C$159,$B:$B,FZ:FZ),IF(GF21-GE22&lt;0, GF21-GE22,0),0)))</f>
        <v>-18478.653754860388</v>
      </c>
      <c r="GG22" s="1">
        <f>IF($B22&lt;Analysis!$C$159,0,IF($B22=Analysis!$C$159,GB22+GE22,IF(GC21&lt;0,IF(GC21&gt;LOOKUP(Analysis!$C$159,$B:$B,GG:GG), GC21*(1+GD21),GG21),0)))</f>
        <v>-16247.309640000001</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30441.777021149126</v>
      </c>
      <c r="GQ22" s="1">
        <f t="shared" si="36"/>
        <v>-1733.4539695856972</v>
      </c>
      <c r="GR22" s="64">
        <f>IF($B22&lt;Analysis!$C$159,0,Analysis!$C$178)</f>
        <v>3.0000000000000001E-3</v>
      </c>
      <c r="GS22" s="1">
        <f t="shared" si="37"/>
        <v>-4333.6349239642432</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-6472</v>
      </c>
      <c r="HC22" s="1">
        <f>-Analysis!$C$177*GN22</f>
        <v>-1856.124228867257</v>
      </c>
      <c r="HD22" s="1">
        <f t="shared" si="38"/>
        <v>-18355.213122417197</v>
      </c>
      <c r="HE22" s="1">
        <f>MIN(0,-(GN22+HD22)*Analysis!$C$28)-GE22*Analysis!$C$28</f>
        <v>-857.72808749332444</v>
      </c>
      <c r="HF22" s="1">
        <f>-Analysis!$C$176*GP22/12</f>
        <v>-2536.814751762427</v>
      </c>
      <c r="HG22" s="38"/>
      <c r="HH22" s="1">
        <f>IF($B22&lt;Analysis!$C$159,0,-$HI22*$FW22)</f>
        <v>-73671.793707392135</v>
      </c>
      <c r="HI22" s="64">
        <f>IF($B22&lt;Analysis!$C$159,0,IF($B22=Analysis!$C$159,Analysis!$C$31,HI21))</f>
        <v>0.1275</v>
      </c>
      <c r="HJ22" s="1">
        <f>IF($B22&lt;Analysis!$C$159,0,$FW22+HH22)</f>
        <v>504146.19615450694</v>
      </c>
      <c r="HK22" s="1">
        <f>IF($B22-Analysis!$C$159&gt;10,0,IF($FW22&gt;LOOKUP(Analysis!$C$159,$B:$B, FW:FW),$V22*(LOOKUP(Analysis!$C$159,$B:$B, FW:FW)-FW22),0))</f>
        <v>0</v>
      </c>
      <c r="HL22" s="1">
        <f t="shared" si="39"/>
        <v>504146.19615450694</v>
      </c>
      <c r="HM22" s="38"/>
      <c r="HN22" s="1">
        <f t="shared" si="40"/>
        <v>-133918.86337488829</v>
      </c>
      <c r="HO22" s="1">
        <f t="shared" si="8"/>
        <v>211909.700262375</v>
      </c>
      <c r="HP22" s="1">
        <f t="shared" si="41"/>
        <v>77990.836887486716</v>
      </c>
      <c r="HQ22" s="1">
        <f>IF(HP22 &lt; 0,
    IF(HQ21 + HP22 &gt; 0,
        HQ21 + HP22, IF(HV21-ABS(HQ21 + HP22)*(1+$V22) &gt;= HQ21 + HP22,
        0, HQ21 + HP22)),
    MIN(HQ21 + HP22, Analysis!$C$7))+IF(HQ21&lt;0, HQ21*Analysis!$C$9,0)</f>
        <v>24000</v>
      </c>
      <c r="HR22" s="38"/>
      <c r="HS22" s="1">
        <f t="shared" si="54"/>
        <v>29946.871072581987</v>
      </c>
      <c r="HT22" s="1">
        <f>IF($B22=Analysis!$C$159,0,IF(HP22 &gt;= 0,
    MAX(0, HQ21 + HP22 - Analysis!$C$7),
    0))</f>
        <v>77990.836887486716</v>
      </c>
      <c r="HU22" s="1">
        <f>IF($B22=Analysis!$C$159,0,MAX(0, HU21 + HT22 - IF(HP22 &lt; 0, MIN(ABS(HP22), HU21 + HT22), 0)))</f>
        <v>515469.38386665925</v>
      </c>
      <c r="HV22" s="1">
        <f>IF($B22=Analysis!$C$159,0,IF(HP22 &lt; 0,
    IF(HP22 + HQ21 &lt; 0,
        MAX(0, HV21 - (ABS(HP22 + HQ21) * (1+$V21))),
        HV21 + HS22),
    HV21 + HT22 + HS22))</f>
        <v>786302.74431233562</v>
      </c>
      <c r="HW22" s="1">
        <f t="shared" si="58"/>
        <v>714870.44549478847</v>
      </c>
      <c r="HX22" s="36"/>
    </row>
    <row r="23" spans="1:232" x14ac:dyDescent="0.35">
      <c r="A23">
        <f t="shared" si="0"/>
        <v>56</v>
      </c>
      <c r="B23">
        <v>2046</v>
      </c>
      <c r="C23" s="1">
        <f>IF($B23&lt;Analysis!C$66,0,$AN23)+$AT23+$AW23+$BC23+$CF23+$CA23</f>
        <v>1153447.6889846802</v>
      </c>
      <c r="D23" s="1">
        <f>IF($B23&lt;Analysis!C$66, 0, BV23)+AT23+AW23+BC23+CG23+CA23</f>
        <v>1013533.0817866728</v>
      </c>
      <c r="E23" s="1">
        <f t="shared" si="1"/>
        <v>1187667.2366441698</v>
      </c>
      <c r="F23" s="1">
        <f t="shared" si="9"/>
        <v>1057787.5762696173</v>
      </c>
      <c r="G23" s="1">
        <f>IF(AND($B23&gt;=Analysis!$C$100, $B23&lt;Analysis!$C$101),$CK23,0)+IF($B23&gt;=Analysis!$C$130,EB23,0)+CQ23+CT23+CZ23+EH23+EK23+EQ23+$FO23+$FT23</f>
        <v>1350545.8617064292</v>
      </c>
      <c r="H23" s="1">
        <f t="shared" si="10"/>
        <v>1194475.2218600961</v>
      </c>
      <c r="I23" s="1">
        <f>IF($B23&lt;Analysis!$C$159,0,$FW23)+$GC23+$GF23+$GL23+$HQ23+$HV23</f>
        <v>1350545.8617064292</v>
      </c>
      <c r="J23" s="1">
        <f t="shared" si="2"/>
        <v>1194475.2218600961</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46389.59959983905</v>
      </c>
      <c r="AI23" s="1">
        <f>IF(AE23 &gt;= 0,
    MAX(0, AF22 + AE23 - Analysis!$C$7),
    0)</f>
        <v>23992.249062915973</v>
      </c>
      <c r="AJ23" s="1">
        <f t="shared" si="44"/>
        <v>671232.50536624528</v>
      </c>
      <c r="AK23" s="1">
        <f t="shared" si="20"/>
        <v>1163667.2366441698</v>
      </c>
      <c r="AL23" s="1">
        <f t="shared" si="5"/>
        <v>1033787.5762696172</v>
      </c>
      <c r="AM23" s="36"/>
      <c r="AN23" s="1">
        <f t="shared" si="45"/>
        <v>900674.26435428392</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-20189.316646102016</v>
      </c>
      <c r="AT23" s="1">
        <f>IF($B23&lt;Analysis!$C$66,0,IF($B23=Analysis!$C$66,-AP23-AS23,MIN(0,AT22-AS23)))</f>
        <v>-159275.12535114097</v>
      </c>
      <c r="AU23" s="64">
        <f>IF($B23&lt;Analysis!$C$66,0,IF($B23=Analysis!$C$66,Analysis!$C$72,IF(($B23-Analysis!$C$66)&lt;LOOKUP(Analysis!$C$66,$B:$B,AQ:AQ),AU22,0)))</f>
        <v>3.6999999999999998E-2</v>
      </c>
      <c r="AV23" s="1">
        <f>IF($B23&lt;Analysis!$C$66,0,IF($B23=Analysis!$C$66,-AU23*AP23,AU22*AT22))</f>
        <v>-6640.1843538979901</v>
      </c>
      <c r="AW23" s="1">
        <f>IF($B23&lt;Analysis!$C$66,0,IF($B23=Analysis!$C$66,PMT(AU23,AQ23,AP23)*AQ23-AX23-AT23,IF(($B23-Analysis!$C$66+1)&lt;LOOKUP(Analysis!$C$66,$B:$B,AQ:AQ),IF(AW22-AV23&lt;0, AW22-AV23,0),0)))</f>
        <v>-23873.978937119231</v>
      </c>
      <c r="AX23" s="1">
        <f>IF($B23&lt;Analysis!$C$66,0,IF($B23=Analysis!$C$66,AS23+AV23,IF(AT22&lt;0,IF(AT22&gt;LOOKUP(Analysis!$C$66,$B:$B,AX:AX), AT22*(1+AU22),AX22),0)))</f>
        <v>-26829.501000000004</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-2702.0227930628516</v>
      </c>
      <c r="BF23" s="64">
        <f>IF($B23&lt;Analysis!$C$66,0,Analysis!$C$78)</f>
        <v>3.0000000000000001E-3</v>
      </c>
      <c r="BG23" s="1">
        <f>IF($B23&lt;Analysis!$C$66,0,-BH23*AN23)</f>
        <v>-6755.0569826571291</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-114835.9687051712</v>
      </c>
      <c r="BS23" s="64">
        <f>IF($B23&lt;Analysis!C$66,0,Analysis!C$31)</f>
        <v>0.1275</v>
      </c>
      <c r="BT23" s="1">
        <f>IF($B23&lt;Analysis!$C$66,0,AN23+BR23)</f>
        <v>785838.29564911267</v>
      </c>
      <c r="BU23" s="1">
        <f>IF($B23-Analysis!$C$66&gt;3,0,IF($AN23&gt;LOOKUP(Analysis!$C$66,$B:$B, AN:AN),$V23*(LOOKUP(Analysis!$C$66,$B:$B, AN:AN)-AN23),0))</f>
        <v>0</v>
      </c>
      <c r="BV23" s="1">
        <f t="shared" si="23"/>
        <v>785838.29564911267</v>
      </c>
      <c r="BW23" s="42"/>
      <c r="BX23" s="1">
        <f>IF($B23&lt;Analysis!$C$66,$P23+$N23+$X23+$Z23,$P23+$N23+AS23+AV23+BB23+BE23+BG23+MAX(BI23,SUM(BJ23:BN23))+BP23)</f>
        <v>-114646.58077571998</v>
      </c>
      <c r="BY23" s="1">
        <f t="shared" si="24"/>
        <v>131467.92324122589</v>
      </c>
      <c r="BZ23" s="1">
        <f t="shared" si="46"/>
        <v>16821.342465505906</v>
      </c>
      <c r="CA23" s="1">
        <f>IF(BZ23 &lt; 0,
    IF(CA22 + BZ23 &gt; 0,
        CA22 + BZ23, IF(CF22-ABS(CA22 + BZ23)*(1+$V23) &gt;= CA22 + BZ23,
        0, CA22 + BZ23)),
    MIN(CA22 + BZ23, Analysis!$C$7))+IF(CA22&lt;0, CA22*Analysis!$C$9,0)</f>
        <v>24000</v>
      </c>
      <c r="CB23" s="42"/>
      <c r="CC23" s="1">
        <f t="shared" si="47"/>
        <v>16082.291917173676</v>
      </c>
      <c r="CD23" s="1">
        <f>IF(BZ23 &gt;= 0,
    MAX(0, CA22 + BZ23 - Analysis!$C$7),
    0)</f>
        <v>16821.342465505906</v>
      </c>
      <c r="CE23" s="1">
        <f>IF($B23=Analysis!$C$66,0,MAX(0, CE22 + CD23 - IF(BZ23 &lt; 0, MIN(ABS(BZ23), CE22 + CD23), 0)))</f>
        <v>316837.64363776101</v>
      </c>
      <c r="CF23" s="1">
        <f>IF($B23=Analysis!$C$66,0,IF(BZ23 &lt; 0,
    IF(BZ23 + CA22 &lt; 0,
        MAX(0, CF22 - (ABS(BZ23 + CA22) * (1+$V22))),
        CF22 + CC23),
    CF22 + CD23 + CC23))</f>
        <v>411922.52891865652</v>
      </c>
      <c r="CG23" s="1">
        <f t="shared" si="25"/>
        <v>386843.89042582031</v>
      </c>
      <c r="CH23" s="36"/>
      <c r="CI23" s="1">
        <f>IF(OR($B23&lt;Analysis!$C$100, $B23&gt;=Analysis!$C$130),0,X23)</f>
        <v>-29115.674178309906</v>
      </c>
      <c r="CJ23" s="1">
        <f>IF(OR($B23&lt;Analysis!$C$100, $B23&gt;=Analysis!$C$130),0,Z23)</f>
        <v>-3960</v>
      </c>
      <c r="CK23" s="1">
        <f t="shared" si="26"/>
        <v>594812.63662254321</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-12226.171443487739</v>
      </c>
      <c r="CQ23" s="1">
        <f>IF(OR($B23&lt;Analysis!$C$100, $B23&gt;=Analysis!$C$101),0,IF($B23=Analysis!$C$100,-CM23-CP23,MIN(0,CQ22-CP23)))</f>
        <v>-96453.239273059895</v>
      </c>
      <c r="CR23" s="64">
        <f>IF(OR($B23&lt;Analysis!$C$100, $B23&gt;=Analysis!$C$101),0,IF($B23=Analysis!$C$100,Analysis!$C$102,IF(($B23-Analysis!$C$100)&lt;LOOKUP(Analysis!$C$100,$B:$B,CN:CN),CR22,0)))</f>
        <v>3.6999999999999998E-2</v>
      </c>
      <c r="CS23" s="1">
        <f>IF(OR($B23&lt;Analysis!$C$100, $B23&gt;=Analysis!$C$101),0,IF($B23=Analysis!$C$100,-CR23*CM23,CR22*CQ22))</f>
        <v>-4021.1381965122623</v>
      </c>
      <c r="CT23" s="1">
        <f>IF(OR($B23&lt;Analysis!$C$100, $B23&gt;=Analysis!$C$101),0,IF($B23=Analysis!$C$100,PMT(CR23,CN23,CM23)*CN23-CU23-CQ23,IF(($B23-Analysis!$C$100+1)&lt;LOOKUP(Analysis!$C$100,$B:$B,CN:CN),IF(CT22-CS23&lt;0, CT22-CS23,0),0)))</f>
        <v>-14457.515558348126</v>
      </c>
      <c r="CU23" s="1">
        <f>IF(OR($B23&lt;Analysis!$C$100, $B23&gt;=Analysis!$C$101),0,IF($B23=Analysis!$C$100,CP23+CS23,IF(CQ22&lt;0,IF(CQ22&gt;LOOKUP(Analysis!$C$100,$B:$B,CU:CU), CQ22*(1+CR22),CU22),0)))</f>
        <v>-16247.309640000001</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31220.652815888807</v>
      </c>
      <c r="DE23" s="1">
        <f t="shared" si="27"/>
        <v>-1784.4379098676297</v>
      </c>
      <c r="DF23" s="64">
        <f>IF(OR($B23&lt;Analysis!$C$100, $B23&gt;=Analysis!$C$101),0,Analysis!$C$118)</f>
        <v>3.0000000000000001E-3</v>
      </c>
      <c r="DG23" s="1">
        <f t="shared" si="28"/>
        <v>-4461.0947746690736</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-6472</v>
      </c>
      <c r="DQ23" s="1">
        <f>-Analysis!$C$117*DB23</f>
        <v>-1910.7161179515883</v>
      </c>
      <c r="DR23" s="1">
        <f t="shared" si="29"/>
        <v>-18588.248802488291</v>
      </c>
      <c r="DS23" s="1">
        <f>MIN(0,-(DB23+DR23)*Analysis!$C$28)-CS23*Analysis!$C$28</f>
        <v>-1270.2914456008384</v>
      </c>
      <c r="DT23" s="1">
        <f>-Analysis!$C$116*DD23/12</f>
        <v>-2601.7210679907339</v>
      </c>
      <c r="DU23" s="53"/>
      <c r="DV23" s="1">
        <f t="shared" si="30"/>
        <v>-75838.611169374257</v>
      </c>
      <c r="DW23" s="64">
        <f>IF(OR($B23&lt;Analysis!$C$100, $B23&gt;=Analysis!$C$101),0,IF($B23=Analysis!$C$100,Analysis!$C$31,DW22))</f>
        <v>0.1275</v>
      </c>
      <c r="DX23" s="1">
        <f>IF(OR($B23&lt;Analysis!$C$100, $B23&gt;=Analysis!$C$101),0,CK23+DV23)</f>
        <v>518974.02545316896</v>
      </c>
      <c r="DY23" s="1">
        <f>IF(OR($B23&lt;Analysis!$C$100, $B23&gt;=Analysis!$C$101),0,IF($B23-Analysis!$C$100&gt;3,0,IF(CK23&gt;LOOKUP(Analysis!$C$100,$B:$B, CK:CK),$V23*(LOOKUP(Analysis!$C$100,$B:$B, CK:CK)-CK23),0)))</f>
        <v>0</v>
      </c>
      <c r="DZ23" s="1">
        <f t="shared" si="49"/>
        <v>518974.02545316896</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-139711.24513438976</v>
      </c>
      <c r="FM23" s="1">
        <f>$M23+$R23+DD23+IF(AND($B23&lt;&gt;Analysis!$C$130,$B23=Analysis!$C$101),DZ22+CQ22+CT22+CZ22,0)</f>
        <v>162688.5760571147</v>
      </c>
      <c r="FN23" s="1">
        <f t="shared" si="34"/>
        <v>22977.330922724941</v>
      </c>
      <c r="FO23" s="1">
        <f>IF(FN23 &lt; 0,
    IF(FO22 + FN23 &gt; 0,
        FO22 + FN23, IF(FT22-ABS(FO22 + FN23)*(1+$V23) &gt;= FO22 + FN23,
        0, FO22 + FN23)),
    MIN(FO22 + FN23, Analysis!$C$7))+IF(FO22&lt;0, FO22*Analysis!$C$9,0)</f>
        <v>24000</v>
      </c>
      <c r="FP23" s="53"/>
      <c r="FQ23" s="1">
        <f t="shared" si="51"/>
        <v>33363.904680233361</v>
      </c>
      <c r="FR23" s="1">
        <f>IF(OR($B23=Analysis!$C$100, $B23=Analysis!$C$130),0,IF(FN23 &gt;= 0,
    MAX(0, FO22 + FN23 - Analysis!$C$7),
    0))</f>
        <v>22977.330922724941</v>
      </c>
      <c r="FS23" s="1">
        <f>IF(OR($B23=Analysis!$C$100, $B23=Analysis!$C$130),0,MAX(0, FS22 + FR23 - IF(FN23 &lt; 0, MIN(ABS(FN23), FS22 + FR23), 0)))</f>
        <v>538446.71478938416</v>
      </c>
      <c r="FT23" s="1">
        <f>IF(OR($B23=Analysis!$C$100, $B23=Analysis!$C$130),0,IF(FN23 &lt; 0,
    IF(FN23 + FO22 &lt; 0,
        MAX(0, FT22 - (ABS(FN23 + FO22) * (1+$V22))),
        FT22 + FQ23),
    FT22 + FR23 + FQ23))</f>
        <v>842643.97991529386</v>
      </c>
      <c r="FU23" s="1">
        <f t="shared" si="57"/>
        <v>762411.95123833523</v>
      </c>
      <c r="FV23" s="36"/>
      <c r="FW23" s="1">
        <f t="shared" si="52"/>
        <v>594812.63662254321</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-12226.171443487739</v>
      </c>
      <c r="GC23" s="1">
        <f>IF($B23&lt;Analysis!$C$159,0,IF($B23=Analysis!$C$159,-FY23-GB23,MIN(0,GC22-GB23)))</f>
        <v>-96453.239273059895</v>
      </c>
      <c r="GD23" s="64">
        <f>IF($B23&lt;Analysis!$C$159,0,IF($B23=Analysis!$C$159,Analysis!$C$160,IF(($B23-Analysis!$C$159)&lt;LOOKUP(Analysis!$C$159,$B:$B,FZ:FZ),GD22,0)))</f>
        <v>3.6999999999999998E-2</v>
      </c>
      <c r="GE23" s="1">
        <f>IF($B23&lt;Analysis!$C$159,0,IF($B23=Analysis!$C$159,-GD23*FY23,GD22*GC22))</f>
        <v>-4021.1381965122623</v>
      </c>
      <c r="GF23" s="1">
        <f>IF($B23&lt;Analysis!$C$159,0,IF($B23=Analysis!$C$159,PMT(GD23,FZ23,FY23)*FZ23-GG23-GC23,IF(($B23-Analysis!$C$159+1)&lt;LOOKUP(Analysis!$C$159,$B:$B,FZ:FZ),IF(GF22-GE23&lt;0, GF22-GE23,0),0)))</f>
        <v>-14457.515558348126</v>
      </c>
      <c r="GG23" s="1">
        <f>IF($B23&lt;Analysis!$C$159,0,IF($B23=Analysis!$C$159,GB23+GE23,IF(GC22&lt;0,IF(GC22&gt;LOOKUP(Analysis!$C$159,$B:$B,GG:GG), GC22*(1+GD22),GG22),0)))</f>
        <v>-16247.309640000001</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31220.652815888807</v>
      </c>
      <c r="GQ23" s="1">
        <f t="shared" si="36"/>
        <v>-1784.4379098676297</v>
      </c>
      <c r="GR23" s="64">
        <f>IF($B23&lt;Analysis!$C$159,0,Analysis!$C$178)</f>
        <v>3.0000000000000001E-3</v>
      </c>
      <c r="GS23" s="1">
        <f t="shared" si="37"/>
        <v>-4461.0947746690736</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-6472</v>
      </c>
      <c r="HC23" s="1">
        <f>-Analysis!$C$177*GN23</f>
        <v>-1910.7161179515883</v>
      </c>
      <c r="HD23" s="1">
        <f t="shared" si="38"/>
        <v>-18588.248802488291</v>
      </c>
      <c r="HE23" s="1">
        <f>MIN(0,-(GN23+HD23)*Analysis!$C$28)-GE23*Analysis!$C$28</f>
        <v>-1270.2914456008384</v>
      </c>
      <c r="HF23" s="1">
        <f>-Analysis!$C$176*GP23/12</f>
        <v>-2601.7210679907339</v>
      </c>
      <c r="HG23" s="38"/>
      <c r="HH23" s="1">
        <f>IF($B23&lt;Analysis!$C$159,0,-$HI23*$FW23)</f>
        <v>-75838.611169374257</v>
      </c>
      <c r="HI23" s="64">
        <f>IF($B23&lt;Analysis!$C$159,0,IF($B23=Analysis!$C$159,Analysis!$C$31,HI22))</f>
        <v>0.1275</v>
      </c>
      <c r="HJ23" s="1">
        <f>IF($B23&lt;Analysis!$C$159,0,$FW23+HH23)</f>
        <v>518974.02545316896</v>
      </c>
      <c r="HK23" s="1">
        <f>IF($B23-Analysis!$C$159&gt;10,0,IF($FW23&gt;LOOKUP(Analysis!$C$159,$B:$B, FW:FW),$V23*(LOOKUP(Analysis!$C$159,$B:$B, FW:FW)-FW23),0))</f>
        <v>0</v>
      </c>
      <c r="HL23" s="1">
        <f t="shared" si="39"/>
        <v>518974.02545316896</v>
      </c>
      <c r="HM23" s="38"/>
      <c r="HN23" s="1">
        <f t="shared" si="40"/>
        <v>-139711.24513438976</v>
      </c>
      <c r="HO23" s="1">
        <f t="shared" si="8"/>
        <v>162688.5760571147</v>
      </c>
      <c r="HP23" s="1">
        <f t="shared" si="41"/>
        <v>22977.330922724941</v>
      </c>
      <c r="HQ23" s="1">
        <f>IF(HP23 &lt; 0,
    IF(HQ22 + HP23 &gt; 0,
        HQ22 + HP23, IF(HV22-ABS(HQ22 + HP23)*(1+$V23) &gt;= HQ22 + HP23,
        0, HQ22 + HP23)),
    MIN(HQ22 + HP23, Analysis!$C$7))+IF(HQ22&lt;0, HQ22*Analysis!$C$9,0)</f>
        <v>24000</v>
      </c>
      <c r="HR23" s="38"/>
      <c r="HS23" s="1">
        <f t="shared" si="54"/>
        <v>33363.904680233361</v>
      </c>
      <c r="HT23" s="1">
        <f>IF($B23=Analysis!$C$159,0,IF(HP23 &gt;= 0,
    MAX(0, HQ22 + HP23 - Analysis!$C$7),
    0))</f>
        <v>22977.330922724941</v>
      </c>
      <c r="HU23" s="1">
        <f>IF($B23=Analysis!$C$159,0,MAX(0, HU22 + HT23 - IF(HP23 &lt; 0, MIN(ABS(HP23), HU22 + HT23), 0)))</f>
        <v>538446.71478938416</v>
      </c>
      <c r="HV23" s="1">
        <f>IF($B23=Analysis!$C$159,0,IF(HP23 &lt; 0,
    IF(HP23 + HQ22 &lt; 0,
        MAX(0, HV22 - (ABS(HP23 + HQ22) * (1+$V22))),
        HV22 + HS23),
    HV22 + HT23 + HS23))</f>
        <v>842643.97991529386</v>
      </c>
      <c r="HW23" s="1">
        <f t="shared" si="58"/>
        <v>762411.95123833523</v>
      </c>
      <c r="HX23" s="36"/>
    </row>
    <row r="24" spans="1:232" x14ac:dyDescent="0.35">
      <c r="A24">
        <f t="shared" si="0"/>
        <v>57</v>
      </c>
      <c r="B24">
        <v>2047</v>
      </c>
      <c r="C24" s="1">
        <f>IF($B24&lt;Analysis!C$66,0,$AN24)+$AT24+$AW24+$BC24+$CF24+$CA24</f>
        <v>1240083.0879640142</v>
      </c>
      <c r="D24" s="1">
        <f>IF($B24&lt;Analysis!C$66, 0, BV24)+AT24+AW24+BC24+CG24+CA24</f>
        <v>1092367.2620059235</v>
      </c>
      <c r="E24" s="1">
        <f t="shared" si="1"/>
        <v>1258184.282270076</v>
      </c>
      <c r="F24" s="1">
        <f t="shared" si="9"/>
        <v>1115807.8462413133</v>
      </c>
      <c r="G24" s="1">
        <f>IF(AND($B24&gt;=Analysis!$C$100, $B24&lt;Analysis!$C$101),$CK24,0)+IF($B24&gt;=Analysis!$C$130,EB24,0)+CQ24+CT24+CZ24+EH24+EK24+EQ24+$FO24+$FT24</f>
        <v>1440787.5709103772</v>
      </c>
      <c r="H24" s="1">
        <f t="shared" si="10"/>
        <v>1273437.1190400771</v>
      </c>
      <c r="I24" s="1">
        <f>IF($B24&lt;Analysis!$C$159,0,$FW24)+$GC24+$GF24+$GL24+$HQ24+$HV24</f>
        <v>1440787.5709103772</v>
      </c>
      <c r="J24" s="1">
        <f t="shared" si="2"/>
        <v>1273437.1190400771</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47381.139921175694</v>
      </c>
      <c r="AI24" s="1">
        <f>IF(AE24 &gt;= 0,
    MAX(0, AF23 + AE24 - Analysis!$C$7),
    0)</f>
        <v>23135.905704730394</v>
      </c>
      <c r="AJ24" s="1">
        <f t="shared" si="44"/>
        <v>694368.41107097571</v>
      </c>
      <c r="AK24" s="1">
        <f t="shared" si="20"/>
        <v>1234184.282270076</v>
      </c>
      <c r="AL24" s="1">
        <f t="shared" si="5"/>
        <v>1091807.8462413133</v>
      </c>
      <c r="AM24" s="36"/>
      <c r="AN24" s="1">
        <f t="shared" si="45"/>
        <v>927164.68389411585</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-20936.321362007788</v>
      </c>
      <c r="AT24" s="1">
        <f>IF($B24&lt;Analysis!$C$66,0,IF($B24=Analysis!$C$66,-AP24-AS24,MIN(0,AT23-AS24)))</f>
        <v>-138338.80398913319</v>
      </c>
      <c r="AU24" s="64">
        <f>IF($B24&lt;Analysis!$C$66,0,IF($B24=Analysis!$C$66,Analysis!$C$72,IF(($B24-Analysis!$C$66)&lt;LOOKUP(Analysis!$C$66,$B:$B,AQ:AQ),AU23,0)))</f>
        <v>3.6999999999999998E-2</v>
      </c>
      <c r="AV24" s="1">
        <f>IF($B24&lt;Analysis!$C$66,0,IF($B24=Analysis!$C$66,-AU24*AP24,AU23*AT23))</f>
        <v>-5893.1796379922162</v>
      </c>
      <c r="AW24" s="1">
        <f>IF($B24&lt;Analysis!$C$66,0,IF($B24=Analysis!$C$66,PMT(AU24,AQ24,AP24)*AQ24-AX24-AT24,IF(($B24-Analysis!$C$66+1)&lt;LOOKUP(Analysis!$C$66,$B:$B,AQ:AQ),IF(AW23-AV24&lt;0, AW23-AV24,0),0)))</f>
        <v>-17980.799299127015</v>
      </c>
      <c r="AX24" s="1">
        <f>IF($B24&lt;Analysis!$C$66,0,IF($B24=Analysis!$C$66,AS24+AV24,IF(AT23&lt;0,IF(AT23&gt;LOOKUP(Analysis!$C$66,$B:$B,AX:AX), AT23*(1+AU23),AX23),0)))</f>
        <v>-26829.501000000004</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-2781.4940516823476</v>
      </c>
      <c r="BF24" s="64">
        <f>IF($B24&lt;Analysis!$C$66,0,Analysis!$C$78)</f>
        <v>3.0000000000000001E-3</v>
      </c>
      <c r="BG24" s="1">
        <f>IF($B24&lt;Analysis!$C$66,0,-BH24*AN24)</f>
        <v>-6953.7351292058684</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-118213.49719649977</v>
      </c>
      <c r="BS24" s="64">
        <f>IF($B24&lt;Analysis!C$66,0,Analysis!C$31)</f>
        <v>0.1275</v>
      </c>
      <c r="BT24" s="1">
        <f>IF($B24&lt;Analysis!$C$66,0,AN24+BR24)</f>
        <v>808951.18669761613</v>
      </c>
      <c r="BU24" s="1">
        <f>IF($B24-Analysis!$C$66&gt;3,0,IF($AN24&gt;LOOKUP(Analysis!$C$66,$B:$B, AN:AN),$V24*(LOOKUP(Analysis!$C$66,$B:$B, AN:AN)-AN24),0))</f>
        <v>0</v>
      </c>
      <c r="BV24" s="1">
        <f t="shared" si="23"/>
        <v>808951.18669761613</v>
      </c>
      <c r="BW24" s="42"/>
      <c r="BX24" s="1">
        <f>IF($B24&lt;Analysis!$C$66,$P24+$N24+$X24+$Z24,$P24+$N24+AS24+AV24+BB24+BE24+BG24+MAX(BI24,SUM(BJ24:BN24))+BP24)</f>
        <v>-114924.73018088822</v>
      </c>
      <c r="BY24" s="1">
        <f t="shared" si="24"/>
        <v>131467.92324122589</v>
      </c>
      <c r="BZ24" s="1">
        <f t="shared" si="46"/>
        <v>16543.193060337668</v>
      </c>
      <c r="CA24" s="1">
        <f>IF(BZ24 &lt; 0,
    IF(CA23 + BZ24 &gt; 0,
        CA23 + BZ24, IF(CF23-ABS(CA23 + BZ24)*(1+$V24) &gt;= CA23 + BZ24,
        0, CA23 + BZ24)),
    MIN(CA23 + BZ24, Analysis!$C$7))+IF(CA23&lt;0, CA23*Analysis!$C$9,0)</f>
        <v>24000</v>
      </c>
      <c r="CB24" s="42"/>
      <c r="CC24" s="1">
        <f t="shared" si="47"/>
        <v>16772.285379164194</v>
      </c>
      <c r="CD24" s="1">
        <f>IF(BZ24 &gt;= 0,
    MAX(0, CA23 + BZ24 - Analysis!$C$7),
    0)</f>
        <v>16543.193060337668</v>
      </c>
      <c r="CE24" s="1">
        <f>IF($B24=Analysis!$C$66,0,MAX(0, CE23 + CD24 - IF(BZ24 &lt; 0, MIN(ABS(BZ24), CE23 + CD24), 0)))</f>
        <v>333380.83669809869</v>
      </c>
      <c r="CF24" s="1">
        <f>IF($B24=Analysis!$C$66,0,IF(BZ24 &lt; 0,
    IF(BZ24 + CA23 &lt; 0,
        MAX(0, CF23 - (ABS(BZ24 + CA23) * (1+$V23))),
        CF23 + CC24),
    CF23 + CD24 + CC24))</f>
        <v>445238.00735815841</v>
      </c>
      <c r="CG24" s="1">
        <f t="shared" si="25"/>
        <v>415735.67859656765</v>
      </c>
      <c r="CH24" s="36"/>
      <c r="CI24" s="1">
        <f>IF(OR($B24&lt;Analysis!$C$100, $B24&gt;=Analysis!$C$130),0,X24)</f>
        <v>-29972.017536495496</v>
      </c>
      <c r="CJ24" s="1">
        <f>IF(OR($B24&lt;Analysis!$C$100, $B24&gt;=Analysis!$C$130),0,Z24)</f>
        <v>-3960</v>
      </c>
      <c r="CK24" s="1">
        <f t="shared" si="26"/>
        <v>612307.12593497103</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-12678.539786896785</v>
      </c>
      <c r="CQ24" s="1">
        <f>IF(OR($B24&lt;Analysis!$C$100, $B24&gt;=Analysis!$C$101),0,IF($B24=Analysis!$C$100,-CM24-CP24,MIN(0,CQ23-CP24)))</f>
        <v>-83774.69948616311</v>
      </c>
      <c r="CR24" s="64">
        <f>IF(OR($B24&lt;Analysis!$C$100, $B24&gt;=Analysis!$C$101),0,IF($B24=Analysis!$C$100,Analysis!$C$102,IF(($B24-Analysis!$C$100)&lt;LOOKUP(Analysis!$C$100,$B:$B,CN:CN),CR23,0)))</f>
        <v>3.6999999999999998E-2</v>
      </c>
      <c r="CS24" s="1">
        <f>IF(OR($B24&lt;Analysis!$C$100, $B24&gt;=Analysis!$C$101),0,IF($B24=Analysis!$C$100,-CR24*CM24,CR23*CQ23))</f>
        <v>-3568.7698531032161</v>
      </c>
      <c r="CT24" s="1">
        <f>IF(OR($B24&lt;Analysis!$C$100, $B24&gt;=Analysis!$C$101),0,IF($B24=Analysis!$C$100,PMT(CR24,CN24,CM24)*CN24-CU24-CQ24,IF(($B24-Analysis!$C$100+1)&lt;LOOKUP(Analysis!$C$100,$B:$B,CN:CN),IF(CT23-CS24&lt;0, CT23-CS24,0),0)))</f>
        <v>-10888.74570524491</v>
      </c>
      <c r="CU24" s="1">
        <f>IF(OR($B24&lt;Analysis!$C$100, $B24&gt;=Analysis!$C$101),0,IF($B24=Analysis!$C$100,CP24+CS24,IF(CQ23&lt;0,IF(CQ23&gt;LOOKUP(Analysis!$C$100,$B:$B,CU:CU), CQ23*(1+CR23),CU23),0)))</f>
        <v>-16247.309640000001</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32022.436722238479</v>
      </c>
      <c r="DE24" s="1">
        <f t="shared" si="27"/>
        <v>-1836.9213778049132</v>
      </c>
      <c r="DF24" s="64">
        <f>IF(OR($B24&lt;Analysis!$C$100, $B24&gt;=Analysis!$C$101),0,Analysis!$C$118)</f>
        <v>3.0000000000000001E-3</v>
      </c>
      <c r="DG24" s="1">
        <f t="shared" si="28"/>
        <v>-4592.3034445122821</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-6472</v>
      </c>
      <c r="DQ24" s="1">
        <f>-Analysis!$C$117*DB24</f>
        <v>-1966.9136508325173</v>
      </c>
      <c r="DR24" s="1">
        <f t="shared" si="29"/>
        <v>-18828.138473149713</v>
      </c>
      <c r="DS24" s="1">
        <f>MIN(0,-(DB24+DR24)*Analysis!$C$28)-CS24*Analysis!$C$28</f>
        <v>-1696.45576975584</v>
      </c>
      <c r="DT24" s="1">
        <f>-Analysis!$C$116*DD24/12</f>
        <v>-2668.5363935198734</v>
      </c>
      <c r="DU24" s="53"/>
      <c r="DV24" s="1">
        <f t="shared" si="30"/>
        <v>-78069.158556708804</v>
      </c>
      <c r="DW24" s="64">
        <f>IF(OR($B24&lt;Analysis!$C$100, $B24&gt;=Analysis!$C$101),0,IF($B24=Analysis!$C$100,Analysis!$C$31,DW23))</f>
        <v>0.1275</v>
      </c>
      <c r="DX24" s="1">
        <f>IF(OR($B24&lt;Analysis!$C$100, $B24&gt;=Analysis!$C$101),0,CK24+DV24)</f>
        <v>534237.9673782622</v>
      </c>
      <c r="DY24" s="1">
        <f>IF(OR($B24&lt;Analysis!$C$100, $B24&gt;=Analysis!$C$101),0,IF($B24-Analysis!$C$100&gt;3,0,IF(CK24&gt;LOOKUP(Analysis!$C$100,$B:$B, CK:CK),$V24*(LOOKUP(Analysis!$C$100,$B:$B, CK:CK)-CK24),0)))</f>
        <v>0</v>
      </c>
      <c r="DZ24" s="1">
        <f t="shared" si="49"/>
        <v>534237.9673782622</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-141300.45781292094</v>
      </c>
      <c r="FM24" s="1">
        <f>$M24+$R24+DD24+IF(AND($B24&lt;&gt;Analysis!$C$130,$B24=Analysis!$C$101),DZ23+CQ23+CT23+CZ23,0)</f>
        <v>163490.35996346438</v>
      </c>
      <c r="FN24" s="1">
        <f t="shared" si="34"/>
        <v>22189.902150543436</v>
      </c>
      <c r="FO24" s="1">
        <f>IF(FN24 &lt; 0,
    IF(FO23 + FN24 &gt; 0,
        FO23 + FN24, IF(FT23-ABS(FO23 + FN24)*(1+$V24) &gt;= FO23 + FN24,
        0, FO23 + FN24)),
    MIN(FO23 + FN24, Analysis!$C$7))+IF(FO23&lt;0, FO23*Analysis!$C$9,0)</f>
        <v>24000</v>
      </c>
      <c r="FP24" s="53"/>
      <c r="FQ24" s="1">
        <f t="shared" si="51"/>
        <v>34310.008100976927</v>
      </c>
      <c r="FR24" s="1">
        <f>IF(OR($B24=Analysis!$C$100, $B24=Analysis!$C$130),0,IF(FN24 &gt;= 0,
    MAX(0, FO23 + FN24 - Analysis!$C$7),
    0))</f>
        <v>22189.902150543436</v>
      </c>
      <c r="FS24" s="1">
        <f>IF(OR($B24=Analysis!$C$100, $B24=Analysis!$C$130),0,MAX(0, FS23 + FR24 - IF(FN24 &lt; 0, MIN(ABS(FN24), FS23 + FR24), 0)))</f>
        <v>560636.61693992757</v>
      </c>
      <c r="FT24" s="1">
        <f>IF(OR($B24=Analysis!$C$100, $B24=Analysis!$C$130),0,IF(FN24 &lt; 0,
    IF(FN24 + FO23 &lt; 0,
        MAX(0, FT23 - (ABS(FN24 + FO23) * (1+$V23))),
        FT23 + FQ24),
    FT23 + FR24 + FQ24))</f>
        <v>899143.89016681421</v>
      </c>
      <c r="FU24" s="1">
        <f t="shared" si="57"/>
        <v>809862.59685322281</v>
      </c>
      <c r="FV24" s="36"/>
      <c r="FW24" s="1">
        <f t="shared" si="52"/>
        <v>612307.12593497103</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-12678.539786896785</v>
      </c>
      <c r="GC24" s="1">
        <f>IF($B24&lt;Analysis!$C$159,0,IF($B24=Analysis!$C$159,-FY24-GB24,MIN(0,GC23-GB24)))</f>
        <v>-83774.69948616311</v>
      </c>
      <c r="GD24" s="64">
        <f>IF($B24&lt;Analysis!$C$159,0,IF($B24=Analysis!$C$159,Analysis!$C$160,IF(($B24-Analysis!$C$159)&lt;LOOKUP(Analysis!$C$159,$B:$B,FZ:FZ),GD23,0)))</f>
        <v>3.6999999999999998E-2</v>
      </c>
      <c r="GE24" s="1">
        <f>IF($B24&lt;Analysis!$C$159,0,IF($B24=Analysis!$C$159,-GD24*FY24,GD23*GC23))</f>
        <v>-3568.7698531032161</v>
      </c>
      <c r="GF24" s="1">
        <f>IF($B24&lt;Analysis!$C$159,0,IF($B24=Analysis!$C$159,PMT(GD24,FZ24,FY24)*FZ24-GG24-GC24,IF(($B24-Analysis!$C$159+1)&lt;LOOKUP(Analysis!$C$159,$B:$B,FZ:FZ),IF(GF23-GE24&lt;0, GF23-GE24,0),0)))</f>
        <v>-10888.74570524491</v>
      </c>
      <c r="GG24" s="1">
        <f>IF($B24&lt;Analysis!$C$159,0,IF($B24=Analysis!$C$159,GB24+GE24,IF(GC23&lt;0,IF(GC23&gt;LOOKUP(Analysis!$C$159,$B:$B,GG:GG), GC23*(1+GD23),GG23),0)))</f>
        <v>-16247.309640000001</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32022.436722238479</v>
      </c>
      <c r="GQ24" s="1">
        <f t="shared" si="36"/>
        <v>-1836.9213778049132</v>
      </c>
      <c r="GR24" s="64">
        <f>IF($B24&lt;Analysis!$C$159,0,Analysis!$C$178)</f>
        <v>3.0000000000000001E-3</v>
      </c>
      <c r="GS24" s="1">
        <f t="shared" si="37"/>
        <v>-4592.3034445122821</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-6472</v>
      </c>
      <c r="HC24" s="1">
        <f>-Analysis!$C$177*GN24</f>
        <v>-1966.9136508325173</v>
      </c>
      <c r="HD24" s="1">
        <f t="shared" si="38"/>
        <v>-18828.138473149713</v>
      </c>
      <c r="HE24" s="1">
        <f>MIN(0,-(GN24+HD24)*Analysis!$C$28)-GE24*Analysis!$C$28</f>
        <v>-1696.45576975584</v>
      </c>
      <c r="HF24" s="1">
        <f>-Analysis!$C$176*GP24/12</f>
        <v>-2668.5363935198734</v>
      </c>
      <c r="HG24" s="38"/>
      <c r="HH24" s="1">
        <f>IF($B24&lt;Analysis!$C$159,0,-$HI24*$FW24)</f>
        <v>-78069.158556708804</v>
      </c>
      <c r="HI24" s="64">
        <f>IF($B24&lt;Analysis!$C$159,0,IF($B24=Analysis!$C$159,Analysis!$C$31,HI23))</f>
        <v>0.1275</v>
      </c>
      <c r="HJ24" s="1">
        <f>IF($B24&lt;Analysis!$C$159,0,$FW24+HH24)</f>
        <v>534237.9673782622</v>
      </c>
      <c r="HK24" s="1">
        <f>IF($B24-Analysis!$C$159&gt;10,0,IF($FW24&gt;LOOKUP(Analysis!$C$159,$B:$B, FW:FW),$V24*(LOOKUP(Analysis!$C$159,$B:$B, FW:FW)-FW24),0))</f>
        <v>0</v>
      </c>
      <c r="HL24" s="1">
        <f t="shared" si="39"/>
        <v>534237.9673782622</v>
      </c>
      <c r="HM24" s="38"/>
      <c r="HN24" s="1">
        <f t="shared" si="40"/>
        <v>-141300.45781292094</v>
      </c>
      <c r="HO24" s="1">
        <f t="shared" si="8"/>
        <v>163490.35996346438</v>
      </c>
      <c r="HP24" s="1">
        <f t="shared" si="41"/>
        <v>22189.902150543436</v>
      </c>
      <c r="HQ24" s="1">
        <f>IF(HP24 &lt; 0,
    IF(HQ23 + HP24 &gt; 0,
        HQ23 + HP24, IF(HV23-ABS(HQ23 + HP24)*(1+$V24) &gt;= HQ23 + HP24,
        0, HQ23 + HP24)),
    MIN(HQ23 + HP24, Analysis!$C$7))+IF(HQ23&lt;0, HQ23*Analysis!$C$9,0)</f>
        <v>24000</v>
      </c>
      <c r="HR24" s="38"/>
      <c r="HS24" s="1">
        <f t="shared" si="54"/>
        <v>34310.008100976927</v>
      </c>
      <c r="HT24" s="1">
        <f>IF($B24=Analysis!$C$159,0,IF(HP24 &gt;= 0,
    MAX(0, HQ23 + HP24 - Analysis!$C$7),
    0))</f>
        <v>22189.902150543436</v>
      </c>
      <c r="HU24" s="1">
        <f>IF($B24=Analysis!$C$159,0,MAX(0, HU23 + HT24 - IF(HP24 &lt; 0, MIN(ABS(HP24), HU23 + HT24), 0)))</f>
        <v>560636.61693992757</v>
      </c>
      <c r="HV24" s="1">
        <f>IF($B24=Analysis!$C$159,0,IF(HP24 &lt; 0,
    IF(HP24 + HQ23 &lt; 0,
        MAX(0, HV23 - (ABS(HP24 + HQ23) * (1+$V23))),
        HV23 + HS24),
    HV23 + HT24 + HS24))</f>
        <v>899143.89016681421</v>
      </c>
      <c r="HW24" s="1">
        <f t="shared" si="58"/>
        <v>809862.59685322281</v>
      </c>
      <c r="HX24" s="36"/>
    </row>
    <row r="25" spans="1:232" x14ac:dyDescent="0.35">
      <c r="A25">
        <f t="shared" si="0"/>
        <v>58</v>
      </c>
      <c r="B25">
        <v>2048</v>
      </c>
      <c r="C25" s="1">
        <f>IF($B25&lt;Analysis!C$66,0,$AN25)+$AT25+$AW25+$BC25+$CF25+$CA25</f>
        <v>1327804.5307328783</v>
      </c>
      <c r="D25" s="1">
        <f>IF($B25&lt;Analysis!C$66, 0, BV25)+AT25+AW25+BC25+CG25+CA25</f>
        <v>1172031.6788171525</v>
      </c>
      <c r="E25" s="1">
        <f t="shared" si="1"/>
        <v>1328575.3021546253</v>
      </c>
      <c r="F25" s="1">
        <f t="shared" si="9"/>
        <v>1173502.8262425456</v>
      </c>
      <c r="G25" s="1">
        <f>IF(AND($B25&gt;=Analysis!$C$100, $B25&lt;Analysis!$C$101),$CK25,0)+IF($B25&gt;=Analysis!$C$130,EB25,0)+CQ25+CT25+CZ25+EH25+EK25+EQ25+$FO25+$FT25</f>
        <v>1531490.8366821771</v>
      </c>
      <c r="H25" s="1">
        <f t="shared" si="10"/>
        <v>1352594.7499659162</v>
      </c>
      <c r="I25" s="1">
        <f>IF($B25&lt;Analysis!$C$159,0,$FW25)+$GC25+$GF25+$GL25+$HQ25+$HV25</f>
        <v>1531490.8366821771</v>
      </c>
      <c r="J25" s="1">
        <f t="shared" si="2"/>
        <v>1352594.7499659162</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48136.644107363063</v>
      </c>
      <c r="AI25" s="1">
        <f>IF(AE25 &gt;= 0,
    MAX(0, AF24 + AE25 - Analysis!$C$7),
    0)</f>
        <v>22254.375777186404</v>
      </c>
      <c r="AJ25" s="1">
        <f t="shared" si="44"/>
        <v>716622.78684816207</v>
      </c>
      <c r="AK25" s="1">
        <f t="shared" si="20"/>
        <v>1304575.3021546253</v>
      </c>
      <c r="AL25" s="1">
        <f t="shared" si="5"/>
        <v>1149502.8262425456</v>
      </c>
      <c r="AM25" s="36"/>
      <c r="AN25" s="1">
        <f t="shared" si="45"/>
        <v>954434.23342041345</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-21710.965252402075</v>
      </c>
      <c r="AT25" s="1">
        <f>IF($B25&lt;Analysis!$C$66,0,IF($B25=Analysis!$C$66,-AP25-AS25,MIN(0,AT24-AS25)))</f>
        <v>-116627.83873673111</v>
      </c>
      <c r="AU25" s="64">
        <f>IF($B25&lt;Analysis!$C$66,0,IF($B25=Analysis!$C$66,Analysis!$C$72,IF(($B25-Analysis!$C$66)&lt;LOOKUP(Analysis!$C$66,$B:$B,AQ:AQ),AU24,0)))</f>
        <v>3.6999999999999998E-2</v>
      </c>
      <c r="AV25" s="1">
        <f>IF($B25&lt;Analysis!$C$66,0,IF($B25=Analysis!$C$66,-AU25*AP25,AU24*AT24))</f>
        <v>-5118.5357475979281</v>
      </c>
      <c r="AW25" s="1">
        <f>IF($B25&lt;Analysis!$C$66,0,IF($B25=Analysis!$C$66,PMT(AU25,AQ25,AP25)*AQ25-AX25-AT25,IF(($B25-Analysis!$C$66+1)&lt;LOOKUP(Analysis!$C$66,$B:$B,AQ:AQ),IF(AW24-AV25&lt;0, AW24-AV25,0),0)))</f>
        <v>-12862.263551529086</v>
      </c>
      <c r="AX25" s="1">
        <f>IF($B25&lt;Analysis!$C$66,0,IF($B25=Analysis!$C$66,AS25+AV25,IF(AT24&lt;0,IF(AT24&gt;LOOKUP(Analysis!$C$66,$B:$B,AX:AX), AT24*(1+AU24),AX24),0)))</f>
        <v>-26829.501000000004</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-2863.3027002612403</v>
      </c>
      <c r="BF25" s="64">
        <f>IF($B25&lt;Analysis!$C$66,0,Analysis!$C$78)</f>
        <v>3.0000000000000001E-3</v>
      </c>
      <c r="BG25" s="1">
        <f>IF($B25&lt;Analysis!$C$66,0,-BH25*AN25)</f>
        <v>-7158.2567506531004</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-121690.36476110271</v>
      </c>
      <c r="BS25" s="64">
        <f>IF($B25&lt;Analysis!C$66,0,Analysis!C$31)</f>
        <v>0.1275</v>
      </c>
      <c r="BT25" s="1">
        <f>IF($B25&lt;Analysis!$C$66,0,AN25+BR25)</f>
        <v>832743.86865931074</v>
      </c>
      <c r="BU25" s="1">
        <f>IF($B25-Analysis!$C$66&gt;3,0,IF($AN25&gt;LOOKUP(Analysis!$C$66,$B:$B, AN:AN),$V25*(LOOKUP(Analysis!$C$66,$B:$B, AN:AN)-AN25),0))</f>
        <v>0</v>
      </c>
      <c r="BV25" s="1">
        <f t="shared" si="23"/>
        <v>832743.86865931074</v>
      </c>
      <c r="BW25" s="42"/>
      <c r="BX25" s="1">
        <f>IF($B25&lt;Analysis!$C$66,$P25+$N25+$X25+$Z25,$P25+$N25+AS25+AV25+BB25+BE25+BG25+MAX(BI25,SUM(BJ25:BN25))+BP25)</f>
        <v>-115211.06045091434</v>
      </c>
      <c r="BY25" s="1">
        <f t="shared" si="24"/>
        <v>131467.92324122589</v>
      </c>
      <c r="BZ25" s="1">
        <f t="shared" si="46"/>
        <v>16256.862790311541</v>
      </c>
      <c r="CA25" s="1">
        <f>IF(BZ25 &lt; 0,
    IF(CA24 + BZ25 &gt; 0,
        CA24 + BZ25, IF(CF24-ABS(CA24 + BZ25)*(1+$V25) &gt;= CA24 + BZ25,
        0, CA24 + BZ25)),
    MIN(CA24 + BZ25, Analysis!$C$7))+IF(CA24&lt;0, CA24*Analysis!$C$9,0)</f>
        <v>24000</v>
      </c>
      <c r="CB25" s="42"/>
      <c r="CC25" s="1">
        <f t="shared" si="47"/>
        <v>17365.52945225497</v>
      </c>
      <c r="CD25" s="1">
        <f>IF(BZ25 &gt;= 0,
    MAX(0, CA24 + BZ25 - Analysis!$C$7),
    0)</f>
        <v>16256.862790311541</v>
      </c>
      <c r="CE25" s="1">
        <f>IF($B25=Analysis!$C$66,0,MAX(0, CE24 + CD25 - IF(BZ25 &lt; 0, MIN(ABS(BZ25), CE24 + CD25), 0)))</f>
        <v>349637.69948841026</v>
      </c>
      <c r="CF25" s="1">
        <f>IF($B25=Analysis!$C$66,0,IF(BZ25 &lt; 0,
    IF(BZ25 + CA24 &lt; 0,
        MAX(0, CF24 - (ABS(BZ25 + CA24) * (1+$V24))),
        CF24 + CC25),
    CF24 + CD25 + CC25))</f>
        <v>478860.39960072492</v>
      </c>
      <c r="CG25" s="1">
        <f t="shared" si="25"/>
        <v>444777.91244610195</v>
      </c>
      <c r="CH25" s="36"/>
      <c r="CI25" s="1">
        <f>IF(OR($B25&lt;Analysis!$C$100, $B25&gt;=Analysis!$C$130),0,X25)</f>
        <v>-30853.547464039486</v>
      </c>
      <c r="CJ25" s="1">
        <f>IF(OR($B25&lt;Analysis!$C$100, $B25&gt;=Analysis!$C$130),0,Z25)</f>
        <v>-3960</v>
      </c>
      <c r="CK25" s="1">
        <f t="shared" si="26"/>
        <v>630316.15905070549</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-13147.645759011966</v>
      </c>
      <c r="CQ25" s="1">
        <f>IF(OR($B25&lt;Analysis!$C$100, $B25&gt;=Analysis!$C$101),0,IF($B25=Analysis!$C$100,-CM25-CP25,MIN(0,CQ24-CP25)))</f>
        <v>-70627.053727151142</v>
      </c>
      <c r="CR25" s="64">
        <f>IF(OR($B25&lt;Analysis!$C$100, $B25&gt;=Analysis!$C$101),0,IF($B25=Analysis!$C$100,Analysis!$C$102,IF(($B25-Analysis!$C$100)&lt;LOOKUP(Analysis!$C$100,$B:$B,CN:CN),CR24,0)))</f>
        <v>3.6999999999999998E-2</v>
      </c>
      <c r="CS25" s="1">
        <f>IF(OR($B25&lt;Analysis!$C$100, $B25&gt;=Analysis!$C$101),0,IF($B25=Analysis!$C$100,-CR25*CM25,CR24*CQ24))</f>
        <v>-3099.6638809880351</v>
      </c>
      <c r="CT25" s="1">
        <f>IF(OR($B25&lt;Analysis!$C$100, $B25&gt;=Analysis!$C$101),0,IF($B25=Analysis!$C$100,PMT(CR25,CN25,CM25)*CN25-CU25-CQ25,IF(($B25-Analysis!$C$100+1)&lt;LOOKUP(Analysis!$C$100,$B:$B,CN:CN),IF(CT24-CS25&lt;0, CT24-CS25,0),0)))</f>
        <v>-7789.0818242568748</v>
      </c>
      <c r="CU25" s="1">
        <f>IF(OR($B25&lt;Analysis!$C$100, $B25&gt;=Analysis!$C$101),0,IF($B25=Analysis!$C$100,CP25+CS25,IF(CQ24&lt;0,IF(CQ24&gt;LOOKUP(Analysis!$C$100,$B:$B,CU:CU), CQ24*(1+CR24),CU24),0)))</f>
        <v>-16247.309640000001</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32847.802508186673</v>
      </c>
      <c r="DE25" s="1">
        <f t="shared" si="27"/>
        <v>-1890.9484771521165</v>
      </c>
      <c r="DF25" s="64">
        <f>IF(OR($B25&lt;Analysis!$C$100, $B25&gt;=Analysis!$C$101),0,Analysis!$C$118)</f>
        <v>3.0000000000000001E-3</v>
      </c>
      <c r="DG25" s="1">
        <f t="shared" si="28"/>
        <v>-4727.3711928802913</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-6472</v>
      </c>
      <c r="DQ25" s="1">
        <f>-Analysis!$C$117*DB25</f>
        <v>-2024.7640523275916</v>
      </c>
      <c r="DR25" s="1">
        <f t="shared" si="29"/>
        <v>-19075.083722359999</v>
      </c>
      <c r="DS25" s="1">
        <f>MIN(0,-(DB25+DR25)*Analysis!$C$28)-CS25*Analysis!$C$28</f>
        <v>-2136.6753581078974</v>
      </c>
      <c r="DT25" s="1">
        <f>-Analysis!$C$116*DD25/12</f>
        <v>-2737.3168756822229</v>
      </c>
      <c r="DU25" s="53"/>
      <c r="DV25" s="1">
        <f t="shared" si="30"/>
        <v>-80365.310278964957</v>
      </c>
      <c r="DW25" s="64">
        <f>IF(OR($B25&lt;Analysis!$C$100, $B25&gt;=Analysis!$C$101),0,IF($B25=Analysis!$C$100,Analysis!$C$31,DW24))</f>
        <v>0.1275</v>
      </c>
      <c r="DX25" s="1">
        <f>IF(OR($B25&lt;Analysis!$C$100, $B25&gt;=Analysis!$C$101),0,CK25+DV25)</f>
        <v>549950.84877174057</v>
      </c>
      <c r="DY25" s="1">
        <f>IF(OR($B25&lt;Analysis!$C$100, $B25&gt;=Analysis!$C$101),0,IF($B25-Analysis!$C$100&gt;3,0,IF(CK25&gt;LOOKUP(Analysis!$C$100,$B:$B, CK:CK),$V25*(LOOKUP(Analysis!$C$100,$B:$B, CK:CK)-CK25),0)))</f>
        <v>0</v>
      </c>
      <c r="DZ25" s="1">
        <f t="shared" si="49"/>
        <v>549950.84877174057</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-142937.93306018962</v>
      </c>
      <c r="FM25" s="1">
        <f>$M25+$R25+DD25+IF(AND($B25&lt;&gt;Analysis!$C$130,$B25=Analysis!$C$101),DZ24+CQ24+CT24+CZ24,0)</f>
        <v>164315.72574941255</v>
      </c>
      <c r="FN25" s="1">
        <f t="shared" si="34"/>
        <v>21377.79268922293</v>
      </c>
      <c r="FO25" s="1">
        <f>IF(FN25 &lt; 0,
    IF(FO24 + FN25 &gt; 0,
        FO24 + FN25, IF(FT24-ABS(FO24 + FN25)*(1+$V25) &gt;= FO24 + FN25,
        0, FO24 + FN25)),
    MIN(FO24 + FN25, Analysis!$C$7))+IF(FO24&lt;0, FO24*Analysis!$C$9,0)</f>
        <v>24000</v>
      </c>
      <c r="FP25" s="53"/>
      <c r="FQ25" s="1">
        <f t="shared" si="51"/>
        <v>35069.130326842511</v>
      </c>
      <c r="FR25" s="1">
        <f>IF(OR($B25=Analysis!$C$100, $B25=Analysis!$C$130),0,IF(FN25 &gt;= 0,
    MAX(0, FO24 + FN25 - Analysis!$C$7),
    0))</f>
        <v>21377.79268922293</v>
      </c>
      <c r="FS25" s="1">
        <f>IF(OR($B25=Analysis!$C$100, $B25=Analysis!$C$130),0,MAX(0, FS24 + FR25 - IF(FN25 &lt; 0, MIN(ABS(FN25), FS24 + FR25), 0)))</f>
        <v>582014.40962915053</v>
      </c>
      <c r="FT25" s="1">
        <f>IF(OR($B25=Analysis!$C$100, $B25=Analysis!$C$130),0,IF(FN25 &lt; 0,
    IF(FN25 + FO24 &lt; 0,
        MAX(0, FT24 - (ABS(FN25 + FO24) * (1+$V24))),
        FT24 + FQ25),
    FT24 + FR25 + FQ25))</f>
        <v>955590.8131828797</v>
      </c>
      <c r="FU25" s="1">
        <f t="shared" si="57"/>
        <v>857060.03674558364</v>
      </c>
      <c r="FV25" s="36"/>
      <c r="FW25" s="1">
        <f t="shared" si="52"/>
        <v>630316.15905070549</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-13147.645759011966</v>
      </c>
      <c r="GC25" s="1">
        <f>IF($B25&lt;Analysis!$C$159,0,IF($B25=Analysis!$C$159,-FY25-GB25,MIN(0,GC24-GB25)))</f>
        <v>-70627.053727151142</v>
      </c>
      <c r="GD25" s="64">
        <f>IF($B25&lt;Analysis!$C$159,0,IF($B25=Analysis!$C$159,Analysis!$C$160,IF(($B25-Analysis!$C$159)&lt;LOOKUP(Analysis!$C$159,$B:$B,FZ:FZ),GD24,0)))</f>
        <v>3.6999999999999998E-2</v>
      </c>
      <c r="GE25" s="1">
        <f>IF($B25&lt;Analysis!$C$159,0,IF($B25=Analysis!$C$159,-GD25*FY25,GD24*GC24))</f>
        <v>-3099.6638809880351</v>
      </c>
      <c r="GF25" s="1">
        <f>IF($B25&lt;Analysis!$C$159,0,IF($B25=Analysis!$C$159,PMT(GD25,FZ25,FY25)*FZ25-GG25-GC25,IF(($B25-Analysis!$C$159+1)&lt;LOOKUP(Analysis!$C$159,$B:$B,FZ:FZ),IF(GF24-GE25&lt;0, GF24-GE25,0),0)))</f>
        <v>-7789.0818242568748</v>
      </c>
      <c r="GG25" s="1">
        <f>IF($B25&lt;Analysis!$C$159,0,IF($B25=Analysis!$C$159,GB25+GE25,IF(GC24&lt;0,IF(GC24&gt;LOOKUP(Analysis!$C$159,$B:$B,GG:GG), GC24*(1+GD24),GG24),0)))</f>
        <v>-16247.309640000001</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32847.802508186673</v>
      </c>
      <c r="GQ25" s="1">
        <f t="shared" si="36"/>
        <v>-1890.9484771521165</v>
      </c>
      <c r="GR25" s="64">
        <f>IF($B25&lt;Analysis!$C$159,0,Analysis!$C$178)</f>
        <v>3.0000000000000001E-3</v>
      </c>
      <c r="GS25" s="1">
        <f t="shared" si="37"/>
        <v>-4727.3711928802913</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-6472</v>
      </c>
      <c r="HC25" s="1">
        <f>-Analysis!$C$177*GN25</f>
        <v>-2024.7640523275916</v>
      </c>
      <c r="HD25" s="1">
        <f t="shared" si="38"/>
        <v>-19075.083722359999</v>
      </c>
      <c r="HE25" s="1">
        <f>MIN(0,-(GN25+HD25)*Analysis!$C$28)-GE25*Analysis!$C$28</f>
        <v>-2136.6753581078974</v>
      </c>
      <c r="HF25" s="1">
        <f>-Analysis!$C$176*GP25/12</f>
        <v>-2737.3168756822229</v>
      </c>
      <c r="HG25" s="38"/>
      <c r="HH25" s="1">
        <f>IF($B25&lt;Analysis!$C$159,0,-$HI25*$FW25)</f>
        <v>-80365.310278964957</v>
      </c>
      <c r="HI25" s="64">
        <f>IF($B25&lt;Analysis!$C$159,0,IF($B25=Analysis!$C$159,Analysis!$C$31,HI24))</f>
        <v>0.1275</v>
      </c>
      <c r="HJ25" s="1">
        <f>IF($B25&lt;Analysis!$C$159,0,$FW25+HH25)</f>
        <v>549950.84877174057</v>
      </c>
      <c r="HK25" s="1">
        <f>IF($B25-Analysis!$C$159&gt;10,0,IF($FW25&gt;LOOKUP(Analysis!$C$159,$B:$B, FW:FW),$V25*(LOOKUP(Analysis!$C$159,$B:$B, FW:FW)-FW25),0))</f>
        <v>0</v>
      </c>
      <c r="HL25" s="1">
        <f t="shared" si="39"/>
        <v>549950.84877174057</v>
      </c>
      <c r="HM25" s="38"/>
      <c r="HN25" s="1">
        <f t="shared" si="40"/>
        <v>-142937.93306018962</v>
      </c>
      <c r="HO25" s="1">
        <f t="shared" si="8"/>
        <v>164315.72574941255</v>
      </c>
      <c r="HP25" s="1">
        <f t="shared" si="41"/>
        <v>21377.79268922293</v>
      </c>
      <c r="HQ25" s="1">
        <f>IF(HP25 &lt; 0,
    IF(HQ24 + HP25 &gt; 0,
        HQ24 + HP25, IF(HV24-ABS(HQ24 + HP25)*(1+$V25) &gt;= HQ24 + HP25,
        0, HQ24 + HP25)),
    MIN(HQ24 + HP25, Analysis!$C$7))+IF(HQ24&lt;0, HQ24*Analysis!$C$9,0)</f>
        <v>24000</v>
      </c>
      <c r="HR25" s="38"/>
      <c r="HS25" s="1">
        <f t="shared" si="54"/>
        <v>35069.130326842511</v>
      </c>
      <c r="HT25" s="1">
        <f>IF($B25=Analysis!$C$159,0,IF(HP25 &gt;= 0,
    MAX(0, HQ24 + HP25 - Analysis!$C$7),
    0))</f>
        <v>21377.79268922293</v>
      </c>
      <c r="HU25" s="1">
        <f>IF($B25=Analysis!$C$159,0,MAX(0, HU24 + HT25 - IF(HP25 &lt; 0, MIN(ABS(HP25), HU24 + HT25), 0)))</f>
        <v>582014.40962915053</v>
      </c>
      <c r="HV25" s="1">
        <f>IF($B25=Analysis!$C$159,0,IF(HP25 &lt; 0,
    IF(HP25 + HQ24 &lt; 0,
        MAX(0, HV24 - (ABS(HP25 + HQ24) * (1+$V24))),
        HV24 + HS25),
    HV24 + HT25 + HS25))</f>
        <v>955590.8131828797</v>
      </c>
      <c r="HW25" s="1">
        <f t="shared" si="58"/>
        <v>857060.03674558364</v>
      </c>
      <c r="HX25" s="36"/>
    </row>
    <row r="26" spans="1:232" x14ac:dyDescent="0.35">
      <c r="A26">
        <f t="shared" si="0"/>
        <v>59</v>
      </c>
      <c r="B26">
        <v>2049</v>
      </c>
      <c r="C26" s="1">
        <f>IF($B26&lt;Analysis!C$66,0,$AN26)+$AT26+$AW26+$BC26+$CF26+$CA26</f>
        <v>1416523.7312631467</v>
      </c>
      <c r="D26" s="1">
        <f>IF($B26&lt;Analysis!C$66, 0, BV26)+AT26+AW26+BC26+CG26+CA26</f>
        <v>1252462.2327160325</v>
      </c>
      <c r="E26" s="1">
        <f t="shared" si="1"/>
        <v>1398567.8969063496</v>
      </c>
      <c r="F26" s="1">
        <f t="shared" si="9"/>
        <v>1230665.1238825696</v>
      </c>
      <c r="G26" s="1">
        <f>IF(AND($B26&gt;=Analysis!$C$100, $B26&lt;Analysis!$C$101),$CK26,0)+IF($B26&gt;=Analysis!$C$130,EB26,0)+CQ26+CT26+CZ26+EH26+EK26+EQ26+$FO26+$FT26</f>
        <v>1622449.6400002744</v>
      </c>
      <c r="H26" s="1">
        <f t="shared" si="10"/>
        <v>1431791.7792597928</v>
      </c>
      <c r="I26" s="1">
        <f>IF($B26&lt;Analysis!$C$159,0,$FW26)+$GC26+$GF26+$GL26+$HQ26+$HV26</f>
        <v>1622449.6400002744</v>
      </c>
      <c r="J26" s="1">
        <f t="shared" si="2"/>
        <v>1431791.7792597928</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48645.676252892015</v>
      </c>
      <c r="AI26" s="1">
        <f>IF(AE26 &gt;= 0,
    MAX(0, AF25 + AE26 - Analysis!$C$7),
    0)</f>
        <v>21346.918498832296</v>
      </c>
      <c r="AJ26" s="1">
        <f t="shared" si="44"/>
        <v>737969.70534699433</v>
      </c>
      <c r="AK26" s="1">
        <f t="shared" si="20"/>
        <v>1374567.8969063496</v>
      </c>
      <c r="AL26" s="1">
        <f t="shared" si="5"/>
        <v>1206665.1238825696</v>
      </c>
      <c r="AM26" s="36"/>
      <c r="AN26" s="1">
        <f t="shared" si="45"/>
        <v>982505.82852101396</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-22514.270966740951</v>
      </c>
      <c r="AT26" s="1">
        <f>IF($B26&lt;Analysis!$C$66,0,IF($B26=Analysis!$C$66,-AP26-AS26,MIN(0,AT25-AS26)))</f>
        <v>-94113.567769990157</v>
      </c>
      <c r="AU26" s="64">
        <f>IF($B26&lt;Analysis!$C$66,0,IF($B26=Analysis!$C$66,Analysis!$C$72,IF(($B26-Analysis!$C$66)&lt;LOOKUP(Analysis!$C$66,$B:$B,AQ:AQ),AU25,0)))</f>
        <v>3.6999999999999998E-2</v>
      </c>
      <c r="AV26" s="1">
        <f>IF($B26&lt;Analysis!$C$66,0,IF($B26=Analysis!$C$66,-AU26*AP26,AU25*AT25))</f>
        <v>-4315.2300332590512</v>
      </c>
      <c r="AW26" s="1">
        <f>IF($B26&lt;Analysis!$C$66,0,IF($B26=Analysis!$C$66,PMT(AU26,AQ26,AP26)*AQ26-AX26-AT26,IF(($B26-Analysis!$C$66+1)&lt;LOOKUP(Analysis!$C$66,$B:$B,AQ:AQ),IF(AW25-AV26&lt;0, AW25-AV26,0),0)))</f>
        <v>-8547.0335182700346</v>
      </c>
      <c r="AX26" s="1">
        <f>IF($B26&lt;Analysis!$C$66,0,IF($B26=Analysis!$C$66,AS26+AV26,IF(AT25&lt;0,IF(AT25&gt;LOOKUP(Analysis!$C$66,$B:$B,AX:AX), AT25*(1+AU25),AX25),0)))</f>
        <v>-26829.501000000004</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-2947.5174855630421</v>
      </c>
      <c r="BF26" s="64">
        <f>IF($B26&lt;Analysis!$C$66,0,Analysis!$C$78)</f>
        <v>3.0000000000000001E-3</v>
      </c>
      <c r="BG26" s="1">
        <f>IF($B26&lt;Analysis!$C$66,0,-BH26*AN26)</f>
        <v>-7368.7937139076048</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-125269.49313642929</v>
      </c>
      <c r="BS26" s="64">
        <f>IF($B26&lt;Analysis!C$66,0,Analysis!C$31)</f>
        <v>0.1275</v>
      </c>
      <c r="BT26" s="1">
        <f>IF($B26&lt;Analysis!$C$66,0,AN26+BR26)</f>
        <v>857236.33538458473</v>
      </c>
      <c r="BU26" s="1">
        <f>IF($B26-Analysis!$C$66&gt;3,0,IF($AN26&gt;LOOKUP(Analysis!$C$66,$B:$B, AN:AN),$V26*(LOOKUP(Analysis!$C$66,$B:$B, AN:AN)-AN26),0))</f>
        <v>0</v>
      </c>
      <c r="BV26" s="1">
        <f t="shared" si="23"/>
        <v>857236.33538458473</v>
      </c>
      <c r="BW26" s="42"/>
      <c r="BX26" s="1">
        <f>IF($B26&lt;Analysis!$C$66,$P26+$N26+$X26+$Z26,$P26+$N26+AS26+AV26+BB26+BE26+BG26+MAX(BI26,SUM(BJ26:BN26))+BP26)</f>
        <v>-115505.81219947066</v>
      </c>
      <c r="BY26" s="1">
        <f t="shared" si="24"/>
        <v>131467.92324122589</v>
      </c>
      <c r="BZ26" s="1">
        <f t="shared" si="46"/>
        <v>15962.111041755226</v>
      </c>
      <c r="CA26" s="1">
        <f>IF(BZ26 &lt; 0,
    IF(CA25 + BZ26 &gt; 0,
        CA25 + BZ26, IF(CF25-ABS(CA25 + BZ26)*(1+$V26) &gt;= CA25 + BZ26,
        0, CA25 + BZ26)),
    MIN(CA25 + BZ26, Analysis!$C$7))+IF(CA25&lt;0, CA25*Analysis!$C$9,0)</f>
        <v>24000</v>
      </c>
      <c r="CB26" s="42"/>
      <c r="CC26" s="1">
        <f t="shared" si="47"/>
        <v>17855.993387912826</v>
      </c>
      <c r="CD26" s="1">
        <f>IF(BZ26 &gt;= 0,
    MAX(0, CA25 + BZ26 - Analysis!$C$7),
    0)</f>
        <v>15962.111041755226</v>
      </c>
      <c r="CE26" s="1">
        <f>IF($B26=Analysis!$C$66,0,MAX(0, CE25 + CD26 - IF(BZ26 &lt; 0, MIN(ABS(BZ26), CE25 + CD26), 0)))</f>
        <v>365599.8105301655</v>
      </c>
      <c r="CF26" s="1">
        <f>IF($B26=Analysis!$C$66,0,IF(BZ26 &lt; 0,
    IF(BZ26 + CA25 &lt; 0,
        MAX(0, CF25 - (ABS(BZ26 + CA25) * (1+$V25))),
        CF25 + CC26),
    CF25 + CD26 + CC26))</f>
        <v>512678.50403039297</v>
      </c>
      <c r="CG26" s="1">
        <f t="shared" si="25"/>
        <v>473886.498619708</v>
      </c>
      <c r="CH26" s="36"/>
      <c r="CI26" s="1">
        <f>IF(OR($B26&lt;Analysis!$C$100, $B26&gt;=Analysis!$C$130),0,X26)</f>
        <v>-31761.00474239359</v>
      </c>
      <c r="CJ26" s="1">
        <f>IF(OR($B26&lt;Analysis!$C$100, $B26&gt;=Analysis!$C$130),0,Z26)</f>
        <v>-3960</v>
      </c>
      <c r="CK26" s="1">
        <f t="shared" si="26"/>
        <v>648854.86961102043</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-13634.108652095409</v>
      </c>
      <c r="CQ26" s="1">
        <f>IF(OR($B26&lt;Analysis!$C$100, $B26&gt;=Analysis!$C$101),0,IF($B26=Analysis!$C$100,-CM26-CP26,MIN(0,CQ25-CP26)))</f>
        <v>-56992.94507505573</v>
      </c>
      <c r="CR26" s="64">
        <f>IF(OR($B26&lt;Analysis!$C$100, $B26&gt;=Analysis!$C$101),0,IF($B26=Analysis!$C$100,Analysis!$C$102,IF(($B26-Analysis!$C$100)&lt;LOOKUP(Analysis!$C$100,$B:$B,CN:CN),CR25,0)))</f>
        <v>3.6999999999999998E-2</v>
      </c>
      <c r="CS26" s="1">
        <f>IF(OR($B26&lt;Analysis!$C$100, $B26&gt;=Analysis!$C$101),0,IF($B26=Analysis!$C$100,-CR26*CM26,CR25*CQ25))</f>
        <v>-2613.2009879045922</v>
      </c>
      <c r="CT26" s="1">
        <f>IF(OR($B26&lt;Analysis!$C$100, $B26&gt;=Analysis!$C$101),0,IF($B26=Analysis!$C$100,PMT(CR26,CN26,CM26)*CN26-CU26-CQ26,IF(($B26-Analysis!$C$100+1)&lt;LOOKUP(Analysis!$C$100,$B:$B,CN:CN),IF(CT25-CS26&lt;0, CT25-CS26,0),0)))</f>
        <v>-5175.8808363522821</v>
      </c>
      <c r="CU26" s="1">
        <f>IF(OR($B26&lt;Analysis!$C$100, $B26&gt;=Analysis!$C$101),0,IF($B26=Analysis!$C$100,CP26+CS26,IF(CQ25&lt;0,IF(CQ25&gt;LOOKUP(Analysis!$C$100,$B:$B,CU:CU), CQ25*(1+CR25),CU25),0)))</f>
        <v>-16247.309640000001</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33697.443758427456</v>
      </c>
      <c r="DE26" s="1">
        <f t="shared" si="27"/>
        <v>-1946.5646088330614</v>
      </c>
      <c r="DF26" s="64">
        <f>IF(OR($B26&lt;Analysis!$C$100, $B26&gt;=Analysis!$C$101),0,Analysis!$C$118)</f>
        <v>3.0000000000000001E-3</v>
      </c>
      <c r="DG26" s="1">
        <f t="shared" si="28"/>
        <v>-4866.4115220826534</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-6472</v>
      </c>
      <c r="DQ26" s="1">
        <f>-Analysis!$C$117*DB26</f>
        <v>-2084.3159362195797</v>
      </c>
      <c r="DR26" s="1">
        <f t="shared" si="29"/>
        <v>-19329.292067135295</v>
      </c>
      <c r="DS26" s="1">
        <f>MIN(0,-(DB26+DR26)*Analysis!$C$28)-CS26*Analysis!$C$28</f>
        <v>-2591.4198784971036</v>
      </c>
      <c r="DT26" s="1">
        <f>-Analysis!$C$116*DD26/12</f>
        <v>-2808.1203132022879</v>
      </c>
      <c r="DU26" s="53"/>
      <c r="DV26" s="1">
        <f t="shared" si="30"/>
        <v>-82728.995875405104</v>
      </c>
      <c r="DW26" s="64">
        <f>IF(OR($B26&lt;Analysis!$C$100, $B26&gt;=Analysis!$C$101),0,IF($B26=Analysis!$C$100,Analysis!$C$31,DW25))</f>
        <v>0.1275</v>
      </c>
      <c r="DX26" s="1">
        <f>IF(OR($B26&lt;Analysis!$C$100, $B26&gt;=Analysis!$C$101),0,CK26+DV26)</f>
        <v>566125.87373561529</v>
      </c>
      <c r="DY26" s="1">
        <f>IF(OR($B26&lt;Analysis!$C$100, $B26&gt;=Analysis!$C$101),0,IF($B26-Analysis!$C$100&gt;3,0,IF(CK26&gt;LOOKUP(Analysis!$C$100,$B:$B, CK:CK),$V26*(LOOKUP(Analysis!$C$100,$B:$B, CK:CK)-CK26),0)))</f>
        <v>0</v>
      </c>
      <c r="DZ26" s="1">
        <f t="shared" si="49"/>
        <v>566125.87373561529</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-144625.14664122832</v>
      </c>
      <c r="FM26" s="1">
        <f>$M26+$R26+DD26+IF(AND($B26&lt;&gt;Analysis!$C$130,$B26=Analysis!$C$101),DZ25+CQ25+CT25+CZ25,0)</f>
        <v>165165.36699965334</v>
      </c>
      <c r="FN26" s="1">
        <f t="shared" si="34"/>
        <v>20540.220358425024</v>
      </c>
      <c r="FO26" s="1">
        <f>IF(FN26 &lt; 0,
    IF(FO25 + FN26 &gt; 0,
        FO25 + FN26, IF(FT25-ABS(FO25 + FN26)*(1+$V26) &gt;= FO25 + FN26,
        0, FO25 + FN26)),
    MIN(FO25 + FN26, Analysis!$C$7))+IF(FO25&lt;0, FO25*Analysis!$C$9,0)</f>
        <v>24000</v>
      </c>
      <c r="FP26" s="53"/>
      <c r="FQ26" s="1">
        <f t="shared" si="51"/>
        <v>35632.562759357286</v>
      </c>
      <c r="FR26" s="1">
        <f>IF(OR($B26=Analysis!$C$100, $B26=Analysis!$C$130),0,IF(FN26 &gt;= 0,
    MAX(0, FO25 + FN26 - Analysis!$C$7),
    0))</f>
        <v>20540.220358425024</v>
      </c>
      <c r="FS26" s="1">
        <f>IF(OR($B26=Analysis!$C$100, $B26=Analysis!$C$130),0,MAX(0, FS25 + FR26 - IF(FN26 &lt; 0, MIN(ABS(FN26), FS25 + FR26), 0)))</f>
        <v>602554.62998757558</v>
      </c>
      <c r="FT26" s="1">
        <f>IF(OR($B26=Analysis!$C$100, $B26=Analysis!$C$130),0,IF(FN26 &lt; 0,
    IF(FN26 + FO25 &lt; 0,
        MAX(0, FT25 - (ABS(FN26 + FO25) * (1+$V25))),
        FT25 + FQ26),
    FT25 + FR26 + FQ26))</f>
        <v>1011763.596300662</v>
      </c>
      <c r="FU26" s="1">
        <f t="shared" si="57"/>
        <v>903834.73143558553</v>
      </c>
      <c r="FV26" s="36"/>
      <c r="FW26" s="1">
        <f t="shared" si="52"/>
        <v>648854.86961102043</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-13634.108652095409</v>
      </c>
      <c r="GC26" s="1">
        <f>IF($B26&lt;Analysis!$C$159,0,IF($B26=Analysis!$C$159,-FY26-GB26,MIN(0,GC25-GB26)))</f>
        <v>-56992.94507505573</v>
      </c>
      <c r="GD26" s="64">
        <f>IF($B26&lt;Analysis!$C$159,0,IF($B26=Analysis!$C$159,Analysis!$C$160,IF(($B26-Analysis!$C$159)&lt;LOOKUP(Analysis!$C$159,$B:$B,FZ:FZ),GD25,0)))</f>
        <v>3.6999999999999998E-2</v>
      </c>
      <c r="GE26" s="1">
        <f>IF($B26&lt;Analysis!$C$159,0,IF($B26=Analysis!$C$159,-GD26*FY26,GD25*GC25))</f>
        <v>-2613.2009879045922</v>
      </c>
      <c r="GF26" s="1">
        <f>IF($B26&lt;Analysis!$C$159,0,IF($B26=Analysis!$C$159,PMT(GD26,FZ26,FY26)*FZ26-GG26-GC26,IF(($B26-Analysis!$C$159+1)&lt;LOOKUP(Analysis!$C$159,$B:$B,FZ:FZ),IF(GF25-GE26&lt;0, GF25-GE26,0),0)))</f>
        <v>-5175.8808363522821</v>
      </c>
      <c r="GG26" s="1">
        <f>IF($B26&lt;Analysis!$C$159,0,IF($B26=Analysis!$C$159,GB26+GE26,IF(GC25&lt;0,IF(GC25&gt;LOOKUP(Analysis!$C$159,$B:$B,GG:GG), GC25*(1+GD25),GG25),0)))</f>
        <v>-16247.309640000001</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33697.443758427456</v>
      </c>
      <c r="GQ26" s="1">
        <f t="shared" si="36"/>
        <v>-1946.5646088330614</v>
      </c>
      <c r="GR26" s="64">
        <f>IF($B26&lt;Analysis!$C$159,0,Analysis!$C$178)</f>
        <v>3.0000000000000001E-3</v>
      </c>
      <c r="GS26" s="1">
        <f t="shared" si="37"/>
        <v>-4866.4115220826534</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-6472</v>
      </c>
      <c r="HC26" s="1">
        <f>-Analysis!$C$177*GN26</f>
        <v>-2084.3159362195797</v>
      </c>
      <c r="HD26" s="1">
        <f t="shared" si="38"/>
        <v>-19329.292067135295</v>
      </c>
      <c r="HE26" s="1">
        <f>MIN(0,-(GN26+HD26)*Analysis!$C$28)-GE26*Analysis!$C$28</f>
        <v>-2591.4198784971036</v>
      </c>
      <c r="HF26" s="1">
        <f>-Analysis!$C$176*GP26/12</f>
        <v>-2808.1203132022879</v>
      </c>
      <c r="HG26" s="38"/>
      <c r="HH26" s="1">
        <f>IF($B26&lt;Analysis!$C$159,0,-$HI26*$FW26)</f>
        <v>-82728.995875405104</v>
      </c>
      <c r="HI26" s="64">
        <f>IF($B26&lt;Analysis!$C$159,0,IF($B26=Analysis!$C$159,Analysis!$C$31,HI25))</f>
        <v>0.1275</v>
      </c>
      <c r="HJ26" s="1">
        <f>IF($B26&lt;Analysis!$C$159,0,$FW26+HH26)</f>
        <v>566125.87373561529</v>
      </c>
      <c r="HK26" s="1">
        <f>IF($B26-Analysis!$C$159&gt;10,0,IF($FW26&gt;LOOKUP(Analysis!$C$159,$B:$B, FW:FW),$V26*(LOOKUP(Analysis!$C$159,$B:$B, FW:FW)-FW26),0))</f>
        <v>0</v>
      </c>
      <c r="HL26" s="1">
        <f t="shared" si="39"/>
        <v>566125.87373561529</v>
      </c>
      <c r="HM26" s="38"/>
      <c r="HN26" s="1">
        <f t="shared" si="40"/>
        <v>-144625.14664122832</v>
      </c>
      <c r="HO26" s="1">
        <f t="shared" si="8"/>
        <v>165165.36699965334</v>
      </c>
      <c r="HP26" s="1">
        <f t="shared" si="41"/>
        <v>20540.220358425024</v>
      </c>
      <c r="HQ26" s="1">
        <f>IF(HP26 &lt; 0,
    IF(HQ25 + HP26 &gt; 0,
        HQ25 + HP26, IF(HV25-ABS(HQ25 + HP26)*(1+$V26) &gt;= HQ25 + HP26,
        0, HQ25 + HP26)),
    MIN(HQ25 + HP26, Analysis!$C$7))+IF(HQ25&lt;0, HQ25*Analysis!$C$9,0)</f>
        <v>24000</v>
      </c>
      <c r="HR26" s="38"/>
      <c r="HS26" s="1">
        <f t="shared" si="54"/>
        <v>35632.562759357286</v>
      </c>
      <c r="HT26" s="1">
        <f>IF($B26=Analysis!$C$159,0,IF(HP26 &gt;= 0,
    MAX(0, HQ25 + HP26 - Analysis!$C$7),
    0))</f>
        <v>20540.220358425024</v>
      </c>
      <c r="HU26" s="1">
        <f>IF($B26=Analysis!$C$159,0,MAX(0, HU25 + HT26 - IF(HP26 &lt; 0, MIN(ABS(HP26), HU25 + HT26), 0)))</f>
        <v>602554.62998757558</v>
      </c>
      <c r="HV26" s="1">
        <f>IF($B26=Analysis!$C$159,0,IF(HP26 &lt; 0,
    IF(HP26 + HQ25 &lt; 0,
        MAX(0, HV25 - (ABS(HP26 + HQ25) * (1+$V25))),
        HV25 + HS26),
    HV25 + HT26 + HS26))</f>
        <v>1011763.596300662</v>
      </c>
      <c r="HW26" s="1">
        <f t="shared" si="58"/>
        <v>903834.73143558553</v>
      </c>
      <c r="HX26" s="36"/>
    </row>
    <row r="27" spans="1:232" x14ac:dyDescent="0.35">
      <c r="A27">
        <f t="shared" si="0"/>
        <v>60</v>
      </c>
      <c r="B27">
        <v>2050</v>
      </c>
      <c r="C27" s="1">
        <f>IF($B27&lt;Analysis!C$66,0,$AN27)+$AT27+$AW27+$BC27+$CF27+$CA27</f>
        <v>1506147.2954983539</v>
      </c>
      <c r="D27" s="1">
        <f>IF($B27&lt;Analysis!C$66, 0, BV27)+AT27+AW27+BC27+CG27+CA27</f>
        <v>1333591.0899148381</v>
      </c>
      <c r="E27" s="1">
        <f t="shared" si="1"/>
        <v>1467879.8622985028</v>
      </c>
      <c r="F27" s="1">
        <f t="shared" si="9"/>
        <v>1287079.9268330564</v>
      </c>
      <c r="G27" s="1">
        <f>IF(AND($B27&gt;=Analysis!$C$100, $B27&lt;Analysis!$C$101),$CK27,0)+IF($B27&gt;=Analysis!$C$130,EB27,0)+CQ27+CT27+CZ27+EH27+EK27+EQ27+$FO27+$FT27</f>
        <v>1713450.0048524509</v>
      </c>
      <c r="H27" s="1">
        <f t="shared" si="10"/>
        <v>1510865.8609384387</v>
      </c>
      <c r="I27" s="1">
        <f>IF($B27&lt;Analysis!$C$159,0,$FW27)+$GC27+$GF27+$GL27+$HQ27+$HV27</f>
        <v>1713450.0048524509</v>
      </c>
      <c r="J27" s="1">
        <f t="shared" si="2"/>
        <v>1510865.8609384387</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48899.194091626669</v>
      </c>
      <c r="AI27" s="1">
        <f>IF(AE27 &gt;= 0,
    MAX(0, AF26 + AE27 - Analysis!$C$7),
    0)</f>
        <v>20412.771300526598</v>
      </c>
      <c r="AJ27" s="1">
        <f t="shared" si="44"/>
        <v>758382.4766475209</v>
      </c>
      <c r="AK27" s="1">
        <f t="shared" si="20"/>
        <v>1443879.8622985028</v>
      </c>
      <c r="AL27" s="1">
        <f t="shared" si="5"/>
        <v>1263079.9268330564</v>
      </c>
      <c r="AM27" s="36"/>
      <c r="AN27" s="1">
        <f t="shared" si="45"/>
        <v>1011403.0587716321</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-23347.298992510368</v>
      </c>
      <c r="AT27" s="1">
        <f>IF($B27&lt;Analysis!$C$66,0,IF($B27=Analysis!$C$66,-AP27-AS27,MIN(0,AT26-AS27)))</f>
        <v>-70766.268777479796</v>
      </c>
      <c r="AU27" s="64">
        <f>IF($B27&lt;Analysis!$C$66,0,IF($B27=Analysis!$C$66,Analysis!$C$72,IF(($B27-Analysis!$C$66)&lt;LOOKUP(Analysis!$C$66,$B:$B,AQ:AQ),AU26,0)))</f>
        <v>3.6999999999999998E-2</v>
      </c>
      <c r="AV27" s="1">
        <f>IF($B27&lt;Analysis!$C$66,0,IF($B27=Analysis!$C$66,-AU27*AP27,AU26*AT26))</f>
        <v>-3482.2020074896354</v>
      </c>
      <c r="AW27" s="1">
        <f>IF($B27&lt;Analysis!$C$66,0,IF($B27=Analysis!$C$66,PMT(AU27,AQ27,AP27)*AQ27-AX27-AT27,IF(($B27-Analysis!$C$66+1)&lt;LOOKUP(Analysis!$C$66,$B:$B,AQ:AQ),IF(AW26-AV27&lt;0, AW26-AV27,0),0)))</f>
        <v>-5064.8315107803992</v>
      </c>
      <c r="AX27" s="1">
        <f>IF($B27&lt;Analysis!$C$66,0,IF($B27=Analysis!$C$66,AS27+AV27,IF(AT26&lt;0,IF(AT26&gt;LOOKUP(Analysis!$C$66,$B:$B,AX:AX), AT26*(1+AU26),AX26),0)))</f>
        <v>-26829.501000000004</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-3034.2091763148965</v>
      </c>
      <c r="BF27" s="64">
        <f>IF($B27&lt;Analysis!$C$66,0,Analysis!$C$78)</f>
        <v>3.0000000000000001E-3</v>
      </c>
      <c r="BG27" s="1">
        <f>IF($B27&lt;Analysis!$C$66,0,-BH27*AN27)</f>
        <v>-7585.5229407872412</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-128953.8899933831</v>
      </c>
      <c r="BS27" s="64">
        <f>IF($B27&lt;Analysis!C$66,0,Analysis!C$31)</f>
        <v>0.1275</v>
      </c>
      <c r="BT27" s="1">
        <f>IF($B27&lt;Analysis!$C$66,0,AN27+BR27)</f>
        <v>882449.16877824906</v>
      </c>
      <c r="BU27" s="1">
        <f>IF($B27-Analysis!$C$66&gt;3,0,IF($AN27&gt;LOOKUP(Analysis!$C$66,$B:$B, AN:AN),$V27*(LOOKUP(Analysis!$C$66,$B:$B, AN:AN)-AN27),0))</f>
        <v>0</v>
      </c>
      <c r="BV27" s="1">
        <f t="shared" si="23"/>
        <v>882449.16877824906</v>
      </c>
      <c r="BW27" s="42"/>
      <c r="BX27" s="1">
        <f>IF($B27&lt;Analysis!$C$66,$P27+$N27+$X27+$Z27,$P27+$N27+AS27+AV27+BB27+BE27+BG27+MAX(BI27,SUM(BJ27:BN27))+BP27)</f>
        <v>-115809.23311710212</v>
      </c>
      <c r="BY27" s="1">
        <f t="shared" si="24"/>
        <v>131467.92324122589</v>
      </c>
      <c r="BZ27" s="1">
        <f t="shared" si="46"/>
        <v>15658.690124123765</v>
      </c>
      <c r="CA27" s="1">
        <f>IF(BZ27 &lt; 0,
    IF(CA26 + BZ27 &gt; 0,
        CA26 + BZ27, IF(CF26-ABS(CA26 + BZ27)*(1+$V27) &gt;= CA26 + BZ27,
        0, CA26 + BZ27)),
    MIN(CA26 + BZ27, Analysis!$C$7))+IF(CA26&lt;0, CA26*Analysis!$C$9,0)</f>
        <v>24000</v>
      </c>
      <c r="CB27" s="42"/>
      <c r="CC27" s="1">
        <f t="shared" si="47"/>
        <v>18238.142860465046</v>
      </c>
      <c r="CD27" s="1">
        <f>IF(BZ27 &gt;= 0,
    MAX(0, CA26 + BZ27 - Analysis!$C$7),
    0)</f>
        <v>15658.690124123765</v>
      </c>
      <c r="CE27" s="1">
        <f>IF($B27=Analysis!$C$66,0,MAX(0, CE26 + CD27 - IF(BZ27 &lt; 0, MIN(ABS(BZ27), CE26 + CD27), 0)))</f>
        <v>381258.50065428927</v>
      </c>
      <c r="CF27" s="1">
        <f>IF($B27=Analysis!$C$66,0,IF(BZ27 &lt; 0,
    IF(BZ27 + CA26 &lt; 0,
        MAX(0, CF26 - (ABS(BZ27 + CA26) * (1+$V26))),
        CF26 + CC27),
    CF26 + CD27 + CC27))</f>
        <v>546575.33701498189</v>
      </c>
      <c r="CG27" s="1">
        <f t="shared" si="25"/>
        <v>502973.02142484923</v>
      </c>
      <c r="CH27" s="36"/>
      <c r="CI27" s="1">
        <f>IF(OR($B27&lt;Analysis!$C$100, $B27&gt;=Analysis!$C$130),0,X27)</f>
        <v>-32695.151940699288</v>
      </c>
      <c r="CJ27" s="1">
        <f>IF(OR($B27&lt;Analysis!$C$100, $B27&gt;=Analysis!$C$130),0,Z27)</f>
        <v>-3960</v>
      </c>
      <c r="CK27" s="1">
        <f t="shared" si="26"/>
        <v>667938.83636428579</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-14138.570672222939</v>
      </c>
      <c r="CQ27" s="1">
        <f>IF(OR($B27&lt;Analysis!$C$100, $B27&gt;=Analysis!$C$101),0,IF($B27=Analysis!$C$100,-CM27-CP27,MIN(0,CQ26-CP27)))</f>
        <v>-42854.374402832793</v>
      </c>
      <c r="CR27" s="64">
        <f>IF(OR($B27&lt;Analysis!$C$100, $B27&gt;=Analysis!$C$101),0,IF($B27=Analysis!$C$100,Analysis!$C$102,IF(($B27-Analysis!$C$100)&lt;LOOKUP(Analysis!$C$100,$B:$B,CN:CN),CR26,0)))</f>
        <v>3.6999999999999998E-2</v>
      </c>
      <c r="CS27" s="1">
        <f>IF(OR($B27&lt;Analysis!$C$100, $B27&gt;=Analysis!$C$101),0,IF($B27=Analysis!$C$100,-CR27*CM27,CR26*CQ26))</f>
        <v>-2108.738967777062</v>
      </c>
      <c r="CT27" s="1">
        <f>IF(OR($B27&lt;Analysis!$C$100, $B27&gt;=Analysis!$C$101),0,IF($B27=Analysis!$C$100,PMT(CR27,CN27,CM27)*CN27-CU27-CQ27,IF(($B27-Analysis!$C$100+1)&lt;LOOKUP(Analysis!$C$100,$B:$B,CN:CN),IF(CT26-CS27&lt;0, CT26-CS27,0),0)))</f>
        <v>-3067.1418685752201</v>
      </c>
      <c r="CU27" s="1">
        <f>IF(OR($B27&lt;Analysis!$C$100, $B27&gt;=Analysis!$C$101),0,IF($B27=Analysis!$C$100,CP27+CS27,IF(CQ26&lt;0,IF(CQ26&gt;LOOKUP(Analysis!$C$100,$B:$B,CU:CU), CQ26*(1+CR26),CU26),0)))</f>
        <v>-16247.309640000001</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34572.074457204741</v>
      </c>
      <c r="DE27" s="1">
        <f t="shared" si="27"/>
        <v>-2003.8165090928574</v>
      </c>
      <c r="DF27" s="64">
        <f>IF(OR($B27&lt;Analysis!$C$100, $B27&gt;=Analysis!$C$101),0,Analysis!$C$118)</f>
        <v>3.0000000000000001E-3</v>
      </c>
      <c r="DG27" s="1">
        <f t="shared" si="28"/>
        <v>-5009.5412727321436</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-6472</v>
      </c>
      <c r="DQ27" s="1">
        <f>-Analysis!$C$117*DB27</f>
        <v>-2145.6193461083913</v>
      </c>
      <c r="DR27" s="1">
        <f t="shared" si="29"/>
        <v>-19590.977127933395</v>
      </c>
      <c r="DS27" s="1">
        <f>MIN(0,-(DB27+DR27)*Analysis!$C$28)-CS27*Analysis!$C$28</f>
        <v>-3061.1748947990723</v>
      </c>
      <c r="DT27" s="1">
        <f>-Analysis!$C$116*DD27/12</f>
        <v>-2881.0062047670617</v>
      </c>
      <c r="DU27" s="53"/>
      <c r="DV27" s="1">
        <f t="shared" si="30"/>
        <v>-85162.201636446436</v>
      </c>
      <c r="DW27" s="64">
        <f>IF(OR($B27&lt;Analysis!$C$100, $B27&gt;=Analysis!$C$101),0,IF($B27=Analysis!$C$100,Analysis!$C$31,DW26))</f>
        <v>0.1275</v>
      </c>
      <c r="DX27" s="1">
        <f>IF(OR($B27&lt;Analysis!$C$100, $B27&gt;=Analysis!$C$101),0,CK27+DV27)</f>
        <v>582776.63472783938</v>
      </c>
      <c r="DY27" s="1">
        <f>IF(OR($B27&lt;Analysis!$C$100, $B27&gt;=Analysis!$C$101),0,IF($B27-Analysis!$C$100&gt;3,0,IF(CK27&gt;LOOKUP(Analysis!$C$100,$B:$B, CK:CK),$V27*(LOOKUP(Analysis!$C$100,$B:$B, CK:CK)-CK27),0)))</f>
        <v>0</v>
      </c>
      <c r="DZ27" s="1">
        <f t="shared" si="49"/>
        <v>582776.63472783938</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-146363.61980819883</v>
      </c>
      <c r="FM27" s="1">
        <f>$M27+$R27+DD27+IF(AND($B27&lt;&gt;Analysis!$C$130,$B27=Analysis!$C$101),DZ26+CQ26+CT26+CZ26,0)</f>
        <v>166039.99769843061</v>
      </c>
      <c r="FN27" s="1">
        <f t="shared" si="34"/>
        <v>19676.377890231786</v>
      </c>
      <c r="FO27" s="1">
        <f>IF(FN27 &lt; 0,
    IF(FO26 + FN27 &gt; 0,
        FO26 + FN27, IF(FT26-ABS(FO26 + FN27)*(1+$V27) &gt;= FO26 + FN27,
        0, FO26 + FN27)),
    MIN(FO26 + FN27, Analysis!$C$7))+IF(FO26&lt;0, FO26*Analysis!$C$9,0)</f>
        <v>24000</v>
      </c>
      <c r="FP27" s="53"/>
      <c r="FQ27" s="1">
        <f t="shared" si="51"/>
        <v>35992.710568679184</v>
      </c>
      <c r="FR27" s="1">
        <f>IF(OR($B27=Analysis!$C$100, $B27=Analysis!$C$130),0,IF(FN27 &gt;= 0,
    MAX(0, FO26 + FN27 - Analysis!$C$7),
    0))</f>
        <v>19676.377890231786</v>
      </c>
      <c r="FS27" s="1">
        <f>IF(OR($B27=Analysis!$C$100, $B27=Analysis!$C$130),0,MAX(0, FS26 + FR27 - IF(FN27 &lt; 0, MIN(ABS(FN27), FS26 + FR27), 0)))</f>
        <v>622231.00787780737</v>
      </c>
      <c r="FT27" s="1">
        <f>IF(OR($B27=Analysis!$C$100, $B27=Analysis!$C$130),0,IF(FN27 &lt; 0,
    IF(FN27 + FO26 &lt; 0,
        MAX(0, FT26 - (ABS(FN27 + FO26) * (1+$V26))),
        FT26 + FQ27),
    FT26 + FR27 + FQ27))</f>
        <v>1067432.6847595731</v>
      </c>
      <c r="FU27" s="1">
        <f t="shared" si="57"/>
        <v>950010.74248200736</v>
      </c>
      <c r="FV27" s="36"/>
      <c r="FW27" s="1">
        <f t="shared" si="52"/>
        <v>667938.83636428579</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-14138.570672222939</v>
      </c>
      <c r="GC27" s="1">
        <f>IF($B27&lt;Analysis!$C$159,0,IF($B27=Analysis!$C$159,-FY27-GB27,MIN(0,GC26-GB27)))</f>
        <v>-42854.374402832793</v>
      </c>
      <c r="GD27" s="64">
        <f>IF($B27&lt;Analysis!$C$159,0,IF($B27=Analysis!$C$159,Analysis!$C$160,IF(($B27-Analysis!$C$159)&lt;LOOKUP(Analysis!$C$159,$B:$B,FZ:FZ),GD26,0)))</f>
        <v>3.6999999999999998E-2</v>
      </c>
      <c r="GE27" s="1">
        <f>IF($B27&lt;Analysis!$C$159,0,IF($B27=Analysis!$C$159,-GD27*FY27,GD26*GC26))</f>
        <v>-2108.738967777062</v>
      </c>
      <c r="GF27" s="1">
        <f>IF($B27&lt;Analysis!$C$159,0,IF($B27=Analysis!$C$159,PMT(GD27,FZ27,FY27)*FZ27-GG27-GC27,IF(($B27-Analysis!$C$159+1)&lt;LOOKUP(Analysis!$C$159,$B:$B,FZ:FZ),IF(GF26-GE27&lt;0, GF26-GE27,0),0)))</f>
        <v>-3067.1418685752201</v>
      </c>
      <c r="GG27" s="1">
        <f>IF($B27&lt;Analysis!$C$159,0,IF($B27=Analysis!$C$159,GB27+GE27,IF(GC26&lt;0,IF(GC26&gt;LOOKUP(Analysis!$C$159,$B:$B,GG:GG), GC26*(1+GD26),GG26),0)))</f>
        <v>-16247.309640000001</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34572.074457204741</v>
      </c>
      <c r="GQ27" s="1">
        <f t="shared" si="36"/>
        <v>-2003.8165090928574</v>
      </c>
      <c r="GR27" s="64">
        <f>IF($B27&lt;Analysis!$C$159,0,Analysis!$C$178)</f>
        <v>3.0000000000000001E-3</v>
      </c>
      <c r="GS27" s="1">
        <f t="shared" si="37"/>
        <v>-5009.5412727321436</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-6472</v>
      </c>
      <c r="HC27" s="1">
        <f>-Analysis!$C$177*GN27</f>
        <v>-2145.6193461083913</v>
      </c>
      <c r="HD27" s="1">
        <f t="shared" si="38"/>
        <v>-19590.977127933395</v>
      </c>
      <c r="HE27" s="1">
        <f>MIN(0,-(GN27+HD27)*Analysis!$C$28)-GE27*Analysis!$C$28</f>
        <v>-3061.1748947990723</v>
      </c>
      <c r="HF27" s="1">
        <f>-Analysis!$C$176*GP27/12</f>
        <v>-2881.0062047670617</v>
      </c>
      <c r="HG27" s="38"/>
      <c r="HH27" s="1">
        <f>IF($B27&lt;Analysis!$C$159,0,-$HI27*$FW27)</f>
        <v>-85162.201636446436</v>
      </c>
      <c r="HI27" s="64">
        <f>IF($B27&lt;Analysis!$C$159,0,IF($B27=Analysis!$C$159,Analysis!$C$31,HI26))</f>
        <v>0.1275</v>
      </c>
      <c r="HJ27" s="1">
        <f>IF($B27&lt;Analysis!$C$159,0,$FW27+HH27)</f>
        <v>582776.63472783938</v>
      </c>
      <c r="HK27" s="1">
        <f>IF($B27-Analysis!$C$159&gt;10,0,IF($FW27&gt;LOOKUP(Analysis!$C$159,$B:$B, FW:FW),$V27*(LOOKUP(Analysis!$C$159,$B:$B, FW:FW)-FW27),0))</f>
        <v>0</v>
      </c>
      <c r="HL27" s="1">
        <f t="shared" si="39"/>
        <v>582776.63472783938</v>
      </c>
      <c r="HM27" s="38"/>
      <c r="HN27" s="1">
        <f t="shared" si="40"/>
        <v>-146363.61980819883</v>
      </c>
      <c r="HO27" s="1">
        <f t="shared" si="8"/>
        <v>166039.99769843061</v>
      </c>
      <c r="HP27" s="1">
        <f t="shared" si="41"/>
        <v>19676.377890231786</v>
      </c>
      <c r="HQ27" s="1">
        <f>IF(HP27 &lt; 0,
    IF(HQ26 + HP27 &gt; 0,
        HQ26 + HP27, IF(HV26-ABS(HQ26 + HP27)*(1+$V27) &gt;= HQ26 + HP27,
        0, HQ26 + HP27)),
    MIN(HQ26 + HP27, Analysis!$C$7))+IF(HQ26&lt;0, HQ26*Analysis!$C$9,0)</f>
        <v>24000</v>
      </c>
      <c r="HR27" s="38"/>
      <c r="HS27" s="1">
        <f t="shared" si="54"/>
        <v>35992.710568679184</v>
      </c>
      <c r="HT27" s="1">
        <f>IF($B27=Analysis!$C$159,0,IF(HP27 &gt;= 0,
    MAX(0, HQ26 + HP27 - Analysis!$C$7),
    0))</f>
        <v>19676.377890231786</v>
      </c>
      <c r="HU27" s="1">
        <f>IF($B27=Analysis!$C$159,0,MAX(0, HU26 + HT27 - IF(HP27 &lt; 0, MIN(ABS(HP27), HU26 + HT27), 0)))</f>
        <v>622231.00787780737</v>
      </c>
      <c r="HV27" s="1">
        <f>IF($B27=Analysis!$C$159,0,IF(HP27 &lt; 0,
    IF(HP27 + HQ26 &lt; 0,
        MAX(0, HV26 - (ABS(HP27 + HQ26) * (1+$V26))),
        HV26 + HS27),
    HV26 + HT27 + HS27))</f>
        <v>1067432.6847595731</v>
      </c>
      <c r="HW27" s="1">
        <f t="shared" si="58"/>
        <v>950010.74248200736</v>
      </c>
      <c r="HX27" s="36"/>
    </row>
    <row r="28" spans="1:232" x14ac:dyDescent="0.35">
      <c r="A28">
        <f t="shared" si="0"/>
        <v>61</v>
      </c>
      <c r="B28">
        <v>2051</v>
      </c>
      <c r="C28" s="1">
        <f>IF($B28&lt;Analysis!C$66,0,$AN28)+$AT28+$AW28+$BC28+$CF28+$CA28</f>
        <v>1609777.3006384713</v>
      </c>
      <c r="D28" s="1">
        <f>IF($B28&lt;Analysis!C$66, 0, BV28)+AT28+AW28+BC28+CG28+CA28</f>
        <v>1428547.1096203474</v>
      </c>
      <c r="E28" s="1">
        <f t="shared" si="1"/>
        <v>1549420.702730926</v>
      </c>
      <c r="F28" s="1">
        <f t="shared" si="9"/>
        <v>1355726.1111988723</v>
      </c>
      <c r="G28" s="1">
        <f>IF(AND($B28&gt;=Analysis!$C$100, $B28&lt;Analysis!$C$101),$CK28,0)+IF($B28&gt;=Analysis!$C$130,EB28,0)+CQ28+CT28+CZ28+EH28+EK28+EQ28+$FO28+$FT28</f>
        <v>1817471.2174055586</v>
      </c>
      <c r="H28" s="1">
        <f t="shared" si="10"/>
        <v>1602849.5309787733</v>
      </c>
      <c r="I28" s="1">
        <f>IF($B28&lt;Analysis!$C$159,0,$FW28)+$GC28+$GF28+$GL28+$HQ28+$HV28</f>
        <v>1817471.2174055586</v>
      </c>
      <c r="J28" s="1">
        <f t="shared" si="2"/>
        <v>1602849.5309787733</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48889.691247799397</v>
      </c>
      <c r="AI28" s="1">
        <f>IF(AE28 &gt;= 0,
    MAX(0, AF27 + AE28 - Analysis!$C$7),
    0)</f>
        <v>32651.149184623675</v>
      </c>
      <c r="AJ28" s="1">
        <f t="shared" si="44"/>
        <v>791033.62583214464</v>
      </c>
      <c r="AK28" s="1">
        <f t="shared" si="20"/>
        <v>1525420.702730926</v>
      </c>
      <c r="AL28" s="1">
        <f t="shared" si="5"/>
        <v>1331726.1111988723</v>
      </c>
      <c r="AM28" s="36"/>
      <c r="AN28" s="1">
        <f t="shared" si="45"/>
        <v>1041150.2075590332</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-24211.149055233251</v>
      </c>
      <c r="AT28" s="1">
        <f>IF($B28&lt;Analysis!$C$66,0,IF($B28=Analysis!$C$66,-AP28-AS28,MIN(0,AT27-AS28)))</f>
        <v>-46555.119722246542</v>
      </c>
      <c r="AU28" s="64">
        <f>IF($B28&lt;Analysis!$C$66,0,IF($B28=Analysis!$C$66,Analysis!$C$72,IF(($B28-Analysis!$C$66)&lt;LOOKUP(Analysis!$C$66,$B:$B,AQ:AQ),AU27,0)))</f>
        <v>3.6999999999999998E-2</v>
      </c>
      <c r="AV28" s="1">
        <f>IF($B28&lt;Analysis!$C$66,0,IF($B28=Analysis!$C$66,-AU28*AP28,AU27*AT27))</f>
        <v>-2618.3519447667522</v>
      </c>
      <c r="AW28" s="1">
        <f>IF($B28&lt;Analysis!$C$66,0,IF($B28=Analysis!$C$66,PMT(AU28,AQ28,AP28)*AQ28-AX28-AT28,IF(($B28-Analysis!$C$66+1)&lt;LOOKUP(Analysis!$C$66,$B:$B,AQ:AQ),IF(AW27-AV28&lt;0, AW27-AV28,0),0)))</f>
        <v>-2446.4795660136469</v>
      </c>
      <c r="AX28" s="1">
        <f>IF($B28&lt;Analysis!$C$66,0,IF($B28=Analysis!$C$66,AS28+AV28,IF(AT27&lt;0,IF(AT27&gt;LOOKUP(Analysis!$C$66,$B:$B,AX:AX), AT27*(1+AU27),AX27),0)))</f>
        <v>-26829.501000000004</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-3123.4506226770995</v>
      </c>
      <c r="BF28" s="64">
        <f>IF($B28&lt;Analysis!$C$66,0,Analysis!$C$78)</f>
        <v>3.0000000000000001E-3</v>
      </c>
      <c r="BG28" s="1">
        <f>IF($B28&lt;Analysis!$C$66,0,-BH28*AN28)</f>
        <v>-7808.6265566927486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-132746.65146377674</v>
      </c>
      <c r="BS28" s="64">
        <f>IF($B28&lt;Analysis!C$66,0,Analysis!C$31)</f>
        <v>0.1275</v>
      </c>
      <c r="BT28" s="1">
        <f>IF($B28&lt;Analysis!$C$66,0,AN28+BR28)</f>
        <v>908403.55609525647</v>
      </c>
      <c r="BU28" s="1">
        <f>IF($B28-Analysis!$C$66&gt;3,0,IF($AN28&gt;LOOKUP(Analysis!$C$66,$B:$B, AN:AN),$V28*(LOOKUP(Analysis!$C$66,$B:$B, AN:AN)-AN28),0))</f>
        <v>0</v>
      </c>
      <c r="BV28" s="1">
        <f t="shared" si="23"/>
        <v>908403.55609525647</v>
      </c>
      <c r="BW28" s="42"/>
      <c r="BX28" s="1">
        <f>IF($B28&lt;Analysis!$C$66,$P28+$N28+$X28+$Z28,$P28+$N28+AS28+AV28+BB28+BE28+BG28+MAX(BI28,SUM(BJ28:BN28))+BP28)</f>
        <v>-102921.57817936986</v>
      </c>
      <c r="BY28" s="1">
        <f t="shared" si="24"/>
        <v>131467.92324122589</v>
      </c>
      <c r="BZ28" s="1">
        <f t="shared" si="46"/>
        <v>28546.345061856031</v>
      </c>
      <c r="CA28" s="1">
        <f>IF(BZ28 &lt; 0,
    IF(CA27 + BZ28 &gt; 0,
        CA27 + BZ28, IF(CF27-ABS(CA27 + BZ28)*(1+$V28) &gt;= CA27 + BZ28,
        0, CA27 + BZ28)),
    MIN(CA27 + BZ28, Analysis!$C$7))+IF(CA27&lt;0, CA27*Analysis!$C$9,0)</f>
        <v>24000</v>
      </c>
      <c r="CB28" s="42"/>
      <c r="CC28" s="1">
        <f t="shared" si="47"/>
        <v>18507.010290860315</v>
      </c>
      <c r="CD28" s="1">
        <f>IF(BZ28 &gt;= 0,
    MAX(0, CA27 + BZ28 - Analysis!$C$7),
    0)</f>
        <v>28546.345061856031</v>
      </c>
      <c r="CE28" s="1">
        <f>IF($B28=Analysis!$C$66,0,MAX(0, CE27 + CD28 - IF(BZ28 &lt; 0, MIN(ABS(BZ28), CE27 + CD28), 0)))</f>
        <v>409804.8457161453</v>
      </c>
      <c r="CF28" s="1">
        <f>IF($B28=Analysis!$C$66,0,IF(BZ28 &lt; 0,
    IF(BZ28 + CA27 &lt; 0,
        MAX(0, CF27 - (ABS(BZ28 + CA27) * (1+$V27))),
        CF27 + CC28),
    CF27 + CD28 + CC28))</f>
        <v>593628.69236769818</v>
      </c>
      <c r="CG28" s="1">
        <f t="shared" si="25"/>
        <v>545145.15281335113</v>
      </c>
      <c r="CH28" s="36"/>
      <c r="CI28" s="1">
        <f>IF(OR($B28&lt;Analysis!$C$100, $B28&gt;=Analysis!$C$130),0,X28)</f>
        <v>-33656.774056602211</v>
      </c>
      <c r="CJ28" s="1">
        <f>IF(OR($B28&lt;Analysis!$C$100, $B28&gt;=Analysis!$C$130),0,Z28)</f>
        <v>-3960</v>
      </c>
      <c r="CK28" s="1">
        <f t="shared" si="26"/>
        <v>687584.09625735309</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-14661.697787095189</v>
      </c>
      <c r="CQ28" s="1">
        <f>IF(OR($B28&lt;Analysis!$C$100, $B28&gt;=Analysis!$C$101),0,IF($B28=Analysis!$C$100,-CM28-CP28,MIN(0,CQ27-CP28)))</f>
        <v>-28192.676615737604</v>
      </c>
      <c r="CR28" s="64">
        <f>IF(OR($B28&lt;Analysis!$C$100, $B28&gt;=Analysis!$C$101),0,IF($B28=Analysis!$C$100,Analysis!$C$102,IF(($B28-Analysis!$C$100)&lt;LOOKUP(Analysis!$C$100,$B:$B,CN:CN),CR27,0)))</f>
        <v>3.6999999999999998E-2</v>
      </c>
      <c r="CS28" s="1">
        <f>IF(OR($B28&lt;Analysis!$C$100, $B28&gt;=Analysis!$C$101),0,IF($B28=Analysis!$C$100,-CR28*CM28,CR27*CQ27))</f>
        <v>-1585.6118529048133</v>
      </c>
      <c r="CT28" s="1">
        <f>IF(OR($B28&lt;Analysis!$C$100, $B28&gt;=Analysis!$C$101),0,IF($B28=Analysis!$C$100,PMT(CR28,CN28,CM28)*CN28-CU28-CQ28,IF(($B28-Analysis!$C$100+1)&lt;LOOKUP(Analysis!$C$100,$B:$B,CN:CN),IF(CT27-CS28&lt;0, CT27-CS28,0),0)))</f>
        <v>-1481.5300156704068</v>
      </c>
      <c r="CU28" s="1">
        <f>IF(OR($B28&lt;Analysis!$C$100, $B28&gt;=Analysis!$C$101),0,IF($B28=Analysis!$C$100,CP28+CS28,IF(CQ27&lt;0,IF(CQ27&gt;LOOKUP(Analysis!$C$100,$B:$B,CU:CU), CQ27*(1+CR27),CU27),0)))</f>
        <v>-16247.309640000001</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35472.429588299005</v>
      </c>
      <c r="DE28" s="1">
        <f t="shared" si="27"/>
        <v>-2062.7522887720593</v>
      </c>
      <c r="DF28" s="64">
        <f>IF(OR($B28&lt;Analysis!$C$100, $B28&gt;=Analysis!$C$101),0,Analysis!$C$118)</f>
        <v>3.0000000000000001E-3</v>
      </c>
      <c r="DG28" s="1">
        <f t="shared" si="28"/>
        <v>-5156.880721930148</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-6472</v>
      </c>
      <c r="DQ28" s="1">
        <f>-Analysis!$C$117*DB28</f>
        <v>-2208.7257974645204</v>
      </c>
      <c r="DR28" s="1">
        <f t="shared" si="29"/>
        <v>-19860.358808166729</v>
      </c>
      <c r="DS28" s="1">
        <f>MIN(0,-(DB28+DR28)*Analysis!$C$28)-CS28*Analysis!$C$28</f>
        <v>-3546.4424114995868</v>
      </c>
      <c r="DT28" s="1">
        <f>-Analysis!$C$116*DD28/12</f>
        <v>-2956.0357990249172</v>
      </c>
      <c r="DU28" s="53"/>
      <c r="DV28" s="1">
        <f t="shared" si="30"/>
        <v>-87666.97227281252</v>
      </c>
      <c r="DW28" s="64">
        <f>IF(OR($B28&lt;Analysis!$C$100, $B28&gt;=Analysis!$C$101),0,IF($B28=Analysis!$C$100,Analysis!$C$31,DW27))</f>
        <v>0.1275</v>
      </c>
      <c r="DX28" s="1">
        <f>IF(OR($B28&lt;Analysis!$C$100, $B28&gt;=Analysis!$C$101),0,CK28+DV28)</f>
        <v>599917.12398454058</v>
      </c>
      <c r="DY28" s="1">
        <f>IF(OR($B28&lt;Analysis!$C$100, $B28&gt;=Analysis!$C$101),0,IF($B28-Analysis!$C$100&gt;3,0,IF(CK28&gt;LOOKUP(Analysis!$C$100,$B:$B, CK:CK),$V28*(LOOKUP(Analysis!$C$100,$B:$B, CK:CK)-CK28),0)))</f>
        <v>0</v>
      </c>
      <c r="DZ28" s="1">
        <f t="shared" si="49"/>
        <v>599917.12398454058</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-134954.92071529344</v>
      </c>
      <c r="FM28" s="1">
        <f>$M28+$R28+DD28+IF(AND($B28&lt;&gt;Analysis!$C$130,$B28=Analysis!$C$101),DZ27+CQ27+CT27+CZ27,0)</f>
        <v>166940.3528295249</v>
      </c>
      <c r="FN28" s="1">
        <f t="shared" si="34"/>
        <v>31985.432114231458</v>
      </c>
      <c r="FO28" s="1">
        <f>IF(FN28 &lt; 0,
    IF(FO27 + FN28 &gt; 0,
        FO27 + FN28, IF(FT27-ABS(FO27 + FN28)*(1+$V28) &gt;= FO27 + FN28,
        0, FO27 + FN28)),
    MIN(FO27 + FN28, Analysis!$C$7))+IF(FO27&lt;0, FO27*Analysis!$C$9,0)</f>
        <v>24000</v>
      </c>
      <c r="FP28" s="53"/>
      <c r="FQ28" s="1">
        <f t="shared" si="51"/>
        <v>36143.210905808912</v>
      </c>
      <c r="FR28" s="1">
        <f>IF(OR($B28=Analysis!$C$100, $B28=Analysis!$C$130),0,IF(FN28 &gt;= 0,
    MAX(0, FO27 + FN28 - Analysis!$C$7),
    0))</f>
        <v>31985.432114231458</v>
      </c>
      <c r="FS28" s="1">
        <f>IF(OR($B28=Analysis!$C$100, $B28=Analysis!$C$130),0,MAX(0, FS27 + FR28 - IF(FN28 &lt; 0, MIN(ABS(FN28), FS27 + FR28), 0)))</f>
        <v>654216.43999203877</v>
      </c>
      <c r="FT28" s="1">
        <f>IF(OR($B28=Analysis!$C$100, $B28=Analysis!$C$130),0,IF(FN28 &lt; 0,
    IF(FN28 + FO27 &lt; 0,
        MAX(0, FT27 - (ABS(FN28 + FO27) * (1+$V27))),
        FT27 + FQ28),
    FT27 + FR28 + FQ28))</f>
        <v>1135561.3277796134</v>
      </c>
      <c r="FU28" s="1">
        <f t="shared" si="57"/>
        <v>1008606.6136256406</v>
      </c>
      <c r="FV28" s="36"/>
      <c r="FW28" s="1">
        <f t="shared" si="52"/>
        <v>687584.09625735309</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-14661.697787095189</v>
      </c>
      <c r="GC28" s="1">
        <f>IF($B28&lt;Analysis!$C$159,0,IF($B28=Analysis!$C$159,-FY28-GB28,MIN(0,GC27-GB28)))</f>
        <v>-28192.676615737604</v>
      </c>
      <c r="GD28" s="64">
        <f>IF($B28&lt;Analysis!$C$159,0,IF($B28=Analysis!$C$159,Analysis!$C$160,IF(($B28-Analysis!$C$159)&lt;LOOKUP(Analysis!$C$159,$B:$B,FZ:FZ),GD27,0)))</f>
        <v>3.6999999999999998E-2</v>
      </c>
      <c r="GE28" s="1">
        <f>IF($B28&lt;Analysis!$C$159,0,IF($B28=Analysis!$C$159,-GD28*FY28,GD27*GC27))</f>
        <v>-1585.6118529048133</v>
      </c>
      <c r="GF28" s="1">
        <f>IF($B28&lt;Analysis!$C$159,0,IF($B28=Analysis!$C$159,PMT(GD28,FZ28,FY28)*FZ28-GG28-GC28,IF(($B28-Analysis!$C$159+1)&lt;LOOKUP(Analysis!$C$159,$B:$B,FZ:FZ),IF(GF27-GE28&lt;0, GF27-GE28,0),0)))</f>
        <v>-1481.5300156704068</v>
      </c>
      <c r="GG28" s="1">
        <f>IF($B28&lt;Analysis!$C$159,0,IF($B28=Analysis!$C$159,GB28+GE28,IF(GC27&lt;0,IF(GC27&gt;LOOKUP(Analysis!$C$159,$B:$B,GG:GG), GC27*(1+GD27),GG27),0)))</f>
        <v>-16247.309640000001</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35472.429588299005</v>
      </c>
      <c r="GQ28" s="1">
        <f t="shared" si="36"/>
        <v>-2062.7522887720593</v>
      </c>
      <c r="GR28" s="64">
        <f>IF($B28&lt;Analysis!$C$159,0,Analysis!$C$178)</f>
        <v>3.0000000000000001E-3</v>
      </c>
      <c r="GS28" s="1">
        <f t="shared" si="37"/>
        <v>-5156.880721930148</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-6472</v>
      </c>
      <c r="HC28" s="1">
        <f>-Analysis!$C$177*GN28</f>
        <v>-2208.7257974645204</v>
      </c>
      <c r="HD28" s="1">
        <f t="shared" si="38"/>
        <v>-19860.358808166729</v>
      </c>
      <c r="HE28" s="1">
        <f>MIN(0,-(GN28+HD28)*Analysis!$C$28)-GE28*Analysis!$C$28</f>
        <v>-3546.4424114995868</v>
      </c>
      <c r="HF28" s="1">
        <f>-Analysis!$C$176*GP28/12</f>
        <v>-2956.0357990249172</v>
      </c>
      <c r="HG28" s="38"/>
      <c r="HH28" s="1">
        <f>IF($B28&lt;Analysis!$C$159,0,-$HI28*$FW28)</f>
        <v>-87666.97227281252</v>
      </c>
      <c r="HI28" s="64">
        <f>IF($B28&lt;Analysis!$C$159,0,IF($B28=Analysis!$C$159,Analysis!$C$31,HI27))</f>
        <v>0.1275</v>
      </c>
      <c r="HJ28" s="1">
        <f>IF($B28&lt;Analysis!$C$159,0,$FW28+HH28)</f>
        <v>599917.12398454058</v>
      </c>
      <c r="HK28" s="1">
        <f>IF($B28-Analysis!$C$159&gt;10,0,IF($FW28&gt;LOOKUP(Analysis!$C$159,$B:$B, FW:FW),$V28*(LOOKUP(Analysis!$C$159,$B:$B, FW:FW)-FW28),0))</f>
        <v>0</v>
      </c>
      <c r="HL28" s="1">
        <f t="shared" si="39"/>
        <v>599917.12398454058</v>
      </c>
      <c r="HM28" s="38"/>
      <c r="HN28" s="1">
        <f t="shared" si="40"/>
        <v>-134954.92071529344</v>
      </c>
      <c r="HO28" s="1">
        <f t="shared" si="8"/>
        <v>166940.3528295249</v>
      </c>
      <c r="HP28" s="1">
        <f t="shared" si="41"/>
        <v>31985.432114231458</v>
      </c>
      <c r="HQ28" s="1">
        <f>IF(HP28 &lt; 0,
    IF(HQ27 + HP28 &gt; 0,
        HQ27 + HP28, IF(HV27-ABS(HQ27 + HP28)*(1+$V28) &gt;= HQ27 + HP28,
        0, HQ27 + HP28)),
    MIN(HQ27 + HP28, Analysis!$C$7))+IF(HQ27&lt;0, HQ27*Analysis!$C$9,0)</f>
        <v>24000</v>
      </c>
      <c r="HR28" s="38"/>
      <c r="HS28" s="1">
        <f t="shared" si="54"/>
        <v>36143.210905808912</v>
      </c>
      <c r="HT28" s="1">
        <f>IF($B28=Analysis!$C$159,0,IF(HP28 &gt;= 0,
    MAX(0, HQ27 + HP28 - Analysis!$C$7),
    0))</f>
        <v>31985.432114231458</v>
      </c>
      <c r="HU28" s="1">
        <f>IF($B28=Analysis!$C$159,0,MAX(0, HU27 + HT28 - IF(HP28 &lt; 0, MIN(ABS(HP28), HU27 + HT28), 0)))</f>
        <v>654216.43999203877</v>
      </c>
      <c r="HV28" s="1">
        <f>IF($B28=Analysis!$C$159,0,IF(HP28 &lt; 0,
    IF(HP28 + HQ27 &lt; 0,
        MAX(0, HV27 - (ABS(HP28 + HQ27) * (1+$V27))),
        HV27 + HS28),
    HV27 + HT28 + HS28))</f>
        <v>1135561.3277796134</v>
      </c>
      <c r="HW28" s="1">
        <f t="shared" si="58"/>
        <v>1008606.6136256406</v>
      </c>
      <c r="HX28" s="36"/>
    </row>
    <row r="29" spans="1:232" x14ac:dyDescent="0.35">
      <c r="A29">
        <f t="shared" si="0"/>
        <v>62</v>
      </c>
      <c r="B29">
        <v>2052</v>
      </c>
      <c r="C29" s="1">
        <f>IF($B29&lt;Analysis!C$66,0,$AN29)+$AT29+$AW29+$BC29+$CF29+$CA29</f>
        <v>1714536.265026933</v>
      </c>
      <c r="D29" s="1">
        <f>IF($B29&lt;Analysis!C$66, 0, BV29)+AT29+AW29+BC29+CG29+CA29</f>
        <v>1524368.7289155745</v>
      </c>
      <c r="E29" s="1">
        <f t="shared" si="1"/>
        <v>1630117.5994139973</v>
      </c>
      <c r="F29" s="1">
        <f t="shared" si="9"/>
        <v>1423489.8545040097</v>
      </c>
      <c r="G29" s="1">
        <f>IF(AND($B29&gt;=Analysis!$C$100, $B29&lt;Analysis!$C$101),$CK29,0)+IF($B29&gt;=Analysis!$C$130,EB29,0)+CQ29+CT29+CZ29+EH29+EK29+EQ29+$FO29+$FT29</f>
        <v>1921511.4781958009</v>
      </c>
      <c r="H29" s="1">
        <f t="shared" si="10"/>
        <v>1694683.5885253707</v>
      </c>
      <c r="I29" s="1">
        <f>IF($B29&lt;Analysis!$C$159,0,$FW29)+$GC29+$GF29+$GL29+$HQ29+$HV29</f>
        <v>1921511.4781958009</v>
      </c>
      <c r="J29" s="1">
        <f t="shared" si="2"/>
        <v>1694683.5885253707</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49035.652617759646</v>
      </c>
      <c r="AI29" s="1">
        <f>IF(AE29 &gt;= 0,
    MAX(0, AF28 + AE29 - Analysis!$C$7),
    0)</f>
        <v>31661.244065311839</v>
      </c>
      <c r="AJ29" s="1">
        <f t="shared" si="44"/>
        <v>822694.86989745649</v>
      </c>
      <c r="AK29" s="1">
        <f t="shared" si="20"/>
        <v>1606117.5994139973</v>
      </c>
      <c r="AL29" s="1">
        <f t="shared" si="5"/>
        <v>1399489.8545040097</v>
      </c>
      <c r="AM29" s="36"/>
      <c r="AN29" s="1">
        <f t="shared" si="45"/>
        <v>1071772.2724872401</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-25106.961570276882</v>
      </c>
      <c r="AT29" s="1">
        <f>IF($B29&lt;Analysis!$C$66,0,IF($B29=Analysis!$C$66,-AP29-AS29,MIN(0,AT28-AS29)))</f>
        <v>-21448.158151969659</v>
      </c>
      <c r="AU29" s="64">
        <f>IF($B29&lt;Analysis!$C$66,0,IF($B29=Analysis!$C$66,Analysis!$C$72,IF(($B29-Analysis!$C$66)&lt;LOOKUP(Analysis!$C$66,$B:$B,AQ:AQ),AU28,0)))</f>
        <v>3.6999999999999998E-2</v>
      </c>
      <c r="AV29" s="1">
        <f>IF($B29&lt;Analysis!$C$66,0,IF($B29=Analysis!$C$66,-AU29*AP29,AU28*AT28))</f>
        <v>-1722.5394297231219</v>
      </c>
      <c r="AW29" s="1">
        <f>IF($B29&lt;Analysis!$C$66,0,IF($B29=Analysis!$C$66,PMT(AU29,AQ29,AP29)*AQ29-AX29-AT29,IF(($B29-Analysis!$C$66+1)&lt;LOOKUP(Analysis!$C$66,$B:$B,AQ:AQ),IF(AW28-AV29&lt;0, AW28-AV29,0),0)))</f>
        <v>-723.94013629052506</v>
      </c>
      <c r="AX29" s="1">
        <f>IF($B29&lt;Analysis!$C$66,0,IF($B29=Analysis!$C$66,AS29+AV29,IF(AT28&lt;0,IF(AT28&gt;LOOKUP(Analysis!$C$66,$B:$B,AX:AX), AT28*(1+AU28),AX28),0)))</f>
        <v>-26829.501000000004</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-3215.3168174617203</v>
      </c>
      <c r="BF29" s="64">
        <f>IF($B29&lt;Analysis!$C$66,0,Analysis!$C$78)</f>
        <v>3.0000000000000001E-3</v>
      </c>
      <c r="BG29" s="1">
        <f>IF($B29&lt;Analysis!$C$66,0,-BH29*AN29)</f>
        <v>-8038.2920436543009</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-136650.96474212312</v>
      </c>
      <c r="BS29" s="64">
        <f>IF($B29&lt;Analysis!C$66,0,Analysis!C$31)</f>
        <v>0.1275</v>
      </c>
      <c r="BT29" s="1">
        <f>IF($B29&lt;Analysis!$C$66,0,AN29+BR29)</f>
        <v>935121.307745117</v>
      </c>
      <c r="BU29" s="1">
        <f>IF($B29-Analysis!$C$66&gt;3,0,IF($AN29&gt;LOOKUP(Analysis!$C$66,$B:$B, AN:AN),$V29*(LOOKUP(Analysis!$C$66,$B:$B, AN:AN)-AN29),0))</f>
        <v>0</v>
      </c>
      <c r="BV29" s="1">
        <f t="shared" si="23"/>
        <v>935121.307745117</v>
      </c>
      <c r="BW29" s="42"/>
      <c r="BX29" s="1">
        <f>IF($B29&lt;Analysis!$C$66,$P29+$N29+$X29+$Z29,$P29+$N29+AS29+AV29+BB29+BE29+BG29+MAX(BI29,SUM(BJ29:BN29))+BP29)</f>
        <v>-103243.10986111603</v>
      </c>
      <c r="BY29" s="1">
        <f t="shared" si="24"/>
        <v>131467.92324122589</v>
      </c>
      <c r="BZ29" s="1">
        <f t="shared" si="46"/>
        <v>28224.813380109859</v>
      </c>
      <c r="CA29" s="1">
        <f>IF(BZ29 &lt; 0,
    IF(CA28 + BZ29 &gt; 0,
        CA28 + BZ29, IF(CF28-ABS(CA28 + BZ29)*(1+$V29) &gt;= CA28 + BZ29,
        0, CA28 + BZ29)),
    MIN(CA28 + BZ29, Analysis!$C$7))+IF(CA28&lt;0, CA28*Analysis!$C$9,0)</f>
        <v>24000</v>
      </c>
      <c r="CB29" s="42"/>
      <c r="CC29" s="1">
        <f t="shared" si="47"/>
        <v>19082.585080144923</v>
      </c>
      <c r="CD29" s="1">
        <f>IF(BZ29 &gt;= 0,
    MAX(0, CA28 + BZ29 - Analysis!$C$7),
    0)</f>
        <v>28224.813380109859</v>
      </c>
      <c r="CE29" s="1">
        <f>IF($B29=Analysis!$C$66,0,MAX(0, CE28 + CD29 - IF(BZ29 &lt; 0, MIN(ABS(BZ29), CE28 + CD29), 0)))</f>
        <v>438029.65909625514</v>
      </c>
      <c r="CF29" s="1">
        <f>IF($B29=Analysis!$C$66,0,IF(BZ29 &lt; 0,
    IF(BZ29 + CA28 &lt; 0,
        MAX(0, CF28 - (ABS(BZ29 + CA28) * (1+$V28))),
        CF28 + CC29),
    CF28 + CD29 + CC29))</f>
        <v>640936.09082795295</v>
      </c>
      <c r="CG29" s="1">
        <f t="shared" si="25"/>
        <v>587419.51945871767</v>
      </c>
      <c r="CH29" s="36"/>
      <c r="CI29" s="1">
        <f>IF(OR($B29&lt;Analysis!$C$100, $B29&gt;=Analysis!$C$130),0,X29)</f>
        <v>-34646.679175914047</v>
      </c>
      <c r="CJ29" s="1">
        <f>IF(OR($B29&lt;Analysis!$C$100, $B29&gt;=Analysis!$C$130),0,Z29)</f>
        <v>-3960</v>
      </c>
      <c r="CK29" s="1">
        <f t="shared" si="26"/>
        <v>707807.15791198122</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-15204.180605217711</v>
      </c>
      <c r="CQ29" s="1">
        <f>IF(OR($B29&lt;Analysis!$C$100, $B29&gt;=Analysis!$C$101),0,IF($B29=Analysis!$C$100,-CM29-CP29,MIN(0,CQ28-CP29)))</f>
        <v>-12988.496010519893</v>
      </c>
      <c r="CR29" s="64">
        <f>IF(OR($B29&lt;Analysis!$C$100, $B29&gt;=Analysis!$C$101),0,IF($B29=Analysis!$C$100,Analysis!$C$102,IF(($B29-Analysis!$C$100)&lt;LOOKUP(Analysis!$C$100,$B:$B,CN:CN),CR28,0)))</f>
        <v>3.6999999999999998E-2</v>
      </c>
      <c r="CS29" s="1">
        <f>IF(OR($B29&lt;Analysis!$C$100, $B29&gt;=Analysis!$C$101),0,IF($B29=Analysis!$C$100,-CR29*CM29,CR28*CQ28))</f>
        <v>-1043.1290347822912</v>
      </c>
      <c r="CT29" s="1">
        <f>IF(OR($B29&lt;Analysis!$C$100, $B29&gt;=Analysis!$C$101),0,IF($B29=Analysis!$C$100,PMT(CR29,CN29,CM29)*CN29-CU29-CQ29,IF(($B29-Analysis!$C$100+1)&lt;LOOKUP(Analysis!$C$100,$B:$B,CN:CN),IF(CT28-CS29&lt;0, CT28-CS29,0),0)))</f>
        <v>-438.40098088811555</v>
      </c>
      <c r="CU29" s="1">
        <f>IF(OR($B29&lt;Analysis!$C$100, $B29&gt;=Analysis!$C$101),0,IF($B29=Analysis!$C$100,CP29+CS29,IF(CQ28&lt;0,IF(CQ28&gt;LOOKUP(Analysis!$C$100,$B:$B,CU:CU), CQ28*(1+CR28),CU28),0)))</f>
        <v>-16247.309640000001</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36399.265752660736</v>
      </c>
      <c r="DE29" s="1">
        <f t="shared" si="27"/>
        <v>-2123.4214737359439</v>
      </c>
      <c r="DF29" s="64">
        <f>IF(OR($B29&lt;Analysis!$C$100, $B29&gt;=Analysis!$C$101),0,Analysis!$C$118)</f>
        <v>3.0000000000000001E-3</v>
      </c>
      <c r="DG29" s="1">
        <f t="shared" si="28"/>
        <v>-5308.5536843398586</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-6472</v>
      </c>
      <c r="DQ29" s="1">
        <f>-Analysis!$C$117*DB29</f>
        <v>-2273.6883209193597</v>
      </c>
      <c r="DR29" s="1">
        <f t="shared" si="29"/>
        <v>-20137.66347899516</v>
      </c>
      <c r="DS29" s="1">
        <f>MIN(0,-(DB29+DR29)*Analysis!$C$28)-CS29*Analysis!$C$28</f>
        <v>-4047.7414371367886</v>
      </c>
      <c r="DT29" s="1">
        <f>-Analysis!$C$116*DD29/12</f>
        <v>-3033.2721460550615</v>
      </c>
      <c r="DU29" s="53"/>
      <c r="DV29" s="1">
        <f t="shared" si="30"/>
        <v>-90245.412633777611</v>
      </c>
      <c r="DW29" s="64">
        <f>IF(OR($B29&lt;Analysis!$C$100, $B29&gt;=Analysis!$C$101),0,IF($B29=Analysis!$C$100,Analysis!$C$31,DW28))</f>
        <v>0.1275</v>
      </c>
      <c r="DX29" s="1">
        <f>IF(OR($B29&lt;Analysis!$C$100, $B29&gt;=Analysis!$C$101),0,CK29+DV29)</f>
        <v>617561.74527820363</v>
      </c>
      <c r="DY29" s="1">
        <f>IF(OR($B29&lt;Analysis!$C$100, $B29&gt;=Analysis!$C$101),0,IF($B29-Analysis!$C$100&gt;3,0,IF(CK29&gt;LOOKUP(Analysis!$C$100,$B:$B, CK:CK),$V29*(LOOKUP(Analysis!$C$100,$B:$B, CK:CK)-CK29),0)))</f>
        <v>0</v>
      </c>
      <c r="DZ29" s="1">
        <f t="shared" si="49"/>
        <v>617561.74527820363</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-136800.66587810108</v>
      </c>
      <c r="FM29" s="1">
        <f>$M29+$R29+DD29+IF(AND($B29&lt;&gt;Analysis!$C$130,$B29=Analysis!$C$101),DZ28+CQ28+CT28+CZ28,0)</f>
        <v>167867.18899388664</v>
      </c>
      <c r="FN29" s="1">
        <f t="shared" si="34"/>
        <v>31066.52311578556</v>
      </c>
      <c r="FO29" s="1">
        <f>IF(FN29 &lt; 0,
    IF(FO28 + FN29 &gt; 0,
        FO28 + FN29, IF(FT28-ABS(FO28 + FN29)*(1+$V29) &gt;= FO28 + FN29,
        0, FO28 + FN29)),
    MIN(FO28 + FN29, Analysis!$C$7))+IF(FO28&lt;0, FO28*Analysis!$C$9,0)</f>
        <v>24000</v>
      </c>
      <c r="FP29" s="53"/>
      <c r="FQ29" s="1">
        <f t="shared" si="51"/>
        <v>36503.366379828876</v>
      </c>
      <c r="FR29" s="1">
        <f>IF(OR($B29=Analysis!$C$100, $B29=Analysis!$C$130),0,IF(FN29 &gt;= 0,
    MAX(0, FO28 + FN29 - Analysis!$C$7),
    0))</f>
        <v>31066.52311578556</v>
      </c>
      <c r="FS29" s="1">
        <f>IF(OR($B29=Analysis!$C$100, $B29=Analysis!$C$130),0,MAX(0, FS28 + FR29 - IF(FN29 &lt; 0, MIN(ABS(FN29), FS28 + FR29), 0)))</f>
        <v>685282.96310782433</v>
      </c>
      <c r="FT29" s="1">
        <f>IF(OR($B29=Analysis!$C$100, $B29=Analysis!$C$130),0,IF(FN29 &lt; 0,
    IF(FN29 + FO28 &lt; 0,
        MAX(0, FT28 - (ABS(FN29 + FO28) * (1+$V28))),
        FT28 + FQ29),
    FT28 + FR29 + FQ29))</f>
        <v>1203131.2172752279</v>
      </c>
      <c r="FU29" s="1">
        <f t="shared" si="57"/>
        <v>1066548.7402385753</v>
      </c>
      <c r="FV29" s="36"/>
      <c r="FW29" s="1">
        <f t="shared" si="52"/>
        <v>707807.15791198122</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-15204.180605217711</v>
      </c>
      <c r="GC29" s="1">
        <f>IF($B29&lt;Analysis!$C$159,0,IF($B29=Analysis!$C$159,-FY29-GB29,MIN(0,GC28-GB29)))</f>
        <v>-12988.496010519893</v>
      </c>
      <c r="GD29" s="64">
        <f>IF($B29&lt;Analysis!$C$159,0,IF($B29=Analysis!$C$159,Analysis!$C$160,IF(($B29-Analysis!$C$159)&lt;LOOKUP(Analysis!$C$159,$B:$B,FZ:FZ),GD28,0)))</f>
        <v>3.6999999999999998E-2</v>
      </c>
      <c r="GE29" s="1">
        <f>IF($B29&lt;Analysis!$C$159,0,IF($B29=Analysis!$C$159,-GD29*FY29,GD28*GC28))</f>
        <v>-1043.1290347822912</v>
      </c>
      <c r="GF29" s="1">
        <f>IF($B29&lt;Analysis!$C$159,0,IF($B29=Analysis!$C$159,PMT(GD29,FZ29,FY29)*FZ29-GG29-GC29,IF(($B29-Analysis!$C$159+1)&lt;LOOKUP(Analysis!$C$159,$B:$B,FZ:FZ),IF(GF28-GE29&lt;0, GF28-GE29,0),0)))</f>
        <v>-438.40098088811555</v>
      </c>
      <c r="GG29" s="1">
        <f>IF($B29&lt;Analysis!$C$159,0,IF($B29=Analysis!$C$159,GB29+GE29,IF(GC28&lt;0,IF(GC28&gt;LOOKUP(Analysis!$C$159,$B:$B,GG:GG), GC28*(1+GD28),GG28),0)))</f>
        <v>-16247.309640000001</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36399.265752660736</v>
      </c>
      <c r="GQ29" s="1">
        <f t="shared" si="36"/>
        <v>-2123.4214737359439</v>
      </c>
      <c r="GR29" s="64">
        <f>IF($B29&lt;Analysis!$C$159,0,Analysis!$C$178)</f>
        <v>3.0000000000000001E-3</v>
      </c>
      <c r="GS29" s="1">
        <f t="shared" si="37"/>
        <v>-5308.5536843398586</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-6472</v>
      </c>
      <c r="HC29" s="1">
        <f>-Analysis!$C$177*GN29</f>
        <v>-2273.6883209193597</v>
      </c>
      <c r="HD29" s="1">
        <f t="shared" si="38"/>
        <v>-20137.66347899516</v>
      </c>
      <c r="HE29" s="1">
        <f>MIN(0,-(GN29+HD29)*Analysis!$C$28)-GE29*Analysis!$C$28</f>
        <v>-4047.7414371367886</v>
      </c>
      <c r="HF29" s="1">
        <f>-Analysis!$C$176*GP29/12</f>
        <v>-3033.2721460550615</v>
      </c>
      <c r="HG29" s="38"/>
      <c r="HH29" s="1">
        <f>IF($B29&lt;Analysis!$C$159,0,-$HI29*$FW29)</f>
        <v>-90245.412633777611</v>
      </c>
      <c r="HI29" s="64">
        <f>IF($B29&lt;Analysis!$C$159,0,IF($B29=Analysis!$C$159,Analysis!$C$31,HI28))</f>
        <v>0.1275</v>
      </c>
      <c r="HJ29" s="1">
        <f>IF($B29&lt;Analysis!$C$159,0,$FW29+HH29)</f>
        <v>617561.74527820363</v>
      </c>
      <c r="HK29" s="1">
        <f>IF($B29-Analysis!$C$159&gt;10,0,IF($FW29&gt;LOOKUP(Analysis!$C$159,$B:$B, FW:FW),$V29*(LOOKUP(Analysis!$C$159,$B:$B, FW:FW)-FW29),0))</f>
        <v>0</v>
      </c>
      <c r="HL29" s="1">
        <f t="shared" si="39"/>
        <v>617561.74527820363</v>
      </c>
      <c r="HM29" s="38"/>
      <c r="HN29" s="1">
        <f t="shared" si="40"/>
        <v>-136800.66587810108</v>
      </c>
      <c r="HO29" s="1">
        <f t="shared" si="8"/>
        <v>167867.18899388664</v>
      </c>
      <c r="HP29" s="1">
        <f t="shared" si="41"/>
        <v>31066.52311578556</v>
      </c>
      <c r="HQ29" s="1">
        <f>IF(HP29 &lt; 0,
    IF(HQ28 + HP29 &gt; 0,
        HQ28 + HP29, IF(HV28-ABS(HQ28 + HP29)*(1+$V29) &gt;= HQ28 + HP29,
        0, HQ28 + HP29)),
    MIN(HQ28 + HP29, Analysis!$C$7))+IF(HQ28&lt;0, HQ28*Analysis!$C$9,0)</f>
        <v>24000</v>
      </c>
      <c r="HR29" s="38"/>
      <c r="HS29" s="1">
        <f t="shared" si="54"/>
        <v>36503.366379828876</v>
      </c>
      <c r="HT29" s="1">
        <f>IF($B29=Analysis!$C$159,0,IF(HP29 &gt;= 0,
    MAX(0, HQ28 + HP29 - Analysis!$C$7),
    0))</f>
        <v>31066.52311578556</v>
      </c>
      <c r="HU29" s="1">
        <f>IF($B29=Analysis!$C$159,0,MAX(0, HU28 + HT29 - IF(HP29 &lt; 0, MIN(ABS(HP29), HU28 + HT29), 0)))</f>
        <v>685282.96310782433</v>
      </c>
      <c r="HV29" s="1">
        <f>IF($B29=Analysis!$C$159,0,IF(HP29 &lt; 0,
    IF(HP29 + HQ28 &lt; 0,
        MAX(0, HV28 - (ABS(HP29 + HQ28) * (1+$V28))),
        HV28 + HS29),
    HV28 + HT29 + HS29))</f>
        <v>1203131.2172752279</v>
      </c>
      <c r="HW29" s="1">
        <f t="shared" si="58"/>
        <v>1066548.7402385753</v>
      </c>
      <c r="HX29" s="36"/>
    </row>
    <row r="30" spans="1:232" x14ac:dyDescent="0.35">
      <c r="A30">
        <f t="shared" si="0"/>
        <v>63</v>
      </c>
      <c r="B30">
        <v>2053</v>
      </c>
      <c r="C30" s="1">
        <f>IF($B30&lt;Analysis!C$66,0,$AN30)+$AT30+$AW30+$BC30+$CF30+$CA30</f>
        <v>1833417.2280525765</v>
      </c>
      <c r="D30" s="1">
        <f>IF($B30&lt;Analysis!C$66, 0, BV30)+AT30+AW30+BC30+CG30+CA30</f>
        <v>1634086.2169111653</v>
      </c>
      <c r="E30" s="1">
        <f t="shared" si="1"/>
        <v>1722836.1865288515</v>
      </c>
      <c r="F30" s="1">
        <f t="shared" si="9"/>
        <v>1503317.3008709399</v>
      </c>
      <c r="G30" s="1">
        <f>IF(AND($B30&gt;=Analysis!$C$100, $B30&lt;Analysis!$C$101),$CK30,0)+IF($B30&gt;=Analysis!$C$130,EB30,0)+CQ30+CT30+CZ30+EH30+EK30+EQ30+$FO30+$FT30</f>
        <v>2038466.169714788</v>
      </c>
      <c r="H30" s="1">
        <f t="shared" si="10"/>
        <v>1799327.341781022</v>
      </c>
      <c r="I30" s="1">
        <f>IF($B30&lt;Analysis!$C$159,0,$FW30)+$GC30+$GF30+$GL30+$HQ30+$HV30</f>
        <v>2038466.169714788</v>
      </c>
      <c r="J30" s="1">
        <f t="shared" si="2"/>
        <v>1799327.341781022</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48876.363025304643</v>
      </c>
      <c r="AI30" s="1">
        <f>IF(AE30 &gt;= 0,
    MAX(0, AF29 + AE30 - Analysis!$C$7),
    0)</f>
        <v>43842.224089549651</v>
      </c>
      <c r="AJ30" s="1">
        <f t="shared" si="44"/>
        <v>866537.09398700611</v>
      </c>
      <c r="AK30" s="1">
        <f t="shared" si="20"/>
        <v>1698836.1865288515</v>
      </c>
      <c r="AL30" s="1">
        <f t="shared" si="5"/>
        <v>1479317.3008709399</v>
      </c>
      <c r="AM30" s="36"/>
      <c r="AN30" s="1">
        <f t="shared" si="45"/>
        <v>1103294.9863839238</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-21448.158151969656</v>
      </c>
      <c r="AT30" s="1">
        <f>IF($B30&lt;Analysis!$C$66,0,IF($B30=Analysis!$C$66,-AP30-AS30,MIN(0,AT29-AS30)))</f>
        <v>-3.637978807091713E-12</v>
      </c>
      <c r="AU30" s="64">
        <f>IF($B30&lt;Analysis!$C$66,0,IF($B30=Analysis!$C$66,Analysis!$C$72,IF(($B30-Analysis!$C$66)&lt;LOOKUP(Analysis!$C$66,$B:$B,AQ:AQ),AU29,0)))</f>
        <v>3.6999999999999998E-2</v>
      </c>
      <c r="AV30" s="1">
        <f>IF($B30&lt;Analysis!$C$66,0,IF($B30=Analysis!$C$66,-AU30*AP30,AU29*AT29))</f>
        <v>-793.58185162287737</v>
      </c>
      <c r="AW30" s="1">
        <f>IF($B30&lt;Analysis!$C$66,0,IF($B30=Analysis!$C$66,PMT(AU30,AQ30,AP30)*AQ30-AX30-AT30,IF(($B30-Analysis!$C$66+1)&lt;LOOKUP(Analysis!$C$66,$B:$B,AQ:AQ),IF(AW29-AV30&lt;0, AW29-AV30,0),0)))</f>
        <v>0</v>
      </c>
      <c r="AX30" s="1">
        <f>IF($B30&lt;Analysis!$C$66,0,IF($B30=Analysis!$C$66,AS30+AV30,IF(AT29&lt;0,IF(AT29&gt;LOOKUP(Analysis!$C$66,$B:$B,AX:AX), AT29*(1+AU29),AX29),0)))</f>
        <v>-22241.740003592535</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-3309.8849591517715</v>
      </c>
      <c r="BF30" s="64">
        <f>IF($B30&lt;Analysis!$C$66,0,Analysis!$C$78)</f>
        <v>3.0000000000000001E-3</v>
      </c>
      <c r="BG30" s="1">
        <f>IF($B30&lt;Analysis!$C$66,0,-BH30*AN30)</f>
        <v>-8274.712397879428</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-140670.11076395027</v>
      </c>
      <c r="BS30" s="64">
        <f>IF($B30&lt;Analysis!C$66,0,Analysis!C$31)</f>
        <v>0.1275</v>
      </c>
      <c r="BT30" s="1">
        <f>IF($B30&lt;Analysis!$C$66,0,AN30+BR30)</f>
        <v>962624.87561997352</v>
      </c>
      <c r="BU30" s="1">
        <f>IF($B30-Analysis!$C$66&gt;3,0,IF($AN30&gt;LOOKUP(Analysis!$C$66,$B:$B, AN:AN),$V30*(LOOKUP(Analysis!$C$66,$B:$B, AN:AN)-AN30),0))</f>
        <v>0</v>
      </c>
      <c r="BV30" s="1">
        <f t="shared" si="23"/>
        <v>962624.87561997352</v>
      </c>
      <c r="BW30" s="42"/>
      <c r="BX30" s="1">
        <f>IF($B30&lt;Analysis!$C$66,$P30+$N30+$X30+$Z30,$P30+$N30+AS30+AV30+BB30+BE30+BG30+MAX(BI30,SUM(BJ30:BN30))+BP30)</f>
        <v>-85786.337360623729</v>
      </c>
      <c r="BY30" s="1">
        <f t="shared" si="24"/>
        <v>131467.92324122589</v>
      </c>
      <c r="BZ30" s="1">
        <f t="shared" si="46"/>
        <v>45681.585880602157</v>
      </c>
      <c r="CA30" s="1">
        <f>IF(BZ30 &lt; 0,
    IF(CA29 + BZ30 &gt; 0,
        CA29 + BZ30, IF(CF29-ABS(CA29 + BZ30)*(1+$V30) &gt;= CA29 + BZ30,
        0, CA29 + BZ30)),
    MIN(CA29 + BZ30, Analysis!$C$7))+IF(CA29&lt;0, CA29*Analysis!$C$9,0)</f>
        <v>24000</v>
      </c>
      <c r="CB30" s="42"/>
      <c r="CC30" s="1">
        <f t="shared" si="47"/>
        <v>19504.56496009781</v>
      </c>
      <c r="CD30" s="1">
        <f>IF(BZ30 &gt;= 0,
    MAX(0, CA29 + BZ30 - Analysis!$C$7),
    0)</f>
        <v>45681.585880602157</v>
      </c>
      <c r="CE30" s="1">
        <f>IF($B30=Analysis!$C$66,0,MAX(0, CE29 + CD30 - IF(BZ30 &lt; 0, MIN(ABS(BZ30), CE29 + CD30), 0)))</f>
        <v>483711.24497685733</v>
      </c>
      <c r="CF30" s="1">
        <f>IF($B30=Analysis!$C$66,0,IF(BZ30 &lt; 0,
    IF(BZ30 + CA29 &lt; 0,
        MAX(0, CF29 - (ABS(BZ30 + CA29) * (1+$V29))),
        CF29 + CC30),
    CF29 + CD30 + CC30))</f>
        <v>706122.24166865286</v>
      </c>
      <c r="CG30" s="1">
        <f t="shared" si="25"/>
        <v>647461.34129119175</v>
      </c>
      <c r="CH30" s="36"/>
      <c r="CI30" s="1">
        <f>IF(OR($B30&lt;Analysis!$C$100, $B30&gt;=Analysis!$C$130),0,X30)</f>
        <v>-35665.699151676228</v>
      </c>
      <c r="CJ30" s="1">
        <f>IF(OR($B30&lt;Analysis!$C$100, $B30&gt;=Analysis!$C$130),0,Z30)</f>
        <v>-3960</v>
      </c>
      <c r="CK30" s="1">
        <f t="shared" si="26"/>
        <v>728625.01549762778</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-12988.496010519892</v>
      </c>
      <c r="CQ30" s="1">
        <f>IF(OR($B30&lt;Analysis!$C$100, $B30&gt;=Analysis!$C$101),0,IF($B30=Analysis!$C$100,-CM30-CP30,MIN(0,CQ29-CP30)))</f>
        <v>-1.8189894035458565E-12</v>
      </c>
      <c r="CR30" s="64">
        <f>IF(OR($B30&lt;Analysis!$C$100, $B30&gt;=Analysis!$C$101),0,IF($B30=Analysis!$C$100,Analysis!$C$102,IF(($B30-Analysis!$C$100)&lt;LOOKUP(Analysis!$C$100,$B:$B,CN:CN),CR29,0)))</f>
        <v>3.6999999999999998E-2</v>
      </c>
      <c r="CS30" s="1">
        <f>IF(OR($B30&lt;Analysis!$C$100, $B30&gt;=Analysis!$C$101),0,IF($B30=Analysis!$C$100,-CR30*CM30,CR29*CQ29))</f>
        <v>-480.57435238923603</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-13469.070362909128</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37353.361804209584</v>
      </c>
      <c r="DE30" s="1">
        <f t="shared" si="27"/>
        <v>-2185.8750464928835</v>
      </c>
      <c r="DF30" s="64">
        <f>IF(OR($B30&lt;Analysis!$C$100, $B30&gt;=Analysis!$C$101),0,Analysis!$C$118)</f>
        <v>3.0000000000000001E-3</v>
      </c>
      <c r="DG30" s="1">
        <f t="shared" si="28"/>
        <v>-5464.6876162322078</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-6472</v>
      </c>
      <c r="DQ30" s="1">
        <f>-Analysis!$C$117*DB30</f>
        <v>-2340.561506828753</v>
      </c>
      <c r="DR30" s="1">
        <f t="shared" si="29"/>
        <v>-20423.124169553841</v>
      </c>
      <c r="DS30" s="1">
        <f>MIN(0,-(DB30+DR30)*Analysis!$C$28)-CS30*Analysis!$C$28</f>
        <v>-4565.6085672712943</v>
      </c>
      <c r="DT30" s="1">
        <f>-Analysis!$C$116*DD30/12</f>
        <v>-3112.7801503507985</v>
      </c>
      <c r="DU30" s="53"/>
      <c r="DV30" s="1">
        <f t="shared" si="30"/>
        <v>-92899.68947594754</v>
      </c>
      <c r="DW30" s="64">
        <f>IF(OR($B30&lt;Analysis!$C$100, $B30&gt;=Analysis!$C$101),0,IF($B30=Analysis!$C$100,Analysis!$C$31,DW29))</f>
        <v>0.1275</v>
      </c>
      <c r="DX30" s="1">
        <f>IF(OR($B30&lt;Analysis!$C$100, $B30&gt;=Analysis!$C$101),0,CK30+DV30)</f>
        <v>635725.32602168026</v>
      </c>
      <c r="DY30" s="1">
        <f>IF(OR($B30&lt;Analysis!$C$100, $B30&gt;=Analysis!$C$101),0,IF($B30-Analysis!$C$100&gt;3,0,IF(CK30&gt;LOOKUP(Analysis!$C$100,$B:$B, CK:CK),$V30*(LOOKUP(Analysis!$C$100,$B:$B, CK:CK)-CK30),0)))</f>
        <v>0</v>
      </c>
      <c r="DZ30" s="1">
        <f t="shared" si="49"/>
        <v>635725.32602168026</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-122724.2824017613</v>
      </c>
      <c r="FM30" s="1">
        <f>$M30+$R30+DD30+IF(AND($B30&lt;&gt;Analysis!$C$130,$B30=Analysis!$C$101),DZ29+CQ29+CT29+CZ29,0)</f>
        <v>168821.28504543548</v>
      </c>
      <c r="FN30" s="1">
        <f t="shared" si="34"/>
        <v>46097.002643674175</v>
      </c>
      <c r="FO30" s="1">
        <f>IF(FN30 &lt; 0,
    IF(FO29 + FN30 &gt; 0,
        FO29 + FN30, IF(FT29-ABS(FO29 + FN30)*(1+$V30) &gt;= FO29 + FN30,
        0, FO29 + FN30)),
    MIN(FO29 + FN30, Analysis!$C$7))+IF(FO29&lt;0, FO29*Analysis!$C$9,0)</f>
        <v>24000</v>
      </c>
      <c r="FP30" s="53"/>
      <c r="FQ30" s="1">
        <f t="shared" si="51"/>
        <v>36612.934298258107</v>
      </c>
      <c r="FR30" s="1">
        <f>IF(OR($B30=Analysis!$C$100, $B30=Analysis!$C$130),0,IF(FN30 &gt;= 0,
    MAX(0, FO29 + FN30 - Analysis!$C$7),
    0))</f>
        <v>46097.002643674175</v>
      </c>
      <c r="FS30" s="1">
        <f>IF(OR($B30=Analysis!$C$100, $B30=Analysis!$C$130),0,MAX(0, FS29 + FR30 - IF(FN30 &lt; 0, MIN(ABS(FN30), FS29 + FR30), 0)))</f>
        <v>731379.96575149847</v>
      </c>
      <c r="FT30" s="1">
        <f>IF(OR($B30=Analysis!$C$100, $B30=Analysis!$C$130),0,IF(FN30 &lt; 0,
    IF(FN30 + FO29 &lt; 0,
        MAX(0, FT29 - (ABS(FN30 + FO29) * (1+$V29))),
        FT29 + FQ30),
    FT29 + FR30 + FQ30))</f>
        <v>1285841.1542171601</v>
      </c>
      <c r="FU30" s="1">
        <f t="shared" si="57"/>
        <v>1139602.0157593419</v>
      </c>
      <c r="FV30" s="36"/>
      <c r="FW30" s="1">
        <f t="shared" si="52"/>
        <v>728625.01549762778</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-12988.496010519892</v>
      </c>
      <c r="GC30" s="1">
        <f>IF($B30&lt;Analysis!$C$159,0,IF($B30=Analysis!$C$159,-FY30-GB30,MIN(0,GC29-GB30)))</f>
        <v>-1.8189894035458565E-12</v>
      </c>
      <c r="GD30" s="64">
        <f>IF($B30&lt;Analysis!$C$159,0,IF($B30=Analysis!$C$159,Analysis!$C$160,IF(($B30-Analysis!$C$159)&lt;LOOKUP(Analysis!$C$159,$B:$B,FZ:FZ),GD29,0)))</f>
        <v>3.6999999999999998E-2</v>
      </c>
      <c r="GE30" s="1">
        <f>IF($B30&lt;Analysis!$C$159,0,IF($B30=Analysis!$C$159,-GD30*FY30,GD29*GC29))</f>
        <v>-480.57435238923603</v>
      </c>
      <c r="GF30" s="1">
        <f>IF($B30&lt;Analysis!$C$159,0,IF($B30=Analysis!$C$159,PMT(GD30,FZ30,FY30)*FZ30-GG30-GC30,IF(($B30-Analysis!$C$159+1)&lt;LOOKUP(Analysis!$C$159,$B:$B,FZ:FZ),IF(GF29-GE30&lt;0, GF29-GE30,0),0)))</f>
        <v>0</v>
      </c>
      <c r="GG30" s="1">
        <f>IF($B30&lt;Analysis!$C$159,0,IF($B30=Analysis!$C$159,GB30+GE30,IF(GC29&lt;0,IF(GC29&gt;LOOKUP(Analysis!$C$159,$B:$B,GG:GG), GC29*(1+GD29),GG29),0)))</f>
        <v>-13469.070362909128</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37353.361804209584</v>
      </c>
      <c r="GQ30" s="1">
        <f t="shared" si="36"/>
        <v>-2185.8750464928835</v>
      </c>
      <c r="GR30" s="64">
        <f>IF($B30&lt;Analysis!$C$159,0,Analysis!$C$178)</f>
        <v>3.0000000000000001E-3</v>
      </c>
      <c r="GS30" s="1">
        <f t="shared" si="37"/>
        <v>-5464.6876162322078</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-6472</v>
      </c>
      <c r="HC30" s="1">
        <f>-Analysis!$C$177*GN30</f>
        <v>-2340.561506828753</v>
      </c>
      <c r="HD30" s="1">
        <f t="shared" si="38"/>
        <v>-20423.124169553841</v>
      </c>
      <c r="HE30" s="1">
        <f>MIN(0,-(GN30+HD30)*Analysis!$C$28)-GE30*Analysis!$C$28</f>
        <v>-4565.6085672712943</v>
      </c>
      <c r="HF30" s="1">
        <f>-Analysis!$C$176*GP30/12</f>
        <v>-3112.7801503507985</v>
      </c>
      <c r="HG30" s="38"/>
      <c r="HH30" s="1">
        <f>IF($B30&lt;Analysis!$C$159,0,-$HI30*$FW30)</f>
        <v>-92899.68947594754</v>
      </c>
      <c r="HI30" s="64">
        <f>IF($B30&lt;Analysis!$C$159,0,IF($B30=Analysis!$C$159,Analysis!$C$31,HI29))</f>
        <v>0.1275</v>
      </c>
      <c r="HJ30" s="1">
        <f>IF($B30&lt;Analysis!$C$159,0,$FW30+HH30)</f>
        <v>635725.32602168026</v>
      </c>
      <c r="HK30" s="1">
        <f>IF($B30-Analysis!$C$159&gt;10,0,IF($FW30&gt;LOOKUP(Analysis!$C$159,$B:$B, FW:FW),$V30*(LOOKUP(Analysis!$C$159,$B:$B, FW:FW)-FW30),0))</f>
        <v>0</v>
      </c>
      <c r="HL30" s="1">
        <f t="shared" si="39"/>
        <v>635725.32602168026</v>
      </c>
      <c r="HM30" s="38"/>
      <c r="HN30" s="1">
        <f t="shared" si="40"/>
        <v>-122724.2824017613</v>
      </c>
      <c r="HO30" s="1">
        <f t="shared" si="8"/>
        <v>168821.28504543548</v>
      </c>
      <c r="HP30" s="1">
        <f t="shared" si="41"/>
        <v>46097.002643674175</v>
      </c>
      <c r="HQ30" s="1">
        <f>IF(HP30 &lt; 0,
    IF(HQ29 + HP30 &gt; 0,
        HQ29 + HP30, IF(HV29-ABS(HQ29 + HP30)*(1+$V30) &gt;= HQ29 + HP30,
        0, HQ29 + HP30)),
    MIN(HQ29 + HP30, Analysis!$C$7))+IF(HQ29&lt;0, HQ29*Analysis!$C$9,0)</f>
        <v>24000</v>
      </c>
      <c r="HR30" s="38"/>
      <c r="HS30" s="1">
        <f t="shared" si="54"/>
        <v>36612.934298258107</v>
      </c>
      <c r="HT30" s="1">
        <f>IF($B30=Analysis!$C$159,0,IF(HP30 &gt;= 0,
    MAX(0, HQ29 + HP30 - Analysis!$C$7),
    0))</f>
        <v>46097.002643674175</v>
      </c>
      <c r="HU30" s="1">
        <f>IF($B30=Analysis!$C$159,0,MAX(0, HU29 + HT30 - IF(HP30 &lt; 0, MIN(ABS(HP30), HU29 + HT30), 0)))</f>
        <v>731379.96575149847</v>
      </c>
      <c r="HV30" s="1">
        <f>IF($B30=Analysis!$C$159,0,IF(HP30 &lt; 0,
    IF(HP30 + HQ29 &lt; 0,
        MAX(0, HV29 - (ABS(HP30 + HQ29) * (1+$V29))),
        HV29 + HS30),
    HV29 + HT30 + HS30))</f>
        <v>1285841.1542171601</v>
      </c>
      <c r="HW30" s="1">
        <f t="shared" si="58"/>
        <v>1139602.0157593419</v>
      </c>
      <c r="HX30" s="36"/>
    </row>
    <row r="31" spans="1:232" x14ac:dyDescent="0.35">
      <c r="A31">
        <f t="shared" si="0"/>
        <v>64</v>
      </c>
      <c r="B31">
        <v>2054</v>
      </c>
      <c r="C31" s="1">
        <f>IF($B31&lt;Analysis!C$66,0,$AN31)+$AT31+$AW31+$BC31+$CF31+$CA31</f>
        <v>1953727.4567557336</v>
      </c>
      <c r="D31" s="1">
        <f>IF($B31&lt;Analysis!C$66, 0, BV31)+AT31+AW31+BC31+CG31+CA31</f>
        <v>1744910.826594112</v>
      </c>
      <c r="E31" s="1">
        <f t="shared" si="1"/>
        <v>1814415.0457534187</v>
      </c>
      <c r="F31" s="1">
        <f t="shared" si="9"/>
        <v>1582028.9511624328</v>
      </c>
      <c r="G31" s="1">
        <f>IF(AND($B31&gt;=Analysis!$C$100, $B31&lt;Analysis!$C$101),$CK31,0)+IF($B31&gt;=Analysis!$C$130,EB31,0)+CQ31+CT31+CZ31+EH31+EK31+EQ31+$FO31+$FT31</f>
        <v>2155456.0241767871</v>
      </c>
      <c r="H31" s="1">
        <f t="shared" si="10"/>
        <v>1903845.7222484546</v>
      </c>
      <c r="I31" s="1">
        <f>IF($B31&lt;Analysis!$C$159,0,$FW31)+$GC31+$GF31+$GL31+$HQ31+$HV31</f>
        <v>2155456.0241767871</v>
      </c>
      <c r="J31" s="1">
        <f t="shared" si="2"/>
        <v>1903845.7222484546</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48785.626286537488</v>
      </c>
      <c r="AI31" s="1">
        <f>IF(AE31 &gt;= 0,
    MAX(0, AF30 + AE31 - Analysis!$C$7),
    0)</f>
        <v>42793.232938029774</v>
      </c>
      <c r="AJ31" s="1">
        <f t="shared" si="44"/>
        <v>909330.32692503592</v>
      </c>
      <c r="AK31" s="1">
        <f t="shared" si="20"/>
        <v>1790415.0457534187</v>
      </c>
      <c r="AL31" s="1">
        <f t="shared" si="5"/>
        <v>1558028.9511624328</v>
      </c>
      <c r="AM31" s="36"/>
      <c r="AN31" s="1">
        <f t="shared" si="45"/>
        <v>1135744.8389246275</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-3.6379788070917125E-12</v>
      </c>
      <c r="AT31" s="1">
        <f>IF($B31&lt;Analysis!$C$66,0,IF($B31=Analysis!$C$66,-AP31-AS31,MIN(0,AT30-AS31)))</f>
        <v>-4.0389678347315804E-28</v>
      </c>
      <c r="AU31" s="64">
        <f>IF($B31&lt;Analysis!$C$66,0,IF($B31=Analysis!$C$66,Analysis!$C$72,IF(($B31-Analysis!$C$66)&lt;LOOKUP(Analysis!$C$66,$B:$B,AQ:AQ),AU30,0)))</f>
        <v>0</v>
      </c>
      <c r="AV31" s="1">
        <f>IF($B31&lt;Analysis!$C$66,0,IF($B31=Analysis!$C$66,-AU31*AP31,AU30*AT30))</f>
        <v>-1.3460521586239337E-13</v>
      </c>
      <c r="AW31" s="1">
        <f>IF($B31&lt;Analysis!$C$66,0,IF($B31=Analysis!$C$66,PMT(AU31,AQ31,AP31)*AQ31-AX31-AT31,IF(($B31-Analysis!$C$66+1)&lt;LOOKUP(Analysis!$C$66,$B:$B,AQ:AQ),IF(AW30-AV31&lt;0, AW30-AV31,0),0)))</f>
        <v>0</v>
      </c>
      <c r="AX31" s="1">
        <f>IF($B31&lt;Analysis!$C$66,0,IF($B31=Analysis!$C$66,AS31+AV31,IF(AT30&lt;0,IF(AT30&gt;LOOKUP(Analysis!$C$66,$B:$B,AX:AX), AT30*(1+AU30),AX30),0)))</f>
        <v>-3.772584022954106E-12</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-3407.2345167738827</v>
      </c>
      <c r="BF31" s="64">
        <f>IF($B31&lt;Analysis!$C$66,0,Analysis!$C$78)</f>
        <v>3.0000000000000001E-3</v>
      </c>
      <c r="BG31" s="1">
        <f>IF($B31&lt;Analysis!$C$66,0,-BH31*AN31)</f>
        <v>-8518.0862919347055</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-144807.46696289</v>
      </c>
      <c r="BS31" s="64">
        <f>IF($B31&lt;Analysis!C$66,0,Analysis!C$31)</f>
        <v>0.1275</v>
      </c>
      <c r="BT31" s="1">
        <f>IF($B31&lt;Analysis!$C$66,0,AN31+BR31)</f>
        <v>990937.37196173752</v>
      </c>
      <c r="BU31" s="1">
        <f>IF($B31-Analysis!$C$66&gt;3,0,IF($AN31&gt;LOOKUP(Analysis!$C$66,$B:$B, AN:AN),$V31*(LOOKUP(Analysis!$C$66,$B:$B, AN:AN)-AN31),0))</f>
        <v>0</v>
      </c>
      <c r="BV31" s="1">
        <f t="shared" si="23"/>
        <v>990937.37196173752</v>
      </c>
      <c r="BW31" s="42"/>
      <c r="BX31" s="1">
        <f>IF($B31&lt;Analysis!$C$66,$P31+$N31+$X31+$Z31,$P31+$N31+AS31+AV31+BB31+BE31+BG31+MAX(BI31,SUM(BJ31:BN31))+BP31)</f>
        <v>-63885.320808708588</v>
      </c>
      <c r="BY31" s="1">
        <f t="shared" si="24"/>
        <v>131467.92324122589</v>
      </c>
      <c r="BZ31" s="1">
        <f t="shared" si="46"/>
        <v>67582.602432517306</v>
      </c>
      <c r="CA31" s="1">
        <f>IF(BZ31 &lt; 0,
    IF(CA30 + BZ31 &gt; 0,
        CA30 + BZ31, IF(CF30-ABS(CA30 + BZ31)*(1+$V31) &gt;= CA30 + BZ31,
        0, CA30 + BZ31)),
    MIN(CA30 + BZ31, Analysis!$C$7))+IF(CA30&lt;0, CA30*Analysis!$C$9,0)</f>
        <v>24000</v>
      </c>
      <c r="CB31" s="42"/>
      <c r="CC31" s="1">
        <f t="shared" si="47"/>
        <v>20277.773729935769</v>
      </c>
      <c r="CD31" s="1">
        <f>IF(BZ31 &gt;= 0,
    MAX(0, CA30 + BZ31 - Analysis!$C$7),
    0)</f>
        <v>67582.602432517306</v>
      </c>
      <c r="CE31" s="1">
        <f>IF($B31=Analysis!$C$66,0,MAX(0, CE30 + CD31 - IF(BZ31 &lt; 0, MIN(ABS(BZ31), CE30 + CD31), 0)))</f>
        <v>551293.84740937466</v>
      </c>
      <c r="CF31" s="1">
        <f>IF($B31=Analysis!$C$66,0,IF(BZ31 &lt; 0,
    IF(BZ31 + CA30 &lt; 0,
        MAX(0, CF30 - (ABS(BZ31 + CA30) * (1+$V30))),
        CF30 + CC31),
    CF30 + CD31 + CC31))</f>
        <v>793982.61783110595</v>
      </c>
      <c r="CG31" s="1">
        <f t="shared" si="25"/>
        <v>729973.45463237434</v>
      </c>
      <c r="CH31" s="36"/>
      <c r="CI31" s="1">
        <f>IF(OR($B31&lt;Analysis!$C$100, $B31&gt;=Analysis!$C$130),0,X31)</f>
        <v>-36714.690303196119</v>
      </c>
      <c r="CJ31" s="1">
        <f>IF(OR($B31&lt;Analysis!$C$100, $B31&gt;=Analysis!$C$130),0,Z31)</f>
        <v>-3960</v>
      </c>
      <c r="CK31" s="1">
        <f t="shared" si="26"/>
        <v>750055.16301226395</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-1.8189894035458563E-12</v>
      </c>
      <c r="CQ31" s="1">
        <f>IF(OR($B31&lt;Analysis!$C$100, $B31&gt;=Analysis!$C$101),0,IF($B31=Analysis!$C$100,-CM31-CP31,MIN(0,CQ30-CP31)))</f>
        <v>-2.0194839173657902E-28</v>
      </c>
      <c r="CR31" s="64">
        <f>IF(OR($B31&lt;Analysis!$C$100, $B31&gt;=Analysis!$C$101),0,IF($B31=Analysis!$C$100,Analysis!$C$102,IF(($B31-Analysis!$C$100)&lt;LOOKUP(Analysis!$C$100,$B:$B,CN:CN),CR30,0)))</f>
        <v>0</v>
      </c>
      <c r="CS31" s="1">
        <f>IF(OR($B31&lt;Analysis!$C$100, $B31&gt;=Analysis!$C$101),0,IF($B31=Analysis!$C$100,-CR31*CM31,CR30*CQ30))</f>
        <v>-6.7302607931196686E-14</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-1.886292011477053E-12</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38335.51950433341</v>
      </c>
      <c r="DE31" s="1">
        <f t="shared" si="27"/>
        <v>-2250.1654890367918</v>
      </c>
      <c r="DF31" s="64">
        <f>IF(OR($B31&lt;Analysis!$C$100, $B31&gt;=Analysis!$C$101),0,Analysis!$C$118)</f>
        <v>3.0000000000000001E-3</v>
      </c>
      <c r="DG31" s="1">
        <f t="shared" si="28"/>
        <v>-5625.4137225919794</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-6472</v>
      </c>
      <c r="DQ31" s="1">
        <f>-Analysis!$C$117*DB31</f>
        <v>-2409.4015511472458</v>
      </c>
      <c r="DR31" s="1">
        <f t="shared" si="29"/>
        <v>-20716.980762776016</v>
      </c>
      <c r="DS31" s="1">
        <f>MIN(0,-(DB31+DR31)*Analysis!$C$28)-CS31*Analysis!$C$28</f>
        <v>-5055.0501881918753</v>
      </c>
      <c r="DT31" s="1">
        <f>-Analysis!$C$116*DD31/12</f>
        <v>-3194.6266253611175</v>
      </c>
      <c r="DU31" s="53"/>
      <c r="DV31" s="1">
        <f t="shared" si="30"/>
        <v>-95632.033284063655</v>
      </c>
      <c r="DW31" s="64">
        <f>IF(OR($B31&lt;Analysis!$C$100, $B31&gt;=Analysis!$C$101),0,IF($B31=Analysis!$C$100,Analysis!$C$31,DW30))</f>
        <v>0.1275</v>
      </c>
      <c r="DX31" s="1">
        <f>IF(OR($B31&lt;Analysis!$C$100, $B31&gt;=Analysis!$C$101),0,CK31+DV31)</f>
        <v>654423.12972820026</v>
      </c>
      <c r="DY31" s="1">
        <f>IF(OR($B31&lt;Analysis!$C$100, $B31&gt;=Analysis!$C$101),0,IF($B31-Analysis!$C$100&gt;3,0,IF(CK31&gt;LOOKUP(Analysis!$C$100,$B:$B, CK:CK),$V31*(LOOKUP(Analysis!$C$100,$B:$B, CK:CK)-CK31),0)))</f>
        <v>0</v>
      </c>
      <c r="DZ31" s="1">
        <f t="shared" si="49"/>
        <v>654423.12972820026</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-111169.34787952513</v>
      </c>
      <c r="FM31" s="1">
        <f>$M31+$R31+DD31+IF(AND($B31&lt;&gt;Analysis!$C$130,$B31=Analysis!$C$101),DZ30+CQ30+CT30+CZ30,0)</f>
        <v>169803.4427455593</v>
      </c>
      <c r="FN31" s="1">
        <f t="shared" si="34"/>
        <v>58634.094866034167</v>
      </c>
      <c r="FO31" s="1">
        <f>IF(FN31 &lt; 0,
    IF(FO30 + FN31 &gt; 0,
        FO30 + FN31, IF(FT30-ABS(FO30 + FN31)*(1+$V31) &gt;= FO30 + FN31,
        0, FO30 + FN31)),
    MIN(FO30 + FN31, Analysis!$C$7))+IF(FO30&lt;0, FO30*Analysis!$C$9,0)</f>
        <v>24000</v>
      </c>
      <c r="FP31" s="53"/>
      <c r="FQ31" s="1">
        <f t="shared" si="51"/>
        <v>36925.612081328851</v>
      </c>
      <c r="FR31" s="1">
        <f>IF(OR($B31=Analysis!$C$100, $B31=Analysis!$C$130),0,IF(FN31 &gt;= 0,
    MAX(0, FO30 + FN31 - Analysis!$C$7),
    0))</f>
        <v>58634.094866034167</v>
      </c>
      <c r="FS31" s="1">
        <f>IF(OR($B31=Analysis!$C$100, $B31=Analysis!$C$130),0,MAX(0, FS30 + FR31 - IF(FN31 &lt; 0, MIN(ABS(FN31), FS30 + FR31), 0)))</f>
        <v>790014.06061753258</v>
      </c>
      <c r="FT31" s="1">
        <f>IF(OR($B31=Analysis!$C$100, $B31=Analysis!$C$130),0,IF(FN31 &lt; 0,
    IF(FN31 + FO30 &lt; 0,
        MAX(0, FT30 - (ABS(FN31 + FO30) * (1+$V30))),
        FT30 + FQ31),
    FT30 + FR31 + FQ31))</f>
        <v>1381400.8611645231</v>
      </c>
      <c r="FU31" s="1">
        <f t="shared" si="57"/>
        <v>1225422.5925202542</v>
      </c>
      <c r="FV31" s="36"/>
      <c r="FW31" s="1">
        <f t="shared" si="52"/>
        <v>750055.16301226395</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-1.8189894035458563E-12</v>
      </c>
      <c r="GC31" s="1">
        <f>IF($B31&lt;Analysis!$C$159,0,IF($B31=Analysis!$C$159,-FY31-GB31,MIN(0,GC30-GB31)))</f>
        <v>-2.0194839173657902E-28</v>
      </c>
      <c r="GD31" s="64">
        <f>IF($B31&lt;Analysis!$C$159,0,IF($B31=Analysis!$C$159,Analysis!$C$160,IF(($B31-Analysis!$C$159)&lt;LOOKUP(Analysis!$C$159,$B:$B,FZ:FZ),GD30,0)))</f>
        <v>0</v>
      </c>
      <c r="GE31" s="1">
        <f>IF($B31&lt;Analysis!$C$159,0,IF($B31=Analysis!$C$159,-GD31*FY31,GD30*GC30))</f>
        <v>-6.7302607931196686E-14</v>
      </c>
      <c r="GF31" s="1">
        <f>IF($B31&lt;Analysis!$C$159,0,IF($B31=Analysis!$C$159,PMT(GD31,FZ31,FY31)*FZ31-GG31-GC31,IF(($B31-Analysis!$C$159+1)&lt;LOOKUP(Analysis!$C$159,$B:$B,FZ:FZ),IF(GF30-GE31&lt;0, GF30-GE31,0),0)))</f>
        <v>0</v>
      </c>
      <c r="GG31" s="1">
        <f>IF($B31&lt;Analysis!$C$159,0,IF($B31=Analysis!$C$159,GB31+GE31,IF(GC30&lt;0,IF(GC30&gt;LOOKUP(Analysis!$C$159,$B:$B,GG:GG), GC30*(1+GD30),GG30),0)))</f>
        <v>-1.886292011477053E-12</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38335.51950433341</v>
      </c>
      <c r="GQ31" s="1">
        <f t="shared" si="36"/>
        <v>-2250.1654890367918</v>
      </c>
      <c r="GR31" s="64">
        <f>IF($B31&lt;Analysis!$C$159,0,Analysis!$C$178)</f>
        <v>3.0000000000000001E-3</v>
      </c>
      <c r="GS31" s="1">
        <f t="shared" si="37"/>
        <v>-5625.4137225919794</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-6472</v>
      </c>
      <c r="HC31" s="1">
        <f>-Analysis!$C$177*GN31</f>
        <v>-2409.4015511472458</v>
      </c>
      <c r="HD31" s="1">
        <f t="shared" si="38"/>
        <v>-20716.980762776016</v>
      </c>
      <c r="HE31" s="1">
        <f>MIN(0,-(GN31+HD31)*Analysis!$C$28)-GE31*Analysis!$C$28</f>
        <v>-5055.0501881918753</v>
      </c>
      <c r="HF31" s="1">
        <f>-Analysis!$C$176*GP31/12</f>
        <v>-3194.6266253611175</v>
      </c>
      <c r="HG31" s="38"/>
      <c r="HH31" s="1">
        <f>IF($B31&lt;Analysis!$C$159,0,-$HI31*$FW31)</f>
        <v>-95632.033284063655</v>
      </c>
      <c r="HI31" s="64">
        <f>IF($B31&lt;Analysis!$C$159,0,IF($B31=Analysis!$C$159,Analysis!$C$31,HI30))</f>
        <v>0.1275</v>
      </c>
      <c r="HJ31" s="1">
        <f>IF($B31&lt;Analysis!$C$159,0,$FW31+HH31)</f>
        <v>654423.12972820026</v>
      </c>
      <c r="HK31" s="1">
        <f>IF($B31-Analysis!$C$159&gt;10,0,IF($FW31&gt;LOOKUP(Analysis!$C$159,$B:$B, FW:FW),$V31*(LOOKUP(Analysis!$C$159,$B:$B, FW:FW)-FW31),0))</f>
        <v>0</v>
      </c>
      <c r="HL31" s="1">
        <f t="shared" si="39"/>
        <v>654423.12972820026</v>
      </c>
      <c r="HM31" s="38"/>
      <c r="HN31" s="1">
        <f t="shared" si="40"/>
        <v>-111169.34787952513</v>
      </c>
      <c r="HO31" s="1">
        <f t="shared" si="8"/>
        <v>169803.4427455593</v>
      </c>
      <c r="HP31" s="1">
        <f t="shared" si="41"/>
        <v>58634.094866034167</v>
      </c>
      <c r="HQ31" s="1">
        <f>IF(HP31 &lt; 0,
    IF(HQ30 + HP31 &gt; 0,
        HQ30 + HP31, IF(HV30-ABS(HQ30 + HP31)*(1+$V31) &gt;= HQ30 + HP31,
        0, HQ30 + HP31)),
    MIN(HQ30 + HP31, Analysis!$C$7))+IF(HQ30&lt;0, HQ30*Analysis!$C$9,0)</f>
        <v>24000</v>
      </c>
      <c r="HR31" s="38"/>
      <c r="HS31" s="1">
        <f t="shared" si="54"/>
        <v>36925.612081328851</v>
      </c>
      <c r="HT31" s="1">
        <f>IF($B31=Analysis!$C$159,0,IF(HP31 &gt;= 0,
    MAX(0, HQ30 + HP31 - Analysis!$C$7),
    0))</f>
        <v>58634.094866034167</v>
      </c>
      <c r="HU31" s="1">
        <f>IF($B31=Analysis!$C$159,0,MAX(0, HU30 + HT31 - IF(HP31 &lt; 0, MIN(ABS(HP31), HU30 + HT31), 0)))</f>
        <v>790014.06061753258</v>
      </c>
      <c r="HV31" s="1">
        <f>IF($B31=Analysis!$C$159,0,IF(HP31 &lt; 0,
    IF(HP31 + HQ30 &lt; 0,
        MAX(0, HV30 - (ABS(HP31 + HQ30) * (1+$V30))),
        HV30 + HS31),
    HV30 + HT31 + HS31))</f>
        <v>1381400.8611645231</v>
      </c>
      <c r="HW31" s="1">
        <f t="shared" si="58"/>
        <v>1225422.5925202542</v>
      </c>
      <c r="HX31" s="36"/>
    </row>
    <row r="32" spans="1:232" x14ac:dyDescent="0.35">
      <c r="A32">
        <f t="shared" si="0"/>
        <v>65</v>
      </c>
      <c r="B32">
        <v>2055</v>
      </c>
      <c r="C32" s="1">
        <f>IF($B32&lt;Analysis!C$66,0,$AN32)+$AT32+$AW32+$BC32+$CF32+$CA32</f>
        <v>2075803.3291493407</v>
      </c>
      <c r="D32" s="1">
        <f>IF($B32&lt;Analysis!C$66, 0, BV32)+AT32+AW32+BC32+CG32+CA32</f>
        <v>1857072.9205337223</v>
      </c>
      <c r="E32" s="1">
        <f t="shared" si="1"/>
        <v>1904474.6562625396</v>
      </c>
      <c r="F32" s="1">
        <f t="shared" si="9"/>
        <v>1659337.2457763704</v>
      </c>
      <c r="G32" s="1">
        <f>IF(AND($B32&gt;=Analysis!$C$100, $B32&lt;Analysis!$C$101),$CK32,0)+IF($B32&gt;=Analysis!$C$130,EB32,0)+CQ32+CT32+CZ32+EH32+EK32+EQ32+$FO32+$FT32</f>
        <v>2272712.0739832004</v>
      </c>
      <c r="H32" s="1">
        <f t="shared" si="10"/>
        <v>2008450.7437382387</v>
      </c>
      <c r="I32" s="1">
        <f>IF($B32&lt;Analysis!$C$159,0,$FW32)+$GC32+$GF32+$GL32+$HQ32+$HV32</f>
        <v>2272712.0739832004</v>
      </c>
      <c r="J32" s="1">
        <f t="shared" si="2"/>
        <v>2008450.7437382387</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48346.221403537987</v>
      </c>
      <c r="AI32" s="1">
        <f>IF(AE32 &gt;= 0,
    MAX(0, AF31 + AE32 - Analysis!$C$7),
    0)</f>
        <v>41713.389105582813</v>
      </c>
      <c r="AJ32" s="1">
        <f t="shared" si="44"/>
        <v>951043.71603061876</v>
      </c>
      <c r="AK32" s="1">
        <f t="shared" si="20"/>
        <v>1880474.6562625396</v>
      </c>
      <c r="AL32" s="1">
        <f t="shared" si="5"/>
        <v>1635337.2457763704</v>
      </c>
      <c r="AM32" s="36"/>
      <c r="AN32" s="1">
        <f t="shared" si="45"/>
        <v>1169149.0988929991</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-4.0389678347315804E-28</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-4.0389678347315804E-28</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-3507.4472966789972</v>
      </c>
      <c r="BF32" s="64">
        <f>IF($B32&lt;Analysis!$C$66,0,Analysis!$C$78)</f>
        <v>3.0000000000000001E-3</v>
      </c>
      <c r="BG32" s="1">
        <f>IF($B32&lt;Analysis!$C$66,0,-BH32*AN32)</f>
        <v>-8768.6182416974934</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-149066.51010885739</v>
      </c>
      <c r="BS32" s="64">
        <f>IF($B32&lt;Analysis!C$66,0,Analysis!C$31)</f>
        <v>0.1275</v>
      </c>
      <c r="BT32" s="1">
        <f>IF($B32&lt;Analysis!$C$66,0,AN32+BR32)</f>
        <v>1020082.5887841417</v>
      </c>
      <c r="BU32" s="1">
        <f>IF($B32-Analysis!$C$66&gt;3,0,IF($AN32&gt;LOOKUP(Analysis!$C$66,$B:$B, AN:AN),$V32*(LOOKUP(Analysis!$C$66,$B:$B, AN:AN)-AN32),0))</f>
        <v>0</v>
      </c>
      <c r="BV32" s="1">
        <f t="shared" si="23"/>
        <v>1020082.5887841417</v>
      </c>
      <c r="BW32" s="42"/>
      <c r="BX32" s="1">
        <f>IF($B32&lt;Analysis!$C$66,$P32+$N32+$X32+$Z32,$P32+$N32+AS32+AV32+BB32+BE32+BG32+MAX(BI32,SUM(BJ32:BN32))+BP32)</f>
        <v>-64236.06553837649</v>
      </c>
      <c r="BY32" s="1">
        <f t="shared" si="24"/>
        <v>131467.92324122589</v>
      </c>
      <c r="BZ32" s="1">
        <f t="shared" si="46"/>
        <v>67231.857702849404</v>
      </c>
      <c r="CA32" s="1">
        <f>IF(BZ32 &lt; 0,
    IF(CA31 + BZ32 &gt; 0,
        CA31 + BZ32, IF(CF31-ABS(CA31 + BZ32)*(1+$V32) &gt;= CA31 + BZ32,
        0, CA31 + BZ32)),
    MIN(CA31 + BZ32, Analysis!$C$7))+IF(CA31&lt;0, CA31*Analysis!$C$9,0)</f>
        <v>24000</v>
      </c>
      <c r="CB32" s="42"/>
      <c r="CC32" s="1">
        <f t="shared" si="47"/>
        <v>21439.754722386297</v>
      </c>
      <c r="CD32" s="1">
        <f>IF(BZ32 &gt;= 0,
    MAX(0, CA31 + BZ32 - Analysis!$C$7),
    0)</f>
        <v>67231.857702849404</v>
      </c>
      <c r="CE32" s="1">
        <f>IF($B32=Analysis!$C$66,0,MAX(0, CE31 + CD32 - IF(BZ32 &lt; 0, MIN(ABS(BZ32), CE31 + CD32), 0)))</f>
        <v>618525.7051122241</v>
      </c>
      <c r="CF32" s="1">
        <f>IF($B32=Analysis!$C$66,0,IF(BZ32 &lt; 0,
    IF(BZ32 + CA31 &lt; 0,
        MAX(0, CF31 - (ABS(BZ32 + CA31) * (1+$V31))),
        CF31 + CC32),
    CF31 + CD32 + CC32))</f>
        <v>882654.23025634163</v>
      </c>
      <c r="CG32" s="1">
        <f t="shared" si="25"/>
        <v>812990.33174958068</v>
      </c>
      <c r="CH32" s="36"/>
      <c r="CI32" s="1">
        <f>IF(OR($B32&lt;Analysis!$C$100, $B32&gt;=Analysis!$C$130),0,X32)</f>
        <v>-37794.534135643065</v>
      </c>
      <c r="CJ32" s="1">
        <f>IF(OR($B32&lt;Analysis!$C$100, $B32&gt;=Analysis!$C$130),0,Z32)</f>
        <v>-3960</v>
      </c>
      <c r="CK32" s="1">
        <f t="shared" si="26"/>
        <v>772115.60898321297</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-2.0194839173657902E-28</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-2.0194839173657902E-28</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39346.564195637329</v>
      </c>
      <c r="DE32" s="1">
        <f t="shared" si="27"/>
        <v>-2316.3468269496389</v>
      </c>
      <c r="DF32" s="64">
        <f>IF(OR($B32&lt;Analysis!$C$100, $B32&gt;=Analysis!$C$101),0,Analysis!$C$118)</f>
        <v>3.0000000000000001E-3</v>
      </c>
      <c r="DG32" s="1">
        <f t="shared" si="28"/>
        <v>-5790.8670673740971</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-6472</v>
      </c>
      <c r="DQ32" s="1">
        <f>-Analysis!$C$117*DB32</f>
        <v>-2480.266302651577</v>
      </c>
      <c r="DR32" s="1">
        <f t="shared" si="29"/>
        <v>-21019.480196975313</v>
      </c>
      <c r="DS32" s="1">
        <f>MIN(0,-(DB32+DR32)*Analysis!$C$28)-CS32*Analysis!$C$28</f>
        <v>-5339.6816407857541</v>
      </c>
      <c r="DT32" s="1">
        <f>-Analysis!$C$116*DD32/12</f>
        <v>-3278.880349636444</v>
      </c>
      <c r="DU32" s="53"/>
      <c r="DV32" s="1">
        <f t="shared" si="30"/>
        <v>-98444.740145359654</v>
      </c>
      <c r="DW32" s="64">
        <f>IF(OR($B32&lt;Analysis!$C$100, $B32&gt;=Analysis!$C$101),0,IF($B32=Analysis!$C$100,Analysis!$C$31,DW31))</f>
        <v>0.1275</v>
      </c>
      <c r="DX32" s="1">
        <f>IF(OR($B32&lt;Analysis!$C$100, $B32&gt;=Analysis!$C$101),0,CK32+DV32)</f>
        <v>673670.86883785331</v>
      </c>
      <c r="DY32" s="1">
        <f>IF(OR($B32&lt;Analysis!$C$100, $B32&gt;=Analysis!$C$101),0,IF($B32-Analysis!$C$100&gt;3,0,IF(CK32&gt;LOOKUP(Analysis!$C$100,$B:$B, CK:CK),$V32*(LOOKUP(Analysis!$C$100,$B:$B, CK:CK)-CK32),0)))</f>
        <v>0</v>
      </c>
      <c r="DZ32" s="1">
        <f t="shared" si="49"/>
        <v>673670.86883785331</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-112920.57632304059</v>
      </c>
      <c r="FM32" s="1">
        <f>$M32+$R32+DD32+IF(AND($B32&lt;&gt;Analysis!$C$130,$B32=Analysis!$C$101),DZ31+CQ31+CT31+CZ31,0)</f>
        <v>170814.48743686322</v>
      </c>
      <c r="FN32" s="1">
        <f t="shared" si="34"/>
        <v>57893.911113822629</v>
      </c>
      <c r="FO32" s="1">
        <f>IF(FN32 &lt; 0,
    IF(FO31 + FN32 &gt; 0,
        FO31 + FN32, IF(FT31-ABS(FO31 + FN32)*(1+$V32) &gt;= FO31 + FN32,
        0, FO31 + FN32)),
    MIN(FO31 + FN32, Analysis!$C$7))+IF(FO31&lt;0, FO31*Analysis!$C$9,0)</f>
        <v>24000</v>
      </c>
      <c r="FP32" s="53"/>
      <c r="FQ32" s="1">
        <f t="shared" si="51"/>
        <v>37301.692721641688</v>
      </c>
      <c r="FR32" s="1">
        <f>IF(OR($B32=Analysis!$C$100, $B32=Analysis!$C$130),0,IF(FN32 &gt;= 0,
    MAX(0, FO31 + FN32 - Analysis!$C$7),
    0))</f>
        <v>57893.911113822629</v>
      </c>
      <c r="FS32" s="1">
        <f>IF(OR($B32=Analysis!$C$100, $B32=Analysis!$C$130),0,MAX(0, FS31 + FR32 - IF(FN32 &lt; 0, MIN(ABS(FN32), FS31 + FR32), 0)))</f>
        <v>847907.97173135518</v>
      </c>
      <c r="FT32" s="1">
        <f>IF(OR($B32=Analysis!$C$100, $B32=Analysis!$C$130),0,IF(FN32 &lt; 0,
    IF(FN32 + FO31 &lt; 0,
        MAX(0, FT31 - (ABS(FN32 + FO31) * (1+$V31))),
        FT31 + FQ32),
    FT31 + FR32 + FQ32))</f>
        <v>1476596.4649999873</v>
      </c>
      <c r="FU32" s="1">
        <f t="shared" si="57"/>
        <v>1310779.8749003855</v>
      </c>
      <c r="FV32" s="36"/>
      <c r="FW32" s="1">
        <f t="shared" si="52"/>
        <v>772115.60898321297</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-2.0194839173657902E-28</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-2.0194839173657902E-28</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39346.564195637329</v>
      </c>
      <c r="GQ32" s="1">
        <f t="shared" si="36"/>
        <v>-2316.3468269496389</v>
      </c>
      <c r="GR32" s="64">
        <f>IF($B32&lt;Analysis!$C$159,0,Analysis!$C$178)</f>
        <v>3.0000000000000001E-3</v>
      </c>
      <c r="GS32" s="1">
        <f t="shared" si="37"/>
        <v>-5790.8670673740971</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-6472</v>
      </c>
      <c r="HC32" s="1">
        <f>-Analysis!$C$177*GN32</f>
        <v>-2480.266302651577</v>
      </c>
      <c r="HD32" s="1">
        <f t="shared" si="38"/>
        <v>-21019.480196975313</v>
      </c>
      <c r="HE32" s="1">
        <f>MIN(0,-(GN32+HD32)*Analysis!$C$28)-GE32*Analysis!$C$28</f>
        <v>-5339.6816407857541</v>
      </c>
      <c r="HF32" s="1">
        <f>-Analysis!$C$176*GP32/12</f>
        <v>-3278.880349636444</v>
      </c>
      <c r="HG32" s="38"/>
      <c r="HH32" s="1">
        <f>IF($B32&lt;Analysis!$C$159,0,-$HI32*$FW32)</f>
        <v>-98444.740145359654</v>
      </c>
      <c r="HI32" s="64">
        <f>IF($B32&lt;Analysis!$C$159,0,IF($B32=Analysis!$C$159,Analysis!$C$31,HI31))</f>
        <v>0.1275</v>
      </c>
      <c r="HJ32" s="1">
        <f>IF($B32&lt;Analysis!$C$159,0,$FW32+HH32)</f>
        <v>673670.86883785331</v>
      </c>
      <c r="HK32" s="1">
        <f>IF($B32-Analysis!$C$159&gt;10,0,IF($FW32&gt;LOOKUP(Analysis!$C$159,$B:$B, FW:FW),$V32*(LOOKUP(Analysis!$C$159,$B:$B, FW:FW)-FW32),0))</f>
        <v>0</v>
      </c>
      <c r="HL32" s="1">
        <f t="shared" si="39"/>
        <v>673670.86883785331</v>
      </c>
      <c r="HM32" s="38"/>
      <c r="HN32" s="1">
        <f t="shared" si="40"/>
        <v>-112920.57632304059</v>
      </c>
      <c r="HO32" s="1">
        <f t="shared" si="8"/>
        <v>170814.48743686322</v>
      </c>
      <c r="HP32" s="1">
        <f t="shared" si="41"/>
        <v>57893.911113822629</v>
      </c>
      <c r="HQ32" s="1">
        <f>IF(HP32 &lt; 0,
    IF(HQ31 + HP32 &gt; 0,
        HQ31 + HP32, IF(HV31-ABS(HQ31 + HP32)*(1+$V32) &gt;= HQ31 + HP32,
        0, HQ31 + HP32)),
    MIN(HQ31 + HP32, Analysis!$C$7))+IF(HQ31&lt;0, HQ31*Analysis!$C$9,0)</f>
        <v>24000</v>
      </c>
      <c r="HR32" s="38"/>
      <c r="HS32" s="1">
        <f t="shared" si="54"/>
        <v>37301.692721641688</v>
      </c>
      <c r="HT32" s="1">
        <f>IF($B32=Analysis!$C$159,0,IF(HP32 &gt;= 0,
    MAX(0, HQ31 + HP32 - Analysis!$C$7),
    0))</f>
        <v>57893.911113822629</v>
      </c>
      <c r="HU32" s="1">
        <f>IF($B32=Analysis!$C$159,0,MAX(0, HU31 + HT32 - IF(HP32 &lt; 0, MIN(ABS(HP32), HU31 + HT32), 0)))</f>
        <v>847907.97173135518</v>
      </c>
      <c r="HV32" s="1">
        <f>IF($B32=Analysis!$C$159,0,IF(HP32 &lt; 0,
    IF(HP32 + HQ31 &lt; 0,
        MAX(0, HV31 - (ABS(HP32 + HQ31) * (1+$V31))),
        HV31 + HS32),
    HV31 + HT32 + HS32))</f>
        <v>1476596.4649999873</v>
      </c>
      <c r="HW32" s="1">
        <f t="shared" si="58"/>
        <v>1310779.8749003855</v>
      </c>
      <c r="HX32" s="36"/>
    </row>
    <row r="33" spans="1:232" x14ac:dyDescent="0.35">
      <c r="A33">
        <f t="shared" si="0"/>
        <v>66</v>
      </c>
      <c r="B33">
        <v>2056</v>
      </c>
      <c r="C33" s="1">
        <f>IF($B33&lt;Analysis!C$66,0,$AN33)+$AT33+$AW33+$BC33+$CF33+$CA33</f>
        <v>2199381.8794039488</v>
      </c>
      <c r="D33" s="1">
        <f>IF($B33&lt;Analysis!C$66, 0, BV33)+AT33+AW33+BC33+CG33+CA33</f>
        <v>1970379.9939348167</v>
      </c>
      <c r="E33" s="1">
        <f t="shared" si="1"/>
        <v>1992630.8537387501</v>
      </c>
      <c r="F33" s="1">
        <f t="shared" si="9"/>
        <v>1734950.9670042903</v>
      </c>
      <c r="G33" s="1">
        <f>IF(AND($B33&gt;=Analysis!$C$100, $B33&lt;Analysis!$C$101),$CK33,0)+IF($B33&gt;=Analysis!$C$130,EB33,0)+CQ33+CT33+CZ33+EH33+EK33+EQ33+$FO33+$FT33</f>
        <v>2389894.2463054429</v>
      </c>
      <c r="H33" s="1">
        <f t="shared" si="10"/>
        <v>2112888.8115920951</v>
      </c>
      <c r="I33" s="1">
        <f>IF($B33&lt;Analysis!$C$159,0,$FW33)+$GC33+$GF33+$GL33+$HQ33+$HV33</f>
        <v>2389894.2463054429</v>
      </c>
      <c r="J33" s="1">
        <f t="shared" si="2"/>
        <v>2112888.8115920951</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47554.412315793605</v>
      </c>
      <c r="AI33" s="1">
        <f>IF(AE33 &gt;= 0,
    MAX(0, AF32 + AE33 - Analysis!$C$7),
    0)</f>
        <v>40601.785160416854</v>
      </c>
      <c r="AJ33" s="1">
        <f t="shared" si="44"/>
        <v>991645.50119103561</v>
      </c>
      <c r="AK33" s="1">
        <f t="shared" si="20"/>
        <v>1968630.8537387501</v>
      </c>
      <c r="AL33" s="1">
        <f t="shared" si="5"/>
        <v>1710950.9670042903</v>
      </c>
      <c r="AM33" s="36"/>
      <c r="AN33" s="1">
        <f t="shared" si="45"/>
        <v>1203535.8370957344</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-3610.6075112872036</v>
      </c>
      <c r="BF33" s="64">
        <f>IF($B33&lt;Analysis!$C$66,0,Analysis!$C$78)</f>
        <v>3.0000000000000001E-3</v>
      </c>
      <c r="BG33" s="1">
        <f>IF($B33&lt;Analysis!$C$66,0,-BH33*AN33)</f>
        <v>-9026.5187782180074</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-153450.81922970613</v>
      </c>
      <c r="BS33" s="64">
        <f>IF($B33&lt;Analysis!C$66,0,Analysis!C$31)</f>
        <v>0.1275</v>
      </c>
      <c r="BT33" s="1">
        <f>IF($B33&lt;Analysis!$C$66,0,AN33+BR33)</f>
        <v>1050085.0178660282</v>
      </c>
      <c r="BU33" s="1">
        <f>IF($B33-Analysis!$C$66&gt;3,0,IF($AN33&gt;LOOKUP(Analysis!$C$66,$B:$B, AN:AN),$V33*(LOOKUP(Analysis!$C$66,$B:$B, AN:AN)-AN33),0))</f>
        <v>0</v>
      </c>
      <c r="BV33" s="1">
        <f t="shared" si="23"/>
        <v>1050085.0178660282</v>
      </c>
      <c r="BW33" s="42"/>
      <c r="BX33" s="1">
        <f>IF($B33&lt;Analysis!$C$66,$P33+$N33+$X33+$Z33,$P33+$N33+AS33+AV33+BB33+BE33+BG33+MAX(BI33,SUM(BJ33:BN33))+BP33)</f>
        <v>-64597.126289505213</v>
      </c>
      <c r="BY33" s="1">
        <f t="shared" si="24"/>
        <v>131467.92324122589</v>
      </c>
      <c r="BZ33" s="1">
        <f t="shared" si="46"/>
        <v>66870.796951720666</v>
      </c>
      <c r="CA33" s="1">
        <f>IF(BZ33 &lt; 0,
    IF(CA32 + BZ33 &gt; 0,
        CA32 + BZ33, IF(CF32-ABS(CA32 + BZ33)*(1+$V33) &gt;= CA32 + BZ33,
        0, CA32 + BZ33)),
    MIN(CA32 + BZ33, Analysis!$C$7))+IF(CA32&lt;0, CA32*Analysis!$C$9,0)</f>
        <v>24000</v>
      </c>
      <c r="CB33" s="42"/>
      <c r="CC33" s="1">
        <f t="shared" si="47"/>
        <v>22321.015100152112</v>
      </c>
      <c r="CD33" s="1">
        <f>IF(BZ33 &gt;= 0,
    MAX(0, CA32 + BZ33 - Analysis!$C$7),
    0)</f>
        <v>66870.796951720666</v>
      </c>
      <c r="CE33" s="1">
        <f>IF($B33=Analysis!$C$66,0,MAX(0, CE32 + CD33 - IF(BZ33 &lt; 0, MIN(ABS(BZ33), CE32 + CD33), 0)))</f>
        <v>685396.5020639447</v>
      </c>
      <c r="CF33" s="1">
        <f>IF($B33=Analysis!$C$66,0,IF(BZ33 &lt; 0,
    IF(BZ33 + CA32 &lt; 0,
        MAX(0, CF32 - (ABS(BZ33 + CA32) * (1+$V32))),
        CF32 + CC33),
    CF32 + CD33 + CC33))</f>
        <v>971846.04230821447</v>
      </c>
      <c r="CG33" s="1">
        <f t="shared" si="25"/>
        <v>896294.97606878832</v>
      </c>
      <c r="CH33" s="36"/>
      <c r="CI33" s="1">
        <f>IF(OR($B33&lt;Analysis!$C$100, $B33&gt;=Analysis!$C$130),0,X33)</f>
        <v>-38906.13808080904</v>
      </c>
      <c r="CJ33" s="1">
        <f>IF(OR($B33&lt;Analysis!$C$100, $B33&gt;=Analysis!$C$130),0,Z33)</f>
        <v>-3960</v>
      </c>
      <c r="CK33" s="1">
        <f t="shared" si="26"/>
        <v>794824.89160036633</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40387.345495509027</v>
      </c>
      <c r="DE33" s="1">
        <f t="shared" si="27"/>
        <v>-2384.4746748010989</v>
      </c>
      <c r="DF33" s="64">
        <f>IF(OR($B33&lt;Analysis!$C$100, $B33&gt;=Analysis!$C$101),0,Analysis!$C$118)</f>
        <v>3.0000000000000001E-3</v>
      </c>
      <c r="DG33" s="1">
        <f t="shared" si="28"/>
        <v>-5961.186687002747</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-6472</v>
      </c>
      <c r="DQ33" s="1">
        <f>-Analysis!$C$117*DB33</f>
        <v>-2553.2153115530941</v>
      </c>
      <c r="DR33" s="1">
        <f t="shared" si="29"/>
        <v>-21330.876673356939</v>
      </c>
      <c r="DS33" s="1">
        <f>MIN(0,-(DB33+DR33)*Analysis!$C$28)-CS33*Analysis!$C$28</f>
        <v>-5632.6846066912212</v>
      </c>
      <c r="DT33" s="1">
        <f>-Analysis!$C$116*DD33/12</f>
        <v>-3365.6121246257521</v>
      </c>
      <c r="DU33" s="53"/>
      <c r="DV33" s="1">
        <f t="shared" si="30"/>
        <v>-101340.17367904671</v>
      </c>
      <c r="DW33" s="64">
        <f>IF(OR($B33&lt;Analysis!$C$100, $B33&gt;=Analysis!$C$101),0,IF($B33=Analysis!$C$100,Analysis!$C$31,DW32))</f>
        <v>0.1275</v>
      </c>
      <c r="DX33" s="1">
        <f>IF(OR($B33&lt;Analysis!$C$100, $B33&gt;=Analysis!$C$101),0,CK33+DV33)</f>
        <v>693484.71792131965</v>
      </c>
      <c r="DY33" s="1">
        <f>IF(OR($B33&lt;Analysis!$C$100, $B33&gt;=Analysis!$C$101),0,IF($B33-Analysis!$C$100&gt;3,0,IF(CK33&gt;LOOKUP(Analysis!$C$100,$B:$B, CK:CK),$V33*(LOOKUP(Analysis!$C$100,$B:$B, CK:CK)-CK33),0)))</f>
        <v>0</v>
      </c>
      <c r="DZ33" s="1">
        <f t="shared" si="49"/>
        <v>693484.71792131965</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-114723.31148548295</v>
      </c>
      <c r="FM33" s="1">
        <f>$M33+$R33+DD33+IF(AND($B33&lt;&gt;Analysis!$C$130,$B33=Analysis!$C$101),DZ32+CQ32+CT32+CZ32,0)</f>
        <v>171855.26873673493</v>
      </c>
      <c r="FN33" s="1">
        <f t="shared" si="34"/>
        <v>57131.957251251981</v>
      </c>
      <c r="FO33" s="1">
        <f>IF(FN33 &lt; 0,
    IF(FO32 + FN33 &gt; 0,
        FO32 + FN33, IF(FT32-ABS(FO32 + FN33)*(1+$V33) &gt;= FO32 + FN33,
        0, FO32 + FN33)),
    MIN(FO32 + FN33, Analysis!$C$7))+IF(FO32&lt;0, FO32*Analysis!$C$9,0)</f>
        <v>24000</v>
      </c>
      <c r="FP33" s="53"/>
      <c r="FQ33" s="1">
        <f t="shared" si="51"/>
        <v>37340.932453837457</v>
      </c>
      <c r="FR33" s="1">
        <f>IF(OR($B33=Analysis!$C$100, $B33=Analysis!$C$130),0,IF(FN33 &gt;= 0,
    MAX(0, FO32 + FN33 - Analysis!$C$7),
    0))</f>
        <v>57131.957251251981</v>
      </c>
      <c r="FS33" s="1">
        <f>IF(OR($B33=Analysis!$C$100, $B33=Analysis!$C$130),0,MAX(0, FS32 + FR33 - IF(FN33 &lt; 0, MIN(ABS(FN33), FS32 + FR33), 0)))</f>
        <v>905039.92898260721</v>
      </c>
      <c r="FT33" s="1">
        <f>IF(OR($B33=Analysis!$C$100, $B33=Analysis!$C$130),0,IF(FN33 &lt; 0,
    IF(FN33 + FO32 &lt; 0,
        MAX(0, FT32 - (ABS(FN33 + FO32) * (1+$V32))),
        FT32 + FQ33),
    FT32 + FR33 + FQ33))</f>
        <v>1571069.3547050767</v>
      </c>
      <c r="FU33" s="1">
        <f t="shared" si="57"/>
        <v>1395404.0936707754</v>
      </c>
      <c r="FV33" s="36"/>
      <c r="FW33" s="1">
        <f t="shared" si="52"/>
        <v>794824.89160036633</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40387.345495509027</v>
      </c>
      <c r="GQ33" s="1">
        <f t="shared" si="36"/>
        <v>-2384.4746748010989</v>
      </c>
      <c r="GR33" s="64">
        <f>IF($B33&lt;Analysis!$C$159,0,Analysis!$C$178)</f>
        <v>3.0000000000000001E-3</v>
      </c>
      <c r="GS33" s="1">
        <f t="shared" si="37"/>
        <v>-5961.186687002747</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-6472</v>
      </c>
      <c r="HC33" s="1">
        <f>-Analysis!$C$177*GN33</f>
        <v>-2553.2153115530941</v>
      </c>
      <c r="HD33" s="1">
        <f t="shared" si="38"/>
        <v>-21330.876673356939</v>
      </c>
      <c r="HE33" s="1">
        <f>MIN(0,-(GN33+HD33)*Analysis!$C$28)-GE33*Analysis!$C$28</f>
        <v>-5632.6846066912212</v>
      </c>
      <c r="HF33" s="1">
        <f>-Analysis!$C$176*GP33/12</f>
        <v>-3365.6121246257521</v>
      </c>
      <c r="HG33" s="38"/>
      <c r="HH33" s="1">
        <f>IF($B33&lt;Analysis!$C$159,0,-$HI33*$FW33)</f>
        <v>-101340.17367904671</v>
      </c>
      <c r="HI33" s="64">
        <f>IF($B33&lt;Analysis!$C$159,0,IF($B33=Analysis!$C$159,Analysis!$C$31,HI32))</f>
        <v>0.1275</v>
      </c>
      <c r="HJ33" s="1">
        <f>IF($B33&lt;Analysis!$C$159,0,$FW33+HH33)</f>
        <v>693484.71792131965</v>
      </c>
      <c r="HK33" s="1">
        <f>IF($B33-Analysis!$C$159&gt;10,0,IF($FW33&gt;LOOKUP(Analysis!$C$159,$B:$B, FW:FW),$V33*(LOOKUP(Analysis!$C$159,$B:$B, FW:FW)-FW33),0))</f>
        <v>0</v>
      </c>
      <c r="HL33" s="1">
        <f t="shared" si="39"/>
        <v>693484.71792131965</v>
      </c>
      <c r="HM33" s="38"/>
      <c r="HN33" s="1">
        <f t="shared" si="40"/>
        <v>-114723.31148548295</v>
      </c>
      <c r="HO33" s="1">
        <f t="shared" si="8"/>
        <v>171855.26873673493</v>
      </c>
      <c r="HP33" s="1">
        <f t="shared" si="41"/>
        <v>57131.957251251981</v>
      </c>
      <c r="HQ33" s="1">
        <f>IF(HP33 &lt; 0,
    IF(HQ32 + HP33 &gt; 0,
        HQ32 + HP33, IF(HV32-ABS(HQ32 + HP33)*(1+$V33) &gt;= HQ32 + HP33,
        0, HQ32 + HP33)),
    MIN(HQ32 + HP33, Analysis!$C$7))+IF(HQ32&lt;0, HQ32*Analysis!$C$9,0)</f>
        <v>24000</v>
      </c>
      <c r="HR33" s="38"/>
      <c r="HS33" s="1">
        <f t="shared" si="54"/>
        <v>37340.932453837457</v>
      </c>
      <c r="HT33" s="1">
        <f>IF($B33=Analysis!$C$159,0,IF(HP33 &gt;= 0,
    MAX(0, HQ32 + HP33 - Analysis!$C$7),
    0))</f>
        <v>57131.957251251981</v>
      </c>
      <c r="HU33" s="1">
        <f>IF($B33=Analysis!$C$159,0,MAX(0, HU32 + HT33 - IF(HP33 &lt; 0, MIN(ABS(HP33), HU32 + HT33), 0)))</f>
        <v>905039.92898260721</v>
      </c>
      <c r="HV33" s="1">
        <f>IF($B33=Analysis!$C$159,0,IF(HP33 &lt; 0,
    IF(HP33 + HQ32 &lt; 0,
        MAX(0, HV32 - (ABS(HP33 + HQ32) * (1+$V32))),
        HV32 + HS33),
    HV32 + HT33 + HS33))</f>
        <v>1571069.3547050767</v>
      </c>
      <c r="HW33" s="1">
        <f t="shared" si="58"/>
        <v>1395404.0936707754</v>
      </c>
      <c r="HX33" s="36"/>
    </row>
    <row r="34" spans="1:232" x14ac:dyDescent="0.35">
      <c r="A34">
        <f t="shared" si="0"/>
        <v>67</v>
      </c>
      <c r="B34">
        <v>2057</v>
      </c>
      <c r="C34" s="1">
        <f>IF($B34&lt;Analysis!C$66,0,$AN34)+$AT34+$AW34+$BC34+$CF34+$CA34</f>
        <v>2324189.6308529563</v>
      </c>
      <c r="D34" s="1">
        <f>IF($B34&lt;Analysis!C$66, 0, BV34)+AT34+AW34+BC34+CG34+CA34</f>
        <v>2084631.8358629718</v>
      </c>
      <c r="E34" s="1">
        <f t="shared" si="1"/>
        <v>2078497.2966448728</v>
      </c>
      <c r="F34" s="1">
        <f t="shared" si="9"/>
        <v>1808577.0477853122</v>
      </c>
      <c r="G34" s="1">
        <f>IF(AND($B34&gt;=Analysis!$C$100, $B34&lt;Analysis!$C$101),$CK34,0)+IF($B34&gt;=Analysis!$C$130,EB34,0)+CQ34+CT34+CZ34+EH34+EK34+EQ34+$FO34+$FT34</f>
        <v>2506655.7918102164</v>
      </c>
      <c r="H34" s="1">
        <f t="shared" si="10"/>
        <v>2216901.3209857871</v>
      </c>
      <c r="I34" s="1">
        <f>IF($B34&lt;Analysis!$C$159,0,$FW34)+$GC34+$GF34+$GL34+$HQ34+$HV34</f>
        <v>2506655.7918102164</v>
      </c>
      <c r="J34" s="1">
        <f t="shared" ref="J34:J52" si="59">$HL34+$GC34+$GF34+$GL34+$HQ34+$HW34</f>
        <v>2216901.3209857871</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46408.955924553047</v>
      </c>
      <c r="AI34" s="1">
        <f>IF(AE34 &gt;= 0,
    MAX(0, AF33 + AE34 - Analysis!$C$7),
    0)</f>
        <v>39457.486981569527</v>
      </c>
      <c r="AJ34" s="1">
        <f t="shared" si="44"/>
        <v>1031102.9881726052</v>
      </c>
      <c r="AK34" s="1">
        <f t="shared" si="20"/>
        <v>2054497.2966448728</v>
      </c>
      <c r="AL34" s="1">
        <f t="shared" si="5"/>
        <v>1784577.0477853122</v>
      </c>
      <c r="AM34" s="36"/>
      <c r="AN34" s="1">
        <f t="shared" si="45"/>
        <v>1238933.9499514916</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-3716.8018498544748</v>
      </c>
      <c r="BF34" s="64">
        <f>IF($B34&lt;Analysis!$C$66,0,Analysis!$C$78)</f>
        <v>3.0000000000000001E-3</v>
      </c>
      <c r="BG34" s="1">
        <f>IF($B34&lt;Analysis!$C$66,0,-BH34*AN34)</f>
        <v>-9292.0046246361871</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-157964.07861881517</v>
      </c>
      <c r="BS34" s="64">
        <f>IF($B34&lt;Analysis!C$66,0,Analysis!C$31)</f>
        <v>0.1275</v>
      </c>
      <c r="BT34" s="1">
        <f>IF($B34&lt;Analysis!$C$66,0,AN34+BR34)</f>
        <v>1080969.8713326764</v>
      </c>
      <c r="BU34" s="1">
        <f>IF($B34-Analysis!$C$66&gt;3,0,IF($AN34&gt;LOOKUP(Analysis!$C$66,$B:$B, AN:AN),$V34*(LOOKUP(Analysis!$C$66,$B:$B, AN:AN)-AN34),0))</f>
        <v>0</v>
      </c>
      <c r="BV34" s="1">
        <f t="shared" si="23"/>
        <v>1080969.8713326764</v>
      </c>
      <c r="BW34" s="42"/>
      <c r="BX34" s="1">
        <f>IF($B34&lt;Analysis!$C$66,$P34+$N34+$X34+$Z34,$P34+$N34+AS34+AV34+BB34+BE34+BG34+MAX(BI34,SUM(BJ34:BN34))+BP34)</f>
        <v>-64968.806474490666</v>
      </c>
      <c r="BY34" s="1">
        <f t="shared" si="24"/>
        <v>131467.92324122589</v>
      </c>
      <c r="BZ34" s="1">
        <f t="shared" si="46"/>
        <v>66499.116766735213</v>
      </c>
      <c r="CA34" s="1">
        <f>IF(BZ34 &lt; 0,
    IF(CA33 + BZ34 &gt; 0,
        CA33 + BZ34, IF(CF33-ABS(CA33 + BZ34)*(1+$V34) &gt;= CA33 + BZ34,
        0, CA33 + BZ34)),
    MIN(CA33 + BZ34, Analysis!$C$7))+IF(CA33&lt;0, CA33*Analysis!$C$9,0)</f>
        <v>24000</v>
      </c>
      <c r="CB34" s="42"/>
      <c r="CC34" s="1">
        <f t="shared" si="47"/>
        <v>22910.521826515378</v>
      </c>
      <c r="CD34" s="1">
        <f>IF(BZ34 &gt;= 0,
    MAX(0, CA33 + BZ34 - Analysis!$C$7),
    0)</f>
        <v>66499.116766735213</v>
      </c>
      <c r="CE34" s="1">
        <f>IF($B34=Analysis!$C$66,0,MAX(0, CE33 + CD34 - IF(BZ34 &lt; 0, MIN(ABS(BZ34), CE33 + CD34), 0)))</f>
        <v>751895.61883067992</v>
      </c>
      <c r="CF34" s="1">
        <f>IF($B34=Analysis!$C$66,0,IF(BZ34 &lt; 0,
    IF(BZ34 + CA33 &lt; 0,
        MAX(0, CF33 - (ABS(BZ34 + CA33) * (1+$V33))),
        CF33 + CC34),
    CF33 + CD34 + CC34))</f>
        <v>1061255.680901465</v>
      </c>
      <c r="CG34" s="1">
        <f t="shared" si="25"/>
        <v>979661.96453029546</v>
      </c>
      <c r="CH34" s="36"/>
      <c r="CI34" s="1">
        <f>IF(OR($B34&lt;Analysis!$C$100, $B34&gt;=Analysis!$C$130),0,X34)</f>
        <v>-40050.436259656366</v>
      </c>
      <c r="CJ34" s="1">
        <f>IF(OR($B34&lt;Analysis!$C$100, $B34&gt;=Analysis!$C$130),0,Z34)</f>
        <v>-3960</v>
      </c>
      <c r="CK34" s="1">
        <f t="shared" si="26"/>
        <v>818202.09429449483</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41458.738010082823</v>
      </c>
      <c r="DE34" s="1">
        <f t="shared" si="27"/>
        <v>-2454.6062828834847</v>
      </c>
      <c r="DF34" s="64">
        <f>IF(OR($B34&lt;Analysis!$C$100, $B34&gt;=Analysis!$C$101),0,Analysis!$C$118)</f>
        <v>3.0000000000000001E-3</v>
      </c>
      <c r="DG34" s="1">
        <f t="shared" si="28"/>
        <v>-6136.5157072087113</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-6472</v>
      </c>
      <c r="DQ34" s="1">
        <f>-Analysis!$C$117*DB34</f>
        <v>-2628.3098795399505</v>
      </c>
      <c r="DR34" s="1">
        <f t="shared" si="29"/>
        <v>-21651.431869632146</v>
      </c>
      <c r="DS34" s="1">
        <f>MIN(0,-(DB34+DR34)*Analysis!$C$28)-CS34*Analysis!$C$28</f>
        <v>-5934.3053068880226</v>
      </c>
      <c r="DT34" s="1">
        <f>-Analysis!$C$116*DD34/12</f>
        <v>-3454.8948341735686</v>
      </c>
      <c r="DU34" s="53"/>
      <c r="DV34" s="1">
        <f t="shared" si="30"/>
        <v>-104320.7670225481</v>
      </c>
      <c r="DW34" s="64">
        <f>IF(OR($B34&lt;Analysis!$C$100, $B34&gt;=Analysis!$C$101),0,IF($B34=Analysis!$C$100,Analysis!$C$31,DW33))</f>
        <v>0.1275</v>
      </c>
      <c r="DX34" s="1">
        <f>IF(OR($B34&lt;Analysis!$C$100, $B34&gt;=Analysis!$C$101),0,CK34+DV34)</f>
        <v>713881.32727194671</v>
      </c>
      <c r="DY34" s="1">
        <f>IF(OR($B34&lt;Analysis!$C$100, $B34&gt;=Analysis!$C$101),0,IF($B34-Analysis!$C$100&gt;3,0,IF(CK34&gt;LOOKUP(Analysis!$C$100,$B:$B, CK:CK),$V34*(LOOKUP(Analysis!$C$100,$B:$B, CK:CK)-CK34),0)))</f>
        <v>0</v>
      </c>
      <c r="DZ34" s="1">
        <f t="shared" si="49"/>
        <v>713881.32727194671</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-116579.06827035011</v>
      </c>
      <c r="FM34" s="1">
        <f>$M34+$R34+DD34+IF(AND($B34&lt;&gt;Analysis!$C$130,$B34=Analysis!$C$101),DZ33+CQ33+CT33+CZ33,0)</f>
        <v>172926.66125130872</v>
      </c>
      <c r="FN34" s="1">
        <f t="shared" si="34"/>
        <v>56347.592980958609</v>
      </c>
      <c r="FO34" s="1">
        <f>IF(FN34 &lt; 0,
    IF(FO33 + FN34 &gt; 0,
        FO33 + FN34, IF(FT33-ABS(FO33 + FN34)*(1+$V34) &gt;= FO33 + FN34,
        0, FO33 + FN34)),
    MIN(FO33 + FN34, Analysis!$C$7))+IF(FO33&lt;0, FO33*Analysis!$C$9,0)</f>
        <v>24000</v>
      </c>
      <c r="FP34" s="53"/>
      <c r="FQ34" s="1">
        <f t="shared" si="51"/>
        <v>37036.749829686327</v>
      </c>
      <c r="FR34" s="1">
        <f>IF(OR($B34=Analysis!$C$100, $B34=Analysis!$C$130),0,IF(FN34 &gt;= 0,
    MAX(0, FO33 + FN34 - Analysis!$C$7),
    0))</f>
        <v>56347.592980958609</v>
      </c>
      <c r="FS34" s="1">
        <f>IF(OR($B34=Analysis!$C$100, $B34=Analysis!$C$130),0,MAX(0, FS33 + FR34 - IF(FN34 &lt; 0, MIN(ABS(FN34), FS33 + FR34), 0)))</f>
        <v>961387.52196356584</v>
      </c>
      <c r="FT34" s="1">
        <f>IF(OR($B34=Analysis!$C$100, $B34=Analysis!$C$130),0,IF(FN34 &lt; 0,
    IF(FN34 + FO33 &lt; 0,
        MAX(0, FT33 - (ABS(FN34 + FO33) * (1+$V33))),
        FT33 + FQ34),
    FT33 + FR34 + FQ34))</f>
        <v>1664453.6975157214</v>
      </c>
      <c r="FU34" s="1">
        <f t="shared" si="57"/>
        <v>1479019.9937138404</v>
      </c>
      <c r="FV34" s="36"/>
      <c r="FW34" s="1">
        <f t="shared" si="52"/>
        <v>818202.09429449483</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41458.738010082823</v>
      </c>
      <c r="GQ34" s="1">
        <f t="shared" si="36"/>
        <v>-2454.6062828834847</v>
      </c>
      <c r="GR34" s="64">
        <f>IF($B34&lt;Analysis!$C$159,0,Analysis!$C$178)</f>
        <v>3.0000000000000001E-3</v>
      </c>
      <c r="GS34" s="1">
        <f t="shared" si="37"/>
        <v>-6136.5157072087113</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-6472</v>
      </c>
      <c r="HC34" s="1">
        <f>-Analysis!$C$177*GN34</f>
        <v>-2628.3098795399505</v>
      </c>
      <c r="HD34" s="1">
        <f t="shared" si="38"/>
        <v>-21651.431869632146</v>
      </c>
      <c r="HE34" s="1">
        <f>MIN(0,-(GN34+HD34)*Analysis!$C$28)-GE34*Analysis!$C$28</f>
        <v>-5934.3053068880226</v>
      </c>
      <c r="HF34" s="1">
        <f>-Analysis!$C$176*GP34/12</f>
        <v>-3454.8948341735686</v>
      </c>
      <c r="HG34" s="38"/>
      <c r="HH34" s="1">
        <f>IF($B34&lt;Analysis!$C$159,0,-$HI34*$FW34)</f>
        <v>-104320.7670225481</v>
      </c>
      <c r="HI34" s="64">
        <f>IF($B34&lt;Analysis!$C$159,0,IF($B34=Analysis!$C$159,Analysis!$C$31,HI33))</f>
        <v>0.1275</v>
      </c>
      <c r="HJ34" s="1">
        <f>IF($B34&lt;Analysis!$C$159,0,$FW34+HH34)</f>
        <v>713881.32727194671</v>
      </c>
      <c r="HK34" s="1">
        <f>IF($B34-Analysis!$C$159&gt;10,0,IF($FW34&gt;LOOKUP(Analysis!$C$159,$B:$B, FW:FW),$V34*(LOOKUP(Analysis!$C$159,$B:$B, FW:FW)-FW34),0))</f>
        <v>0</v>
      </c>
      <c r="HL34" s="1">
        <f t="shared" si="39"/>
        <v>713881.32727194671</v>
      </c>
      <c r="HM34" s="38"/>
      <c r="HN34" s="1">
        <f t="shared" si="40"/>
        <v>-116579.06827035011</v>
      </c>
      <c r="HO34" s="1">
        <f t="shared" si="8"/>
        <v>172926.66125130872</v>
      </c>
      <c r="HP34" s="1">
        <f t="shared" si="41"/>
        <v>56347.592980958609</v>
      </c>
      <c r="HQ34" s="1">
        <f>IF(HP34 &lt; 0,
    IF(HQ33 + HP34 &gt; 0,
        HQ33 + HP34, IF(HV33-ABS(HQ33 + HP34)*(1+$V34) &gt;= HQ33 + HP34,
        0, HQ33 + HP34)),
    MIN(HQ33 + HP34, Analysis!$C$7))+IF(HQ33&lt;0, HQ33*Analysis!$C$9,0)</f>
        <v>24000</v>
      </c>
      <c r="HR34" s="38"/>
      <c r="HS34" s="1">
        <f t="shared" si="54"/>
        <v>37036.749829686327</v>
      </c>
      <c r="HT34" s="1">
        <f>IF($B34=Analysis!$C$159,0,IF(HP34 &gt;= 0,
    MAX(0, HQ33 + HP34 - Analysis!$C$7),
    0))</f>
        <v>56347.592980958609</v>
      </c>
      <c r="HU34" s="1">
        <f>IF($B34=Analysis!$C$159,0,MAX(0, HU33 + HT34 - IF(HP34 &lt; 0, MIN(ABS(HP34), HU33 + HT34), 0)))</f>
        <v>961387.52196356584</v>
      </c>
      <c r="HV34" s="1">
        <f>IF($B34=Analysis!$C$159,0,IF(HP34 &lt; 0,
    IF(HP34 + HQ33 &lt; 0,
        MAX(0, HV33 - (ABS(HP34 + HQ33) * (1+$V33))),
        HV33 + HS34),
    HV33 + HT34 + HS34))</f>
        <v>1664453.6975157214</v>
      </c>
      <c r="HW34" s="1">
        <f t="shared" si="58"/>
        <v>1479019.9937138404</v>
      </c>
      <c r="HX34" s="36"/>
    </row>
    <row r="35" spans="1:232" x14ac:dyDescent="0.35">
      <c r="A35">
        <f t="shared" si="0"/>
        <v>68</v>
      </c>
      <c r="B35">
        <v>2058</v>
      </c>
      <c r="C35" s="1">
        <f>IF($B35&lt;Analysis!C$66,0,$AN35)+$AT35+$AW35+$BC35+$CF35+$CA35</f>
        <v>2449944.3592170691</v>
      </c>
      <c r="D35" s="1">
        <f>IF($B35&lt;Analysis!C$66, 0, BV35)+AT35+AW35+BC35+CG35+CA35</f>
        <v>2199621.8283733716</v>
      </c>
      <c r="E35" s="1">
        <f t="shared" si="1"/>
        <v>2161688.0254255747</v>
      </c>
      <c r="F35" s="1">
        <f t="shared" si="9"/>
        <v>1879922.4486719787</v>
      </c>
      <c r="G35" s="1">
        <f>IF(AND($B35&gt;=Analysis!$C$100, $B35&lt;Analysis!$C$101),$CK35,0)+IF($B35&gt;=Analysis!$C$130,EB35,0)+CQ35+CT35+CZ35+EH35+EK35+EQ35+$FO35+$FT35</f>
        <v>2622645.5830437583</v>
      </c>
      <c r="H35" s="1">
        <f t="shared" si="10"/>
        <v>2320226.346332489</v>
      </c>
      <c r="I35" s="1">
        <f>IF($B35&lt;Analysis!$C$159,0,$FW35)+$GC35+$GF35+$GL35+$HQ35+$HV35</f>
        <v>2622645.5830437583</v>
      </c>
      <c r="J35" s="1">
        <f t="shared" si="59"/>
        <v>2320226.346332489</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44911.195806769494</v>
      </c>
      <c r="AI35" s="1">
        <f>IF(AE35 &gt;= 0,
    MAX(0, AF34 + AE35 - Analysis!$C$7),
    0)</f>
        <v>38279.532973932568</v>
      </c>
      <c r="AJ35" s="1">
        <f t="shared" si="44"/>
        <v>1069382.5211465377</v>
      </c>
      <c r="AK35" s="1">
        <f t="shared" si="20"/>
        <v>2137688.0254255747</v>
      </c>
      <c r="AL35" s="1">
        <f t="shared" si="5"/>
        <v>1855922.4486719787</v>
      </c>
      <c r="AM35" s="36"/>
      <c r="AN35" s="1">
        <f t="shared" si="45"/>
        <v>1275373.1837735944</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-3826.1195513207836</v>
      </c>
      <c r="BF35" s="64">
        <f>IF($B35&lt;Analysis!$C$66,0,Analysis!$C$78)</f>
        <v>3.0000000000000001E-3</v>
      </c>
      <c r="BG35" s="1">
        <f>IF($B35&lt;Analysis!$C$66,0,-BH35*AN35)</f>
        <v>-9565.2988783019573</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-162610.0809311333</v>
      </c>
      <c r="BS35" s="64">
        <f>IF($B35&lt;Analysis!C$66,0,Analysis!C$31)</f>
        <v>0.1275</v>
      </c>
      <c r="BT35" s="1">
        <f>IF($B35&lt;Analysis!$C$66,0,AN35+BR35)</f>
        <v>1112763.1028424611</v>
      </c>
      <c r="BU35" s="1">
        <f>IF($B35-Analysis!$C$66&gt;3,0,IF($AN35&gt;LOOKUP(Analysis!$C$66,$B:$B, AN:AN),$V35*(LOOKUP(Analysis!$C$66,$B:$B, AN:AN)-AN35),0))</f>
        <v>0</v>
      </c>
      <c r="BV35" s="1">
        <f t="shared" si="23"/>
        <v>1112763.1028424611</v>
      </c>
      <c r="BW35" s="42"/>
      <c r="BX35" s="1">
        <f>IF($B35&lt;Analysis!$C$66,$P35+$N35+$X35+$Z35,$P35+$N35+AS35+AV35+BB35+BE35+BG35+MAX(BI35,SUM(BJ35:BN35))+BP35)</f>
        <v>-65351.418429622747</v>
      </c>
      <c r="BY35" s="1">
        <f t="shared" si="24"/>
        <v>131467.92324122589</v>
      </c>
      <c r="BZ35" s="1">
        <f t="shared" si="46"/>
        <v>66116.504811603139</v>
      </c>
      <c r="CA35" s="1">
        <f>IF(BZ35 &lt; 0,
    IF(CA34 + BZ35 &gt; 0,
        CA34 + BZ35, IF(CF34-ABS(CA34 + BZ35)*(1+$V35) &gt;= CA34 + BZ35,
        0, CA34 + BZ35)),
    MIN(CA34 + BZ35, Analysis!$C$7))+IF(CA34&lt;0, CA34*Analysis!$C$9,0)</f>
        <v>24000</v>
      </c>
      <c r="CB35" s="42"/>
      <c r="CC35" s="1">
        <f t="shared" si="47"/>
        <v>23198.989730406429</v>
      </c>
      <c r="CD35" s="1">
        <f>IF(BZ35 &gt;= 0,
    MAX(0, CA34 + BZ35 - Analysis!$C$7),
    0)</f>
        <v>66116.504811603139</v>
      </c>
      <c r="CE35" s="1">
        <f>IF($B35=Analysis!$C$66,0,MAX(0, CE34 + CD35 - IF(BZ35 &lt; 0, MIN(ABS(BZ35), CE34 + CD35), 0)))</f>
        <v>818012.12364228303</v>
      </c>
      <c r="CF35" s="1">
        <f>IF($B35=Analysis!$C$66,0,IF(BZ35 &lt; 0,
    IF(BZ35 + CA34 &lt; 0,
        MAX(0, CF34 - (ABS(BZ35 + CA34) * (1+$V34))),
        CF34 + CC35),
    CF34 + CD35 + CC35))</f>
        <v>1150571.1754434744</v>
      </c>
      <c r="CG35" s="1">
        <f t="shared" si="25"/>
        <v>1062858.7255309103</v>
      </c>
      <c r="CH35" s="36"/>
      <c r="CI35" s="1">
        <f>IF(OR($B35&lt;Analysis!$C$100, $B35&gt;=Analysis!$C$130),0,X35)</f>
        <v>-41228.390267293325</v>
      </c>
      <c r="CJ35" s="1">
        <f>IF(OR($B35&lt;Analysis!$C$100, $B35&gt;=Analysis!$C$130),0,Z35)</f>
        <v>-3960</v>
      </c>
      <c r="CK35" s="1">
        <f t="shared" ref="CK35:CK52" si="60">CK34*(1+$CL34)</f>
        <v>842266.86177374481</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42561.642069202906</v>
      </c>
      <c r="DE35" s="1">
        <f t="shared" si="27"/>
        <v>-2526.8005853212344</v>
      </c>
      <c r="DF35" s="64">
        <f>IF(OR($B35&lt;Analysis!$C$100, $B35&gt;=Analysis!$C$101),0,Analysis!$C$118)</f>
        <v>3.0000000000000001E-3</v>
      </c>
      <c r="DG35" s="1">
        <f t="shared" si="28"/>
        <v>-6317.001463303086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-6472</v>
      </c>
      <c r="DQ35" s="1">
        <f>-Analysis!$C$117*DB35</f>
        <v>-2705.6131112911257</v>
      </c>
      <c r="DR35" s="1">
        <f t="shared" si="29"/>
        <v>-21981.415159915443</v>
      </c>
      <c r="DS35" s="1">
        <f>MIN(0,-(DB35+DR35)*Analysis!$C$28)-CS35*Analysis!$C$28</f>
        <v>-6244.7972041494368</v>
      </c>
      <c r="DT35" s="1">
        <f>-Analysis!$C$116*DD35/12</f>
        <v>-3546.803505766909</v>
      </c>
      <c r="DU35" s="53"/>
      <c r="DV35" s="1">
        <f t="shared" si="30"/>
        <v>-107389.02487615247</v>
      </c>
      <c r="DW35" s="64">
        <f>IF(OR($B35&lt;Analysis!$C$100, $B35&gt;=Analysis!$C$101),0,IF($B35=Analysis!$C$100,Analysis!$C$31,DW34))</f>
        <v>0.1275</v>
      </c>
      <c r="DX35" s="1">
        <f>IF(OR($B35&lt;Analysis!$C$100, $B35&gt;=Analysis!$C$101),0,CK35+DV35)</f>
        <v>734877.83689759229</v>
      </c>
      <c r="DY35" s="1">
        <f>IF(OR($B35&lt;Analysis!$C$100, $B35&gt;=Analysis!$C$101),0,IF($B35-Analysis!$C$100&gt;3,0,IF(CK35&gt;LOOKUP(Analysis!$C$100,$B:$B, CK:CK),$V35*(LOOKUP(Analysis!$C$100,$B:$B, CK:CK)-CK35),0)))</f>
        <v>0</v>
      </c>
      <c r="DZ35" s="1">
        <f t="shared" si="49"/>
        <v>734877.83689759229</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-118489.4061371251</v>
      </c>
      <c r="FM35" s="1">
        <f>$M35+$R35+DD35+IF(AND($B35&lt;&gt;Analysis!$C$130,$B35=Analysis!$C$101),DZ34+CQ34+CT34+CZ34,0)</f>
        <v>174029.56531042879</v>
      </c>
      <c r="FN35" s="1">
        <f t="shared" si="34"/>
        <v>55540.159173303691</v>
      </c>
      <c r="FO35" s="1">
        <f>IF(FN35 &lt; 0,
    IF(FO34 + FN35 &gt; 0,
        FO34 + FN35, IF(FT34-ABS(FO34 + FN35)*(1+$V35) &gt;= FO34 + FN35,
        0, FO34 + FN35)),
    MIN(FO34 + FN35, Analysis!$C$7))+IF(FO34&lt;0, FO34*Analysis!$C$9,0)</f>
        <v>24000</v>
      </c>
      <c r="FP35" s="53"/>
      <c r="FQ35" s="1">
        <f t="shared" si="51"/>
        <v>36384.8645809882</v>
      </c>
      <c r="FR35" s="1">
        <f>IF(OR($B35=Analysis!$C$100, $B35=Analysis!$C$130),0,IF(FN35 &gt;= 0,
    MAX(0, FO34 + FN35 - Analysis!$C$7),
    0))</f>
        <v>55540.159173303691</v>
      </c>
      <c r="FS35" s="1">
        <f>IF(OR($B35=Analysis!$C$100, $B35=Analysis!$C$130),0,MAX(0, FS34 + FR35 - IF(FN35 &lt; 0, MIN(ABS(FN35), FS34 + FR35), 0)))</f>
        <v>1016927.6811368696</v>
      </c>
      <c r="FT35" s="1">
        <f>IF(OR($B35=Analysis!$C$100, $B35=Analysis!$C$130),0,IF(FN35 &lt; 0,
    IF(FN35 + FO34 &lt; 0,
        MAX(0, FT34 - (ABS(FN35 + FO34) * (1+$V34))),
        FT34 + FQ35),
    FT34 + FR35 + FQ35))</f>
        <v>1756378.7212700134</v>
      </c>
      <c r="FU35" s="1">
        <f t="shared" si="57"/>
        <v>1561348.5094348968</v>
      </c>
      <c r="FV35" s="36"/>
      <c r="FW35" s="1">
        <f t="shared" si="52"/>
        <v>842266.86177374481</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42561.642069202906</v>
      </c>
      <c r="GQ35" s="1">
        <f t="shared" si="36"/>
        <v>-2526.8005853212344</v>
      </c>
      <c r="GR35" s="64">
        <f>IF($B35&lt;Analysis!$C$159,0,Analysis!$C$178)</f>
        <v>3.0000000000000001E-3</v>
      </c>
      <c r="GS35" s="1">
        <f t="shared" si="37"/>
        <v>-6317.001463303086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-6472</v>
      </c>
      <c r="HC35" s="1">
        <f>-Analysis!$C$177*GN35</f>
        <v>-2705.6131112911257</v>
      </c>
      <c r="HD35" s="1">
        <f t="shared" si="38"/>
        <v>-21981.415159915443</v>
      </c>
      <c r="HE35" s="1">
        <f>MIN(0,-(GN35+HD35)*Analysis!$C$28)-GE35*Analysis!$C$28</f>
        <v>-6244.7972041494368</v>
      </c>
      <c r="HF35" s="1">
        <f>-Analysis!$C$176*GP35/12</f>
        <v>-3546.803505766909</v>
      </c>
      <c r="HG35" s="38"/>
      <c r="HH35" s="1">
        <f>IF($B35&lt;Analysis!$C$159,0,-$HI35*$FW35)</f>
        <v>-107389.02487615247</v>
      </c>
      <c r="HI35" s="64">
        <f>IF($B35&lt;Analysis!$C$159,0,IF($B35=Analysis!$C$159,Analysis!$C$31,HI34))</f>
        <v>0.1275</v>
      </c>
      <c r="HJ35" s="1">
        <f>IF($B35&lt;Analysis!$C$159,0,$FW35+HH35)</f>
        <v>734877.83689759229</v>
      </c>
      <c r="HK35" s="1">
        <f>IF($B35-Analysis!$C$159&gt;10,0,IF($FW35&gt;LOOKUP(Analysis!$C$159,$B:$B, FW:FW),$V35*(LOOKUP(Analysis!$C$159,$B:$B, FW:FW)-FW35),0))</f>
        <v>0</v>
      </c>
      <c r="HL35" s="1">
        <f t="shared" si="39"/>
        <v>734877.83689759229</v>
      </c>
      <c r="HM35" s="38"/>
      <c r="HN35" s="1">
        <f t="shared" si="40"/>
        <v>-118489.4061371251</v>
      </c>
      <c r="HO35" s="1">
        <f t="shared" si="8"/>
        <v>174029.56531042879</v>
      </c>
      <c r="HP35" s="1">
        <f t="shared" si="41"/>
        <v>55540.159173303691</v>
      </c>
      <c r="HQ35" s="1">
        <f>IF(HP35 &lt; 0,
    IF(HQ34 + HP35 &gt; 0,
        HQ34 + HP35, IF(HV34-ABS(HQ34 + HP35)*(1+$V35) &gt;= HQ34 + HP35,
        0, HQ34 + HP35)),
    MIN(HQ34 + HP35, Analysis!$C$7))+IF(HQ34&lt;0, HQ34*Analysis!$C$9,0)</f>
        <v>24000</v>
      </c>
      <c r="HR35" s="38"/>
      <c r="HS35" s="1">
        <f t="shared" si="54"/>
        <v>36384.8645809882</v>
      </c>
      <c r="HT35" s="1">
        <f>IF($B35=Analysis!$C$159,0,IF(HP35 &gt;= 0,
    MAX(0, HQ34 + HP35 - Analysis!$C$7),
    0))</f>
        <v>55540.159173303691</v>
      </c>
      <c r="HU35" s="1">
        <f>IF($B35=Analysis!$C$159,0,MAX(0, HU34 + HT35 - IF(HP35 &lt; 0, MIN(ABS(HP35), HU34 + HT35), 0)))</f>
        <v>1016927.6811368696</v>
      </c>
      <c r="HV35" s="1">
        <f>IF($B35=Analysis!$C$159,0,IF(HP35 &lt; 0,
    IF(HP35 + HQ34 &lt; 0,
        MAX(0, HV34 - (ABS(HP35 + HQ34) * (1+$V34))),
        HV34 + HS35),
    HV34 + HT35 + HS35))</f>
        <v>1756378.7212700134</v>
      </c>
      <c r="HW35" s="1">
        <f t="shared" si="58"/>
        <v>1561348.5094348968</v>
      </c>
      <c r="HX35" s="36"/>
    </row>
    <row r="36" spans="1:232" x14ac:dyDescent="0.35">
      <c r="A36">
        <f t="shared" si="0"/>
        <v>69</v>
      </c>
      <c r="B36">
        <v>2059</v>
      </c>
      <c r="C36" s="1">
        <f>IF($B36&lt;Analysis!C$66,0,$AN36)+$AT36+$AW36+$BC36+$CF36+$CA36</f>
        <v>2576356.9884821768</v>
      </c>
      <c r="D36" s="1">
        <f>IF($B36&lt;Analysis!C$66, 0, BV36)+AT36+AW36+BC36+CG36+CA36</f>
        <v>2315138.3433338185</v>
      </c>
      <c r="E36" s="1">
        <f t="shared" si="1"/>
        <v>2241820.0911195469</v>
      </c>
      <c r="F36" s="1">
        <f t="shared" si="9"/>
        <v>1948696.0856865405</v>
      </c>
      <c r="G36" s="1">
        <f>IF(AND($B36&gt;=Analysis!$C$100, $B36&lt;Analysis!$C$101),$CK36,0)+IF($B36&gt;=Analysis!$C$130,EB36,0)+CQ36+CT36+CZ36+EH36+EK36+EQ36+$FO36+$FT36</f>
        <v>2737510.520613939</v>
      </c>
      <c r="H36" s="1">
        <f t="shared" si="10"/>
        <v>2422600.4099704865</v>
      </c>
      <c r="I36" s="1">
        <f>IF($B36&lt;Analysis!$C$159,0,$FW36)+$GC36+$GF36+$GL36+$HQ36+$HV36</f>
        <v>2737510.520613939</v>
      </c>
      <c r="J36" s="1">
        <f t="shared" si="59"/>
        <v>2422600.4099704865</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43065.132433783925</v>
      </c>
      <c r="AI36" s="1">
        <f>IF(AE36 &gt;= 0,
    MAX(0, AF35 + AE36 - Analysis!$C$7),
    0)</f>
        <v>37066.933260188642</v>
      </c>
      <c r="AJ36" s="1">
        <f t="shared" si="44"/>
        <v>1106449.4544067264</v>
      </c>
      <c r="AK36" s="1">
        <f t="shared" si="20"/>
        <v>2217820.0911195469</v>
      </c>
      <c r="AL36" s="1">
        <f t="shared" si="5"/>
        <v>1924696.0856865405</v>
      </c>
      <c r="AM36" s="36"/>
      <c r="AN36" s="1">
        <f t="shared" si="45"/>
        <v>1312884.1597669355</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-3938.6524793008066</v>
      </c>
      <c r="BF36" s="64">
        <f>IF($B36&lt;Analysis!$C$66,0,Analysis!$C$78)</f>
        <v>3.0000000000000001E-3</v>
      </c>
      <c r="BG36" s="1">
        <f>IF($B36&lt;Analysis!$C$66,0,-BH36*AN36)</f>
        <v>-9846.6311982520165</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-167392.73037028429</v>
      </c>
      <c r="BS36" s="64">
        <f>IF($B36&lt;Analysis!C$66,0,Analysis!C$31)</f>
        <v>0.1275</v>
      </c>
      <c r="BT36" s="1">
        <f>IF($B36&lt;Analysis!$C$66,0,AN36+BR36)</f>
        <v>1145491.4293966512</v>
      </c>
      <c r="BU36" s="1">
        <f>IF($B36-Analysis!$C$66&gt;3,0,IF($AN36&gt;LOOKUP(Analysis!$C$66,$B:$B, AN:AN),$V36*(LOOKUP(Analysis!$C$66,$B:$B, AN:AN)-AN36),0))</f>
        <v>0</v>
      </c>
      <c r="BV36" s="1">
        <f t="shared" si="23"/>
        <v>1145491.4293966512</v>
      </c>
      <c r="BW36" s="42"/>
      <c r="BX36" s="1">
        <f>IF($B36&lt;Analysis!$C$66,$P36+$N36+$X36+$Z36,$P36+$N36+AS36+AV36+BB36+BE36+BG36+MAX(BI36,SUM(BJ36:BN36))+BP36)</f>
        <v>-65745.283677552827</v>
      </c>
      <c r="BY36" s="1">
        <f t="shared" si="24"/>
        <v>131467.92324122589</v>
      </c>
      <c r="BZ36" s="1">
        <f t="shared" si="46"/>
        <v>65722.639563673059</v>
      </c>
      <c r="CA36" s="1">
        <f>IF(BZ36 &lt; 0,
    IF(CA35 + BZ36 &gt; 0,
        CA35 + BZ36, IF(CF35-ABS(CA35 + BZ36)*(1+$V36) &gt;= CA35 + BZ36,
        0, CA35 + BZ36)),
    MIN(CA35 + BZ36, Analysis!$C$7))+IF(CA35&lt;0, CA35*Analysis!$C$9,0)</f>
        <v>24000</v>
      </c>
      <c r="CB36" s="42"/>
      <c r="CC36" s="1">
        <f t="shared" si="47"/>
        <v>23179.013708093938</v>
      </c>
      <c r="CD36" s="1">
        <f>IF(BZ36 &gt;= 0,
    MAX(0, CA35 + BZ36 - Analysis!$C$7),
    0)</f>
        <v>65722.639563673059</v>
      </c>
      <c r="CE36" s="1">
        <f>IF($B36=Analysis!$C$66,0,MAX(0, CE35 + CD36 - IF(BZ36 &lt; 0, MIN(ABS(BZ36), CE35 + CD36), 0)))</f>
        <v>883734.76320595609</v>
      </c>
      <c r="CF36" s="1">
        <f>IF($B36=Analysis!$C$66,0,IF(BZ36 &lt; 0,
    IF(BZ36 + CA35 &lt; 0,
        MAX(0, CF35 - (ABS(BZ36 + CA35) * (1+$V35))),
        CF35 + CC36),
    CF35 + CD36 + CC36))</f>
        <v>1239472.8287152413</v>
      </c>
      <c r="CG36" s="1">
        <f t="shared" si="25"/>
        <v>1145646.9139371673</v>
      </c>
      <c r="CH36" s="36"/>
      <c r="CI36" s="1">
        <f>IF(OR($B36&lt;Analysis!$C$100, $B36&gt;=Analysis!$C$130),0,X36)</f>
        <v>-42440.989981037252</v>
      </c>
      <c r="CJ36" s="1">
        <f>IF(OR($B36&lt;Analysis!$C$100, $B36&gt;=Analysis!$C$130),0,Z36)</f>
        <v>-3960</v>
      </c>
      <c r="CK36" s="1">
        <f t="shared" si="60"/>
        <v>867039.41653179622</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43696.984483003005</v>
      </c>
      <c r="DE36" s="1">
        <f t="shared" si="27"/>
        <v>-2601.1182495953885</v>
      </c>
      <c r="DF36" s="64">
        <f>IF(OR($B36&lt;Analysis!$C$100, $B36&gt;=Analysis!$C$101),0,Analysis!$C$118)</f>
        <v>3.0000000000000001E-3</v>
      </c>
      <c r="DG36" s="1">
        <f t="shared" si="28"/>
        <v>-6502.7956239884716</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-6472</v>
      </c>
      <c r="DQ36" s="1">
        <f>-Analysis!$C$117*DB36</f>
        <v>-2785.1899675055711</v>
      </c>
      <c r="DR36" s="1">
        <f t="shared" si="29"/>
        <v>-22321.103841089433</v>
      </c>
      <c r="DS36" s="1">
        <f>MIN(0,-(DB36+DR36)*Analysis!$C$28)-CS36*Analysis!$C$28</f>
        <v>-6564.4212160361858</v>
      </c>
      <c r="DT36" s="1">
        <f>-Analysis!$C$116*DD36/12</f>
        <v>-3641.4153735835839</v>
      </c>
      <c r="DU36" s="53"/>
      <c r="DV36" s="1">
        <f t="shared" si="30"/>
        <v>-110547.52560780403</v>
      </c>
      <c r="DW36" s="64">
        <f>IF(OR($B36&lt;Analysis!$C$100, $B36&gt;=Analysis!$C$101),0,IF($B36=Analysis!$C$100,Analysis!$C$31,DW35))</f>
        <v>0.1275</v>
      </c>
      <c r="DX36" s="1">
        <f>IF(OR($B36&lt;Analysis!$C$100, $B36&gt;=Analysis!$C$101),0,CK36+DV36)</f>
        <v>756491.89092399215</v>
      </c>
      <c r="DY36" s="1">
        <f>IF(OR($B36&lt;Analysis!$C$100, $B36&gt;=Analysis!$C$101),0,IF($B36-Analysis!$C$100&gt;3,0,IF(CK36&gt;LOOKUP(Analysis!$C$100,$B:$B, CK:CK),$V36*(LOOKUP(Analysis!$C$100,$B:$B, CK:CK)-CK36),0)))</f>
        <v>0</v>
      </c>
      <c r="DZ36" s="1">
        <f t="shared" si="49"/>
        <v>756491.89092399215</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-120455.93041174643</v>
      </c>
      <c r="FM36" s="1">
        <f>$M36+$R36+DD36+IF(AND($B36&lt;&gt;Analysis!$C$130,$B36=Analysis!$C$101),DZ35+CQ35+CT35+CZ35,0)</f>
        <v>175164.90772422889</v>
      </c>
      <c r="FN36" s="1">
        <f t="shared" si="34"/>
        <v>54708.977312482457</v>
      </c>
      <c r="FO36" s="1">
        <f>IF(FN36 &lt; 0,
    IF(FO35 + FN36 &gt; 0,
        FO35 + FN36, IF(FT35-ABS(FO35 + FN36)*(1+$V36) &gt;= FO35 + FN36,
        0, FO35 + FN36)),
    MIN(FO35 + FN36, Analysis!$C$7))+IF(FO35&lt;0, FO35*Analysis!$C$9,0)</f>
        <v>24000</v>
      </c>
      <c r="FP36" s="53"/>
      <c r="FQ36" s="1">
        <f t="shared" si="51"/>
        <v>35383.405499647175</v>
      </c>
      <c r="FR36" s="1">
        <f>IF(OR($B36=Analysis!$C$100, $B36=Analysis!$C$130),0,IF(FN36 &gt;= 0,
    MAX(0, FO35 + FN36 - Analysis!$C$7),
    0))</f>
        <v>54708.977312482457</v>
      </c>
      <c r="FS36" s="1">
        <f>IF(OR($B36=Analysis!$C$100, $B36=Analysis!$C$130),0,MAX(0, FS35 + FR36 - IF(FN36 &lt; 0, MIN(ABS(FN36), FS35 + FR36), 0)))</f>
        <v>1071636.658449352</v>
      </c>
      <c r="FT36" s="1">
        <f>IF(OR($B36=Analysis!$C$100, $B36=Analysis!$C$130),0,IF(FN36 &lt; 0,
    IF(FN36 + FO35 &lt; 0,
        MAX(0, FT35 - (ABS(FN36 + FO35) * (1+$V35))),
        FT35 + FQ36),
    FT35 + FR36 + FQ36))</f>
        <v>1846471.1040821429</v>
      </c>
      <c r="FU36" s="1">
        <f t="shared" si="57"/>
        <v>1642108.5190464943</v>
      </c>
      <c r="FV36" s="36"/>
      <c r="FW36" s="1">
        <f t="shared" si="52"/>
        <v>867039.41653179622</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43696.984483003005</v>
      </c>
      <c r="GQ36" s="1">
        <f t="shared" si="36"/>
        <v>-2601.1182495953885</v>
      </c>
      <c r="GR36" s="64">
        <f>IF($B36&lt;Analysis!$C$159,0,Analysis!$C$178)</f>
        <v>3.0000000000000001E-3</v>
      </c>
      <c r="GS36" s="1">
        <f t="shared" si="37"/>
        <v>-6502.7956239884716</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-6472</v>
      </c>
      <c r="HC36" s="1">
        <f>-Analysis!$C$177*GN36</f>
        <v>-2785.1899675055711</v>
      </c>
      <c r="HD36" s="1">
        <f t="shared" si="38"/>
        <v>-22321.103841089433</v>
      </c>
      <c r="HE36" s="1">
        <f>MIN(0,-(GN36+HD36)*Analysis!$C$28)-GE36*Analysis!$C$28</f>
        <v>-6564.4212160361858</v>
      </c>
      <c r="HF36" s="1">
        <f>-Analysis!$C$176*GP36/12</f>
        <v>-3641.4153735835839</v>
      </c>
      <c r="HG36" s="38"/>
      <c r="HH36" s="1">
        <f>IF($B36&lt;Analysis!$C$159,0,-$HI36*$FW36)</f>
        <v>-110547.52560780403</v>
      </c>
      <c r="HI36" s="64">
        <f>IF($B36&lt;Analysis!$C$159,0,IF($B36=Analysis!$C$159,Analysis!$C$31,HI35))</f>
        <v>0.1275</v>
      </c>
      <c r="HJ36" s="1">
        <f>IF($B36&lt;Analysis!$C$159,0,$FW36+HH36)</f>
        <v>756491.89092399215</v>
      </c>
      <c r="HK36" s="1">
        <f>IF($B36-Analysis!$C$159&gt;10,0,IF($FW36&gt;LOOKUP(Analysis!$C$159,$B:$B, FW:FW),$V36*(LOOKUP(Analysis!$C$159,$B:$B, FW:FW)-FW36),0))</f>
        <v>0</v>
      </c>
      <c r="HL36" s="1">
        <f t="shared" si="39"/>
        <v>756491.89092399215</v>
      </c>
      <c r="HM36" s="38"/>
      <c r="HN36" s="1">
        <f t="shared" si="40"/>
        <v>-120455.93041174643</v>
      </c>
      <c r="HO36" s="1">
        <f t="shared" si="8"/>
        <v>175164.90772422889</v>
      </c>
      <c r="HP36" s="1">
        <f t="shared" si="41"/>
        <v>54708.977312482457</v>
      </c>
      <c r="HQ36" s="1">
        <f>IF(HP36 &lt; 0,
    IF(HQ35 + HP36 &gt; 0,
        HQ35 + HP36, IF(HV35-ABS(HQ35 + HP36)*(1+$V36) &gt;= HQ35 + HP36,
        0, HQ35 + HP36)),
    MIN(HQ35 + HP36, Analysis!$C$7))+IF(HQ35&lt;0, HQ35*Analysis!$C$9,0)</f>
        <v>24000</v>
      </c>
      <c r="HR36" s="38"/>
      <c r="HS36" s="1">
        <f t="shared" si="54"/>
        <v>35383.405499647175</v>
      </c>
      <c r="HT36" s="1">
        <f>IF($B36=Analysis!$C$159,0,IF(HP36 &gt;= 0,
    MAX(0, HQ35 + HP36 - Analysis!$C$7),
    0))</f>
        <v>54708.977312482457</v>
      </c>
      <c r="HU36" s="1">
        <f>IF($B36=Analysis!$C$159,0,MAX(0, HU35 + HT36 - IF(HP36 &lt; 0, MIN(ABS(HP36), HU35 + HT36), 0)))</f>
        <v>1071636.658449352</v>
      </c>
      <c r="HV36" s="1">
        <f>IF($B36=Analysis!$C$159,0,IF(HP36 &lt; 0,
    IF(HP36 + HQ35 &lt; 0,
        MAX(0, HV35 - (ABS(HP36 + HQ35) * (1+$V35))),
        HV35 + HS36),
    HV35 + HT36 + HS36))</f>
        <v>1846471.1040821429</v>
      </c>
      <c r="HW36" s="1">
        <f t="shared" si="58"/>
        <v>1642108.5190464943</v>
      </c>
      <c r="HX36" s="36"/>
    </row>
    <row r="37" spans="1:232" x14ac:dyDescent="0.35">
      <c r="A37">
        <f t="shared" si="0"/>
        <v>70</v>
      </c>
      <c r="B37">
        <v>2060</v>
      </c>
      <c r="C37" s="1">
        <f>IF($B37&lt;Analysis!C$66,0,$AN37)+$AT37+$AW37+$BC37+$CF37+$CA37</f>
        <v>2638857.845696792</v>
      </c>
      <c r="D37" s="1">
        <f>IF($B37&lt;Analysis!C$66, 0, BV37)+AT37+AW37+BC37+CG37+CA37</f>
        <v>2366195.9426503475</v>
      </c>
      <c r="E37" s="1">
        <f t="shared" si="1"/>
        <v>2210344.639879398</v>
      </c>
      <c r="F37" s="1">
        <f t="shared" si="9"/>
        <v>1911302.126242463</v>
      </c>
      <c r="G37" s="1">
        <f>IF(AND($B37&gt;=Analysis!$C$100, $B37&lt;Analysis!$C$101),$CK37,0)+IF($B37&gt;=Analysis!$C$130,EB37,0)+CQ37+CT37+CZ37+EH37+EK37+EQ37+$FO37+$FT37</f>
        <v>1855435.3783000857</v>
      </c>
      <c r="H37" s="1">
        <f t="shared" si="10"/>
        <v>1612786.2523431608</v>
      </c>
      <c r="I37" s="1">
        <f>IF($B37&lt;Analysis!$C$159,0,$FW37)+$GC37+$GF37+$GL37+$HQ37+$HV37</f>
        <v>2787336.3829957442</v>
      </c>
      <c r="J37" s="1">
        <f t="shared" si="59"/>
        <v>2456492.2109088181</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43486.668453324295</v>
      </c>
      <c r="AI37" s="1">
        <f>IF(AE37 &gt;= 0,
    MAX(0, AF36 + AE37 - Analysis!$C$7),
    0)</f>
        <v>0</v>
      </c>
      <c r="AJ37" s="1">
        <f t="shared" si="44"/>
        <v>1076534.161635095</v>
      </c>
      <c r="AK37" s="1">
        <f t="shared" si="20"/>
        <v>2210344.639879398</v>
      </c>
      <c r="AL37" s="1">
        <f t="shared" si="5"/>
        <v>1911302.126242463</v>
      </c>
      <c r="AM37" s="36"/>
      <c r="AN37" s="1">
        <f t="shared" si="45"/>
        <v>1351498.3997600807</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-4054.4951992802421</v>
      </c>
      <c r="BF37" s="64">
        <f>IF($B37&lt;Analysis!$C$66,0,Analysis!$C$78)</f>
        <v>3.0000000000000001E-3</v>
      </c>
      <c r="BG37" s="1">
        <f>IF($B37&lt;Analysis!$C$66,0,-BH37*AN37)</f>
        <v>-10136.237998200606</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-172316.0459694103</v>
      </c>
      <c r="BS37" s="64">
        <f>IF($B37&lt;Analysis!C$66,0,Analysis!C$31)</f>
        <v>0.1275</v>
      </c>
      <c r="BT37" s="1">
        <f>IF($B37&lt;Analysis!$C$66,0,AN37+BR37)</f>
        <v>1179182.3537906704</v>
      </c>
      <c r="BU37" s="1">
        <f>IF($B37-Analysis!$C$66&gt;3,0,IF($AN37&gt;LOOKUP(Analysis!$C$66,$B:$B, AN:AN),$V37*(LOOKUP(Analysis!$C$66,$B:$B, AN:AN)-AN37),0))</f>
        <v>0</v>
      </c>
      <c r="BV37" s="1">
        <f t="shared" si="23"/>
        <v>1179182.3537906704</v>
      </c>
      <c r="BW37" s="42"/>
      <c r="BX37" s="1">
        <f>IF($B37&lt;Analysis!$C$66,$P37+$N37+$X37+$Z37,$P37+$N37+AS37+AV37+BB37+BE37+BG37+MAX(BI37,SUM(BJ37:BN37))+BP37)</f>
        <v>-66150.733197480848</v>
      </c>
      <c r="BY37" s="1">
        <f t="shared" si="24"/>
        <v>65733.961620612943</v>
      </c>
      <c r="BZ37" s="1">
        <f t="shared" si="46"/>
        <v>-416.77157686790451</v>
      </c>
      <c r="CA37" s="1">
        <f>IF(BZ37 &lt; 0,
    IF(CA36 + BZ37 &gt; 0,
        CA36 + BZ37, IF(CF36-ABS(CA36 + BZ37)*(1+$V37) &gt;= CA36 + BZ37,
        0, CA36 + BZ37)),
    MIN(CA36 + BZ37, Analysis!$C$7))+IF(CA36&lt;0, CA36*Analysis!$C$9,0)</f>
        <v>23583.228423132095</v>
      </c>
      <c r="CB37" s="42"/>
      <c r="CC37" s="1">
        <f t="shared" si="47"/>
        <v>24303.388798337979</v>
      </c>
      <c r="CD37" s="1">
        <f>IF(BZ37 &gt;= 0,
    MAX(0, CA36 + BZ37 - Analysis!$C$7),
    0)</f>
        <v>0</v>
      </c>
      <c r="CE37" s="1">
        <f>IF($B37=Analysis!$C$66,0,MAX(0, CE36 + CD37 - IF(BZ37 &lt; 0, MIN(ABS(BZ37), CE36 + CD37), 0)))</f>
        <v>883317.99162908818</v>
      </c>
      <c r="CF37" s="1">
        <f>IF($B37=Analysis!$C$66,0,IF(BZ37 &lt; 0,
    IF(BZ37 + CA36 &lt; 0,
        MAX(0, CF36 - (ABS(BZ37 + CA36) * (1+$V36))),
        CF36 + CC37),
    CF36 + CD37 + CC37))</f>
        <v>1263776.2175135792</v>
      </c>
      <c r="CG37" s="1">
        <f t="shared" si="25"/>
        <v>1163430.3604365448</v>
      </c>
      <c r="CH37" s="36"/>
      <c r="CI37" s="1">
        <f>IF(OR($B37&lt;Analysis!$C$100, $B37&gt;=Analysis!$C$130),0,X37)</f>
        <v>0</v>
      </c>
      <c r="CJ37" s="1">
        <f>IF(OR($B37&lt;Analysis!$C$100, $B37&gt;=Analysis!$C$130),0,Z37)</f>
        <v>0</v>
      </c>
      <c r="CK37" s="1">
        <f t="shared" si="60"/>
        <v>892540.57584155502</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-82773.523974315438</v>
      </c>
      <c r="FM37" s="1">
        <f>$M37+$R37+DD37+IF(AND($B37&lt;&gt;Analysis!$C$130,$B37=Analysis!$C$101),DZ36+CQ36+CT36+CZ36,0)</f>
        <v>65733.961620612943</v>
      </c>
      <c r="FN37" s="1">
        <f t="shared" si="34"/>
        <v>-17039.562353702495</v>
      </c>
      <c r="FO37" s="1">
        <f>IF(FN37 &lt; 0,
    IF(FO36 + FN37 &gt; 0,
        FO36 + FN37, IF(FT36-ABS(FO36 + FN37)*(1+$V37) &gt;= FO36 + FN37,
        0, FO36 + FN37)),
    MIN(FO36 + FN37, Analysis!$C$7))+IF(FO36&lt;0, FO36*Analysis!$C$9,0)</f>
        <v>6960.4376462975051</v>
      </c>
      <c r="FP37" s="53"/>
      <c r="FQ37" s="1">
        <f t="shared" si="51"/>
        <v>36205.315766316402</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892540.57584155502</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44865.71932073839</v>
      </c>
      <c r="GQ37" s="1">
        <f t="shared" si="36"/>
        <v>-2677.6217275246649</v>
      </c>
      <c r="GR37" s="64">
        <f>IF($B37&lt;Analysis!$C$159,0,Analysis!$C$178)</f>
        <v>3.0000000000000001E-3</v>
      </c>
      <c r="GS37" s="1">
        <f t="shared" si="37"/>
        <v>-6694.0543188116626</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-6472</v>
      </c>
      <c r="HC37" s="1">
        <f>-Analysis!$C$177*GN37</f>
        <v>-2867.1073194910291</v>
      </c>
      <c r="HD37" s="1">
        <f t="shared" si="38"/>
        <v>-22670.783365827356</v>
      </c>
      <c r="HE37" s="1">
        <f>MIN(0,-(GN37+HD37)*Analysis!$C$28)-GE37*Analysis!$C$28</f>
        <v>-6893.4459341548982</v>
      </c>
      <c r="HF37" s="1">
        <f>-Analysis!$C$176*GP37/12</f>
        <v>-3738.809943394866</v>
      </c>
      <c r="HG37" s="38"/>
      <c r="HH37" s="1">
        <f>IF($B37&lt;Analysis!$C$159,0,-$HI37*$FW37)</f>
        <v>-113798.92341979827</v>
      </c>
      <c r="HI37" s="64">
        <f>IF($B37&lt;Analysis!$C$159,0,IF($B37=Analysis!$C$159,Analysis!$C$31,HI36))</f>
        <v>0.1275</v>
      </c>
      <c r="HJ37" s="1">
        <f>IF($B37&lt;Analysis!$C$159,0,$FW37+HH37)</f>
        <v>778741.65242175676</v>
      </c>
      <c r="HK37" s="1">
        <f>IF($B37-Analysis!$C$159&gt;10,0,IF($FW37&gt;LOOKUP(Analysis!$C$159,$B:$B, FW:FW),$V37*(LOOKUP(Analysis!$C$159,$B:$B, FW:FW)-FW37),0))</f>
        <v>0</v>
      </c>
      <c r="HL37" s="1">
        <f t="shared" si="39"/>
        <v>778741.65242175676</v>
      </c>
      <c r="HM37" s="38"/>
      <c r="HN37" s="1">
        <f t="shared" si="40"/>
        <v>-122480.29363562135</v>
      </c>
      <c r="HO37" s="1">
        <f t="shared" si="8"/>
        <v>110599.68094135134</v>
      </c>
      <c r="HP37" s="1">
        <f t="shared" si="41"/>
        <v>-11880.612694270007</v>
      </c>
      <c r="HQ37" s="1">
        <f>IF(HP37 &lt; 0,
    IF(HQ36 + HP37 &gt; 0,
        HQ36 + HP37, IF(HV36-ABS(HQ36 + HP37)*(1+$V37) &gt;= HQ36 + HP37,
        0, HQ36 + HP37)),
    MIN(HQ36 + HP37, Analysis!$C$7))+IF(HQ36&lt;0, HQ36*Analysis!$C$9,0)</f>
        <v>12119.387305729993</v>
      </c>
      <c r="HR37" s="38"/>
      <c r="HS37" s="1">
        <f t="shared" si="54"/>
        <v>36205.315766316402</v>
      </c>
      <c r="HT37" s="1">
        <f>IF($B37=Analysis!$C$159,0,IF(HP37 &gt;= 0,
    MAX(0, HQ36 + HP37 - Analysis!$C$7),
    0))</f>
        <v>0</v>
      </c>
      <c r="HU37" s="1">
        <f>IF($B37=Analysis!$C$159,0,MAX(0, HU36 + HT37 - IF(HP37 &lt; 0, MIN(ABS(HP37), HU36 + HT37), 0)))</f>
        <v>1059756.045755082</v>
      </c>
      <c r="HV37" s="1">
        <f>IF($B37=Analysis!$C$159,0,IF(HP37 &lt; 0,
    IF(HP37 + HQ36 &lt; 0,
        MAX(0, HV36 - (ABS(HP37 + HQ36) * (1+$V36))),
        HV36 + HS37),
    HV36 + HT37 + HS37))</f>
        <v>1882676.4198484593</v>
      </c>
      <c r="HW37" s="1">
        <f t="shared" si="58"/>
        <v>1665631.1711813312</v>
      </c>
      <c r="HX37" s="36"/>
    </row>
    <row r="38" spans="1:232" x14ac:dyDescent="0.35">
      <c r="A38">
        <f t="shared" si="0"/>
        <v>71</v>
      </c>
      <c r="B38">
        <v>2061</v>
      </c>
      <c r="C38" s="1">
        <f>IF($B38&lt;Analysis!C$66,0,$AN38)+$AT38+$AW38+$BC38+$CF38+$CA38</f>
        <v>2701238.899149423</v>
      </c>
      <c r="D38" s="1">
        <f>IF($B38&lt;Analysis!C$66, 0, BV38)+AT38+AW38+BC38+CG38+CA38</f>
        <v>2416406.4189884113</v>
      </c>
      <c r="E38" s="1">
        <f t="shared" si="1"/>
        <v>2169253.8717228705</v>
      </c>
      <c r="F38" s="1">
        <f t="shared" si="9"/>
        <v>1872473.2301050958</v>
      </c>
      <c r="G38" s="1">
        <f>IF(AND($B38&gt;=Analysis!$C$100, $B38&lt;Analysis!$C$101),$CK38,0)+IF($B38&gt;=Analysis!$C$130,EB38,0)+CQ38+CT38+CZ38+EH38+EK38+EQ38+$FO38+$FT38</f>
        <v>1898400.7215064005</v>
      </c>
      <c r="H38" s="1">
        <f t="shared" si="10"/>
        <v>1633851.6023474811</v>
      </c>
      <c r="I38" s="1">
        <f>IF($B38&lt;Analysis!$C$159,0,$FW38)+$GC38+$GF38+$GL38+$HQ38+$HV38</f>
        <v>2798995.4113072604</v>
      </c>
      <c r="J38" s="1">
        <f t="shared" si="59"/>
        <v>2461743.8395591183</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43340.090978027256</v>
      </c>
      <c r="AI38" s="1">
        <f>IF(AE38 &gt;= 0,
    MAX(0, AF37 + AE38 - Analysis!$C$7),
    0)</f>
        <v>0</v>
      </c>
      <c r="AJ38" s="1">
        <f t="shared" si="44"/>
        <v>1044019.2115606914</v>
      </c>
      <c r="AK38" s="1">
        <f t="shared" si="20"/>
        <v>2169253.8717228705</v>
      </c>
      <c r="AL38" s="1">
        <f t="shared" si="5"/>
        <v>1872473.2301050958</v>
      </c>
      <c r="AM38" s="36"/>
      <c r="AN38" s="1">
        <f t="shared" si="45"/>
        <v>1391248.3526942008</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-4173.7450580826026</v>
      </c>
      <c r="BF38" s="64">
        <f>IF($B38&lt;Analysis!$C$66,0,Analysis!$C$78)</f>
        <v>3.0000000000000001E-3</v>
      </c>
      <c r="BG38" s="1">
        <f>IF($B38&lt;Analysis!$C$66,0,-BH38*AN38)</f>
        <v>-10434.362645206505</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-177384.16496851059</v>
      </c>
      <c r="BS38" s="64">
        <f>IF($B38&lt;Analysis!C$66,0,Analysis!C$31)</f>
        <v>0.1275</v>
      </c>
      <c r="BT38" s="1">
        <f>IF($B38&lt;Analysis!$C$66,0,AN38+BR38)</f>
        <v>1213864.1877256902</v>
      </c>
      <c r="BU38" s="1">
        <f>IF($B38-Analysis!$C$66&gt;3,0,IF($AN38&gt;LOOKUP(Analysis!$C$66,$B:$B, AN:AN),$V38*(LOOKUP(Analysis!$C$66,$B:$B, AN:AN)-AN38),0))</f>
        <v>0</v>
      </c>
      <c r="BV38" s="1">
        <f t="shared" si="23"/>
        <v>1213864.1877256902</v>
      </c>
      <c r="BW38" s="42"/>
      <c r="BX38" s="1">
        <f>IF($B38&lt;Analysis!$C$66,$P38+$N38+$X38+$Z38,$P38+$N38+AS38+AV38+BB38+BE38+BG38+MAX(BI38,SUM(BJ38:BN38))+BP38)</f>
        <v>-66568.107703289104</v>
      </c>
      <c r="BY38" s="1">
        <f t="shared" si="24"/>
        <v>64419.282388200685</v>
      </c>
      <c r="BZ38" s="1">
        <f t="shared" si="46"/>
        <v>-2148.8253150884193</v>
      </c>
      <c r="CA38" s="1">
        <f>IF(BZ38 &lt; 0,
    IF(CA37 + BZ38 &gt; 0,
        CA37 + BZ38, IF(CF37-ABS(CA37 + BZ38)*(1+$V38) &gt;= CA37 + BZ38,
        0, CA37 + BZ38)),
    MIN(CA37 + BZ38, Analysis!$C$7))+IF(CA37&lt;0, CA37*Analysis!$C$9,0)</f>
        <v>21434.403108043676</v>
      </c>
      <c r="CB38" s="42"/>
      <c r="CC38" s="1">
        <f t="shared" si="47"/>
        <v>24779.925833599504</v>
      </c>
      <c r="CD38" s="1">
        <f>IF(BZ38 &gt;= 0,
    MAX(0, CA37 + BZ38 - Analysis!$C$7),
    0)</f>
        <v>0</v>
      </c>
      <c r="CE38" s="1">
        <f>IF($B38=Analysis!$C$66,0,MAX(0, CE37 + CD38 - IF(BZ38 &lt; 0, MIN(ABS(BZ38), CE37 + CD38), 0)))</f>
        <v>881169.1663139998</v>
      </c>
      <c r="CF38" s="1">
        <f>IF($B38=Analysis!$C$66,0,IF(BZ38 &lt; 0,
    IF(BZ38 + CA37 &lt; 0,
        MAX(0, CF37 - (ABS(BZ38 + CA37) * (1+$V37))),
        CF37 + CC38),
    CF37 + CD38 + CC38))</f>
        <v>1288556.1433471786</v>
      </c>
      <c r="CG38" s="1">
        <f t="shared" si="25"/>
        <v>1181107.8281546778</v>
      </c>
      <c r="CH38" s="36"/>
      <c r="CI38" s="1">
        <f>IF(OR($B38&lt;Analysis!$C$100, $B38&gt;=Analysis!$C$130),0,X38)</f>
        <v>0</v>
      </c>
      <c r="CJ38" s="1">
        <f>IF(OR($B38&lt;Analysis!$C$100, $B38&gt;=Analysis!$C$130),0,Z38)</f>
        <v>0</v>
      </c>
      <c r="CK38" s="1">
        <f t="shared" si="60"/>
        <v>918791.76924865972</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-83501.191480068621</v>
      </c>
      <c r="FM38" s="1">
        <f>$M38+$R38+DD38+IF(AND($B38&lt;&gt;Analysis!$C$130,$B38=Analysis!$C$101),DZ37+CQ37+CT37+CZ37,0)</f>
        <v>64419.282388200685</v>
      </c>
      <c r="FN38" s="1">
        <f t="shared" si="34"/>
        <v>-19081.909091867936</v>
      </c>
      <c r="FO38" s="1">
        <f>IF(FN38 &lt; 0,
    IF(FO37 + FN38 &gt; 0,
        FO37 + FN38, IF(FT37-ABS(FO37 + FN38)*(1+$V38) &gt;= FO37 + FN38,
        0, FO37 + FN38)),
    MIN(FO37 + FN38, Analysis!$C$7))+IF(FO37&lt;0, FO37*Analysis!$C$9,0)</f>
        <v>-12121.471445570431</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918791.76924865972</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46068.82871252481</v>
      </c>
      <c r="GQ38" s="1">
        <f t="shared" si="36"/>
        <v>-2756.3753077459792</v>
      </c>
      <c r="GR38" s="64">
        <f>IF($B38&lt;Analysis!$C$159,0,Analysis!$C$178)</f>
        <v>3.0000000000000001E-3</v>
      </c>
      <c r="GS38" s="1">
        <f t="shared" si="37"/>
        <v>-6890.9382693649477</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-6472</v>
      </c>
      <c r="HC38" s="1">
        <f>-Analysis!$C$177*GN38</f>
        <v>-2951.4340053584124</v>
      </c>
      <c r="HD38" s="1">
        <f t="shared" si="38"/>
        <v>-23030.747582469339</v>
      </c>
      <c r="HE38" s="1">
        <f>MIN(0,-(GN38+HD38)*Analysis!$C$28)-GE38*Analysis!$C$28</f>
        <v>-7232.147849865336</v>
      </c>
      <c r="HF38" s="1">
        <f>-Analysis!$C$176*GP38/12</f>
        <v>-3839.0690593770673</v>
      </c>
      <c r="HG38" s="38"/>
      <c r="HH38" s="1">
        <f>IF($B38&lt;Analysis!$C$159,0,-$HI38*$FW38)</f>
        <v>-117145.95057920412</v>
      </c>
      <c r="HI38" s="64">
        <f>IF($B38&lt;Analysis!$C$159,0,IF($B38=Analysis!$C$159,Analysis!$C$31,HI37))</f>
        <v>0.1275</v>
      </c>
      <c r="HJ38" s="1">
        <f>IF($B38&lt;Analysis!$C$159,0,$FW38+HH38)</f>
        <v>801645.81866945559</v>
      </c>
      <c r="HK38" s="1">
        <f>IF($B38-Analysis!$C$159&gt;10,0,IF($FW38&gt;LOOKUP(Analysis!$C$159,$B:$B, FW:FW),$V38*(LOOKUP(Analysis!$C$159,$B:$B, FW:FW)-FW38),0))</f>
        <v>0</v>
      </c>
      <c r="HL38" s="1">
        <f t="shared" si="39"/>
        <v>801645.81866945559</v>
      </c>
      <c r="HM38" s="38"/>
      <c r="HN38" s="1">
        <f t="shared" si="40"/>
        <v>-124564.19695431611</v>
      </c>
      <c r="HO38" s="1">
        <f t="shared" si="8"/>
        <v>110488.11110072549</v>
      </c>
      <c r="HP38" s="1">
        <f t="shared" si="41"/>
        <v>-14076.085853590615</v>
      </c>
      <c r="HQ38" s="1">
        <f>IF(HP38 &lt; 0,
    IF(HQ37 + HP38 &gt; 0,
        HQ37 + HP38, IF(HV37-ABS(HQ37 + HP38)*(1+$V38) &gt;= HQ37 + HP38,
        0, HQ37 + HP38)),
    MIN(HQ37 + HP38, Analysis!$C$7))+IF(HQ37&lt;0, HQ37*Analysis!$C$9,0)</f>
        <v>0</v>
      </c>
      <c r="HR38" s="38"/>
      <c r="HS38" s="1">
        <f t="shared" si="54"/>
        <v>36915.223918597112</v>
      </c>
      <c r="HT38" s="1">
        <f>IF($B38=Analysis!$C$159,0,IF(HP38 &gt;= 0,
    MAX(0, HQ37 + HP38 - Analysis!$C$7),
    0))</f>
        <v>0</v>
      </c>
      <c r="HU38" s="1">
        <f>IF($B38=Analysis!$C$159,0,MAX(0, HU37 + HT38 - IF(HP38 &lt; 0, MIN(ABS(HP38), HU37 + HT38), 0)))</f>
        <v>1045679.9599014914</v>
      </c>
      <c r="HV38" s="1">
        <f>IF($B38=Analysis!$C$159,0,IF(HP38 &lt; 0,
    IF(HP38 + HQ37 &lt; 0,
        MAX(0, HV37 - (ABS(HP38 + HQ37) * (1+$V37))),
        HV37 + HS38),
    HV37 + HT38 + HS38))</f>
        <v>1880203.6420586004</v>
      </c>
      <c r="HW38" s="1">
        <f t="shared" si="58"/>
        <v>1660098.0208896629</v>
      </c>
      <c r="HX38" s="36"/>
    </row>
    <row r="39" spans="1:232" x14ac:dyDescent="0.35">
      <c r="A39">
        <f t="shared" si="0"/>
        <v>72</v>
      </c>
      <c r="B39">
        <v>2062</v>
      </c>
      <c r="C39" s="1">
        <f>IF($B39&lt;Analysis!C$66,0,$AN39)+$AT39+$AW39+$BC39+$CF39+$CA39</f>
        <v>2763556.9138891893</v>
      </c>
      <c r="D39" s="1">
        <f>IF($B39&lt;Analysis!C$66, 0, BV39)+AT39+AW39+BC39+CG39+CA39</f>
        <v>2465823.5112412213</v>
      </c>
      <c r="E39" s="1">
        <f t="shared" si="1"/>
        <v>2124863.2536664922</v>
      </c>
      <c r="F39" s="1">
        <f t="shared" si="9"/>
        <v>1830526.1267698945</v>
      </c>
      <c r="G39" s="1">
        <f>IF(AND($B39&gt;=Analysis!$C$100, $B39&lt;Analysis!$C$101),$CK39,0)+IF($B39&gt;=Analysis!$C$130,EB39,0)+CQ39+CT39+CZ39+EH39+EK39+EQ39+$FO39+$FT39</f>
        <v>1940005.1984321915</v>
      </c>
      <c r="H39" s="1">
        <f t="shared" si="10"/>
        <v>1652911.9686241597</v>
      </c>
      <c r="I39" s="1">
        <f>IF($B39&lt;Analysis!$C$159,0,$FW39)+$GC39+$GF39+$GL39+$HQ39+$HV39</f>
        <v>2805456.0061200438</v>
      </c>
      <c r="J39" s="1">
        <f t="shared" si="59"/>
        <v>2465890.8540027943</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42534.389641624759</v>
      </c>
      <c r="AI39" s="1">
        <f>IF(AE39 &gt;= 0,
    MAX(0, AF38 + AE39 - Analysis!$C$7),
    0)</f>
        <v>0</v>
      </c>
      <c r="AJ39" s="1">
        <f t="shared" si="44"/>
        <v>1008893.1042955059</v>
      </c>
      <c r="AK39" s="1">
        <f t="shared" si="20"/>
        <v>2124863.2536664922</v>
      </c>
      <c r="AL39" s="1">
        <f t="shared" si="5"/>
        <v>1830526.1267698945</v>
      </c>
      <c r="AM39" s="36"/>
      <c r="AN39" s="1">
        <f t="shared" si="45"/>
        <v>1432167.4218910893</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-4296.5022656732681</v>
      </c>
      <c r="BF39" s="64">
        <f>IF($B39&lt;Analysis!$C$66,0,Analysis!$C$78)</f>
        <v>3.0000000000000001E-3</v>
      </c>
      <c r="BG39" s="1">
        <f>IF($B39&lt;Analysis!$C$66,0,-BH39*AN39)</f>
        <v>-10741.255664183169</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-182601.34629111388</v>
      </c>
      <c r="BS39" s="64">
        <f>IF($B39&lt;Analysis!C$66,0,Analysis!C$31)</f>
        <v>0.1275</v>
      </c>
      <c r="BT39" s="1">
        <f>IF($B39&lt;Analysis!$C$66,0,AN39+BR39)</f>
        <v>1249566.0755999754</v>
      </c>
      <c r="BU39" s="1">
        <f>IF($B39-Analysis!$C$66&gt;3,0,IF($AN39&gt;LOOKUP(Analysis!$C$66,$B:$B, AN:AN),$V39*(LOOKUP(Analysis!$C$66,$B:$B, AN:AN)-AN39),0))</f>
        <v>0</v>
      </c>
      <c r="BV39" s="1">
        <f t="shared" si="23"/>
        <v>1249566.0755999754</v>
      </c>
      <c r="BW39" s="42"/>
      <c r="BX39" s="1">
        <f>IF($B39&lt;Analysis!$C$66,$P39+$N39+$X39+$Z39,$P39+$N39+AS39+AV39+BB39+BE39+BG39+MAX(BI39,SUM(BJ39:BN39))+BP39)</f>
        <v>-66997.757929856438</v>
      </c>
      <c r="BY39" s="1">
        <f t="shared" si="24"/>
        <v>63130.89674043667</v>
      </c>
      <c r="BZ39" s="1">
        <f t="shared" si="46"/>
        <v>-3866.8611894197675</v>
      </c>
      <c r="CA39" s="1">
        <f>IF(BZ39 &lt; 0,
    IF(CA38 + BZ39 &gt; 0,
        CA38 + BZ39, IF(CF38-ABS(CA38 + BZ39)*(1+$V39) &gt;= CA38 + BZ39,
        0, CA38 + BZ39)),
    MIN(CA38 + BZ39, Analysis!$C$7))+IF(CA38&lt;0, CA38*Analysis!$C$9,0)</f>
        <v>17567.541918623909</v>
      </c>
      <c r="CB39" s="42"/>
      <c r="CC39" s="1">
        <f t="shared" si="47"/>
        <v>25265.806732297529</v>
      </c>
      <c r="CD39" s="1">
        <f>IF(BZ39 &gt;= 0,
    MAX(0, CA38 + BZ39 - Analysis!$C$7),
    0)</f>
        <v>0</v>
      </c>
      <c r="CE39" s="1">
        <f>IF($B39=Analysis!$C$66,0,MAX(0, CE38 + CD39 - IF(BZ39 &lt; 0, MIN(ABS(BZ39), CE38 + CD39), 0)))</f>
        <v>877302.30512458005</v>
      </c>
      <c r="CF39" s="1">
        <f>IF($B39=Analysis!$C$66,0,IF(BZ39 &lt; 0,
    IF(BZ39 + CA38 &lt; 0,
        MAX(0, CF38 - (ABS(BZ39 + CA38) * (1+$V38))),
        CF38 + CC39),
    CF38 + CD39 + CC39))</f>
        <v>1313821.9500794762</v>
      </c>
      <c r="CG39" s="1">
        <f t="shared" si="25"/>
        <v>1198689.8937226224</v>
      </c>
      <c r="CH39" s="36"/>
      <c r="CI39" s="1">
        <f>IF(OR($B39&lt;Analysis!$C$100, $B39&gt;=Analysis!$C$130),0,X39)</f>
        <v>0</v>
      </c>
      <c r="CJ39" s="1">
        <f>IF(OR($B39&lt;Analysis!$C$100, $B39&gt;=Analysis!$C$130),0,Z39)</f>
        <v>0</v>
      </c>
      <c r="CK39" s="1">
        <f t="shared" si="60"/>
        <v>945815.05657950277</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-84250.260971285126</v>
      </c>
      <c r="FM39" s="1">
        <f>$M39+$R39+DD39+IF(AND($B39&lt;&gt;Analysis!$C$130,$B39=Analysis!$C$101),DZ38+CQ38+CT38+CZ38,0)</f>
        <v>63130.89674043667</v>
      </c>
      <c r="FN39" s="1">
        <f t="shared" si="34"/>
        <v>-21119.364230848456</v>
      </c>
      <c r="FO39" s="1">
        <f>IF(FN39 &lt; 0,
    IF(FO38 + FN39 &gt; 0,
        FO38 + FN39, IF(FT38-ABS(FO38 + FN39)*(1+$V39) &gt;= FO38 + FN39,
        0, FO38 + FN39)),
    MIN(FO38 + FN39, Analysis!$C$7))+IF(FO38&lt;0, FO38*Analysis!$C$9,0)</f>
        <v>-34210.553392064518</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945815.05657950277</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47307.323674657899</v>
      </c>
      <c r="GQ39" s="1">
        <f t="shared" si="36"/>
        <v>-2837.4451697385084</v>
      </c>
      <c r="GR39" s="64">
        <f>IF($B39&lt;Analysis!$C$159,0,Analysis!$C$178)</f>
        <v>3.0000000000000001E-3</v>
      </c>
      <c r="GS39" s="1">
        <f t="shared" si="37"/>
        <v>-7093.6129243462701</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-6472</v>
      </c>
      <c r="HC39" s="1">
        <f>-Analysis!$C$177*GN39</f>
        <v>-3038.2408878689544</v>
      </c>
      <c r="HD39" s="1">
        <f t="shared" si="38"/>
        <v>-23401.298981953732</v>
      </c>
      <c r="HE39" s="1">
        <f>MIN(0,-(GN39+HD39)*Analysis!$C$28)-GE39*Analysis!$C$28</f>
        <v>-7580.8115866260823</v>
      </c>
      <c r="HF39" s="1">
        <f>-Analysis!$C$176*GP39/12</f>
        <v>-3942.2769728881581</v>
      </c>
      <c r="HG39" s="38"/>
      <c r="HH39" s="1">
        <f>IF($B39&lt;Analysis!$C$159,0,-$HI39*$FW39)</f>
        <v>-120591.4197138866</v>
      </c>
      <c r="HI39" s="64">
        <f>IF($B39&lt;Analysis!$C$159,0,IF($B39=Analysis!$C$159,Analysis!$C$31,HI38))</f>
        <v>0.1275</v>
      </c>
      <c r="HJ39" s="1">
        <f>IF($B39&lt;Analysis!$C$159,0,$FW39+HH39)</f>
        <v>825223.63686561619</v>
      </c>
      <c r="HK39" s="1">
        <f>IF($B39-Analysis!$C$159&gt;10,0,IF($FW39&gt;LOOKUP(Analysis!$C$159,$B:$B, FW:FW),$V39*(LOOKUP(Analysis!$C$159,$B:$B, FW:FW)-FW39),0))</f>
        <v>0</v>
      </c>
      <c r="HL39" s="1">
        <f t="shared" si="39"/>
        <v>825223.63686561619</v>
      </c>
      <c r="HM39" s="38"/>
      <c r="HN39" s="1">
        <f t="shared" si="40"/>
        <v>-126709.39154709011</v>
      </c>
      <c r="HO39" s="1">
        <f t="shared" si="8"/>
        <v>110438.22041509458</v>
      </c>
      <c r="HP39" s="1">
        <f t="shared" si="41"/>
        <v>-16271.171131995536</v>
      </c>
      <c r="HQ39" s="1">
        <f>IF(HP39 &lt; 0,
    IF(HQ38 + HP39 &gt; 0,
        HQ38 + HP39, IF(HV38-ABS(HQ38 + HP39)*(1+$V39) &gt;= HQ38 + HP39,
        0, HQ38 + HP39)),
    MIN(HQ38 + HP39, Analysis!$C$7))+IF(HQ38&lt;0, HQ38*Analysis!$C$9,0)</f>
        <v>0</v>
      </c>
      <c r="HR39" s="38"/>
      <c r="HS39" s="1">
        <f t="shared" si="54"/>
        <v>36866.738079580267</v>
      </c>
      <c r="HT39" s="1">
        <f>IF($B39=Analysis!$C$159,0,IF(HP39 &gt;= 0,
    MAX(0, HQ38 + HP39 - Analysis!$C$7),
    0))</f>
        <v>0</v>
      </c>
      <c r="HU39" s="1">
        <f>IF($B39=Analysis!$C$159,0,MAX(0, HU38 + HT39 - IF(HP39 &lt; 0, MIN(ABS(HP39), HU38 + HT39), 0)))</f>
        <v>1029408.7887694959</v>
      </c>
      <c r="HV39" s="1">
        <f>IF($B39=Analysis!$C$159,0,IF(HP39 &lt; 0,
    IF(HP39 + HQ38 &lt; 0,
        MAX(0, HV38 - (ABS(HP39 + HQ38) * (1+$V38))),
        HV38 + HS39),
    HV38 + HT39 + HS39))</f>
        <v>1859640.949540541</v>
      </c>
      <c r="HW39" s="1">
        <f t="shared" si="58"/>
        <v>1640667.2171371779</v>
      </c>
      <c r="HX39" s="36"/>
    </row>
    <row r="40" spans="1:232" x14ac:dyDescent="0.35">
      <c r="A40">
        <f t="shared" si="0"/>
        <v>73</v>
      </c>
      <c r="B40">
        <v>2063</v>
      </c>
      <c r="C40" s="1">
        <f>IF($B40&lt;Analysis!C$66,0,$AN40)+$AT40+$AW40+$BC40+$CF40+$CA40</f>
        <v>2825868.933706556</v>
      </c>
      <c r="D40" s="1">
        <f>IF($B40&lt;Analysis!C$66, 0, BV40)+AT40+AW40+BC40+CG40+CA40</f>
        <v>2514500.829532688</v>
      </c>
      <c r="E40" s="1">
        <f t="shared" si="1"/>
        <v>2077156.1834064082</v>
      </c>
      <c r="F40" s="1">
        <f t="shared" si="9"/>
        <v>1785445.1278192187</v>
      </c>
      <c r="G40" s="1">
        <f>IF(AND($B40&gt;=Analysis!$C$100, $B40&lt;Analysis!$C$101),$CK40,0)+IF($B40&gt;=Analysis!$C$130,EB40,0)+CQ40+CT40+CZ40+EH40+EK40+EQ40+$FO40+$FT40</f>
        <v>1979503.5572763071</v>
      </c>
      <c r="H40" s="1">
        <f t="shared" si="10"/>
        <v>1669203.1547412481</v>
      </c>
      <c r="I40" s="1">
        <f>IF($B40&lt;Analysis!$C$159,0,$FW40)+$GC40+$GF40+$GL40+$HQ40+$HV40</f>
        <v>2809936.2272028029</v>
      </c>
      <c r="J40" s="1">
        <f t="shared" si="59"/>
        <v>2468108.9190407703</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41663.985366009503</v>
      </c>
      <c r="AI40" s="1">
        <f>IF(AE40 &gt;= 0,
    MAX(0, AF39 + AE40 - Analysis!$C$7),
    0)</f>
        <v>0</v>
      </c>
      <c r="AJ40" s="1">
        <f t="shared" si="44"/>
        <v>971142.70250711101</v>
      </c>
      <c r="AK40" s="1">
        <f t="shared" si="20"/>
        <v>2077156.1834064082</v>
      </c>
      <c r="AL40" s="1">
        <f t="shared" si="5"/>
        <v>1785445.1278192187</v>
      </c>
      <c r="AM40" s="36"/>
      <c r="AN40" s="1">
        <f t="shared" si="45"/>
        <v>1474289.9931231802</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-4422.8699793695405</v>
      </c>
      <c r="BF40" s="64">
        <f>IF($B40&lt;Analysis!$C$66,0,Analysis!$C$78)</f>
        <v>3.0000000000000001E-3</v>
      </c>
      <c r="BG40" s="1">
        <f>IF($B40&lt;Analysis!$C$66,0,-BH40*AN40)</f>
        <v>-11057.174948423852</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-187971.97412320549</v>
      </c>
      <c r="BS40" s="64">
        <f>IF($B40&lt;Analysis!C$66,0,Analysis!C$31)</f>
        <v>0.1275</v>
      </c>
      <c r="BT40" s="1">
        <f>IF($B40&lt;Analysis!$C$66,0,AN40+BR40)</f>
        <v>1286318.0189999747</v>
      </c>
      <c r="BU40" s="1">
        <f>IF($B40-Analysis!$C$66&gt;3,0,IF($AN40&gt;LOOKUP(Analysis!$C$66,$B:$B, AN:AN),$V40*(LOOKUP(Analysis!$C$66,$B:$B, AN:AN)-AN40),0))</f>
        <v>0</v>
      </c>
      <c r="BV40" s="1">
        <f t="shared" si="23"/>
        <v>1286318.0189999747</v>
      </c>
      <c r="BW40" s="42"/>
      <c r="BX40" s="1">
        <f>IF($B40&lt;Analysis!$C$66,$P40+$N40+$X40+$Z40,$P40+$N40+AS40+AV40+BB40+BE40+BG40+MAX(BI40,SUM(BJ40:BN40))+BP40)</f>
        <v>-67440.044927793395</v>
      </c>
      <c r="BY40" s="1">
        <f t="shared" si="24"/>
        <v>61868.278805627939</v>
      </c>
      <c r="BZ40" s="1">
        <f t="shared" si="46"/>
        <v>-5571.7661221654562</v>
      </c>
      <c r="CA40" s="1">
        <f>IF(BZ40 &lt; 0,
    IF(CA39 + BZ40 &gt; 0,
        CA39 + BZ40, IF(CF39-ABS(CA39 + BZ40)*(1+$V40) &gt;= CA39 + BZ40,
        0, CA39 + BZ40)),
    MIN(CA39 + BZ40, Analysis!$C$7))+IF(CA39&lt;0, CA39*Analysis!$C$9,0)</f>
        <v>11995.775796458453</v>
      </c>
      <c r="CB40" s="42"/>
      <c r="CC40" s="1">
        <f t="shared" si="47"/>
        <v>25761.21470744062</v>
      </c>
      <c r="CD40" s="1">
        <f>IF(BZ40 &gt;= 0,
    MAX(0, CA39 + BZ40 - Analysis!$C$7),
    0)</f>
        <v>0</v>
      </c>
      <c r="CE40" s="1">
        <f>IF($B40=Analysis!$C$66,0,MAX(0, CE39 + CD40 - IF(BZ40 &lt; 0, MIN(ABS(BZ40), CE39 + CD40), 0)))</f>
        <v>871730.53900241456</v>
      </c>
      <c r="CF40" s="1">
        <f>IF($B40=Analysis!$C$66,0,IF(BZ40 &lt; 0,
    IF(BZ40 + CA39 &lt; 0,
        MAX(0, CF39 - (ABS(BZ40 + CA39) * (1+$V39))),
        CF39 + CC40),
    CF39 + CD40 + CC40))</f>
        <v>1339583.1647869169</v>
      </c>
      <c r="CG40" s="1">
        <f t="shared" si="25"/>
        <v>1216187.0347362545</v>
      </c>
      <c r="CH40" s="36"/>
      <c r="CI40" s="1">
        <f>IF(OR($B40&lt;Analysis!$C$100, $B40&gt;=Analysis!$C$130),0,X40)</f>
        <v>0</v>
      </c>
      <c r="CJ40" s="1">
        <f>IF(OR($B40&lt;Analysis!$C$100, $B40&gt;=Analysis!$C$130),0,Z40)</f>
        <v>0</v>
      </c>
      <c r="CK40" s="1">
        <f t="shared" si="60"/>
        <v>973633.14647889999</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-85021.361918125651</v>
      </c>
      <c r="FM40" s="1">
        <f>$M40+$R40+DD40+IF(AND($B40&lt;&gt;Analysis!$C$130,$B40=Analysis!$C$101),DZ39+CQ39+CT39+CZ39,0)</f>
        <v>61868.278805627939</v>
      </c>
      <c r="FN40" s="1">
        <f t="shared" si="34"/>
        <v>-23153.083112497712</v>
      </c>
      <c r="FO40" s="1">
        <f>IF(FN40 &lt; 0,
    IF(FO39 + FN40 &gt; 0,
        FO39 + FN40, IF(FT39-ABS(FO39 + FN40)*(1+$V40) &gt;= FO39 + FN40,
        0, FO39 + FN40)),
    MIN(FO39 + FN40, Analysis!$C$7))+IF(FO39&lt;0, FO39*Analysis!$C$9,0)</f>
        <v>-60100.48077592739</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973633.14647889999</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48582.24495920667</v>
      </c>
      <c r="GQ40" s="1">
        <f t="shared" si="36"/>
        <v>-2920.8994394367</v>
      </c>
      <c r="GR40" s="64">
        <f>IF($B40&lt;Analysis!$C$159,0,Analysis!$C$178)</f>
        <v>3.0000000000000001E-3</v>
      </c>
      <c r="GS40" s="1">
        <f t="shared" si="37"/>
        <v>-7302.2485985917492</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-6472</v>
      </c>
      <c r="HC40" s="1">
        <f>-Analysis!$C$177*GN40</f>
        <v>-3127.6009139827474</v>
      </c>
      <c r="HD40" s="1">
        <f t="shared" si="38"/>
        <v>-23782.748952011196</v>
      </c>
      <c r="HE40" s="1">
        <f>MIN(0,-(GN40+HD40)*Analysis!$C$28)-GE40*Analysis!$C$28</f>
        <v>-7939.7301391739102</v>
      </c>
      <c r="HF40" s="1">
        <f>-Analysis!$C$176*GP40/12</f>
        <v>-4048.5204132672225</v>
      </c>
      <c r="HG40" s="38"/>
      <c r="HH40" s="1">
        <f>IF($B40&lt;Analysis!$C$159,0,-$HI40*$FW40)</f>
        <v>-124138.22617605975</v>
      </c>
      <c r="HI40" s="64">
        <f>IF($B40&lt;Analysis!$C$159,0,IF($B40=Analysis!$C$159,Analysis!$C$31,HI39))</f>
        <v>0.1275</v>
      </c>
      <c r="HJ40" s="1">
        <f>IF($B40&lt;Analysis!$C$159,0,$FW40+HH40)</f>
        <v>849494.92030284018</v>
      </c>
      <c r="HK40" s="1">
        <f>IF($B40-Analysis!$C$159&gt;10,0,IF($FW40&gt;LOOKUP(Analysis!$C$159,$B:$B, FW:FW),$V40*(LOOKUP(Analysis!$C$159,$B:$B, FW:FW)-FW40),0))</f>
        <v>0</v>
      </c>
      <c r="HL40" s="1">
        <f t="shared" si="39"/>
        <v>849494.92030284018</v>
      </c>
      <c r="HM40" s="38"/>
      <c r="HN40" s="1">
        <f t="shared" si="40"/>
        <v>-128917.68009847513</v>
      </c>
      <c r="HO40" s="1">
        <f t="shared" si="8"/>
        <v>110450.52376483461</v>
      </c>
      <c r="HP40" s="1">
        <f t="shared" si="41"/>
        <v>-18467.156333640523</v>
      </c>
      <c r="HQ40" s="1">
        <f>IF(HP40 &lt; 0,
    IF(HQ39 + HP40 &gt; 0,
        HQ39 + HP40, IF(HV39-ABS(HQ39 + HP40)*(1+$V40) &gt;= HQ39 + HP40,
        0, HQ39 + HP40)),
    MIN(HQ39 + HP40, Analysis!$C$7))+IF(HQ39&lt;0, HQ39*Analysis!$C$9,0)</f>
        <v>0</v>
      </c>
      <c r="HR40" s="38"/>
      <c r="HS40" s="1">
        <f t="shared" si="54"/>
        <v>36463.548030206555</v>
      </c>
      <c r="HT40" s="1">
        <f>IF($B40=Analysis!$C$159,0,IF(HP40 &gt;= 0,
    MAX(0, HQ39 + HP40 - Analysis!$C$7),
    0))</f>
        <v>0</v>
      </c>
      <c r="HU40" s="1">
        <f>IF($B40=Analysis!$C$159,0,MAX(0, HU39 + HT40 - IF(HP40 &lt; 0, MIN(ABS(HP40), HU39 + HT40), 0)))</f>
        <v>1010941.6324358553</v>
      </c>
      <c r="HV40" s="1">
        <f>IF($B40=Analysis!$C$159,0,IF(HP40 &lt; 0,
    IF(HP40 + HQ39 &lt; 0,
        MAX(0, HV39 - (ABS(HP40 + HQ39) * (1+$V39))),
        HV39 + HS40),
    HV39 + HT40 + HS40))</f>
        <v>1836303.0807239029</v>
      </c>
      <c r="HW40" s="1">
        <f t="shared" si="58"/>
        <v>1618613.9987379303</v>
      </c>
      <c r="HX40" s="36"/>
    </row>
    <row r="41" spans="1:232" x14ac:dyDescent="0.35">
      <c r="A41">
        <f t="shared" si="0"/>
        <v>74</v>
      </c>
      <c r="B41">
        <v>2064</v>
      </c>
      <c r="C41" s="1">
        <f>IF($B41&lt;Analysis!C$66,0,$AN41)+$AT41+$AW41+$BC41+$CF41+$CA41</f>
        <v>2888232.3135196501</v>
      </c>
      <c r="D41" s="1">
        <f>IF($B41&lt;Analysis!C$66, 0, BV41)+AT41+AW41+BC41+CG41+CA41</f>
        <v>2562491.882945226</v>
      </c>
      <c r="E41" s="1">
        <f t="shared" si="1"/>
        <v>2026113.9612936091</v>
      </c>
      <c r="F41" s="1">
        <f t="shared" si="9"/>
        <v>1737212.5629402029</v>
      </c>
      <c r="G41" s="1">
        <f>IF(AND($B41&gt;=Analysis!$C$100, $B41&lt;Analysis!$C$101),$CK41,0)+IF($B41&gt;=Analysis!$C$130,EB41,0)+CQ41+CT41+CZ41+EH41+EK41+EQ41+$FO41+$FT41</f>
        <v>2016644.1482450676</v>
      </c>
      <c r="H41" s="1">
        <f t="shared" si="10"/>
        <v>1744163.7655874796</v>
      </c>
      <c r="I41" s="1">
        <f>IF($B41&lt;Analysis!$C$159,0,$FW41)+$GC41+$GF41+$GL41+$HQ41+$HV41</f>
        <v>2812456.6713322243</v>
      </c>
      <c r="J41" s="1">
        <f t="shared" si="59"/>
        <v>2468415.8039545882</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40728.552615811779</v>
      </c>
      <c r="AI41" s="1">
        <f>IF(AE41 &gt;= 0,
    MAX(0, AF40 + AE41 - Analysis!$C$7),
    0)</f>
        <v>0</v>
      </c>
      <c r="AJ41" s="1">
        <f t="shared" si="44"/>
        <v>930753.20924277941</v>
      </c>
      <c r="AK41" s="1">
        <f t="shared" si="20"/>
        <v>2026113.9612936091</v>
      </c>
      <c r="AL41" s="1">
        <f t="shared" si="5"/>
        <v>1737212.5629402029</v>
      </c>
      <c r="AM41" s="36"/>
      <c r="AN41" s="1">
        <f t="shared" si="45"/>
        <v>1517651.4635091564</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-4552.9543905274695</v>
      </c>
      <c r="BF41" s="64">
        <f>IF($B41&lt;Analysis!$C$66,0,Analysis!$C$78)</f>
        <v>3.0000000000000001E-3</v>
      </c>
      <c r="BG41" s="1">
        <f>IF($B41&lt;Analysis!$C$66,0,-BH41*AN41)</f>
        <v>-11382.385976318672</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-193500.56159741743</v>
      </c>
      <c r="BS41" s="64">
        <f>IF($B41&lt;Analysis!C$66,0,Analysis!C$31)</f>
        <v>0.1275</v>
      </c>
      <c r="BT41" s="1">
        <f>IF($B41&lt;Analysis!$C$66,0,AN41+BR41)</f>
        <v>1324150.901911739</v>
      </c>
      <c r="BU41" s="1">
        <f>IF($B41-Analysis!$C$66&gt;3,0,IF($AN41&gt;LOOKUP(Analysis!$C$66,$B:$B, AN:AN),$V41*(LOOKUP(Analysis!$C$66,$B:$B, AN:AN)-AN41),0))</f>
        <v>0</v>
      </c>
      <c r="BV41" s="1">
        <f t="shared" si="23"/>
        <v>1324150.901911739</v>
      </c>
      <c r="BW41" s="42"/>
      <c r="BX41" s="1">
        <f>IF($B41&lt;Analysis!$C$66,$P41+$N41+$X41+$Z41,$P41+$N41+AS41+AV41+BB41+BE41+BG41+MAX(BI41,SUM(BJ41:BN41))+BP41)</f>
        <v>-67895.34036684614</v>
      </c>
      <c r="BY41" s="1">
        <f t="shared" si="24"/>
        <v>60630.913229515376</v>
      </c>
      <c r="BZ41" s="1">
        <f t="shared" si="46"/>
        <v>-7264.4271373307638</v>
      </c>
      <c r="CA41" s="1">
        <f>IF(BZ41 &lt; 0,
    IF(CA40 + BZ41 &gt; 0,
        CA40 + BZ41, IF(CF40-ABS(CA40 + BZ41)*(1+$V41) &gt;= CA40 + BZ41,
        0, CA40 + BZ41)),
    MIN(CA40 + BZ41, Analysis!$C$7))+IF(CA40&lt;0, CA40*Analysis!$C$9,0)</f>
        <v>4731.3486591276887</v>
      </c>
      <c r="CB41" s="42"/>
      <c r="CC41" s="1">
        <f t="shared" si="47"/>
        <v>26266.336564449259</v>
      </c>
      <c r="CD41" s="1">
        <f>IF(BZ41 &gt;= 0,
    MAX(0, CA40 + BZ41 - Analysis!$C$7),
    0)</f>
        <v>0</v>
      </c>
      <c r="CE41" s="1">
        <f>IF($B41=Analysis!$C$66,0,MAX(0, CE40 + CD41 - IF(BZ41 &lt; 0, MIN(ABS(BZ41), CE40 + CD41), 0)))</f>
        <v>864466.1118650838</v>
      </c>
      <c r="CF41" s="1">
        <f>IF($B41=Analysis!$C$66,0,IF(BZ41 &lt; 0,
    IF(BZ41 + CA40 &lt; 0,
        MAX(0, CF40 - (ABS(BZ41 + CA40) * (1+$V40))),
        CF40 + CC41),
    CF40 + CD41 + CC41))</f>
        <v>1365849.5013513663</v>
      </c>
      <c r="CG41" s="1">
        <f t="shared" si="25"/>
        <v>1233609.6323743593</v>
      </c>
      <c r="CH41" s="36"/>
      <c r="CI41" s="1">
        <f>IF(OR($B41&lt;Analysis!$C$100, $B41&gt;=Analysis!$C$130),0,X41)</f>
        <v>0</v>
      </c>
      <c r="CJ41" s="1">
        <f>IF(OR($B41&lt;Analysis!$C$100, $B41&gt;=Analysis!$C$130),0,Z41)</f>
        <v>0</v>
      </c>
      <c r="CK41" s="1">
        <f t="shared" si="60"/>
        <v>1002269.4154929854</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-85815.142304579145</v>
      </c>
      <c r="FM41" s="1">
        <f>$M41+$R41+DD41+IF(AND($B41&lt;&gt;Analysis!$C$130,$B41=Analysis!$C$101),DZ40+CQ40+CT40+CZ40,0)</f>
        <v>60630.913229515376</v>
      </c>
      <c r="FN41" s="1">
        <f t="shared" si="34"/>
        <v>-25184.229075063769</v>
      </c>
      <c r="FO41" s="1">
        <f>IF(FN41 &lt; 0,
    IF(FO40 + FN41 &gt; 0,
        FO40 + FN41, IF(FT40-ABS(FO40 + FN41)*(1+$V41) &gt;= FO40 + FN41,
        0, FO40 + FN41)),
    MIN(FO40 + FN41, Analysis!$C$7))+IF(FO40&lt;0, FO40*Analysis!$C$9,0)</f>
        <v>-90092.748313065356</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1002269.4154929854</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49894.663928595102</v>
      </c>
      <c r="GQ41" s="1">
        <f t="shared" si="36"/>
        <v>-3006.8082464789563</v>
      </c>
      <c r="GR41" s="64">
        <f>IF($B41&lt;Analysis!$C$159,0,Analysis!$C$178)</f>
        <v>3.0000000000000001E-3</v>
      </c>
      <c r="GS41" s="1">
        <f t="shared" si="37"/>
        <v>-7517.0206161973902</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-6472</v>
      </c>
      <c r="HC41" s="1">
        <f>-Analysis!$C$177*GN41</f>
        <v>-3219.5891761587109</v>
      </c>
      <c r="HD41" s="1">
        <f t="shared" si="38"/>
        <v>-24175.418038835058</v>
      </c>
      <c r="HE41" s="1">
        <f>MIN(0,-(GN41+HD41)*Analysis!$C$28)-GE41*Analysis!$C$28</f>
        <v>-8309.2051197378496</v>
      </c>
      <c r="HF41" s="1">
        <f>-Analysis!$C$176*GP41/12</f>
        <v>-4157.8886607162585</v>
      </c>
      <c r="HG41" s="38"/>
      <c r="HH41" s="1">
        <f>IF($B41&lt;Analysis!$C$159,0,-$HI41*$FW41)</f>
        <v>-127789.35047535563</v>
      </c>
      <c r="HI41" s="64">
        <f>IF($B41&lt;Analysis!$C$159,0,IF($B41=Analysis!$C$159,Analysis!$C$31,HI40))</f>
        <v>0.1275</v>
      </c>
      <c r="HJ41" s="1">
        <f>IF($B41&lt;Analysis!$C$159,0,$FW41+HH41)</f>
        <v>874480.06501762976</v>
      </c>
      <c r="HK41" s="1">
        <f>IF($B41-Analysis!$C$159&gt;10,0,IF($FW41&gt;LOOKUP(Analysis!$C$159,$B:$B, FW:FW),$V41*(LOOKUP(Analysis!$C$159,$B:$B, FW:FW)-FW41),0))</f>
        <v>0</v>
      </c>
      <c r="HL41" s="1">
        <f t="shared" si="39"/>
        <v>874480.06501762976</v>
      </c>
      <c r="HM41" s="38"/>
      <c r="HN41" s="1">
        <f t="shared" si="40"/>
        <v>-131190.91831313618</v>
      </c>
      <c r="HO41" s="1">
        <f t="shared" si="8"/>
        <v>110525.57715811048</v>
      </c>
      <c r="HP41" s="1">
        <f t="shared" si="41"/>
        <v>-20665.341155025701</v>
      </c>
      <c r="HQ41" s="1">
        <f>IF(HP41 &lt; 0,
    IF(HQ40 + HP41 &gt; 0,
        HQ40 + HP41, IF(HV40-ABS(HQ40 + HP41)*(1+$V41) &gt;= HQ40 + HP41,
        0, HQ40 + HP41)),
    MIN(HQ40 + HP41, Analysis!$C$7))+IF(HQ40&lt;0, HQ40*Analysis!$C$9,0)</f>
        <v>0</v>
      </c>
      <c r="HR41" s="38"/>
      <c r="HS41" s="1">
        <f t="shared" si="54"/>
        <v>36005.942759292084</v>
      </c>
      <c r="HT41" s="1">
        <f>IF($B41=Analysis!$C$159,0,IF(HP41 &gt;= 0,
    MAX(0, HQ40 + HP41 - Analysis!$C$7),
    0))</f>
        <v>0</v>
      </c>
      <c r="HU41" s="1">
        <f>IF($B41=Analysis!$C$159,0,MAX(0, HU40 + HT41 - IF(HP41 &lt; 0, MIN(ABS(HP41), HU40 + HT41), 0)))</f>
        <v>990276.29128082958</v>
      </c>
      <c r="HV41" s="1">
        <f>IF($B41=Analysis!$C$159,0,IF(HP41 &lt; 0,
    IF(HP41 + HQ40 &lt; 0,
        MAX(0, HV40 - (ABS(HP41 + HQ40) * (1+$V40))),
        HV40 + HS41),
    HV40 + HT41 + HS41))</f>
        <v>1810187.2558392391</v>
      </c>
      <c r="HW41" s="1">
        <f t="shared" si="58"/>
        <v>1593935.7389369586</v>
      </c>
      <c r="HX41" s="36"/>
    </row>
    <row r="42" spans="1:232" x14ac:dyDescent="0.35">
      <c r="A42">
        <f t="shared" si="0"/>
        <v>75</v>
      </c>
      <c r="B42">
        <v>2065</v>
      </c>
      <c r="C42" s="1">
        <f>IF($B42&lt;Analysis!C$66,0,$AN42)+$AT42+$AW42+$BC42+$CF42+$CA42</f>
        <v>2922811.845811246</v>
      </c>
      <c r="D42" s="1">
        <f>IF($B42&lt;Analysis!C$66, 0, BV42)+AT42+AW42+BC42+CG42+CA42</f>
        <v>2590425.4986578226</v>
      </c>
      <c r="E42" s="1">
        <f t="shared" si="1"/>
        <v>1971715.7608281516</v>
      </c>
      <c r="F42" s="1">
        <f t="shared" si="9"/>
        <v>1685808.7520431462</v>
      </c>
      <c r="G42" s="1">
        <f>IF(AND($B42&gt;=Analysis!$C$100, $B42&lt;Analysis!$C$101),$CK42,0)+IF($B42&gt;=Analysis!$C$130,EB42,0)+CQ42+CT42+CZ42+EH42+EK42+EQ42+$FO42+$FT42</f>
        <v>2051151.495905129</v>
      </c>
      <c r="H42" s="1">
        <f t="shared" si="10"/>
        <v>1770656.9843458473</v>
      </c>
      <c r="I42" s="1">
        <f>IF($B42&lt;Analysis!$C$159,0,$FW42)+$GC42+$GF42+$GL42+$HQ42+$HV42</f>
        <v>2813036.9642112884</v>
      </c>
      <c r="J42" s="1">
        <f t="shared" si="59"/>
        <v>2466828.3105899636</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39727.724731247094</v>
      </c>
      <c r="AI42" s="1">
        <f>IF(AE42 &gt;= 0,
    MAX(0, AF41 + AE42 - Analysis!$C$7),
    0)</f>
        <v>0</v>
      </c>
      <c r="AJ42" s="1">
        <f t="shared" si="44"/>
        <v>887708.14458168554</v>
      </c>
      <c r="AK42" s="1">
        <f t="shared" si="20"/>
        <v>1971715.7608281516</v>
      </c>
      <c r="AL42" s="1">
        <f t="shared" si="5"/>
        <v>1685808.7520431462</v>
      </c>
      <c r="AM42" s="36"/>
      <c r="AN42" s="1">
        <f t="shared" si="45"/>
        <v>1562288.2712594259</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-4686.8648137782775</v>
      </c>
      <c r="BF42" s="64">
        <f>IF($B42&lt;Analysis!$C$66,0,Analysis!$C$78)</f>
        <v>3.0000000000000001E-3</v>
      </c>
      <c r="BG42" s="1">
        <f>IF($B42&lt;Analysis!$C$66,0,-BH42*AN42)</f>
        <v>-11717.162034445693</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-199191.7545855768</v>
      </c>
      <c r="BS42" s="64">
        <f>IF($B42&lt;Analysis!C$66,0,Analysis!C$31)</f>
        <v>0.1275</v>
      </c>
      <c r="BT42" s="1">
        <f>IF($B42&lt;Analysis!$C$66,0,AN42+BR42)</f>
        <v>1363096.5166738492</v>
      </c>
      <c r="BU42" s="1">
        <f>IF($B42-Analysis!$C$66&gt;3,0,IF($AN42&gt;LOOKUP(Analysis!$C$66,$B:$B, AN:AN),$V42*(LOOKUP(Analysis!$C$66,$B:$B, AN:AN)-AN42),0))</f>
        <v>0</v>
      </c>
      <c r="BV42" s="1">
        <f t="shared" si="23"/>
        <v>1363096.5166738492</v>
      </c>
      <c r="BW42" s="42"/>
      <c r="BX42" s="1">
        <f>IF($B42&lt;Analysis!$C$66,$P42+$N42+$X42+$Z42,$P42+$N42+AS42+AV42+BB42+BE42+BG42+MAX(BI42,SUM(BJ42:BN42))+BP42)</f>
        <v>-68364.026848223977</v>
      </c>
      <c r="BY42" s="1">
        <f t="shared" si="24"/>
        <v>59418.294964925066</v>
      </c>
      <c r="BZ42" s="1">
        <f t="shared" si="46"/>
        <v>-8945.7318832989113</v>
      </c>
      <c r="CA42" s="1">
        <f>IF(BZ42 &lt; 0,
    IF(CA41 + BZ42 &gt; 0,
        CA41 + BZ42, IF(CF41-ABS(CA41 + BZ42)*(1+$V42) &gt;= CA41 + BZ42,
        0, CA41 + BZ42)),
    MIN(CA41 + BZ42, Analysis!$C$7))+IF(CA41&lt;0, CA41*Analysis!$C$9,0)</f>
        <v>0</v>
      </c>
      <c r="CB42" s="42"/>
      <c r="CC42" s="1">
        <f t="shared" si="47"/>
        <v>26781.362771595323</v>
      </c>
      <c r="CD42" s="1">
        <f>IF(BZ42 &gt;= 0,
    MAX(0, CA41 + BZ42 - Analysis!$C$7),
    0)</f>
        <v>0</v>
      </c>
      <c r="CE42" s="1">
        <f>IF($B42=Analysis!$C$66,0,MAX(0, CE41 + CD42 - IF(BZ42 &lt; 0, MIN(ABS(BZ42), CE41 + CD42), 0)))</f>
        <v>855520.37998178485</v>
      </c>
      <c r="CF42" s="1">
        <f>IF($B42=Analysis!$C$66,0,IF(BZ42 &lt; 0,
    IF(BZ42 + CA41 &lt; 0,
        MAX(0, CF41 - (ABS(BZ42 + CA41) * (1+$V41))),
        CF41 + CC42),
    CF41 + CD42 + CC42))</f>
        <v>1360523.5745518198</v>
      </c>
      <c r="CG42" s="1">
        <f t="shared" si="25"/>
        <v>1227328.9819839732</v>
      </c>
      <c r="CH42" s="36"/>
      <c r="CI42" s="1">
        <f>IF(OR($B42&lt;Analysis!$C$100, $B42&gt;=Analysis!$C$130),0,X42)</f>
        <v>0</v>
      </c>
      <c r="CJ42" s="1">
        <f>IF(OR($B42&lt;Analysis!$C$100, $B42&gt;=Analysis!$C$130),0,Z42)</f>
        <v>0</v>
      </c>
      <c r="CK42" s="1">
        <f t="shared" si="60"/>
        <v>1031747.9277133674</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-86632.269172987129</v>
      </c>
      <c r="FM42" s="1">
        <f>$M42+$R42+DD42+IF(AND($B42&lt;&gt;Analysis!$C$130,$B42=Analysis!$C$101),DZ41+CQ41+CT41+CZ41,0)</f>
        <v>59418.294964925066</v>
      </c>
      <c r="FN42" s="1">
        <f t="shared" si="34"/>
        <v>-27213.974208062064</v>
      </c>
      <c r="FO42" s="1">
        <f>IF(FN42 &lt; 0,
    IF(FO41 + FN42 &gt; 0,
        FO41 + FN42, IF(FT41-ABS(FO41 + FN42)*(1+$V42) &gt;= FO41 + FN42,
        0, FO41 + FN42)),
    MIN(FO41 + FN42, Analysis!$C$7))+IF(FO41&lt;0, FO41*Analysis!$C$9,0)</f>
        <v>-124514.14238617265</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1031747.9277133674</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51245.683455906728</v>
      </c>
      <c r="GQ42" s="1">
        <f t="shared" si="36"/>
        <v>-3095.2437831401021</v>
      </c>
      <c r="GR42" s="64">
        <f>IF($B42&lt;Analysis!$C$159,0,Analysis!$C$178)</f>
        <v>3.0000000000000001E-3</v>
      </c>
      <c r="GS42" s="1">
        <f t="shared" si="37"/>
        <v>-7738.1094578502552</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-6472</v>
      </c>
      <c r="HC42" s="1">
        <f>-Analysis!$C$177*GN42</f>
        <v>-3314.2829754574968</v>
      </c>
      <c r="HD42" s="1">
        <f t="shared" si="38"/>
        <v>-24579.636216447852</v>
      </c>
      <c r="HE42" s="1">
        <f>MIN(0,-(GN42+HD42)*Analysis!$C$28)-GE42*Analysis!$C$28</f>
        <v>-8689.5470114948475</v>
      </c>
      <c r="HF42" s="1">
        <f>-Analysis!$C$176*GP42/12</f>
        <v>-4270.473621325561</v>
      </c>
      <c r="HG42" s="38"/>
      <c r="HH42" s="1">
        <f>IF($B42&lt;Analysis!$C$159,0,-$HI42*$FW42)</f>
        <v>-131547.86078345435</v>
      </c>
      <c r="HI42" s="64">
        <f>IF($B42&lt;Analysis!$C$159,0,IF($B42=Analysis!$C$159,Analysis!$C$31,HI41))</f>
        <v>0.1275</v>
      </c>
      <c r="HJ42" s="1">
        <f>IF($B42&lt;Analysis!$C$159,0,$FW42+HH42)</f>
        <v>900200.06692991301</v>
      </c>
      <c r="HK42" s="1">
        <f>IF($B42-Analysis!$C$159&gt;10,0,IF($FW42&gt;LOOKUP(Analysis!$C$159,$B:$B, FW:FW),$V42*(LOOKUP(Analysis!$C$159,$B:$B, FW:FW)-FW42),0))</f>
        <v>0</v>
      </c>
      <c r="HL42" s="1">
        <f t="shared" si="39"/>
        <v>900200.06692991301</v>
      </c>
      <c r="HM42" s="38"/>
      <c r="HN42" s="1">
        <f t="shared" si="40"/>
        <v>-133531.01647528724</v>
      </c>
      <c r="HO42" s="1">
        <f t="shared" si="8"/>
        <v>110663.97842083179</v>
      </c>
      <c r="HP42" s="1">
        <f t="shared" si="41"/>
        <v>-22867.03805445545</v>
      </c>
      <c r="HQ42" s="1">
        <f>IF(HP42 &lt; 0,
    IF(HQ41 + HP42 &gt; 0,
        HQ41 + HP42, IF(HV41-ABS(HQ41 + HP42)*(1+$V42) &gt;= HQ41 + HP42,
        0, HQ41 + HP42)),
    MIN(HQ41 + HP42, Analysis!$C$7))+IF(HQ41&lt;0, HQ41*Analysis!$C$9,0)</f>
        <v>0</v>
      </c>
      <c r="HR42" s="38"/>
      <c r="HS42" s="1">
        <f t="shared" si="54"/>
        <v>35493.867761553585</v>
      </c>
      <c r="HT42" s="1">
        <f>IF($B42=Analysis!$C$159,0,IF(HP42 &gt;= 0,
    MAX(0, HQ41 + HP42 - Analysis!$C$7),
    0))</f>
        <v>0</v>
      </c>
      <c r="HU42" s="1">
        <f>IF($B42=Analysis!$C$159,0,MAX(0, HU41 + HT42 - IF(HP42 &lt; 0, MIN(ABS(HP42), HU41 + HT42), 0)))</f>
        <v>967409.25322637416</v>
      </c>
      <c r="HV42" s="1">
        <f>IF($B42=Analysis!$C$159,0,IF(HP42 &lt; 0,
    IF(HP42 + HQ41 &lt; 0,
        MAX(0, HV41 - (ABS(HP42 + HQ41) * (1+$V41))),
        HV41 + HS42),
    HV41 + HT42 + HS42))</f>
        <v>1781289.036497921</v>
      </c>
      <c r="HW42" s="1">
        <f t="shared" si="58"/>
        <v>1566628.2436600504</v>
      </c>
      <c r="HX42" s="36"/>
    </row>
    <row r="43" spans="1:232" x14ac:dyDescent="0.35">
      <c r="A43">
        <f t="shared" si="0"/>
        <v>76</v>
      </c>
      <c r="B43">
        <v>2066</v>
      </c>
      <c r="C43" s="1">
        <f>IF($B43&lt;Analysis!C$66,0,$AN43)+$AT43+$AW43+$BC43+$CF43+$CA43</f>
        <v>2955344.8115717233</v>
      </c>
      <c r="D43" s="1">
        <f>IF($B43&lt;Analysis!C$66, 0, BV43)+AT43+AW43+BC43+CG43+CA43</f>
        <v>2617838.4150816929</v>
      </c>
      <c r="E43" s="1">
        <f t="shared" si="1"/>
        <v>1913938.5976419444</v>
      </c>
      <c r="F43" s="1">
        <f t="shared" si="9"/>
        <v>1631211.9759516635</v>
      </c>
      <c r="G43" s="1">
        <f>IF(AND($B43&gt;=Analysis!$C$100, $B43&lt;Analysis!$C$101),$CK43,0)+IF($B43&gt;=Analysis!$C$130,EB43,0)+CQ43+CT43+CZ43+EH43+EK43+EQ43+$FO43+$FT43</f>
        <v>2082724.3094506369</v>
      </c>
      <c r="H43" s="1">
        <f t="shared" si="10"/>
        <v>1793979.9593160821</v>
      </c>
      <c r="I43" s="1">
        <f>IF($B43&lt;Analysis!$C$159,0,$FW43)+$GC43+$GF43+$GL43+$HQ43+$HV43</f>
        <v>2811695.7634455003</v>
      </c>
      <c r="J43" s="1">
        <f t="shared" si="59"/>
        <v>2463362.2747040284</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38661.093349571463</v>
      </c>
      <c r="AI43" s="1">
        <f>IF(AE43 &gt;= 0,
    MAX(0, AF42 + AE43 - Analysis!$C$7),
    0)</f>
        <v>0</v>
      </c>
      <c r="AJ43" s="1">
        <f t="shared" si="44"/>
        <v>841989.32109111606</v>
      </c>
      <c r="AK43" s="1">
        <f t="shared" si="20"/>
        <v>1913938.5976419444</v>
      </c>
      <c r="AL43" s="1">
        <f t="shared" si="5"/>
        <v>1631211.9759516635</v>
      </c>
      <c r="AM43" s="36"/>
      <c r="AN43" s="1">
        <f t="shared" si="45"/>
        <v>1608237.9262964681</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-4824.7137788894042</v>
      </c>
      <c r="BF43" s="64">
        <f>IF($B43&lt;Analysis!$C$66,0,Analysis!$C$78)</f>
        <v>3.0000000000000001E-3</v>
      </c>
      <c r="BG43" s="1">
        <f>IF($B43&lt;Analysis!$C$66,0,-BH43*AN43)</f>
        <v>-12061.78444722351</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-205050.33560279969</v>
      </c>
      <c r="BS43" s="64">
        <f>IF($B43&lt;Analysis!C$66,0,Analysis!C$31)</f>
        <v>0.1275</v>
      </c>
      <c r="BT43" s="1">
        <f>IF($B43&lt;Analysis!$C$66,0,AN43+BR43)</f>
        <v>1403187.5906936685</v>
      </c>
      <c r="BU43" s="1">
        <f>IF($B43-Analysis!$C$66&gt;3,0,IF($AN43&gt;LOOKUP(Analysis!$C$66,$B:$B, AN:AN),$V43*(LOOKUP(Analysis!$C$66,$B:$B, AN:AN)-AN43),0))</f>
        <v>0</v>
      </c>
      <c r="BV43" s="1">
        <f t="shared" si="23"/>
        <v>1403187.5906936685</v>
      </c>
      <c r="BW43" s="42"/>
      <c r="BX43" s="1">
        <f>IF($B43&lt;Analysis!$C$66,$P43+$N43+$X43+$Z43,$P43+$N43+AS43+AV43+BB43+BE43+BG43+MAX(BI43,SUM(BJ43:BN43))+BP43)</f>
        <v>-68846.498226112919</v>
      </c>
      <c r="BY43" s="1">
        <f t="shared" si="24"/>
        <v>58229.929065626566</v>
      </c>
      <c r="BZ43" s="1">
        <f t="shared" si="46"/>
        <v>-10616.569160486353</v>
      </c>
      <c r="CA43" s="1">
        <f>IF(BZ43 &lt; 0,
    IF(CA42 + BZ43 &gt; 0,
        CA42 + BZ43, IF(CF42-ABS(CA42 + BZ43)*(1+$V43) &gt;= CA42 + BZ43,
        0, CA42 + BZ43)),
    MIN(CA42 + BZ43, Analysis!$C$7))+IF(CA42&lt;0, CA42*Analysis!$C$9,0)</f>
        <v>0</v>
      </c>
      <c r="CB43" s="42"/>
      <c r="CC43" s="1">
        <f t="shared" si="47"/>
        <v>26676.932834349314</v>
      </c>
      <c r="CD43" s="1">
        <f>IF(BZ43 &gt;= 0,
    MAX(0, CA42 + BZ43 - Analysis!$C$7),
    0)</f>
        <v>0</v>
      </c>
      <c r="CE43" s="1">
        <f>IF($B43=Analysis!$C$66,0,MAX(0, CE42 + CD43 - IF(BZ43 &lt; 0, MIN(ABS(BZ43), CE42 + CD43), 0)))</f>
        <v>844903.81082129851</v>
      </c>
      <c r="CF43" s="1">
        <f>IF($B43=Analysis!$C$66,0,IF(BZ43 &lt; 0,
    IF(BZ43 + CA42 &lt; 0,
        MAX(0, CF42 - (ABS(BZ43 + CA42) * (1+$V42))),
        CF42 + CC43),
    CF42 + CD43 + CC43))</f>
        <v>1347106.8852752552</v>
      </c>
      <c r="CG43" s="1">
        <f t="shared" si="25"/>
        <v>1214650.8243880242</v>
      </c>
      <c r="CH43" s="36"/>
      <c r="CI43" s="1">
        <f>IF(OR($B43&lt;Analysis!$C$100, $B43&gt;=Analysis!$C$130),0,X43)</f>
        <v>0</v>
      </c>
      <c r="CJ43" s="1">
        <f>IF(OR($B43&lt;Analysis!$C$100, $B43&gt;=Analysis!$C$130),0,Z43)</f>
        <v>0</v>
      </c>
      <c r="CK43" s="1">
        <f t="shared" si="60"/>
        <v>1062093.4549990548</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-87473.429184583598</v>
      </c>
      <c r="FM43" s="1">
        <f>$M43+$R43+DD43+IF(AND($B43&lt;&gt;Analysis!$C$130,$B43=Analysis!$C$101),DZ42+CQ42+CT42+CZ42,0)</f>
        <v>58229.929065626566</v>
      </c>
      <c r="FN43" s="1">
        <f t="shared" si="34"/>
        <v>-29243.500118957032</v>
      </c>
      <c r="FO43" s="1">
        <f>IF(FN43 &lt; 0,
    IF(FO42 + FN43 &gt; 0,
        FO42 + FN43, IF(FT42-ABS(FO42 + FN43)*(1+$V43) &gt;= FO42 + FN43,
        0, FO42 + FN43)),
    MIN(FO42 + FN43, Analysis!$C$7))+IF(FO42&lt;0, FO42*Analysis!$C$9,0)</f>
        <v>-163718.77389602349</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1062093.4549990548</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52636.438851668689</v>
      </c>
      <c r="GQ43" s="1">
        <f t="shared" si="36"/>
        <v>-3186.2803649971643</v>
      </c>
      <c r="GR43" s="64">
        <f>IF($B43&lt;Analysis!$C$159,0,Analysis!$C$178)</f>
        <v>3.0000000000000001E-3</v>
      </c>
      <c r="GS43" s="1">
        <f t="shared" si="37"/>
        <v>-7965.7009124929109</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-6472</v>
      </c>
      <c r="HC43" s="1">
        <f>-Analysis!$C$177*GN43</f>
        <v>-3411.7618865003647</v>
      </c>
      <c r="HD43" s="1">
        <f t="shared" si="38"/>
        <v>-24995.743163990439</v>
      </c>
      <c r="HE43" s="1">
        <f>MIN(0,-(GN43+HD43)*Analysis!$C$28)-GE43*Analysis!$C$28</f>
        <v>-9081.0754294799899</v>
      </c>
      <c r="HF43" s="1">
        <f>-Analysis!$C$176*GP43/12</f>
        <v>-4386.369904305724</v>
      </c>
      <c r="HG43" s="38"/>
      <c r="HH43" s="1">
        <f>IF($B43&lt;Analysis!$C$159,0,-$HI43*$FW43)</f>
        <v>-135416.91551237949</v>
      </c>
      <c r="HI43" s="64">
        <f>IF($B43&lt;Analysis!$C$159,0,IF($B43=Analysis!$C$159,Analysis!$C$31,HI42))</f>
        <v>0.1275</v>
      </c>
      <c r="HJ43" s="1">
        <f>IF($B43&lt;Analysis!$C$159,0,$FW43+HH43)</f>
        <v>926676.53948667529</v>
      </c>
      <c r="HK43" s="1">
        <f>IF($B43-Analysis!$C$159&gt;10,0,IF($FW43&gt;LOOKUP(Analysis!$C$159,$B:$B, FW:FW),$V43*(LOOKUP(Analysis!$C$159,$B:$B, FW:FW)-FW43),0))</f>
        <v>0</v>
      </c>
      <c r="HL43" s="1">
        <f t="shared" si="39"/>
        <v>926676.53948667529</v>
      </c>
      <c r="HM43" s="38"/>
      <c r="HN43" s="1">
        <f t="shared" si="40"/>
        <v>-135939.94105397217</v>
      </c>
      <c r="HO43" s="1">
        <f t="shared" si="8"/>
        <v>110866.36791729525</v>
      </c>
      <c r="HP43" s="1">
        <f t="shared" si="41"/>
        <v>-25073.573136676918</v>
      </c>
      <c r="HQ43" s="1">
        <f>IF(HP43 &lt; 0,
    IF(HQ42 + HP43 &gt; 0,
        HQ42 + HP43, IF(HV42-ABS(HQ42 + HP43)*(1+$V43) &gt;= HQ42 + HP43,
        0, HQ42 + HP43)),
    MIN(HQ42 + HP43, Analysis!$C$7))+IF(HQ42&lt;0, HQ42*Analysis!$C$9,0)</f>
        <v>0</v>
      </c>
      <c r="HR43" s="38"/>
      <c r="HS43" s="1">
        <f t="shared" si="54"/>
        <v>34927.23600976303</v>
      </c>
      <c r="HT43" s="1">
        <f>IF($B43=Analysis!$C$159,0,IF(HP43 &gt;= 0,
    MAX(0, HQ42 + HP43 - Analysis!$C$7),
    0))</f>
        <v>0</v>
      </c>
      <c r="HU43" s="1">
        <f>IF($B43=Analysis!$C$159,0,MAX(0, HU42 + HT43 - IF(HP43 &lt; 0, MIN(ABS(HP43), HU42 + HT43), 0)))</f>
        <v>942335.68008969724</v>
      </c>
      <c r="HV43" s="1">
        <f>IF($B43=Analysis!$C$159,0,IF(HP43 &lt; 0,
    IF(HP43 + HQ42 &lt; 0,
        MAX(0, HV42 - (ABS(HP43 + HQ42) * (1+$V42))),
        HV42 + HS43),
    HV42 + HT43 + HS43))</f>
        <v>1749602.3084464455</v>
      </c>
      <c r="HW43" s="1">
        <f t="shared" si="58"/>
        <v>1536685.7352173531</v>
      </c>
      <c r="HX43" s="36"/>
    </row>
    <row r="44" spans="1:232" x14ac:dyDescent="0.35">
      <c r="A44">
        <f t="shared" si="0"/>
        <v>77</v>
      </c>
      <c r="B44">
        <v>2067</v>
      </c>
      <c r="C44" s="1">
        <f>IF($B44&lt;Analysis!C$66,0,$AN44)+$AT44+$AW44+$BC44+$CF44+$CA44</f>
        <v>2987129.8200781196</v>
      </c>
      <c r="D44" s="1">
        <f>IF($B44&lt;Analysis!C$66, 0, BV44)+AT44+AW44+BC44+CG44+CA44</f>
        <v>2644446.6270600026</v>
      </c>
      <c r="E44" s="1">
        <f t="shared" si="1"/>
        <v>1852757.2969385185</v>
      </c>
      <c r="F44" s="1">
        <f t="shared" si="9"/>
        <v>1573398.4456347574</v>
      </c>
      <c r="G44" s="1">
        <f>IF(AND($B44&gt;=Analysis!$C$100, $B44&lt;Analysis!$C$101),$CK44,0)+IF($B44&gt;=Analysis!$C$130,EB44,0)+CQ44+CT44+CZ44+EH44+EK44+EQ44+$FO44+$FT44</f>
        <v>2111033.3308314197</v>
      </c>
      <c r="H44" s="1">
        <f t="shared" si="10"/>
        <v>1813796.4998105546</v>
      </c>
      <c r="I44" s="1">
        <f>IF($B44&lt;Analysis!$C$159,0,$FW44)+$GC44+$GF44+$GL44+$HQ44+$HV44</f>
        <v>2808450.7609759178</v>
      </c>
      <c r="J44" s="1">
        <f t="shared" si="59"/>
        <v>2458032.5667561716</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37528.207796900737</v>
      </c>
      <c r="AI44" s="1">
        <f>IF(AE44 &gt;= 0,
    MAX(0, AF43 + AE44 - Analysis!$C$7),
    0)</f>
        <v>0</v>
      </c>
      <c r="AJ44" s="1">
        <f t="shared" si="44"/>
        <v>793576.81806169893</v>
      </c>
      <c r="AK44" s="1">
        <f t="shared" si="20"/>
        <v>1852757.2969385185</v>
      </c>
      <c r="AL44" s="1">
        <f t="shared" si="5"/>
        <v>1573398.4456347574</v>
      </c>
      <c r="AM44" s="36"/>
      <c r="AN44" s="1">
        <f t="shared" si="45"/>
        <v>1655539.0417757763</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-4966.6171253273287</v>
      </c>
      <c r="BF44" s="64">
        <f>IF($B44&lt;Analysis!$C$66,0,Analysis!$C$78)</f>
        <v>3.0000000000000001E-3</v>
      </c>
      <c r="BG44" s="1">
        <f>IF($B44&lt;Analysis!$C$66,0,-BH44*AN44)</f>
        <v>-12416.542813318321</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-211081.22782641149</v>
      </c>
      <c r="BS44" s="64">
        <f>IF($B44&lt;Analysis!C$66,0,Analysis!C$31)</f>
        <v>0.1275</v>
      </c>
      <c r="BT44" s="1">
        <f>IF($B44&lt;Analysis!$C$66,0,AN44+BR44)</f>
        <v>1444457.8139493647</v>
      </c>
      <c r="BU44" s="1">
        <f>IF($B44-Analysis!$C$66&gt;3,0,IF($AN44&gt;LOOKUP(Analysis!$C$66,$B:$B, AN:AN),$V44*(LOOKUP(Analysis!$C$66,$B:$B, AN:AN)-AN44),0))</f>
        <v>0</v>
      </c>
      <c r="BV44" s="1">
        <f t="shared" si="23"/>
        <v>1444457.8139493647</v>
      </c>
      <c r="BW44" s="42"/>
      <c r="BX44" s="1">
        <f>IF($B44&lt;Analysis!$C$66,$P44+$N44+$X44+$Z44,$P44+$N44+AS44+AV44+BB44+BE44+BG44+MAX(BI44,SUM(BJ44:BN44))+BP44)</f>
        <v>-69343.159938645651</v>
      </c>
      <c r="BY44" s="1">
        <f t="shared" si="24"/>
        <v>57065.330484314036</v>
      </c>
      <c r="BZ44" s="1">
        <f t="shared" si="46"/>
        <v>-12277.829454331615</v>
      </c>
      <c r="CA44" s="1">
        <f>IF(BZ44 &lt; 0,
    IF(CA43 + BZ44 &gt; 0,
        CA43 + BZ44, IF(CF43-ABS(CA43 + BZ44)*(1+$V44) &gt;= CA43 + BZ44,
        0, CA43 + BZ44)),
    MIN(CA43 + BZ44, Analysis!$C$7))+IF(CA43&lt;0, CA43*Analysis!$C$9,0)</f>
        <v>0</v>
      </c>
      <c r="CB44" s="42"/>
      <c r="CC44" s="1">
        <f t="shared" si="47"/>
        <v>26413.860495593144</v>
      </c>
      <c r="CD44" s="1">
        <f>IF(BZ44 &gt;= 0,
    MAX(0, CA43 + BZ44 - Analysis!$C$7),
    0)</f>
        <v>0</v>
      </c>
      <c r="CE44" s="1">
        <f>IF($B44=Analysis!$C$66,0,MAX(0, CE43 + CD44 - IF(BZ44 &lt; 0, MIN(ABS(BZ44), CE43 + CD44), 0)))</f>
        <v>832625.98136696685</v>
      </c>
      <c r="CF44" s="1">
        <f>IF($B44=Analysis!$C$66,0,IF(BZ44 &lt; 0,
    IF(BZ44 + CA43 &lt; 0,
        MAX(0, CF43 - (ABS(BZ44 + CA43) * (1+$V43))),
        CF43 + CC44),
    CF43 + CD44 + CC44))</f>
        <v>1331590.7783023436</v>
      </c>
      <c r="CG44" s="1">
        <f t="shared" si="25"/>
        <v>1199988.8131106379</v>
      </c>
      <c r="CH44" s="36"/>
      <c r="CI44" s="1">
        <f>IF(OR($B44&lt;Analysis!$C$100, $B44&gt;=Analysis!$C$130),0,X44)</f>
        <v>0</v>
      </c>
      <c r="CJ44" s="1">
        <f>IF(OR($B44&lt;Analysis!$C$100, $B44&gt;=Analysis!$C$130),0,Z44)</f>
        <v>0</v>
      </c>
      <c r="CK44" s="1">
        <f t="shared" si="60"/>
        <v>1093331.4977931448</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-88339.329196521139</v>
      </c>
      <c r="FM44" s="1">
        <f>$M44+$R44+DD44+IF(AND($B44&lt;&gt;Analysis!$C$130,$B44=Analysis!$C$101),DZ43+CQ43+CT43+CZ43,0)</f>
        <v>57065.330484314036</v>
      </c>
      <c r="FN44" s="1">
        <f t="shared" si="34"/>
        <v>-31273.998712207103</v>
      </c>
      <c r="FO44" s="1">
        <f>IF(FN44 &lt; 0,
    IF(FO43 + FN44 &gt; 0,
        FO43 + FN44, IF(FT43-ABS(FO43 + FN44)*(1+$V44) &gt;= FO43 + FN44,
        0, FO43 + FN44)),
    MIN(FO43 + FN44, Analysis!$C$7))+IF(FO43&lt;0, FO43*Analysis!$C$9,0)</f>
        <v>-208090.27451991246</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1093331.4977931448</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54068.098817894243</v>
      </c>
      <c r="GQ44" s="1">
        <f t="shared" si="36"/>
        <v>-3279.9944933794345</v>
      </c>
      <c r="GR44" s="64">
        <f>IF($B44&lt;Analysis!$C$159,0,Analysis!$C$178)</f>
        <v>3.0000000000000001E-3</v>
      </c>
      <c r="GS44" s="1">
        <f t="shared" si="37"/>
        <v>-8199.9862334485861</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-6472</v>
      </c>
      <c r="HC44" s="1">
        <f>-Analysis!$C$177*GN44</f>
        <v>-3512.1078243386105</v>
      </c>
      <c r="HD44" s="1">
        <f t="shared" si="38"/>
        <v>-25424.088551166631</v>
      </c>
      <c r="HE44" s="1">
        <f>MIN(0,-(GN44+HD44)*Analysis!$C$28)-GE44*Analysis!$C$28</f>
        <v>-9484.1193891705771</v>
      </c>
      <c r="HF44" s="1">
        <f>-Analysis!$C$176*GP44/12</f>
        <v>-4505.6749014911866</v>
      </c>
      <c r="HG44" s="38"/>
      <c r="HH44" s="1">
        <f>IF($B44&lt;Analysis!$C$159,0,-$HI44*$FW44)</f>
        <v>-139399.76596862596</v>
      </c>
      <c r="HI44" s="64">
        <f>IF($B44&lt;Analysis!$C$159,0,IF($B44=Analysis!$C$159,Analysis!$C$31,HI43))</f>
        <v>0.1275</v>
      </c>
      <c r="HJ44" s="1">
        <f>IF($B44&lt;Analysis!$C$159,0,$FW44+HH44)</f>
        <v>953931.73182451888</v>
      </c>
      <c r="HK44" s="1">
        <f>IF($B44-Analysis!$C$159&gt;10,0,IF($FW44&gt;LOOKUP(Analysis!$C$159,$B:$B, FW:FW),$V44*(LOOKUP(Analysis!$C$159,$B:$B, FW:FW)-FW44),0))</f>
        <v>0</v>
      </c>
      <c r="HL44" s="1">
        <f t="shared" si="39"/>
        <v>953931.73182451888</v>
      </c>
      <c r="HM44" s="38"/>
      <c r="HN44" s="1">
        <f t="shared" si="40"/>
        <v>-138419.71635555956</v>
      </c>
      <c r="HO44" s="1">
        <f t="shared" si="8"/>
        <v>111133.42930220827</v>
      </c>
      <c r="HP44" s="1">
        <f t="shared" si="41"/>
        <v>-27286.287053351291</v>
      </c>
      <c r="HQ44" s="1">
        <f>IF(HP44 &lt; 0,
    IF(HQ43 + HP44 &gt; 0,
        HQ43 + HP44, IF(HV43-ABS(HQ43 + HP44)*(1+$V44) &gt;= HQ43 + HP44,
        0, HQ43 + HP44)),
    MIN(HQ43 + HP44, Analysis!$C$7))+IF(HQ43&lt;0, HQ43*Analysis!$C$9,0)</f>
        <v>0</v>
      </c>
      <c r="HR44" s="38"/>
      <c r="HS44" s="1">
        <f t="shared" si="54"/>
        <v>34305.927616596848</v>
      </c>
      <c r="HT44" s="1">
        <f>IF($B44=Analysis!$C$159,0,IF(HP44 &gt;= 0,
    MAX(0, HQ43 + HP44 - Analysis!$C$7),
    0))</f>
        <v>0</v>
      </c>
      <c r="HU44" s="1">
        <f>IF($B44=Analysis!$C$159,0,MAX(0, HU43 + HT44 - IF(HP44 &lt; 0, MIN(ABS(HP44), HU43 + HT44), 0)))</f>
        <v>915049.39303634595</v>
      </c>
      <c r="HV44" s="1">
        <f>IF($B44=Analysis!$C$159,0,IF(HP44 &lt; 0,
    IF(HP44 + HQ43 &lt; 0,
        MAX(0, HV43 - (ABS(HP44 + HQ43) * (1+$V43))),
        HV43 + HS44),
    HV43 + HT44 + HS44))</f>
        <v>1715119.2631827728</v>
      </c>
      <c r="HW44" s="1">
        <f t="shared" si="58"/>
        <v>1504100.8349316528</v>
      </c>
      <c r="HX44" s="36"/>
    </row>
    <row r="45" spans="1:232" x14ac:dyDescent="0.35">
      <c r="A45">
        <f t="shared" si="0"/>
        <v>78</v>
      </c>
      <c r="B45">
        <v>2068</v>
      </c>
      <c r="C45" s="1">
        <f>IF($B45&lt;Analysis!C$66,0,$AN45)+$AT45+$AW45+$BC45+$CF45+$CA45</f>
        <v>3018217.5949184913</v>
      </c>
      <c r="D45" s="1">
        <f>IF($B45&lt;Analysis!C$66, 0, BV45)+AT45+AW45+BC45+CG45+CA45</f>
        <v>2670295.1860907571</v>
      </c>
      <c r="E45" s="1">
        <f t="shared" si="1"/>
        <v>1788144.4593570139</v>
      </c>
      <c r="F45" s="1">
        <f t="shared" si="9"/>
        <v>1512342.2699498478</v>
      </c>
      <c r="G45" s="1">
        <f>IF(AND($B45&gt;=Analysis!$C$100, $B45&lt;Analysis!$C$101),$CK45,0)+IF($B45&gt;=Analysis!$C$130,EB45,0)+CQ45+CT45+CZ45+EH45+EK45+EQ45+$FO45+$FT45</f>
        <v>2135719.0076940213</v>
      </c>
      <c r="H45" s="1">
        <f t="shared" si="10"/>
        <v>1829739.9169372485</v>
      </c>
      <c r="I45" s="1">
        <f>IF($B45&lt;Analysis!$C$159,0,$FW45)+$GC45+$GF45+$GL45+$HQ45+$HV45</f>
        <v>2803318.6849656045</v>
      </c>
      <c r="J45" s="1">
        <f t="shared" si="59"/>
        <v>2450853.0921380334</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36328.574449774744</v>
      </c>
      <c r="AI45" s="1">
        <f>IF(AE45 &gt;= 0,
    MAX(0, AF44 + AE45 - Analysis!$C$7),
    0)</f>
        <v>0</v>
      </c>
      <c r="AJ45" s="1">
        <f t="shared" si="44"/>
        <v>742448.95449572103</v>
      </c>
      <c r="AK45" s="1">
        <f t="shared" si="20"/>
        <v>1788144.4593570139</v>
      </c>
      <c r="AL45" s="1">
        <f t="shared" si="5"/>
        <v>1512342.2699498478</v>
      </c>
      <c r="AM45" s="36"/>
      <c r="AN45" s="1">
        <f t="shared" si="45"/>
        <v>1704231.3665338876</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-5112.6940996016629</v>
      </c>
      <c r="BF45" s="64">
        <f>IF($B45&lt;Analysis!$C$66,0,Analysis!$C$78)</f>
        <v>3.0000000000000001E-3</v>
      </c>
      <c r="BG45" s="1">
        <f>IF($B45&lt;Analysis!$C$66,0,-BH45*AN45)</f>
        <v>-12781.735249004156</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-217289.49923307067</v>
      </c>
      <c r="BS45" s="64">
        <f>IF($B45&lt;Analysis!C$66,0,Analysis!C$31)</f>
        <v>0.1275</v>
      </c>
      <c r="BT45" s="1">
        <f>IF($B45&lt;Analysis!$C$66,0,AN45+BR45)</f>
        <v>1486941.8673008168</v>
      </c>
      <c r="BU45" s="1">
        <f>IF($B45-Analysis!$C$66&gt;3,0,IF($AN45&gt;LOOKUP(Analysis!$C$66,$B:$B, AN:AN),$V45*(LOOKUP(Analysis!$C$66,$B:$B, AN:AN)-AN45),0))</f>
        <v>0</v>
      </c>
      <c r="BV45" s="1">
        <f t="shared" si="23"/>
        <v>1486941.8673008168</v>
      </c>
      <c r="BW45" s="42"/>
      <c r="BX45" s="1">
        <f>IF($B45&lt;Analysis!$C$66,$P45+$N45+$X45+$Z45,$P45+$N45+AS45+AV45+BB45+BE45+BG45+MAX(BI45,SUM(BJ45:BN45))+BP45)</f>
        <v>-69854.429348605816</v>
      </c>
      <c r="BY45" s="1">
        <f t="shared" si="24"/>
        <v>55924.023874627754</v>
      </c>
      <c r="BZ45" s="1">
        <f t="shared" si="46"/>
        <v>-13930.405473978062</v>
      </c>
      <c r="CA45" s="1">
        <f>IF(BZ45 &lt; 0,
    IF(CA44 + BZ45 &gt; 0,
        CA44 + BZ45, IF(CF44-ABS(CA44 + BZ45)*(1+$V45) &gt;= CA44 + BZ45,
        0, CA44 + BZ45)),
    MIN(CA44 + BZ45, Analysis!$C$7))+IF(CA44&lt;0, CA44*Analysis!$C$9,0)</f>
        <v>0</v>
      </c>
      <c r="CB45" s="42"/>
      <c r="CC45" s="1">
        <f t="shared" si="47"/>
        <v>26109.623103967428</v>
      </c>
      <c r="CD45" s="1">
        <f>IF(BZ45 &gt;= 0,
    MAX(0, CA44 + BZ45 - Analysis!$C$7),
    0)</f>
        <v>0</v>
      </c>
      <c r="CE45" s="1">
        <f>IF($B45=Analysis!$C$66,0,MAX(0, CE44 + CD45 - IF(BZ45 &lt; 0, MIN(ABS(BZ45), CE44 + CD45), 0)))</f>
        <v>818695.57589298883</v>
      </c>
      <c r="CF45" s="1">
        <f>IF($B45=Analysis!$C$66,0,IF(BZ45 &lt; 0,
    IF(BZ45 + CA44 &lt; 0,
        MAX(0, CF44 - (ABS(BZ45 + CA44) * (1+$V44))),
        CF44 + CC45),
    CF44 + CD45 + CC45))</f>
        <v>1313986.2283846037</v>
      </c>
      <c r="CG45" s="1">
        <f t="shared" si="25"/>
        <v>1183353.3187899403</v>
      </c>
      <c r="CH45" s="36"/>
      <c r="CI45" s="1">
        <f>IF(OR($B45&lt;Analysis!$C$100, $B45&gt;=Analysis!$C$130),0,X45)</f>
        <v>0</v>
      </c>
      <c r="CJ45" s="1">
        <f>IF(OR($B45&lt;Analysis!$C$100, $B45&gt;=Analysis!$C$130),0,Z45)</f>
        <v>0</v>
      </c>
      <c r="CK45" s="1">
        <f t="shared" si="60"/>
        <v>1125488.3065517668</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-89230.696855868591</v>
      </c>
      <c r="FM45" s="1">
        <f>$M45+$R45+DD45+IF(AND($B45&lt;&gt;Analysis!$C$130,$B45=Analysis!$C$101),DZ44+CQ44+CT44+CZ44,0)</f>
        <v>55924.023874627754</v>
      </c>
      <c r="FN45" s="1">
        <f t="shared" si="34"/>
        <v>-33306.672981240838</v>
      </c>
      <c r="FO45" s="1">
        <f>IF(FN45 &lt; 0,
    IF(FO44 + FN45 &gt; 0,
        FO44 + FN45, IF(FT44-ABS(FO44 + FN45)*(1+$V45) &gt;= FO44 + FN45,
        0, FO44 + FN45)),
    MIN(FO44 + FN45, Analysis!$C$7))+IF(FO44&lt;0, FO44*Analysis!$C$9,0)</f>
        <v>-258044.1694627463</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1125488.3065517668</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55541.866430185255</v>
      </c>
      <c r="GQ45" s="1">
        <f t="shared" si="36"/>
        <v>-3376.4649196553005</v>
      </c>
      <c r="GR45" s="64">
        <f>IF($B45&lt;Analysis!$C$159,0,Analysis!$C$178)</f>
        <v>3.0000000000000001E-3</v>
      </c>
      <c r="GS45" s="1">
        <f t="shared" si="37"/>
        <v>-8441.1622991382501</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-6472</v>
      </c>
      <c r="HC45" s="1">
        <f>-Analysis!$C$177*GN45</f>
        <v>-3615.4051132897466</v>
      </c>
      <c r="HD45" s="1">
        <f t="shared" si="38"/>
        <v>-25865.032332083298</v>
      </c>
      <c r="HE45" s="1">
        <f>MIN(0,-(GN45+HD45)*Analysis!$C$28)-GE45*Analysis!$C$28</f>
        <v>-9899.0175829697127</v>
      </c>
      <c r="HF45" s="1">
        <f>-Analysis!$C$176*GP45/12</f>
        <v>-4628.4888691821043</v>
      </c>
      <c r="HG45" s="38"/>
      <c r="HH45" s="1">
        <f>IF($B45&lt;Analysis!$C$159,0,-$HI45*$FW45)</f>
        <v>-143499.75908535026</v>
      </c>
      <c r="HI45" s="64">
        <f>IF($B45&lt;Analysis!$C$159,0,IF($B45=Analysis!$C$159,Analysis!$C$31,HI44))</f>
        <v>0.1275</v>
      </c>
      <c r="HJ45" s="1">
        <f>IF($B45&lt;Analysis!$C$159,0,$FW45+HH45)</f>
        <v>981988.54746641661</v>
      </c>
      <c r="HK45" s="1">
        <f>IF($B45-Analysis!$C$159&gt;10,0,IF($FW45&gt;LOOKUP(Analysis!$C$159,$B:$B, FW:FW),$V45*(LOOKUP(Analysis!$C$159,$B:$B, FW:FW)-FW45),0))</f>
        <v>0</v>
      </c>
      <c r="HL45" s="1">
        <f t="shared" si="39"/>
        <v>981988.54746641661</v>
      </c>
      <c r="HM45" s="38"/>
      <c r="HN45" s="1">
        <f t="shared" si="40"/>
        <v>-140972.42622484075</v>
      </c>
      <c r="HO45" s="1">
        <f t="shared" si="8"/>
        <v>111465.89030481302</v>
      </c>
      <c r="HP45" s="1">
        <f t="shared" si="41"/>
        <v>-29506.535920027731</v>
      </c>
      <c r="HQ45" s="1">
        <f>IF(HP45 &lt; 0,
    IF(HQ44 + HP45 &gt; 0,
        HQ44 + HP45, IF(HV44-ABS(HQ44 + HP45)*(1+$V45) &gt;= HQ44 + HP45,
        0, HQ44 + HP45)),
    MIN(HQ44 + HP45, Analysis!$C$7))+IF(HQ44&lt;0, HQ44*Analysis!$C$9,0)</f>
        <v>0</v>
      </c>
      <c r="HR45" s="38"/>
      <c r="HS45" s="1">
        <f t="shared" si="54"/>
        <v>33629.789474171899</v>
      </c>
      <c r="HT45" s="1">
        <f>IF($B45=Analysis!$C$159,0,IF(HP45 &gt;= 0,
    MAX(0, HQ44 + HP45 - Analysis!$C$7),
    0))</f>
        <v>0</v>
      </c>
      <c r="HU45" s="1">
        <f>IF($B45=Analysis!$C$159,0,MAX(0, HU44 + HT45 - IF(HP45 &lt; 0, MIN(ABS(HP45), HU44 + HT45), 0)))</f>
        <v>885542.85711631819</v>
      </c>
      <c r="HV45" s="1">
        <f>IF($B45=Analysis!$C$159,0,IF(HP45 &lt; 0,
    IF(HP45 + HQ44 &lt; 0,
        MAX(0, HV44 - (ABS(HP45 + HQ44) * (1+$V44))),
        HV44 + HS45),
    HV44 + HT45 + HS45))</f>
        <v>1677830.3784138376</v>
      </c>
      <c r="HW45" s="1">
        <f t="shared" si="58"/>
        <v>1468864.544671617</v>
      </c>
      <c r="HX45" s="36"/>
    </row>
    <row r="46" spans="1:232" x14ac:dyDescent="0.35">
      <c r="A46">
        <f t="shared" si="0"/>
        <v>79</v>
      </c>
      <c r="B46">
        <v>2069</v>
      </c>
      <c r="C46" s="1">
        <f>IF($B46&lt;Analysis!C$66,0,$AN46)+$AT46+$AW46+$BC46+$CF46+$CA46</f>
        <v>3048658.8971045143</v>
      </c>
      <c r="D46" s="1">
        <f>IF($B46&lt;Analysis!C$66, 0, BV46)+AT46+AW46+BC46+CG46+CA46</f>
        <v>2695429.0943305031</v>
      </c>
      <c r="E46" s="1">
        <f t="shared" si="1"/>
        <v>1720070.4252263997</v>
      </c>
      <c r="F46" s="1">
        <f t="shared" si="9"/>
        <v>1448015.4218646456</v>
      </c>
      <c r="G46" s="1">
        <f>IF(AND($B46&gt;=Analysis!$C$100, $B46&lt;Analysis!$C$101),$CK46,0)+IF($B46&gt;=Analysis!$C$130,EB46,0)+CQ46+CT46+CZ46+EH46+EK46+EQ46+$FO46+$FT46</f>
        <v>2156388.9770410443</v>
      </c>
      <c r="H46" s="1">
        <f t="shared" si="10"/>
        <v>1841410.5012620129</v>
      </c>
      <c r="I46" s="1">
        <f>IF($B46&lt;Analysis!$C$159,0,$FW46)+$GC46+$GF46+$GL46+$HQ46+$HV46</f>
        <v>2796315.301135805</v>
      </c>
      <c r="J46" s="1">
        <f t="shared" si="59"/>
        <v>2441836.7908378458</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35061.656065823678</v>
      </c>
      <c r="AI46" s="1">
        <f>IF(AE46 &gt;= 0,
    MAX(0, AF45 + AE46 - Analysis!$C$7),
    0)</f>
        <v>0</v>
      </c>
      <c r="AJ46" s="1">
        <f t="shared" si="44"/>
        <v>688582.26082164457</v>
      </c>
      <c r="AK46" s="1">
        <f t="shared" si="20"/>
        <v>1720070.4252263997</v>
      </c>
      <c r="AL46" s="1">
        <f t="shared" si="5"/>
        <v>1448015.4218646456</v>
      </c>
      <c r="AM46" s="36"/>
      <c r="AN46" s="1">
        <f t="shared" si="45"/>
        <v>1754355.8184907669</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-5263.0674554723009</v>
      </c>
      <c r="BF46" s="64">
        <f>IF($B46&lt;Analysis!$C$66,0,Analysis!$C$78)</f>
        <v>3.0000000000000001E-3</v>
      </c>
      <c r="BG46" s="1">
        <f>IF($B46&lt;Analysis!$C$66,0,-BH46*AN46)</f>
        <v>-13157.668638680751</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-223680.36685757278</v>
      </c>
      <c r="BS46" s="64">
        <f>IF($B46&lt;Analysis!C$66,0,Analysis!C$31)</f>
        <v>0.1275</v>
      </c>
      <c r="BT46" s="1">
        <f>IF($B46&lt;Analysis!$C$66,0,AN46+BR46)</f>
        <v>1530675.4516331942</v>
      </c>
      <c r="BU46" s="1">
        <f>IF($B46-Analysis!$C$66&gt;3,0,IF($AN46&gt;LOOKUP(Analysis!$C$66,$B:$B, AN:AN),$V46*(LOOKUP(Analysis!$C$66,$B:$B, AN:AN)-AN46),0))</f>
        <v>0</v>
      </c>
      <c r="BV46" s="1">
        <f t="shared" si="23"/>
        <v>1530675.4516331942</v>
      </c>
      <c r="BW46" s="42"/>
      <c r="BX46" s="1">
        <f>IF($B46&lt;Analysis!$C$66,$P46+$N46+$X46+$Z46,$P46+$N46+AS46+AV46+BB46+BE46+BG46+MAX(BI46,SUM(BJ46:BN46))+BP46)</f>
        <v>-70380.73609415305</v>
      </c>
      <c r="BY46" s="1">
        <f t="shared" si="24"/>
        <v>54805.543397135196</v>
      </c>
      <c r="BZ46" s="1">
        <f t="shared" si="46"/>
        <v>-15575.192697017854</v>
      </c>
      <c r="CA46" s="1">
        <f>IF(BZ46 &lt; 0,
    IF(CA45 + BZ46 &gt; 0,
        CA45 + BZ46, IF(CF45-ABS(CA45 + BZ46)*(1+$V46) &gt;= CA45 + BZ46,
        0, CA45 + BZ46)),
    MIN(CA45 + BZ46, Analysis!$C$7))+IF(CA45&lt;0, CA45*Analysis!$C$9,0)</f>
        <v>0</v>
      </c>
      <c r="CB46" s="42"/>
      <c r="CC46" s="1">
        <f t="shared" si="47"/>
        <v>25764.435850678412</v>
      </c>
      <c r="CD46" s="1">
        <f>IF(BZ46 &gt;= 0,
    MAX(0, CA45 + BZ46 - Analysis!$C$7),
    0)</f>
        <v>0</v>
      </c>
      <c r="CE46" s="1">
        <f>IF($B46=Analysis!$C$66,0,MAX(0, CE45 + CD46 - IF(BZ46 &lt; 0, MIN(ABS(BZ46), CE45 + CD46), 0)))</f>
        <v>803120.38319597102</v>
      </c>
      <c r="CF46" s="1">
        <f>IF($B46=Analysis!$C$66,0,IF(BZ46 &lt; 0,
    IF(BZ46 + CA45 &lt; 0,
        MAX(0, CF45 - (ABS(BZ46 + CA45) * (1+$V45))),
        CF45 + CC46),
    CF45 + CD46 + CC46))</f>
        <v>1294303.0786137474</v>
      </c>
      <c r="CG46" s="1">
        <f t="shared" si="25"/>
        <v>1164753.6426973089</v>
      </c>
      <c r="CH46" s="36"/>
      <c r="CI46" s="1">
        <f>IF(OR($B46&lt;Analysis!$C$100, $B46&gt;=Analysis!$C$130),0,X46)</f>
        <v>0</v>
      </c>
      <c r="CJ46" s="1">
        <f>IF(OR($B46&lt;Analysis!$C$100, $B46&gt;=Analysis!$C$130),0,Z46)</f>
        <v>0</v>
      </c>
      <c r="CK46" s="1">
        <f t="shared" si="60"/>
        <v>1158590.9038032894</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-90148.281211079229</v>
      </c>
      <c r="FM46" s="1">
        <f>$M46+$R46+DD46+IF(AND($B46&lt;&gt;Analysis!$C$130,$B46=Analysis!$C$101),DZ45+CQ45+CT45+CZ45,0)</f>
        <v>54805.543397135196</v>
      </c>
      <c r="FN46" s="1">
        <f t="shared" si="34"/>
        <v>-35342.737813944033</v>
      </c>
      <c r="FO46" s="1">
        <f>IF(FN46 &lt; 0,
    IF(FO45 + FN46 &gt; 0,
        FO45 + FN46, IF(FT45-ABS(FO45 + FN46)*(1+$V46) &gt;= FO45 + FN46,
        0, FO45 + FN46)),
    MIN(FO45 + FN46, Analysis!$C$7))+IF(FO45&lt;0, FO45*Analysis!$C$9,0)</f>
        <v>-314030.44083371008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1158590.9038032894</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57058.980148720118</v>
      </c>
      <c r="GQ46" s="1">
        <f t="shared" si="36"/>
        <v>-3475.7727114098684</v>
      </c>
      <c r="GR46" s="64">
        <f>IF($B46&lt;Analysis!$C$159,0,Analysis!$C$178)</f>
        <v>3.0000000000000001E-3</v>
      </c>
      <c r="GS46" s="1">
        <f t="shared" si="37"/>
        <v>-8689.4317785246694</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-6472</v>
      </c>
      <c r="HC46" s="1">
        <f>-Analysis!$C$177*GN46</f>
        <v>-3721.7405577982686</v>
      </c>
      <c r="HD46" s="1">
        <f t="shared" si="38"/>
        <v>-26318.945047732806</v>
      </c>
      <c r="HE46" s="1">
        <f>MIN(0,-(GN46+HD46)*Analysis!$C$28)-GE46*Analysis!$C$28</f>
        <v>-10326.118664821764</v>
      </c>
      <c r="HF46" s="1">
        <f>-Analysis!$C$176*GP46/12</f>
        <v>-4754.9150123933432</v>
      </c>
      <c r="HG46" s="38"/>
      <c r="HH46" s="1">
        <f>IF($B46&lt;Analysis!$C$159,0,-$HI46*$FW46)</f>
        <v>-147720.34023491939</v>
      </c>
      <c r="HI46" s="64">
        <f>IF($B46&lt;Analysis!$C$159,0,IF($B46=Analysis!$C$159,Analysis!$C$31,HI45))</f>
        <v>0.1275</v>
      </c>
      <c r="HJ46" s="1">
        <f>IF($B46&lt;Analysis!$C$159,0,$FW46+HH46)</f>
        <v>1010870.56356837</v>
      </c>
      <c r="HK46" s="1">
        <f>IF($B46-Analysis!$C$159&gt;10,0,IF($FW46&gt;LOOKUP(Analysis!$C$159,$B:$B, FW:FW),$V46*(LOOKUP(Analysis!$C$159,$B:$B, FW:FW)-FW46),0))</f>
        <v>0</v>
      </c>
      <c r="HL46" s="1">
        <f t="shared" si="39"/>
        <v>1010870.56356837</v>
      </c>
      <c r="HM46" s="38"/>
      <c r="HN46" s="1">
        <f t="shared" si="40"/>
        <v>-143600.21579615964</v>
      </c>
      <c r="HO46" s="1">
        <f t="shared" si="8"/>
        <v>111864.52354585531</v>
      </c>
      <c r="HP46" s="1">
        <f t="shared" si="41"/>
        <v>-31735.692250304332</v>
      </c>
      <c r="HQ46" s="1">
        <f>IF(HP46 &lt; 0,
    IF(HQ45 + HP46 &gt; 0,
        HQ45 + HP46, IF(HV45-ABS(HQ45 + HP46)*(1+$V46) &gt;= HQ45 + HP46,
        0, HQ45 + HP46)),
    MIN(HQ45 + HP46, Analysis!$C$7))+IF(HQ45&lt;0, HQ45*Analysis!$C$9,0)</f>
        <v>0</v>
      </c>
      <c r="HR46" s="38"/>
      <c r="HS46" s="1">
        <f t="shared" si="54"/>
        <v>32898.634870859445</v>
      </c>
      <c r="HT46" s="1">
        <f>IF($B46=Analysis!$C$159,0,IF(HP46 &gt;= 0,
    MAX(0, HQ45 + HP46 - Analysis!$C$7),
    0))</f>
        <v>0</v>
      </c>
      <c r="HU46" s="1">
        <f>IF($B46=Analysis!$C$159,0,MAX(0, HU45 + HT46 - IF(HP46 &lt; 0, MIN(ABS(HP46), HU45 + HT46), 0)))</f>
        <v>853807.16486601392</v>
      </c>
      <c r="HV46" s="1">
        <f>IF($B46=Analysis!$C$159,0,IF(HP46 &lt; 0,
    IF(HP46 + HQ45 &lt; 0,
        MAX(0, HV45 - (ABS(HP46 + HQ45) * (1+$V45))),
        HV45 + HS46),
    HV45 + HT46 + HS46))</f>
        <v>1637724.3973325156</v>
      </c>
      <c r="HW46" s="1">
        <f t="shared" si="58"/>
        <v>1430966.2272694758</v>
      </c>
      <c r="HX46" s="36"/>
    </row>
    <row r="47" spans="1:232" x14ac:dyDescent="0.35">
      <c r="A47">
        <f t="shared" si="0"/>
        <v>80</v>
      </c>
      <c r="B47">
        <v>2070</v>
      </c>
      <c r="C47" s="1">
        <f>IF($B47&lt;Analysis!C$66,0,$AN47)+$AT47+$AW47+$BC47+$CF47+$CA47</f>
        <v>3078504.5552611127</v>
      </c>
      <c r="D47" s="1">
        <f>IF($B47&lt;Analysis!C$66, 0, BV47)+AT47+AW47+BC47+CG47+CA47</f>
        <v>2719893.3306308202</v>
      </c>
      <c r="E47" s="1">
        <f t="shared" si="1"/>
        <v>1648503.2371746951</v>
      </c>
      <c r="F47" s="1">
        <f t="shared" si="9"/>
        <v>1380387.7031245753</v>
      </c>
      <c r="G47" s="1">
        <f>IF(AND($B47&gt;=Analysis!$C$100, $B47&lt;Analysis!$C$101),$CK47,0)+IF($B47&gt;=Analysis!$C$130,EB47,0)+CQ47+CT47+CZ47+EH47+EK47+EQ47+$FO47+$FT47</f>
        <v>2172615.3443841799</v>
      </c>
      <c r="H47" s="1">
        <f t="shared" si="10"/>
        <v>1848372.7957881182</v>
      </c>
      <c r="I47" s="1">
        <f>IF($B47&lt;Analysis!$C$159,0,$FW47)+$GC47+$GF47+$GL47+$HQ47+$HV47</f>
        <v>2787455.4135477627</v>
      </c>
      <c r="J47" s="1">
        <f t="shared" si="59"/>
        <v>2430995.6365339234</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33726.871082870464</v>
      </c>
      <c r="AI47" s="1">
        <f>IF(AE47 &gt;= 0,
    MAX(0, AF46 + AE47 - Analysis!$C$7),
    0)</f>
        <v>0</v>
      </c>
      <c r="AJ47" s="1">
        <f t="shared" si="44"/>
        <v>631951.44930694264</v>
      </c>
      <c r="AK47" s="1">
        <f t="shared" si="20"/>
        <v>1648503.2371746951</v>
      </c>
      <c r="AL47" s="1">
        <f t="shared" si="5"/>
        <v>1380387.7031245753</v>
      </c>
      <c r="AM47" s="36"/>
      <c r="AN47" s="1">
        <f t="shared" si="45"/>
        <v>1805954.5190346132</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-5417.8635571038394</v>
      </c>
      <c r="BF47" s="64">
        <f>IF($B47&lt;Analysis!$C$66,0,Analysis!$C$78)</f>
        <v>3.0000000000000001E-3</v>
      </c>
      <c r="BG47" s="1">
        <f>IF($B47&lt;Analysis!$C$66,0,-BH47*AN47)</f>
        <v>-13544.658892759599</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-230259.20117691319</v>
      </c>
      <c r="BS47" s="64">
        <f>IF($B47&lt;Analysis!C$66,0,Analysis!C$31)</f>
        <v>0.1275</v>
      </c>
      <c r="BT47" s="1">
        <f>IF($B47&lt;Analysis!$C$66,0,AN47+BR47)</f>
        <v>1575695.3178576999</v>
      </c>
      <c r="BU47" s="1">
        <f>IF($B47-Analysis!$C$66&gt;3,0,IF($AN47&gt;LOOKUP(Analysis!$C$66,$B:$B, AN:AN),$V47*(LOOKUP(Analysis!$C$66,$B:$B, AN:AN)-AN47),0))</f>
        <v>0</v>
      </c>
      <c r="BV47" s="1">
        <f t="shared" si="23"/>
        <v>1575695.3178576999</v>
      </c>
      <c r="BW47" s="42"/>
      <c r="BX47" s="1">
        <f>IF($B47&lt;Analysis!$C$66,$P47+$N47+$X47+$Z47,$P47+$N47+AS47+AV47+BB47+BE47+BG47+MAX(BI47,SUM(BJ47:BN47))+BP47)</f>
        <v>-70922.522449863434</v>
      </c>
      <c r="BY47" s="1">
        <f t="shared" si="24"/>
        <v>53709.432529192491</v>
      </c>
      <c r="BZ47" s="1">
        <f t="shared" si="46"/>
        <v>-17213.089920670944</v>
      </c>
      <c r="CA47" s="1">
        <f>IF(BZ47 &lt; 0,
    IF(CA46 + BZ47 &gt; 0,
        CA46 + BZ47, IF(CF46-ABS(CA46 + BZ47)*(1+$V47) &gt;= CA46 + BZ47,
        0, CA46 + BZ47)),
    MIN(CA46 + BZ47, Analysis!$C$7))+IF(CA46&lt;0, CA46*Analysis!$C$9,0)</f>
        <v>0</v>
      </c>
      <c r="CB47" s="42"/>
      <c r="CC47" s="1">
        <f t="shared" si="47"/>
        <v>25378.491737524368</v>
      </c>
      <c r="CD47" s="1">
        <f>IF(BZ47 &gt;= 0,
    MAX(0, CA46 + BZ47 - Analysis!$C$7),
    0)</f>
        <v>0</v>
      </c>
      <c r="CE47" s="1">
        <f>IF($B47=Analysis!$C$66,0,MAX(0, CE46 + CD47 - IF(BZ47 &lt; 0, MIN(ABS(BZ47), CE46 + CD47), 0)))</f>
        <v>785907.29327530006</v>
      </c>
      <c r="CF47" s="1">
        <f>IF($B47=Analysis!$C$66,0,IF(BZ47 &lt; 0,
    IF(BZ47 + CA46 &lt; 0,
        MAX(0, CF46 - (ABS(BZ47 + CA46) * (1+$V46))),
        CF46 + CC47),
    CF46 + CD47 + CC47))</f>
        <v>1272550.0362264994</v>
      </c>
      <c r="CG47" s="1">
        <f t="shared" si="25"/>
        <v>1144198.0127731205</v>
      </c>
      <c r="CH47" s="36"/>
      <c r="CI47" s="1">
        <f>IF(OR($B47&lt;Analysis!$C$100, $B47&gt;=Analysis!$C$130),0,X47)</f>
        <v>0</v>
      </c>
      <c r="CJ47" s="1">
        <f>IF(OR($B47&lt;Analysis!$C$100, $B47&gt;=Analysis!$C$130),0,Z47)</f>
        <v>0</v>
      </c>
      <c r="CK47" s="1">
        <f t="shared" si="60"/>
        <v>1192667.1068563275</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-370463.46813395008</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1192667.1068563275</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58620.7148589766</v>
      </c>
      <c r="GQ47" s="1">
        <f t="shared" si="36"/>
        <v>-3578.0013205689825</v>
      </c>
      <c r="GR47" s="64">
        <f>IF($B47&lt;Analysis!$C$159,0,Analysis!$C$178)</f>
        <v>3.0000000000000001E-3</v>
      </c>
      <c r="GS47" s="1">
        <f t="shared" si="37"/>
        <v>-8945.0033014224555</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-6472</v>
      </c>
      <c r="HC47" s="1">
        <f>-Analysis!$C$177*GN47</f>
        <v>-3831.2035153805709</v>
      </c>
      <c r="HD47" s="1">
        <f t="shared" si="38"/>
        <v>-26786.208137372007</v>
      </c>
      <c r="HE47" s="1">
        <f>MIN(0,-(GN47+HD47)*Analysis!$C$28)-GE47*Analysis!$C$28</f>
        <v>-10765.781543198878</v>
      </c>
      <c r="HF47" s="1">
        <f>-Analysis!$C$176*GP47/12</f>
        <v>-4885.0595715813834</v>
      </c>
      <c r="HG47" s="38"/>
      <c r="HH47" s="1">
        <f>IF($B47&lt;Analysis!$C$159,0,-$HI47*$FW47)</f>
        <v>-152065.05612418175</v>
      </c>
      <c r="HI47" s="64">
        <f>IF($B47&lt;Analysis!$C$159,0,IF($B47=Analysis!$C$159,Analysis!$C$31,HI46))</f>
        <v>0.1275</v>
      </c>
      <c r="HJ47" s="1">
        <f>IF($B47&lt;Analysis!$C$159,0,$FW47+HH47)</f>
        <v>1040602.0507321458</v>
      </c>
      <c r="HK47" s="1">
        <f>IF($B47-Analysis!$C$159&gt;10,0,IF($FW47&gt;LOOKUP(Analysis!$C$159,$B:$B, FW:FW),$V47*(LOOKUP(Analysis!$C$159,$B:$B, FW:FW)-FW47),0))</f>
        <v>0</v>
      </c>
      <c r="HL47" s="1">
        <f t="shared" si="39"/>
        <v>1040602.0507321458</v>
      </c>
      <c r="HM47" s="38"/>
      <c r="HN47" s="1">
        <f t="shared" si="40"/>
        <v>-146305.29329604667</v>
      </c>
      <c r="HO47" s="1">
        <f t="shared" si="8"/>
        <v>112330.14738816909</v>
      </c>
      <c r="HP47" s="1">
        <f t="shared" si="41"/>
        <v>-33975.145907877581</v>
      </c>
      <c r="HQ47" s="1">
        <f>IF(HP47 &lt; 0,
    IF(HQ46 + HP47 &gt; 0,
        HQ46 + HP47, IF(HV46-ABS(HQ46 + HP47)*(1+$V47) &gt;= HQ46 + HP47,
        0, HQ46 + HP47)),
    MIN(HQ46 + HP47, Analysis!$C$7))+IF(HQ46&lt;0, HQ46*Analysis!$C$9,0)</f>
        <v>0</v>
      </c>
      <c r="HR47" s="38"/>
      <c r="HS47" s="1">
        <f t="shared" si="54"/>
        <v>32112.243084951173</v>
      </c>
      <c r="HT47" s="1">
        <f>IF($B47=Analysis!$C$159,0,IF(HP47 &gt;= 0,
    MAX(0, HQ46 + HP47 - Analysis!$C$7),
    0))</f>
        <v>0</v>
      </c>
      <c r="HU47" s="1">
        <f>IF($B47=Analysis!$C$159,0,MAX(0, HU46 + HT47 - IF(HP47 &lt; 0, MIN(ABS(HP47), HU46 + HT47), 0)))</f>
        <v>819832.01895813632</v>
      </c>
      <c r="HV47" s="1">
        <f>IF($B47=Analysis!$C$159,0,IF(HP47 &lt; 0,
    IF(HP47 + HQ46 &lt; 0,
        MAX(0, HV46 - (ABS(HP47 + HQ46) * (1+$V46))),
        HV46 + HS47),
    HV46 + HT47 + HS47))</f>
        <v>1594788.3066914352</v>
      </c>
      <c r="HW47" s="1">
        <f t="shared" si="58"/>
        <v>1390393.5858017777</v>
      </c>
      <c r="HX47" s="36"/>
    </row>
    <row r="48" spans="1:232" x14ac:dyDescent="0.35">
      <c r="A48">
        <f t="shared" si="0"/>
        <v>81</v>
      </c>
      <c r="B48">
        <v>2071</v>
      </c>
      <c r="C48" s="1">
        <f>IF($B48&lt;Analysis!C$66,0,$AN48)+$AT48+$AW48+$BC48+$CF48+$CA48</f>
        <v>3107805.4961222364</v>
      </c>
      <c r="D48" s="1">
        <f>IF($B48&lt;Analysis!C$66, 0, BV48)+AT48+AW48+BC48+CG48+CA48</f>
        <v>2743732.8767908402</v>
      </c>
      <c r="E48" s="1">
        <f t="shared" si="1"/>
        <v>1573408.6010566838</v>
      </c>
      <c r="F48" s="1">
        <f t="shared" si="9"/>
        <v>1309426.7073312551</v>
      </c>
      <c r="G48" s="1">
        <f>IF(AND($B48&gt;=Analysis!$C$100, $B48&lt;Analysis!$C$101),$CK48,0)+IF($B48&gt;=Analysis!$C$130,EB48,0)+CQ48+CT48+CZ48+EH48+EK48+EQ48+$FO48+$FT48</f>
        <v>2184417.5682480256</v>
      </c>
      <c r="H48" s="1">
        <f t="shared" si="10"/>
        <v>1850638.474105021</v>
      </c>
      <c r="I48" s="1">
        <f>IF($B48&lt;Analysis!$C$159,0,$FW48)+$GC48+$GF48+$GL48+$HQ48+$HV48</f>
        <v>2776752.8648257563</v>
      </c>
      <c r="J48" s="1">
        <f t="shared" si="59"/>
        <v>2418340.6351117403</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32323.59288577822</v>
      </c>
      <c r="AI48" s="1">
        <f>IF(AE48 &gt;= 0,
    MAX(0, AF47 + AE48 - Analysis!$C$7),
    0)</f>
        <v>0</v>
      </c>
      <c r="AJ48" s="1">
        <f t="shared" si="44"/>
        <v>572529.38314036583</v>
      </c>
      <c r="AK48" s="1">
        <f t="shared" si="20"/>
        <v>1573408.6010566838</v>
      </c>
      <c r="AL48" s="1">
        <f t="shared" si="5"/>
        <v>1309426.7073312551</v>
      </c>
      <c r="AM48" s="36"/>
      <c r="AN48" s="1">
        <f t="shared" si="45"/>
        <v>1859070.8284179843</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-5577.2124852539528</v>
      </c>
      <c r="BF48" s="64">
        <f>IF($B48&lt;Analysis!$C$66,0,Analysis!$C$78)</f>
        <v>3.0000000000000001E-3</v>
      </c>
      <c r="BG48" s="1">
        <f>IF($B48&lt;Analysis!$C$66,0,-BH48*AN48)</f>
        <v>-13943.031213134882</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-237031.53062329302</v>
      </c>
      <c r="BS48" s="64">
        <f>IF($B48&lt;Analysis!C$66,0,Analysis!C$31)</f>
        <v>0.1275</v>
      </c>
      <c r="BT48" s="1">
        <f>IF($B48&lt;Analysis!$C$66,0,AN48+BR48)</f>
        <v>1622039.2977946913</v>
      </c>
      <c r="BU48" s="1">
        <f>IF($B48-Analysis!$C$66&gt;3,0,IF($AN48&gt;LOOKUP(Analysis!$C$66,$B:$B, AN:AN),$V48*(LOOKUP(Analysis!$C$66,$B:$B, AN:AN)-AN48),0))</f>
        <v>0</v>
      </c>
      <c r="BV48" s="1">
        <f t="shared" si="23"/>
        <v>1622039.2977946913</v>
      </c>
      <c r="BW48" s="42"/>
      <c r="BX48" s="1">
        <f>IF($B48&lt;Analysis!$C$66,$P48+$N48+$X48+$Z48,$P48+$N48+AS48+AV48+BB48+BE48+BG48+MAX(BI48,SUM(BJ48:BN48))+BP48)</f>
        <v>-71480.243698388833</v>
      </c>
      <c r="BY48" s="1">
        <f t="shared" si="24"/>
        <v>52635.243878608642</v>
      </c>
      <c r="BZ48" s="1">
        <f t="shared" si="46"/>
        <v>-18844.999819780191</v>
      </c>
      <c r="CA48" s="1">
        <f>IF(BZ48 &lt; 0,
    IF(CA47 + BZ48 &gt; 0,
        CA47 + BZ48, IF(CF47-ABS(CA47 + BZ48)*(1+$V48) &gt;= CA47 + BZ48,
        0, CA47 + BZ48)),
    MIN(CA47 + BZ48, Analysis!$C$7))+IF(CA47&lt;0, CA47*Analysis!$C$9,0)</f>
        <v>0</v>
      </c>
      <c r="CB48" s="42"/>
      <c r="CC48" s="1">
        <f t="shared" si="47"/>
        <v>24951.961494637155</v>
      </c>
      <c r="CD48" s="1">
        <f>IF(BZ48 &gt;= 0,
    MAX(0, CA47 + BZ48 - Analysis!$C$7),
    0)</f>
        <v>0</v>
      </c>
      <c r="CE48" s="1">
        <f>IF($B48=Analysis!$C$66,0,MAX(0, CE47 + CD48 - IF(BZ48 &lt; 0, MIN(ABS(BZ48), CE47 + CD48), 0)))</f>
        <v>767062.29345551983</v>
      </c>
      <c r="CF48" s="1">
        <f>IF($B48=Analysis!$C$66,0,IF(BZ48 &lt; 0,
    IF(BZ48 + CA47 &lt; 0,
        MAX(0, CF47 - (ABS(BZ48 + CA47) * (1+$V47))),
        CF47 + CC48),
    CF47 + CD48 + CC48))</f>
        <v>1248734.6677042521</v>
      </c>
      <c r="CG48" s="1">
        <f t="shared" si="25"/>
        <v>1121693.5789961489</v>
      </c>
      <c r="CH48" s="36"/>
      <c r="CI48" s="1">
        <f>IF(OR($B48&lt;Analysis!$C$100, $B48&gt;=Analysis!$C$130),0,X48)</f>
        <v>0</v>
      </c>
      <c r="CJ48" s="1">
        <f>IF(OR($B48&lt;Analysis!$C$100, $B48&gt;=Analysis!$C$130),0,Z48)</f>
        <v>0</v>
      </c>
      <c r="CK48" s="1">
        <f t="shared" si="60"/>
        <v>1227745.5511756313</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-433457.67993240303</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1227745.5511756313</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60228.382943064156</v>
      </c>
      <c r="GQ48" s="1">
        <f t="shared" si="36"/>
        <v>-3683.2366535268943</v>
      </c>
      <c r="GR48" s="64">
        <f>IF($B48&lt;Analysis!$C$159,0,Analysis!$C$178)</f>
        <v>3.0000000000000001E-3</v>
      </c>
      <c r="GS48" s="1">
        <f t="shared" si="37"/>
        <v>-9208.0916338172356</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-6472</v>
      </c>
      <c r="HC48" s="1">
        <f>-Analysis!$C$177*GN48</f>
        <v>-3943.8859717152945</v>
      </c>
      <c r="HD48" s="1">
        <f t="shared" si="38"/>
        <v>-27267.214259059423</v>
      </c>
      <c r="HE48" s="1">
        <f>MIN(0,-(GN48+HD48)*Analysis!$C$28)-GE48*Analysis!$C$28</f>
        <v>-11218.375682704729</v>
      </c>
      <c r="HF48" s="1">
        <f>-Analysis!$C$176*GP48/12</f>
        <v>-5019.031911922013</v>
      </c>
      <c r="HG48" s="38"/>
      <c r="HH48" s="1">
        <f>IF($B48&lt;Analysis!$C$159,0,-$HI48*$FW48)</f>
        <v>-156537.55777489301</v>
      </c>
      <c r="HI48" s="64">
        <f>IF($B48&lt;Analysis!$C$159,0,IF($B48=Analysis!$C$159,Analysis!$C$31,HI47))</f>
        <v>0.1275</v>
      </c>
      <c r="HJ48" s="1">
        <f>IF($B48&lt;Analysis!$C$159,0,$FW48+HH48)</f>
        <v>1071207.9934007383</v>
      </c>
      <c r="HK48" s="1">
        <f>IF($B48-Analysis!$C$159&gt;10,0,IF($FW48&gt;LOOKUP(Analysis!$C$159,$B:$B, FW:FW),$V48*(LOOKUP(Analysis!$C$159,$B:$B, FW:FW)-FW48),0))</f>
        <v>0</v>
      </c>
      <c r="HL48" s="1">
        <f t="shared" si="39"/>
        <v>1071207.9934007383</v>
      </c>
      <c r="HM48" s="38"/>
      <c r="HN48" s="1">
        <f t="shared" si="40"/>
        <v>-149089.93189887158</v>
      </c>
      <c r="HO48" s="1">
        <f t="shared" si="8"/>
        <v>112863.62682167281</v>
      </c>
      <c r="HP48" s="1">
        <f t="shared" si="41"/>
        <v>-36226.305077198776</v>
      </c>
      <c r="HQ48" s="1">
        <f>IF(HP48 &lt; 0,
    IF(HQ47 + HP48 &gt; 0,
        HQ47 + HP48, IF(HV47-ABS(HQ47 + HP48)*(1+$V48) &gt;= HQ47 + HP48,
        0, HQ47 + HP48)),
    MIN(HQ47 + HP48, Analysis!$C$7))+IF(HQ47&lt;0, HQ47*Analysis!$C$9,0)</f>
        <v>0</v>
      </c>
      <c r="HR48" s="38"/>
      <c r="HS48" s="1">
        <f t="shared" si="54"/>
        <v>31270.358954733911</v>
      </c>
      <c r="HT48" s="1">
        <f>IF($B48=Analysis!$C$159,0,IF(HP48 &gt;= 0,
    MAX(0, HQ47 + HP48 - Analysis!$C$7),
    0))</f>
        <v>0</v>
      </c>
      <c r="HU48" s="1">
        <f>IF($B48=Analysis!$C$159,0,MAX(0, HU47 + HT48 - IF(HP48 &lt; 0, MIN(ABS(HP48), HU47 + HT48), 0)))</f>
        <v>783605.71388093755</v>
      </c>
      <c r="HV48" s="1">
        <f>IF($B48=Analysis!$C$159,0,IF(HP48 &lt; 0,
    IF(HP48 + HQ47 &lt; 0,
        MAX(0, HV47 - (ABS(HP48 + HQ47) * (1+$V47))),
        HV47 + HS48),
    HV47 + HT48 + HS48))</f>
        <v>1549007.3136501252</v>
      </c>
      <c r="HW48" s="1">
        <f t="shared" si="58"/>
        <v>1347132.641711002</v>
      </c>
      <c r="HX48" s="36"/>
    </row>
    <row r="49" spans="1:232" x14ac:dyDescent="0.35">
      <c r="A49">
        <f t="shared" si="0"/>
        <v>82</v>
      </c>
      <c r="B49">
        <v>2072</v>
      </c>
      <c r="C49" s="1">
        <f>IF($B49&lt;Analysis!C$66,0,$AN49)+$AT49+$AW49+$BC49+$CF49+$CA49</f>
        <v>3136612.7753534326</v>
      </c>
      <c r="D49" s="1">
        <f>IF($B49&lt;Analysis!C$66, 0, BV49)+AT49+AW49+BC49+CG49+CA49</f>
        <v>2766992.7440431314</v>
      </c>
      <c r="E49" s="1">
        <f t="shared" si="1"/>
        <v>1494749.8451622992</v>
      </c>
      <c r="F49" s="1">
        <f t="shared" si="9"/>
        <v>1235097.7813962842</v>
      </c>
      <c r="G49" s="1">
        <f>IF(AND($B49&gt;=Analysis!$C$100, $B49&lt;Analysis!$C$101),$CK49,0)+IF($B49&gt;=Analysis!$C$130,EB49,0)+CQ49+CT49+CZ49+EH49+EK49+EQ49+$FO49+$FT49</f>
        <v>2191326.4931561858</v>
      </c>
      <c r="H49" s="1">
        <f t="shared" si="10"/>
        <v>1847730.3668325045</v>
      </c>
      <c r="I49" s="1">
        <f>IF($B49&lt;Analysis!$C$159,0,$FW49)+$GC49+$GF49+$GL49+$HQ49+$HV49</f>
        <v>2764220.535816554</v>
      </c>
      <c r="J49" s="1">
        <f t="shared" si="59"/>
        <v>2403881.822598632</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30851.149040327025</v>
      </c>
      <c r="AI49" s="1">
        <f>IF(AE49 &gt;= 0,
    MAX(0, AF48 + AE49 - Analysis!$C$7),
    0)</f>
        <v>0</v>
      </c>
      <c r="AJ49" s="1">
        <f t="shared" si="44"/>
        <v>510287.04415371141</v>
      </c>
      <c r="AK49" s="1">
        <f t="shared" si="20"/>
        <v>1494749.8451622992</v>
      </c>
      <c r="AL49" s="1">
        <f t="shared" si="5"/>
        <v>1235097.7813962842</v>
      </c>
      <c r="AM49" s="36"/>
      <c r="AN49" s="1">
        <f t="shared" si="45"/>
        <v>1913749.382194984</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-5741.2481465849523</v>
      </c>
      <c r="BF49" s="64">
        <f>IF($B49&lt;Analysis!$C$66,0,Analysis!$C$78)</f>
        <v>3.0000000000000001E-3</v>
      </c>
      <c r="BG49" s="1">
        <f>IF($B49&lt;Analysis!$C$66,0,-BH49*AN49)</f>
        <v>-14353.120366462379</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-244003.04622986045</v>
      </c>
      <c r="BS49" s="64">
        <f>IF($B49&lt;Analysis!C$66,0,Analysis!C$31)</f>
        <v>0.1275</v>
      </c>
      <c r="BT49" s="1">
        <f>IF($B49&lt;Analysis!$C$66,0,AN49+BR49)</f>
        <v>1669746.3359651235</v>
      </c>
      <c r="BU49" s="1">
        <f>IF($B49-Analysis!$C$66&gt;3,0,IF($AN49&gt;LOOKUP(Analysis!$C$66,$B:$B, AN:AN),$V49*(LOOKUP(Analysis!$C$66,$B:$B, AN:AN)-AN49),0))</f>
        <v>0</v>
      </c>
      <c r="BV49" s="1">
        <f t="shared" si="23"/>
        <v>1669746.3359651235</v>
      </c>
      <c r="BW49" s="42"/>
      <c r="BX49" s="1">
        <f>IF($B49&lt;Analysis!$C$66,$P49+$N49+$X49+$Z49,$P49+$N49+AS49+AV49+BB49+BE49+BG49+MAX(BI49,SUM(BJ49:BN49))+BP49)</f>
        <v>-72054.368513047331</v>
      </c>
      <c r="BY49" s="1">
        <f t="shared" si="24"/>
        <v>51582.539001036472</v>
      </c>
      <c r="BZ49" s="1">
        <f t="shared" si="46"/>
        <v>-20471.82951201086</v>
      </c>
      <c r="CA49" s="1">
        <f>IF(BZ49 &lt; 0,
    IF(CA48 + BZ49 &gt; 0,
        CA48 + BZ49, IF(CF48-ABS(CA48 + BZ49)*(1+$V49) &gt;= CA48 + BZ49,
        0, CA48 + BZ49)),
    MIN(CA48 + BZ49, Analysis!$C$7))+IF(CA48&lt;0, CA48*Analysis!$C$9,0)</f>
        <v>0</v>
      </c>
      <c r="CB49" s="42"/>
      <c r="CC49" s="1">
        <f t="shared" si="47"/>
        <v>24484.993484397011</v>
      </c>
      <c r="CD49" s="1">
        <f>IF(BZ49 &gt;= 0,
    MAX(0, CA48 + BZ49 - Analysis!$C$7),
    0)</f>
        <v>0</v>
      </c>
      <c r="CE49" s="1">
        <f>IF($B49=Analysis!$C$66,0,MAX(0, CE48 + CD49 - IF(BZ49 &lt; 0, MIN(ABS(BZ49), CE48 + CD49), 0)))</f>
        <v>746590.46394350892</v>
      </c>
      <c r="CF49" s="1">
        <f>IF($B49=Analysis!$C$66,0,IF(BZ49 &lt; 0,
    IF(BZ49 + CA48 &lt; 0,
        MAX(0, CF48 - (ABS(BZ49 + CA48) * (1+$V48))),
        CF48 + CC49),
    CF48 + CD49 + CC49))</f>
        <v>1222863.3931584484</v>
      </c>
      <c r="CG49" s="1">
        <f t="shared" si="25"/>
        <v>1097246.4080780081</v>
      </c>
      <c r="CH49" s="36"/>
      <c r="CI49" s="1">
        <f>IF(OR($B49&lt;Analysis!$C$100, $B49&gt;=Analysis!$C$130),0,X49)</f>
        <v>0</v>
      </c>
      <c r="CJ49" s="1">
        <f>IF(OR($B49&lt;Analysis!$C$100, $B49&gt;=Analysis!$C$130),0,Z49)</f>
        <v>0</v>
      </c>
      <c r="CK49" s="1">
        <f t="shared" si="60"/>
        <v>1263855.714445503</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-503545.08585307922</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1263855.714445503</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61883.335382566045</v>
      </c>
      <c r="GQ49" s="1">
        <f t="shared" si="36"/>
        <v>-3791.5671433365092</v>
      </c>
      <c r="GR49" s="64">
        <f>IF($B49&lt;Analysis!$C$159,0,Analysis!$C$178)</f>
        <v>3.0000000000000001E-3</v>
      </c>
      <c r="GS49" s="1">
        <f t="shared" si="37"/>
        <v>-9478.9178583412722</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-6472</v>
      </c>
      <c r="HC49" s="1">
        <f>-Analysis!$C$177*GN49</f>
        <v>-4059.8826179422153</v>
      </c>
      <c r="HD49" s="1">
        <f t="shared" si="38"/>
        <v>-27762.367619619996</v>
      </c>
      <c r="HE49" s="1">
        <f>MIN(0,-(GN49+HD49)*Analysis!$C$28)-GE49*Analysis!$C$28</f>
        <v>-11684.281414548987</v>
      </c>
      <c r="HF49" s="1">
        <f>-Analysis!$C$176*GP49/12</f>
        <v>-5156.9446152138371</v>
      </c>
      <c r="HG49" s="38"/>
      <c r="HH49" s="1">
        <f>IF($B49&lt;Analysis!$C$159,0,-$HI49*$FW49)</f>
        <v>-161141.60359180163</v>
      </c>
      <c r="HI49" s="64">
        <f>IF($B49&lt;Analysis!$C$159,0,IF($B49=Analysis!$C$159,Analysis!$C$31,HI48))</f>
        <v>0.1275</v>
      </c>
      <c r="HJ49" s="1">
        <f>IF($B49&lt;Analysis!$C$159,0,$FW49+HH49)</f>
        <v>1102714.1108537014</v>
      </c>
      <c r="HK49" s="1">
        <f>IF($B49-Analysis!$C$159&gt;10,0,IF($FW49&gt;LOOKUP(Analysis!$C$159,$B:$B, FW:FW),$V49*(LOOKUP(Analysis!$C$159,$B:$B, FW:FW)-FW49),0))</f>
        <v>0</v>
      </c>
      <c r="HL49" s="1">
        <f t="shared" si="39"/>
        <v>1102714.1108537014</v>
      </c>
      <c r="HM49" s="38"/>
      <c r="HN49" s="1">
        <f t="shared" si="40"/>
        <v>-151956.4716370737</v>
      </c>
      <c r="HO49" s="1">
        <f t="shared" si="8"/>
        <v>113465.87438360252</v>
      </c>
      <c r="HP49" s="1">
        <f t="shared" si="41"/>
        <v>-38490.597253471176</v>
      </c>
      <c r="HQ49" s="1">
        <f>IF(HP49 &lt; 0,
    IF(HQ48 + HP49 &gt; 0,
        HQ48 + HP49, IF(HV48-ABS(HQ48 + HP49)*(1+$V49) &gt;= HQ48 + HP49,
        0, HQ48 + HP49)),
    MIN(HQ48 + HP49, Analysis!$C$7))+IF(HQ48&lt;0, HQ48*Analysis!$C$9,0)</f>
        <v>0</v>
      </c>
      <c r="HR49" s="38"/>
      <c r="HS49" s="1">
        <f t="shared" si="54"/>
        <v>30372.692424512152</v>
      </c>
      <c r="HT49" s="1">
        <f>IF($B49=Analysis!$C$159,0,IF(HP49 &gt;= 0,
    MAX(0, HQ48 + HP49 - Analysis!$C$7),
    0))</f>
        <v>0</v>
      </c>
      <c r="HU49" s="1">
        <f>IF($B49=Analysis!$C$159,0,MAX(0, HU48 + HT49 - IF(HP49 &lt; 0, MIN(ABS(HP49), HU48 + HT49), 0)))</f>
        <v>745115.1166274664</v>
      </c>
      <c r="HV49" s="1">
        <f>IF($B49=Analysis!$C$159,0,IF(HP49 &lt; 0,
    IF(HP49 + HQ48 &lt; 0,
        MAX(0, HV48 - (ABS(HP49 + HQ48) * (1+$V48))),
        HV48 + HS49),
    HV48 + HT49 + HS49))</f>
        <v>1500364.821371051</v>
      </c>
      <c r="HW49" s="1">
        <f t="shared" si="58"/>
        <v>1301167.7117449306</v>
      </c>
      <c r="HX49" s="36"/>
    </row>
    <row r="50" spans="1:232" x14ac:dyDescent="0.35">
      <c r="A50">
        <f t="shared" si="0"/>
        <v>83</v>
      </c>
      <c r="B50">
        <v>2073</v>
      </c>
      <c r="C50" s="1">
        <f>IF($B50&lt;Analysis!C$66,0,$AN50)+$AT50+$AW50+$BC50+$CF50+$CA50</f>
        <v>3164977.6087222192</v>
      </c>
      <c r="D50" s="1">
        <f>IF($B50&lt;Analysis!C$66, 0, BV50)+AT50+AW50+BC50+CG50+CA50</f>
        <v>2789717.9997906056</v>
      </c>
      <c r="E50" s="1">
        <f t="shared" si="1"/>
        <v>1412487.8776665181</v>
      </c>
      <c r="F50" s="1">
        <f t="shared" si="9"/>
        <v>1157363.9853333414</v>
      </c>
      <c r="G50" s="1">
        <f>IF(AND($B50&gt;=Analysis!$C$100, $B50&lt;Analysis!$C$101),$CK50,0)+IF($B50&gt;=Analysis!$C$130,EB50,0)+CQ50+CT50+CZ50+EH50+EK50+EQ50+$FO50+$FT50</f>
        <v>2192830.9807018982</v>
      </c>
      <c r="H50" s="1">
        <f t="shared" si="10"/>
        <v>1839129.085956932</v>
      </c>
      <c r="I50" s="1">
        <f>IF($B50&lt;Analysis!$C$159,0,$FW50)+$GC50+$GF50+$GL50+$HQ50+$HV50</f>
        <v>2749870.3446801072</v>
      </c>
      <c r="J50" s="1">
        <f t="shared" si="59"/>
        <v>2387628.2625097679</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29308.820493378313</v>
      </c>
      <c r="AI50" s="1">
        <f>IF(AE50 &gt;= 0,
    MAX(0, AF49 + AE50 - Analysis!$C$7),
    0)</f>
        <v>0</v>
      </c>
      <c r="AJ50" s="1">
        <f t="shared" si="44"/>
        <v>445193.49915210414</v>
      </c>
      <c r="AK50" s="1">
        <f t="shared" si="20"/>
        <v>1412487.8776665181</v>
      </c>
      <c r="AL50" s="1">
        <f t="shared" si="5"/>
        <v>1157363.9853333414</v>
      </c>
      <c r="AM50" s="36"/>
      <c r="AN50" s="1">
        <f t="shared" si="45"/>
        <v>1970036.1287301308</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-5910.1083861903926</v>
      </c>
      <c r="BF50" s="64">
        <f>IF($B50&lt;Analysis!$C$66,0,Analysis!$C$78)</f>
        <v>3.0000000000000001E-3</v>
      </c>
      <c r="BG50" s="1">
        <f>IF($B50&lt;Analysis!$C$66,0,-BH50*AN50)</f>
        <v>-14775.27096547598</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-251179.60641309168</v>
      </c>
      <c r="BS50" s="64">
        <f>IF($B50&lt;Analysis!C$66,0,Analysis!C$31)</f>
        <v>0.1275</v>
      </c>
      <c r="BT50" s="1">
        <f>IF($B50&lt;Analysis!$C$66,0,AN50+BR50)</f>
        <v>1718856.5223170391</v>
      </c>
      <c r="BU50" s="1">
        <f>IF($B50-Analysis!$C$66&gt;3,0,IF($AN50&gt;LOOKUP(Analysis!$C$66,$B:$B, AN:AN),$V50*(LOOKUP(Analysis!$C$66,$B:$B, AN:AN)-AN50),0))</f>
        <v>0</v>
      </c>
      <c r="BV50" s="1">
        <f t="shared" si="23"/>
        <v>1718856.5223170391</v>
      </c>
      <c r="BW50" s="42"/>
      <c r="BX50" s="1">
        <f>IF($B50&lt;Analysis!$C$66,$P50+$N50+$X50+$Z50,$P50+$N50+AS50+AV50+BB50+BE50+BG50+MAX(BI50,SUM(BJ50:BN50))+BP50)</f>
        <v>-72645.379351666372</v>
      </c>
      <c r="BY50" s="1">
        <f t="shared" si="24"/>
        <v>50550.888221015739</v>
      </c>
      <c r="BZ50" s="1">
        <f t="shared" si="46"/>
        <v>-22094.491130650633</v>
      </c>
      <c r="CA50" s="1">
        <f>IF(BZ50 &lt; 0,
    IF(CA49 + BZ50 &gt; 0,
        CA49 + BZ50, IF(CF49-ABS(CA49 + BZ50)*(1+$V50) &gt;= CA49 + BZ50,
        0, CA49 + BZ50)),
    MIN(CA49 + BZ50, Analysis!$C$7))+IF(CA49&lt;0, CA49*Analysis!$C$9,0)</f>
        <v>0</v>
      </c>
      <c r="CB50" s="42"/>
      <c r="CC50" s="1">
        <f t="shared" si="47"/>
        <v>23977.713591342039</v>
      </c>
      <c r="CD50" s="1">
        <f>IF(BZ50 &gt;= 0,
    MAX(0, CA49 + BZ50 - Analysis!$C$7),
    0)</f>
        <v>0</v>
      </c>
      <c r="CE50" s="1">
        <f>IF($B50=Analysis!$C$66,0,MAX(0, CE49 + CD50 - IF(BZ50 &lt; 0, MIN(ABS(BZ50), CE49 + CD50), 0)))</f>
        <v>724495.97281285829</v>
      </c>
      <c r="CF50" s="1">
        <f>IF($B50=Analysis!$C$66,0,IF(BZ50 &lt; 0,
    IF(BZ50 + CA49 &lt; 0,
        MAX(0, CF49 - (ABS(BZ50 + CA49) * (1+$V49))),
        CF49 + CC50),
    CF49 + CD50 + CC50))</f>
        <v>1194941.4799920886</v>
      </c>
      <c r="CG50" s="1">
        <f t="shared" si="25"/>
        <v>1070861.4774735665</v>
      </c>
      <c r="CH50" s="36"/>
      <c r="CI50" s="1">
        <f>IF(OR($B50&lt;Analysis!$C$100, $B50&gt;=Analysis!$C$130),0,X50)</f>
        <v>0</v>
      </c>
      <c r="CJ50" s="1">
        <f>IF(OR($B50&lt;Analysis!$C$100, $B50&gt;=Analysis!$C$130),0,Z50)</f>
        <v>0</v>
      </c>
      <c r="CK50" s="1">
        <f t="shared" si="60"/>
        <v>1301027.9413409592</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-581301.52710175735</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1301027.9413409592</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63586.962893817996</v>
      </c>
      <c r="GQ50" s="1">
        <f t="shared" si="36"/>
        <v>-3903.0838240228777</v>
      </c>
      <c r="GR50" s="64">
        <f>IF($B50&lt;Analysis!$C$159,0,Analysis!$C$178)</f>
        <v>3.0000000000000001E-3</v>
      </c>
      <c r="GS50" s="1">
        <f t="shared" si="37"/>
        <v>-9757.7095600571938</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-6472</v>
      </c>
      <c r="HC50" s="1">
        <f>-Analysis!$C$177*GN50</f>
        <v>-4179.2909302346334</v>
      </c>
      <c r="HD50" s="1">
        <f t="shared" si="38"/>
        <v>-28272.084314314707</v>
      </c>
      <c r="HE50" s="1">
        <f>MIN(0,-(GN50+HD50)*Analysis!$C$28)-GE50*Analysis!$C$28</f>
        <v>-12163.890256153369</v>
      </c>
      <c r="HF50" s="1">
        <f>-Analysis!$C$176*GP50/12</f>
        <v>-5298.9135744848327</v>
      </c>
      <c r="HG50" s="38"/>
      <c r="HH50" s="1">
        <f>IF($B50&lt;Analysis!$C$159,0,-$HI50*$FW50)</f>
        <v>-165881.06252097231</v>
      </c>
      <c r="HI50" s="64">
        <f>IF($B50&lt;Analysis!$C$159,0,IF($B50=Analysis!$C$159,Analysis!$C$31,HI49))</f>
        <v>0.1275</v>
      </c>
      <c r="HJ50" s="1">
        <f>IF($B50&lt;Analysis!$C$159,0,$FW50+HH50)</f>
        <v>1135146.8788199869</v>
      </c>
      <c r="HK50" s="1">
        <f>IF($B50-Analysis!$C$159&gt;10,0,IF($FW50&gt;LOOKUP(Analysis!$C$159,$B:$B, FW:FW),$V50*(LOOKUP(Analysis!$C$159,$B:$B, FW:FW)-FW50),0))</f>
        <v>0</v>
      </c>
      <c r="HL50" s="1">
        <f t="shared" si="39"/>
        <v>1135146.8788199869</v>
      </c>
      <c r="HM50" s="38"/>
      <c r="HN50" s="1">
        <f t="shared" si="40"/>
        <v>-154907.3213675759</v>
      </c>
      <c r="HO50" s="1">
        <f t="shared" si="8"/>
        <v>114137.85111483373</v>
      </c>
      <c r="HP50" s="1">
        <f t="shared" si="41"/>
        <v>-40769.470252742176</v>
      </c>
      <c r="HQ50" s="1">
        <f>IF(HP50 &lt; 0,
    IF(HQ49 + HP50 &gt; 0,
        HQ49 + HP50, IF(HV49-ABS(HQ49 + HP50)*(1+$V50) &gt;= HQ49 + HP50,
        0, HQ49 + HP50)),
    MIN(HQ49 + HP50, Analysis!$C$7))+IF(HQ49&lt;0, HQ49*Analysis!$C$9,0)</f>
        <v>0</v>
      </c>
      <c r="HR50" s="38"/>
      <c r="HS50" s="1">
        <f t="shared" si="54"/>
        <v>29418.918066098937</v>
      </c>
      <c r="HT50" s="1">
        <f>IF($B50=Analysis!$C$159,0,IF(HP50 &gt;= 0,
    MAX(0, HQ49 + HP50 - Analysis!$C$7),
    0))</f>
        <v>0</v>
      </c>
      <c r="HU50" s="1">
        <f>IF($B50=Analysis!$C$159,0,MAX(0, HU49 + HT50 - IF(HP50 &lt; 0, MIN(ABS(HP50), HU49 + HT50), 0)))</f>
        <v>704345.64637472422</v>
      </c>
      <c r="HV50" s="1">
        <f>IF($B50=Analysis!$C$159,0,IF(HP50 &lt; 0,
    IF(HP50 + HQ49 &lt; 0,
        MAX(0, HV49 - (ABS(HP50 + HQ49) * (1+$V49))),
        HV49 + HS50),
    HV49 + HT50 + HS50))</f>
        <v>1448842.403339148</v>
      </c>
      <c r="HW50" s="1">
        <f t="shared" si="58"/>
        <v>1252481.3836897812</v>
      </c>
      <c r="HX50" s="36"/>
    </row>
    <row r="51" spans="1:232" x14ac:dyDescent="0.35">
      <c r="A51">
        <f t="shared" si="0"/>
        <v>84</v>
      </c>
      <c r="B51">
        <v>2074</v>
      </c>
      <c r="C51" s="1">
        <f>IF($B51&lt;Analysis!C$66,0,$AN51)+$AT51+$AW51+$BC51+$CF51+$CA51</f>
        <v>3192951.4036376756</v>
      </c>
      <c r="D51" s="1">
        <f>IF($B51&lt;Analysis!C$66, 0, BV51)+AT51+AW51+BC51+CG51+CA51</f>
        <v>2811953.7946123732</v>
      </c>
      <c r="E51" s="1">
        <f t="shared" si="1"/>
        <v>1326581.1422802128</v>
      </c>
      <c r="F51" s="1">
        <f t="shared" si="9"/>
        <v>1076186.0503502677</v>
      </c>
      <c r="G51" s="1">
        <f>IF(AND($B51&gt;=Analysis!$C$100, $B51&lt;Analysis!$C$101),$CK51,0)+IF($B51&gt;=Analysis!$C$130,EB51,0)+CQ51+CT51+CZ51+EH51+EK51+EQ51+$FO51+$FT51</f>
        <v>2188374.4412477948</v>
      </c>
      <c r="H51" s="1">
        <f t="shared" si="10"/>
        <v>1824269.5495985649</v>
      </c>
      <c r="I51" s="1">
        <f>IF($B51&lt;Analysis!$C$159,0,$FW51)+$GC51+$GF51+$GL51+$HQ51+$HV51</f>
        <v>2733713.2454059403</v>
      </c>
      <c r="J51" s="1">
        <f t="shared" si="59"/>
        <v>2369588.0425986433</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27695.84073855908</v>
      </c>
      <c r="AI51" s="1">
        <f>IF(AE51 &gt;= 0,
    MAX(0, AF50 + AE51 - Analysis!$C$7),
    0)</f>
        <v>0</v>
      </c>
      <c r="AJ51" s="1">
        <f t="shared" si="44"/>
        <v>377215.86482070532</v>
      </c>
      <c r="AK51" s="1">
        <f t="shared" si="20"/>
        <v>1326581.1422802128</v>
      </c>
      <c r="AL51" s="1">
        <f t="shared" si="5"/>
        <v>1076186.0503502677</v>
      </c>
      <c r="AM51" s="36"/>
      <c r="AN51" s="1">
        <f t="shared" si="45"/>
        <v>2027978.3678104291</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-6083.9351034312876</v>
      </c>
      <c r="BF51" s="64">
        <f>IF($B51&lt;Analysis!$C$66,0,Analysis!$C$78)</f>
        <v>3.0000000000000001E-3</v>
      </c>
      <c r="BG51" s="1">
        <f>IF($B51&lt;Analysis!$C$66,0,-BH51*AN51)</f>
        <v>-15209.837758578218</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-258567.24189582971</v>
      </c>
      <c r="BS51" s="64">
        <f>IF($B51&lt;Analysis!C$66,0,Analysis!C$31)</f>
        <v>0.1275</v>
      </c>
      <c r="BT51" s="1">
        <f>IF($B51&lt;Analysis!$C$66,0,AN51+BR51)</f>
        <v>1769411.1259145993</v>
      </c>
      <c r="BU51" s="1">
        <f>IF($B51-Analysis!$C$66&gt;3,0,IF($AN51&gt;LOOKUP(Analysis!$C$66,$B:$B, AN:AN),$V51*(LOOKUP(Analysis!$C$66,$B:$B, AN:AN)-AN51),0))</f>
        <v>0</v>
      </c>
      <c r="BV51" s="1">
        <f t="shared" si="23"/>
        <v>1769411.1259145993</v>
      </c>
      <c r="BW51" s="42"/>
      <c r="BX51" s="1">
        <f>IF($B51&lt;Analysis!$C$66,$P51+$N51+$X51+$Z51,$P51+$N51+AS51+AV51+BB51+BE51+BG51+MAX(BI51,SUM(BJ51:BN51))+BP51)</f>
        <v>-73253.7728620095</v>
      </c>
      <c r="BY51" s="1">
        <f t="shared" si="24"/>
        <v>49539.870456595425</v>
      </c>
      <c r="BZ51" s="1">
        <f t="shared" si="46"/>
        <v>-23713.902405414075</v>
      </c>
      <c r="CA51" s="1">
        <f>IF(BZ51 &lt; 0,
    IF(CA50 + BZ51 &gt; 0,
        CA50 + BZ51, IF(CF50-ABS(CA50 + BZ51)*(1+$V51) &gt;= CA50 + BZ51,
        0, CA50 + BZ51)),
    MIN(CA50 + BZ51, Analysis!$C$7))+IF(CA50&lt;0, CA50*Analysis!$C$9,0)</f>
        <v>0</v>
      </c>
      <c r="CB51" s="42"/>
      <c r="CC51" s="1">
        <f t="shared" si="47"/>
        <v>23430.225097884009</v>
      </c>
      <c r="CD51" s="1">
        <f>IF(BZ51 &gt;= 0,
    MAX(0, CA50 + BZ51 - Analysis!$C$7),
    0)</f>
        <v>0</v>
      </c>
      <c r="CE51" s="1">
        <f>IF($B51=Analysis!$C$66,0,MAX(0, CE50 + CD51 - IF(BZ51 &lt; 0, MIN(ABS(BZ51), CE50 + CD51), 0)))</f>
        <v>700782.07040744426</v>
      </c>
      <c r="CF51" s="1">
        <f>IF($B51=Analysis!$C$66,0,IF(BZ51 &lt; 0,
    IF(BZ51 + CA50 &lt; 0,
        MAX(0, CF50 - (ABS(BZ51 + CA50) * (1+$V50))),
        CF50 + CC51),
    CF50 + CD51 + CC51))</f>
        <v>1164973.0358272465</v>
      </c>
      <c r="CG51" s="1">
        <f t="shared" si="25"/>
        <v>1042542.6686977737</v>
      </c>
      <c r="CH51" s="36"/>
      <c r="CI51" s="1">
        <f>IF(OR($B51&lt;Analysis!$C$100, $B51&gt;=Analysis!$C$130),0,X51)</f>
        <v>0</v>
      </c>
      <c r="CJ51" s="1">
        <f>IF(OR($B51&lt;Analysis!$C$100, $B51&gt;=Analysis!$C$130),0,Z51)</f>
        <v>0</v>
      </c>
      <c r="CK51" s="1">
        <f t="shared" si="60"/>
        <v>1339293.4690274582</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-667350.19913832203</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1339293.4690274582</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65340.697096577358</v>
      </c>
      <c r="GQ51" s="1">
        <f t="shared" si="36"/>
        <v>-4017.8804070823749</v>
      </c>
      <c r="GR51" s="64">
        <f>IF($B51&lt;Analysis!$C$159,0,Analysis!$C$178)</f>
        <v>3.0000000000000001E-3</v>
      </c>
      <c r="GS51" s="1">
        <f t="shared" si="37"/>
        <v>-10044.701017705936</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-6472</v>
      </c>
      <c r="HC51" s="1">
        <f>-Analysis!$C$177*GN51</f>
        <v>-4302.2112517121232</v>
      </c>
      <c r="HD51" s="1">
        <f t="shared" si="38"/>
        <v>-28796.792676500434</v>
      </c>
      <c r="HE51" s="1">
        <f>MIN(0,-(GN51+HD51)*Analysis!$C$28)-GE51*Analysis!$C$28</f>
        <v>-12657.605240157884</v>
      </c>
      <c r="HF51" s="1">
        <f>-Analysis!$C$176*GP51/12</f>
        <v>-5445.0580913814465</v>
      </c>
      <c r="HG51" s="38"/>
      <c r="HH51" s="1">
        <f>IF($B51&lt;Analysis!$C$159,0,-$HI51*$FW51)</f>
        <v>-170759.91730100094</v>
      </c>
      <c r="HI51" s="64">
        <f>IF($B51&lt;Analysis!$C$159,0,IF($B51=Analysis!$C$159,Analysis!$C$31,HI50))</f>
        <v>0.1275</v>
      </c>
      <c r="HJ51" s="1">
        <f>IF($B51&lt;Analysis!$C$159,0,$FW51+HH51)</f>
        <v>1168533.5517264572</v>
      </c>
      <c r="HK51" s="1">
        <f>IF($B51-Analysis!$C$159&gt;10,0,IF($FW51&gt;LOOKUP(Analysis!$C$159,$B:$B, FW:FW),$V51*(LOOKUP(Analysis!$C$159,$B:$B, FW:FW)-FW51),0))</f>
        <v>0</v>
      </c>
      <c r="HL51" s="1">
        <f t="shared" si="39"/>
        <v>1168533.5517264572</v>
      </c>
      <c r="HM51" s="38"/>
      <c r="HN51" s="1">
        <f t="shared" si="40"/>
        <v>-157944.96079603402</v>
      </c>
      <c r="HO51" s="1">
        <f t="shared" si="8"/>
        <v>114880.56755317279</v>
      </c>
      <c r="HP51" s="1">
        <f t="shared" si="41"/>
        <v>-43064.393242861232</v>
      </c>
      <c r="HQ51" s="1">
        <f>IF(HP51 &lt; 0,
    IF(HQ50 + HP51 &gt; 0,
        HQ50 + HP51, IF(HV50-ABS(HQ50 + HP51)*(1+$V51) &gt;= HQ50 + HP51,
        0, HQ50 + HP51)),
    MIN(HQ50 + HP51, Analysis!$C$7))+IF(HQ50&lt;0, HQ50*Analysis!$C$9,0)</f>
        <v>0</v>
      </c>
      <c r="HR51" s="38"/>
      <c r="HS51" s="1">
        <f t="shared" si="54"/>
        <v>28408.674575277313</v>
      </c>
      <c r="HT51" s="1">
        <f>IF($B51=Analysis!$C$159,0,IF(HP51 &gt;= 0,
    MAX(0, HQ50 + HP51 - Analysis!$C$7),
    0))</f>
        <v>0</v>
      </c>
      <c r="HU51" s="1">
        <f>IF($B51=Analysis!$C$159,0,MAX(0, HU50 + HT51 - IF(HP51 &lt; 0, MIN(ABS(HP51), HU50 + HT51), 0)))</f>
        <v>661281.25313186296</v>
      </c>
      <c r="HV51" s="1">
        <f>IF($B51=Analysis!$C$159,0,IF(HP51 &lt; 0,
    IF(HP51 + HQ50 &lt; 0,
        MAX(0, HV50 - (ABS(HP51 + HQ50) * (1+$V50))),
        HV50 + HS51),
    HV50 + HT51 + HS51))</f>
        <v>1394419.7763784821</v>
      </c>
      <c r="HW51" s="1">
        <f t="shared" si="58"/>
        <v>1201054.4908721864</v>
      </c>
      <c r="HX51" s="36"/>
    </row>
    <row r="52" spans="1:232" x14ac:dyDescent="0.35">
      <c r="A52">
        <f t="shared" si="0"/>
        <v>85</v>
      </c>
      <c r="B52">
        <v>2075</v>
      </c>
      <c r="C52" s="1">
        <f>IF($B52&lt;Analysis!C$66,0,$AN52)+$AT52+$AW52+$BC52+$CF52+$CA52</f>
        <v>3220585.7910810448</v>
      </c>
      <c r="D52" s="1">
        <f>IF($B52&lt;Analysis!C$66, 0, BV52)+AT52+AW52+BC52+CG52+CA52</f>
        <v>2833745.3895568149</v>
      </c>
      <c r="E52" s="1">
        <f t="shared" si="1"/>
        <v>1236985.5720600046</v>
      </c>
      <c r="F52" s="1">
        <f t="shared" si="9"/>
        <v>991522.33520149114</v>
      </c>
      <c r="G52" s="1">
        <f>IF(AND($B52&gt;=Analysis!$C$100, $B52&lt;Analysis!$C$101),$CK52,0)+IF($B52&gt;=Analysis!$C$130,EB52,0)+CQ52+CT52+CZ52+EH52+EK52+EQ52+$FO52+$FT52</f>
        <v>2177351.0845115585</v>
      </c>
      <c r="H52" s="1">
        <f t="shared" si="10"/>
        <v>1802537.2254608809</v>
      </c>
      <c r="I52" s="1">
        <f>IF($B52&lt;Analysis!$C$159,0,$FW52)+$GC52+$GF52+$GL52+$HQ52+$HV52</f>
        <v>2715759.2257492859</v>
      </c>
      <c r="J52" s="1">
        <f t="shared" si="59"/>
        <v>2349768.2710049176</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26011.394946670749</v>
      </c>
      <c r="AI52" s="1">
        <f>IF(AE52 &gt;= 0,
    MAX(0, AF51 + AE52 - Analysis!$C$7),
    0)</f>
        <v>0</v>
      </c>
      <c r="AJ52" s="1">
        <f t="shared" si="44"/>
        <v>306319.27117464528</v>
      </c>
      <c r="AK52" s="1">
        <f t="shared" si="20"/>
        <v>1236985.5720600046</v>
      </c>
      <c r="AL52" s="1">
        <f t="shared" si="5"/>
        <v>991522.33520149114</v>
      </c>
      <c r="AM52" s="36"/>
      <c r="AN52" s="1">
        <f t="shared" si="45"/>
        <v>2087624.7903930889</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-6262.8743711792667</v>
      </c>
      <c r="BF52" s="64">
        <f>IF($B52&lt;Analysis!$C$66,0,Analysis!$C$78)</f>
        <v>3.0000000000000001E-3</v>
      </c>
      <c r="BG52" s="1">
        <f>IF($B52&lt;Analysis!$C$66,0,-BH52*AN52)</f>
        <v>-15657.185927948167</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-266172.16077511886</v>
      </c>
      <c r="BS52" s="64">
        <f>IF($B52&lt;Analysis!C$66,0,Analysis!C$31)</f>
        <v>0.1275</v>
      </c>
      <c r="BT52" s="1">
        <f>IF($B52&lt;Analysis!$C$66,0,AN52+BR52)</f>
        <v>1821452.62961797</v>
      </c>
      <c r="BU52" s="1">
        <f>IF($B52-Analysis!$C$66&gt;3,0,IF($AN52&gt;LOOKUP(Analysis!$C$66,$B:$B, AN:AN),$V52*(LOOKUP(Analysis!$C$66,$B:$B, AN:AN)-AN52),0))</f>
        <v>0</v>
      </c>
      <c r="BV52" s="1">
        <f t="shared" si="23"/>
        <v>1821452.62961797</v>
      </c>
      <c r="BW52" s="42"/>
      <c r="BX52" s="1">
        <f>IF($B52&lt;Analysis!$C$66,$P52+$N52+$X52+$Z52,$P52+$N52+AS52+AV52+BB52+BE52+BG52+MAX(BI52,SUM(BJ52:BN52))+BP52)</f>
        <v>-73880.060299127435</v>
      </c>
      <c r="BY52" s="1">
        <f t="shared" si="24"/>
        <v>48549.073047463513</v>
      </c>
      <c r="BZ52" s="1">
        <f t="shared" si="46"/>
        <v>-25330.987251663923</v>
      </c>
      <c r="CA52" s="1">
        <f>IF(BZ52 &lt; 0,
    IF(CA51 + BZ52 &gt; 0,
        CA51 + BZ52, IF(CF51-ABS(CA51 + BZ52)*(1+$V52) &gt;= CA51 + BZ52,
        0, CA51 + BZ52)),
    MIN(CA51 + BZ52, Analysis!$C$7))+IF(CA51&lt;0, CA51*Analysis!$C$9,0)</f>
        <v>0</v>
      </c>
      <c r="CB52" s="42"/>
      <c r="CC52" s="1">
        <f t="shared" si="47"/>
        <v>22842.608545632203</v>
      </c>
      <c r="CD52" s="1">
        <f>IF(BZ52 &gt;= 0,
    MAX(0, CA51 + BZ52 - Analysis!$C$7),
    0)</f>
        <v>0</v>
      </c>
      <c r="CE52" s="1">
        <f>IF($B52=Analysis!$C$66,0,MAX(0, CE51 + CD52 - IF(BZ52 &lt; 0, MIN(ABS(BZ52), CE51 + CD52), 0)))</f>
        <v>675451.08315578033</v>
      </c>
      <c r="CF52" s="1">
        <f>IF($B52=Analysis!$C$66,0,IF(BZ52 &lt; 0,
    IF(BZ52 + CA51 &lt; 0,
        MAX(0, CF51 - (ABS(BZ52 + CA51) * (1+$V51))),
        CF51 + CC52),
    CF51 + CD52 + CC52))</f>
        <v>1132961.0006879561</v>
      </c>
      <c r="CG52" s="1">
        <f t="shared" si="25"/>
        <v>1012292.7599388447</v>
      </c>
      <c r="CH52" s="36"/>
      <c r="CI52" s="1">
        <f>IF(OR($B52&lt;Analysis!$C$100, $B52&gt;=Analysis!$C$130),0,X52)</f>
        <v>0</v>
      </c>
      <c r="CJ52" s="1">
        <f>IF(OR($B52&lt;Analysis!$C$100, $B52&gt;=Analysis!$C$130),0,Z52)</f>
        <v>0</v>
      </c>
      <c r="CK52" s="1">
        <f t="shared" si="60"/>
        <v>1378684.4534106189</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-762365.45706238551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1378684.4534106189</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67146.011717064932</v>
      </c>
      <c r="GQ52" s="1">
        <f t="shared" si="36"/>
        <v>-4136.0533602318565</v>
      </c>
      <c r="GR52" s="64">
        <f>IF($B52&lt;Analysis!$C$159,0,Analysis!$C$178)</f>
        <v>3.0000000000000001E-3</v>
      </c>
      <c r="GS52" s="1">
        <f t="shared" si="37"/>
        <v>-10340.133400579642</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-6472</v>
      </c>
      <c r="HC52" s="1">
        <f>-Analysis!$C$177*GN52</f>
        <v>-4428.7468767624805</v>
      </c>
      <c r="HD52" s="1">
        <f t="shared" si="38"/>
        <v>-29336.93363757398</v>
      </c>
      <c r="HE52" s="1">
        <f>MIN(0,-(GN52+HD52)*Analysis!$C$28)-GE52*Analysis!$C$28</f>
        <v>-13165.841253103705</v>
      </c>
      <c r="HF52" s="1">
        <f>-Analysis!$C$176*GP52/12</f>
        <v>-5595.5009764220777</v>
      </c>
      <c r="HG52" s="38"/>
      <c r="HH52" s="1">
        <f>IF($B52&lt;Analysis!$C$159,0,-$HI52*$FW52)</f>
        <v>-175782.26780985392</v>
      </c>
      <c r="HI52" s="64">
        <f>IF($B52&lt;Analysis!$C$159,0,IF($B52=Analysis!$C$159,Analysis!$C$31,HI51))</f>
        <v>0.1275</v>
      </c>
      <c r="HJ52" s="1">
        <f>IF($B52&lt;Analysis!$C$159,0,$FW52+HH52)</f>
        <v>1202902.185600765</v>
      </c>
      <c r="HK52" s="1">
        <f>IF($B52-Analysis!$C$159&gt;10,0,IF($FW52&gt;LOOKUP(Analysis!$C$159,$B:$B, FW:FW),$V52*(LOOKUP(Analysis!$C$159,$B:$B, FW:FW)-FW52),0))</f>
        <v>0</v>
      </c>
      <c r="HL52" s="1">
        <f t="shared" si="39"/>
        <v>1202902.185600765</v>
      </c>
      <c r="HM52" s="38"/>
      <c r="HN52" s="1">
        <f t="shared" si="40"/>
        <v>-161071.94256062328</v>
      </c>
      <c r="HO52" s="1">
        <f t="shared" si="8"/>
        <v>115695.08476452844</v>
      </c>
      <c r="HP52" s="1">
        <f t="shared" si="41"/>
        <v>-45376.857796094846</v>
      </c>
      <c r="HQ52" s="1">
        <f>IF(HP52 &lt; 0,
    IF(HQ51 + HP52 &gt; 0,
        HQ51 + HP52, IF(HV51-ABS(HQ51 + HP52)*(1+$V52) &gt;= HQ51 + HP52,
        0, HQ51 + HP52)),
    MIN(HQ51 + HP52, Analysis!$C$7))+IF(HQ51&lt;0, HQ51*Analysis!$C$9,0)</f>
        <v>0</v>
      </c>
      <c r="HR52" s="38"/>
      <c r="HS52" s="1">
        <f t="shared" si="54"/>
        <v>27341.564242715238</v>
      </c>
      <c r="HT52" s="1">
        <f>IF($B52=Analysis!$C$159,0,IF(HP52 &gt;= 0,
    MAX(0, HQ51 + HP52 - Analysis!$C$7),
    0))</f>
        <v>0</v>
      </c>
      <c r="HU52" s="1">
        <f>IF($B52=Analysis!$C$159,0,MAX(0, HU51 + HT52 - IF(HP52 &lt; 0, MIN(ABS(HP52), HU51 + HT52), 0)))</f>
        <v>615904.39533576812</v>
      </c>
      <c r="HV52" s="1">
        <f>IF($B52=Analysis!$C$159,0,IF(HP52 &lt; 0,
    IF(HP52 + HQ51 &lt; 0,
        MAX(0, HV51 - (ABS(HP52 + HQ51) * (1+$V51))),
        HV51 + HS52),
    HV51 + HT52 + HS52))</f>
        <v>1337074.7723386672</v>
      </c>
      <c r="HW52" s="1">
        <f t="shared" si="58"/>
        <v>1146866.0854041525</v>
      </c>
      <c r="HX52" s="3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FF582-5AF7-43CE-B300-00C29B912443}">
  <dimension ref="A1:HX52"/>
  <sheetViews>
    <sheetView zoomScale="70" zoomScaleNormal="70" workbookViewId="0">
      <pane xSplit="2" ySplit="1" topLeftCell="EA2" activePane="bottomRight" state="frozen"/>
      <selection activeCell="CJ1" sqref="CJ1:CJ1048576"/>
      <selection pane="topRight" activeCell="CJ1" sqref="CJ1:CJ1048576"/>
      <selection pane="bottomLeft" activeCell="CJ1" sqref="CJ1:CJ1048576"/>
      <selection pane="bottomRight" activeCell="ED1" sqref="ED1:EK1048576"/>
    </sheetView>
  </sheetViews>
  <sheetFormatPr defaultColWidth="19.453125" defaultRowHeight="14.5" x14ac:dyDescent="0.35"/>
  <cols>
    <col min="1" max="1" width="5" bestFit="1" customWidth="1"/>
    <col min="2" max="2" width="5.54296875" customWidth="1"/>
    <col min="3" max="3" width="15" bestFit="1" customWidth="1"/>
    <col min="4" max="4" width="14.6328125" bestFit="1" customWidth="1"/>
    <col min="5" max="5" width="14.6328125" style="1" customWidth="1"/>
    <col min="6" max="6" width="14.6328125" style="1" bestFit="1" customWidth="1"/>
    <col min="7" max="7" width="15" bestFit="1" customWidth="1"/>
    <col min="8" max="8" width="14.81640625" bestFit="1" customWidth="1"/>
    <col min="9" max="10" width="15" bestFit="1" customWidth="1"/>
    <col min="11" max="11" width="3.7265625" style="37" customWidth="1"/>
    <col min="12" max="12" width="14.08984375" style="1" bestFit="1" customWidth="1"/>
    <col min="13" max="13" width="16.36328125" style="1" bestFit="1" customWidth="1"/>
    <col min="14" max="14" width="12.81640625" style="1" bestFit="1" customWidth="1"/>
    <col min="15" max="15" width="16.54296875" style="64" bestFit="1" customWidth="1"/>
    <col min="16" max="16" width="19.36328125" style="1" bestFit="1" customWidth="1"/>
    <col min="17" max="17" width="19.26953125" bestFit="1" customWidth="1"/>
    <col min="18" max="18" width="12.6328125" bestFit="1" customWidth="1"/>
    <col min="19" max="19" width="8.81640625" style="64" bestFit="1" customWidth="1"/>
    <col min="20" max="20" width="17.08984375" style="64" bestFit="1" customWidth="1"/>
    <col min="21" max="21" width="18" style="64" bestFit="1" customWidth="1"/>
    <col min="22" max="22" width="17.54296875" style="64" bestFit="1" customWidth="1"/>
    <col min="23" max="23" width="3.7265625" style="37" customWidth="1"/>
    <col min="24" max="24" width="13.54296875" bestFit="1" customWidth="1"/>
    <col min="25" max="25" width="17.36328125" style="64" bestFit="1" customWidth="1"/>
    <col min="26" max="26" width="16.6328125" bestFit="1" customWidth="1"/>
    <col min="27" max="27" width="20.6328125" style="64" bestFit="1" customWidth="1"/>
    <col min="28" max="28" width="3.7265625" style="41" customWidth="1"/>
    <col min="29" max="29" width="13.54296875" bestFit="1" customWidth="1"/>
    <col min="30" max="30" width="15.90625" bestFit="1" customWidth="1"/>
    <col min="31" max="31" width="15.54296875" style="1" bestFit="1" customWidth="1"/>
    <col min="32" max="32" width="13.90625" style="1" bestFit="1" customWidth="1"/>
    <col min="33" max="33" width="3.7265625" style="41" customWidth="1"/>
    <col min="34" max="34" width="19.36328125" style="1" bestFit="1" customWidth="1"/>
    <col min="35" max="35" width="17.90625" style="1" bestFit="1" customWidth="1"/>
    <col min="36" max="36" width="13.7265625" style="1" bestFit="1" customWidth="1"/>
    <col min="37" max="37" width="17.90625" style="1" bestFit="1" customWidth="1"/>
    <col min="38" max="38" width="17.1796875" style="1" bestFit="1" customWidth="1"/>
    <col min="39" max="39" width="3.7265625" style="37" customWidth="1"/>
    <col min="40" max="40" width="15" style="1" bestFit="1" customWidth="1"/>
    <col min="41" max="41" width="18.7265625" style="64" bestFit="1" customWidth="1"/>
    <col min="42" max="42" width="13.1796875" style="1" bestFit="1" customWidth="1"/>
    <col min="43" max="43" width="10.08984375" style="65" bestFit="1" customWidth="1"/>
    <col min="44" max="44" width="18.81640625" style="64" customWidth="1"/>
    <col min="45" max="46" width="15.81640625" style="1" bestFit="1" customWidth="1"/>
    <col min="47" max="47" width="13.1796875" style="64" bestFit="1" customWidth="1"/>
    <col min="48" max="48" width="17.7265625" style="1" bestFit="1" customWidth="1"/>
    <col min="49" max="49" width="15" bestFit="1" customWidth="1"/>
    <col min="50" max="50" width="18.36328125" style="1" bestFit="1" customWidth="1"/>
    <col min="51" max="51" width="16.1796875" style="1" bestFit="1" customWidth="1"/>
    <col min="52" max="52" width="16.7265625" style="1" bestFit="1" customWidth="1"/>
    <col min="53" max="53" width="10.08984375" style="1" bestFit="1" customWidth="1"/>
    <col min="54" max="54" width="19" style="1" bestFit="1" customWidth="1"/>
    <col min="55" max="55" width="19.26953125" bestFit="1" customWidth="1"/>
    <col min="56" max="56" width="3.7265625" style="43" customWidth="1"/>
    <col min="57" max="57" width="14.81640625" bestFit="1" customWidth="1"/>
    <col min="58" max="58" width="19" style="64" bestFit="1" customWidth="1"/>
    <col min="59" max="59" width="15.36328125" bestFit="1" customWidth="1"/>
    <col min="60" max="60" width="19.08984375" style="64" bestFit="1" customWidth="1"/>
    <col min="61" max="61" width="19" bestFit="1" customWidth="1"/>
    <col min="62" max="63" width="19" customWidth="1"/>
    <col min="64" max="64" width="26.453125" customWidth="1"/>
    <col min="65" max="65" width="19" customWidth="1"/>
    <col min="66" max="66" width="19.36328125" bestFit="1" customWidth="1"/>
    <col min="67" max="67" width="17.1796875" bestFit="1" customWidth="1"/>
    <col min="68" max="68" width="18.26953125" bestFit="1" customWidth="1"/>
    <col min="69" max="69" width="3.7265625" style="43" customWidth="1"/>
    <col min="70" max="70" width="18.1796875" bestFit="1" customWidth="1"/>
    <col min="71" max="71" width="19.36328125" style="64" bestFit="1" customWidth="1"/>
    <col min="72" max="72" width="16.08984375" style="1" bestFit="1" customWidth="1"/>
    <col min="73" max="73" width="17.36328125" style="1" bestFit="1" customWidth="1"/>
    <col min="74" max="74" width="17.1796875" style="1" bestFit="1" customWidth="1"/>
    <col min="75" max="75" width="3.7265625" style="43" customWidth="1"/>
    <col min="76" max="76" width="13.54296875" style="1" bestFit="1" customWidth="1"/>
    <col min="77" max="77" width="15.90625" style="1" bestFit="1" customWidth="1"/>
    <col min="78" max="78" width="15.54296875" style="1" bestFit="1" customWidth="1"/>
    <col min="79" max="79" width="15.7265625" style="1" bestFit="1" customWidth="1"/>
    <col min="80" max="80" width="3.7265625" style="43" customWidth="1"/>
    <col min="81" max="81" width="19.36328125" style="1" bestFit="1" customWidth="1"/>
    <col min="82" max="82" width="17.453125" style="1" bestFit="1" customWidth="1"/>
    <col min="83" max="83" width="13.7265625" style="1" bestFit="1" customWidth="1"/>
    <col min="84" max="84" width="17.90625" style="1" bestFit="1" customWidth="1"/>
    <col min="85" max="85" width="17.1796875" style="1" bestFit="1" customWidth="1"/>
    <col min="86" max="86" width="3.7265625" style="37" customWidth="1"/>
    <col min="87" max="87" width="15.36328125" style="1" bestFit="1" customWidth="1"/>
    <col min="88" max="88" width="15.36328125" style="1" customWidth="1"/>
    <col min="89" max="89" width="15.36328125" style="1" bestFit="1" customWidth="1"/>
    <col min="90" max="90" width="17.6328125" style="64" bestFit="1" customWidth="1"/>
    <col min="91" max="91" width="13.1796875" style="1" bestFit="1" customWidth="1"/>
    <col min="92" max="92" width="10.08984375" style="65" bestFit="1" customWidth="1"/>
    <col min="93" max="93" width="18.81640625" style="64" customWidth="1"/>
    <col min="94" max="95" width="15.81640625" style="1" bestFit="1" customWidth="1"/>
    <col min="96" max="96" width="13.1796875" style="64" bestFit="1" customWidth="1"/>
    <col min="97" max="97" width="17.7265625" style="1" bestFit="1" customWidth="1"/>
    <col min="98" max="98" width="15" bestFit="1" customWidth="1"/>
    <col min="99" max="99" width="18.36328125" style="1" bestFit="1" customWidth="1"/>
    <col min="100" max="100" width="16.1796875" style="1" bestFit="1" customWidth="1"/>
    <col min="101" max="101" width="16.7265625" style="1" bestFit="1" customWidth="1"/>
    <col min="102" max="102" width="10.08984375" style="1" bestFit="1" customWidth="1"/>
    <col min="103" max="103" width="19" style="1" bestFit="1" customWidth="1"/>
    <col min="104" max="104" width="19.26953125" bestFit="1" customWidth="1"/>
    <col min="105" max="105" width="3.7265625" style="54" customWidth="1"/>
    <col min="106" max="106" width="17.1796875" bestFit="1" customWidth="1"/>
    <col min="107" max="107" width="19.36328125" style="64" bestFit="1" customWidth="1"/>
    <col min="108" max="108" width="18.26953125" bestFit="1" customWidth="1"/>
    <col min="109" max="109" width="14.81640625" bestFit="1" customWidth="1"/>
    <col min="110" max="110" width="19" style="64" bestFit="1" customWidth="1"/>
    <col min="111" max="111" width="15.36328125" bestFit="1" customWidth="1"/>
    <col min="112" max="112" width="19.08984375" style="64" bestFit="1" customWidth="1"/>
    <col min="113" max="113" width="19" bestFit="1" customWidth="1"/>
    <col min="114" max="115" width="19" customWidth="1"/>
    <col min="116" max="116" width="26.453125" customWidth="1"/>
    <col min="117" max="117" width="19" customWidth="1"/>
    <col min="118" max="118" width="19.36328125" bestFit="1" customWidth="1"/>
    <col min="119" max="119" width="17.1796875" style="64" bestFit="1" customWidth="1"/>
    <col min="120" max="120" width="18.6328125" bestFit="1" customWidth="1"/>
    <col min="121" max="121" width="19" bestFit="1" customWidth="1"/>
    <col min="122" max="122" width="17.1796875" bestFit="1" customWidth="1"/>
    <col min="123" max="123" width="18.26953125" bestFit="1" customWidth="1"/>
    <col min="124" max="124" width="19.1796875" bestFit="1" customWidth="1"/>
    <col min="125" max="125" width="3.7265625" style="54" customWidth="1"/>
    <col min="126" max="126" width="18.1796875" bestFit="1" customWidth="1"/>
    <col min="127" max="127" width="19.36328125" style="64" bestFit="1" customWidth="1"/>
    <col min="128" max="128" width="16.08984375" style="1" bestFit="1" customWidth="1"/>
    <col min="129" max="129" width="17.36328125" style="1" bestFit="1" customWidth="1"/>
    <col min="130" max="130" width="17.1796875" style="1" bestFit="1" customWidth="1"/>
    <col min="131" max="131" width="3.7265625" style="54" customWidth="1"/>
    <col min="132" max="132" width="15" style="1" bestFit="1" customWidth="1"/>
    <col min="133" max="133" width="17.6328125" style="64" bestFit="1" customWidth="1"/>
    <col min="134" max="134" width="13.1796875" style="1" bestFit="1" customWidth="1"/>
    <col min="135" max="135" width="10.08984375" style="65" bestFit="1" customWidth="1"/>
    <col min="136" max="136" width="18.81640625" style="64" customWidth="1"/>
    <col min="137" max="138" width="15.81640625" style="1" bestFit="1" customWidth="1"/>
    <col min="139" max="139" width="13.1796875" style="64" bestFit="1" customWidth="1"/>
    <col min="140" max="140" width="17.7265625" style="1" bestFit="1" customWidth="1"/>
    <col min="141" max="141" width="15" bestFit="1" customWidth="1"/>
    <col min="142" max="142" width="18.36328125" style="1" bestFit="1" customWidth="1"/>
    <col min="143" max="143" width="16.1796875" style="1" bestFit="1" customWidth="1"/>
    <col min="144" max="144" width="16.7265625" style="1" bestFit="1" customWidth="1"/>
    <col min="145" max="145" width="10.08984375" style="1" bestFit="1" customWidth="1"/>
    <col min="146" max="146" width="19" style="1" bestFit="1" customWidth="1"/>
    <col min="147" max="147" width="19.26953125" bestFit="1" customWidth="1"/>
    <col min="148" max="148" width="3.7265625" style="54" customWidth="1"/>
    <col min="149" max="149" width="14.81640625" bestFit="1" customWidth="1"/>
    <col min="150" max="150" width="19" style="64" bestFit="1" customWidth="1"/>
    <col min="151" max="151" width="15.36328125" bestFit="1" customWidth="1"/>
    <col min="152" max="152" width="19.08984375" style="64" bestFit="1" customWidth="1"/>
    <col min="153" max="153" width="19" bestFit="1" customWidth="1"/>
    <col min="154" max="155" width="19" customWidth="1"/>
    <col min="156" max="156" width="26.453125" customWidth="1"/>
    <col min="157" max="157" width="19" customWidth="1"/>
    <col min="158" max="158" width="19.36328125" bestFit="1" customWidth="1"/>
    <col min="159" max="159" width="17.1796875" bestFit="1" customWidth="1"/>
    <col min="160" max="160" width="18.26953125" bestFit="1" customWidth="1"/>
    <col min="161" max="161" width="3.7265625" style="54" customWidth="1"/>
    <col min="162" max="162" width="18.1796875" bestFit="1" customWidth="1"/>
    <col min="163" max="163" width="19.36328125" style="64" bestFit="1" customWidth="1"/>
    <col min="164" max="164" width="16.08984375" style="1" bestFit="1" customWidth="1"/>
    <col min="165" max="165" width="17.36328125" style="1" bestFit="1" customWidth="1"/>
    <col min="166" max="166" width="17.1796875" style="1" bestFit="1" customWidth="1"/>
    <col min="167" max="167" width="3.7265625" style="54" customWidth="1"/>
    <col min="168" max="168" width="13.54296875" style="1" bestFit="1" customWidth="1"/>
    <col min="169" max="169" width="15.90625" style="1" bestFit="1" customWidth="1"/>
    <col min="170" max="170" width="15.54296875" style="1" bestFit="1" customWidth="1"/>
    <col min="171" max="171" width="14.81640625" style="1" bestFit="1" customWidth="1"/>
    <col min="172" max="172" width="3.7265625" style="54" customWidth="1"/>
    <col min="173" max="173" width="19.36328125" style="1" bestFit="1" customWidth="1"/>
    <col min="174" max="174" width="17.90625" style="1" bestFit="1" customWidth="1"/>
    <col min="175" max="175" width="14.6328125" style="1" bestFit="1" customWidth="1"/>
    <col min="176" max="176" width="17.90625" style="1" bestFit="1" customWidth="1"/>
    <col min="177" max="177" width="17.1796875" style="1" bestFit="1" customWidth="1"/>
    <col min="178" max="178" width="3.7265625" style="37" customWidth="1"/>
    <col min="179" max="179" width="15.36328125" style="1" bestFit="1" customWidth="1"/>
    <col min="180" max="180" width="17.6328125" style="64" bestFit="1" customWidth="1"/>
    <col min="181" max="181" width="13.1796875" style="1" bestFit="1" customWidth="1"/>
    <col min="182" max="182" width="10.08984375" style="65" bestFit="1" customWidth="1"/>
    <col min="183" max="183" width="18.81640625" style="64" customWidth="1"/>
    <col min="184" max="185" width="15.81640625" style="1" bestFit="1" customWidth="1"/>
    <col min="186" max="186" width="13.1796875" style="64" bestFit="1" customWidth="1"/>
    <col min="187" max="187" width="17.7265625" style="1" bestFit="1" customWidth="1"/>
    <col min="188" max="188" width="15" bestFit="1" customWidth="1"/>
    <col min="189" max="189" width="18.36328125" style="1" bestFit="1" customWidth="1"/>
    <col min="190" max="190" width="16" style="1" bestFit="1" customWidth="1"/>
    <col min="191" max="191" width="16.7265625" style="1" bestFit="1" customWidth="1"/>
    <col min="192" max="192" width="10.08984375" style="1" bestFit="1" customWidth="1"/>
    <col min="193" max="193" width="19" style="1" bestFit="1" customWidth="1"/>
    <col min="194" max="194" width="19.26953125" bestFit="1" customWidth="1"/>
    <col min="195" max="195" width="3.7265625" style="39" customWidth="1"/>
    <col min="196" max="196" width="17.1796875" bestFit="1" customWidth="1"/>
    <col min="197" max="197" width="19.36328125" style="64" bestFit="1" customWidth="1"/>
    <col min="198" max="198" width="18.26953125" bestFit="1" customWidth="1"/>
    <col min="199" max="199" width="14.81640625" bestFit="1" customWidth="1"/>
    <col min="200" max="200" width="19" style="64" bestFit="1" customWidth="1"/>
    <col min="201" max="201" width="15.36328125" bestFit="1" customWidth="1"/>
    <col min="202" max="202" width="19.08984375" style="64" bestFit="1" customWidth="1"/>
    <col min="203" max="203" width="19" bestFit="1" customWidth="1"/>
    <col min="204" max="205" width="19" customWidth="1"/>
    <col min="206" max="206" width="26.453125" customWidth="1"/>
    <col min="207" max="207" width="19" customWidth="1"/>
    <col min="208" max="208" width="19.36328125" bestFit="1" customWidth="1"/>
    <col min="209" max="209" width="17.1796875" style="64" bestFit="1" customWidth="1"/>
    <col min="210" max="210" width="18.6328125" bestFit="1" customWidth="1"/>
    <col min="211" max="211" width="19" bestFit="1" customWidth="1"/>
    <col min="212" max="212" width="17.1796875" bestFit="1" customWidth="1"/>
    <col min="213" max="213" width="18.26953125" bestFit="1" customWidth="1"/>
    <col min="214" max="214" width="19.1796875" bestFit="1" customWidth="1"/>
    <col min="215" max="215" width="3.7265625" style="39" customWidth="1"/>
    <col min="216" max="216" width="18.1796875" bestFit="1" customWidth="1"/>
    <col min="217" max="217" width="19.36328125" style="64" bestFit="1" customWidth="1"/>
    <col min="218" max="218" width="16.08984375" style="1" bestFit="1" customWidth="1"/>
    <col min="219" max="219" width="17.36328125" style="1" bestFit="1" customWidth="1"/>
    <col min="220" max="220" width="17.1796875" style="1" bestFit="1" customWidth="1"/>
    <col min="221" max="221" width="3.7265625" style="39" customWidth="1"/>
    <col min="222" max="222" width="13.90625" style="1" bestFit="1" customWidth="1"/>
    <col min="223" max="223" width="15.90625" style="1" bestFit="1" customWidth="1"/>
    <col min="224" max="224" width="15.54296875" style="1" bestFit="1" customWidth="1"/>
    <col min="225" max="225" width="13.90625" style="1" bestFit="1" customWidth="1"/>
    <col min="226" max="226" width="3.7265625" style="39" customWidth="1"/>
    <col min="227" max="227" width="19.36328125" style="1" bestFit="1" customWidth="1"/>
    <col min="228" max="228" width="17.90625" style="1" bestFit="1" customWidth="1"/>
    <col min="229" max="229" width="13.7265625" style="1" bestFit="1" customWidth="1"/>
    <col min="230" max="230" width="17.90625" style="1" bestFit="1" customWidth="1"/>
    <col min="231" max="231" width="17.1796875" style="1" bestFit="1" customWidth="1"/>
    <col min="232" max="232" width="3.7265625" style="37" customWidth="1"/>
  </cols>
  <sheetData>
    <row r="1" spans="1:232" s="2" customFormat="1" ht="58" x14ac:dyDescent="0.35">
      <c r="A1" s="3" t="s">
        <v>8</v>
      </c>
      <c r="B1" s="3" t="s">
        <v>7</v>
      </c>
      <c r="C1" s="55" t="s">
        <v>1</v>
      </c>
      <c r="D1" s="55" t="s">
        <v>52</v>
      </c>
      <c r="E1" s="56" t="s">
        <v>2</v>
      </c>
      <c r="F1" s="56" t="s">
        <v>53</v>
      </c>
      <c r="G1" s="5" t="s">
        <v>119</v>
      </c>
      <c r="H1" s="5" t="s">
        <v>120</v>
      </c>
      <c r="I1" s="57" t="s">
        <v>117</v>
      </c>
      <c r="J1" s="57" t="s">
        <v>118</v>
      </c>
      <c r="K1" s="35"/>
      <c r="L1" s="3" t="s">
        <v>128</v>
      </c>
      <c r="M1" s="3" t="s">
        <v>104</v>
      </c>
      <c r="N1" s="3" t="s">
        <v>103</v>
      </c>
      <c r="O1" s="3" t="s">
        <v>66</v>
      </c>
      <c r="P1" s="3" t="s">
        <v>116</v>
      </c>
      <c r="Q1" s="3" t="s">
        <v>18</v>
      </c>
      <c r="R1" s="3" t="s">
        <v>63</v>
      </c>
      <c r="S1" s="3" t="s">
        <v>3</v>
      </c>
      <c r="T1" s="3" t="s">
        <v>109</v>
      </c>
      <c r="U1" s="3" t="s">
        <v>110</v>
      </c>
      <c r="V1" s="3" t="s">
        <v>4</v>
      </c>
      <c r="W1" s="35"/>
      <c r="X1" s="6" t="s">
        <v>2</v>
      </c>
      <c r="Y1" s="6" t="s">
        <v>113</v>
      </c>
      <c r="Z1" s="6" t="s">
        <v>94</v>
      </c>
      <c r="AA1" s="6" t="s">
        <v>112</v>
      </c>
      <c r="AB1" s="6"/>
      <c r="AC1" s="6" t="s">
        <v>122</v>
      </c>
      <c r="AD1" s="6" t="s">
        <v>121</v>
      </c>
      <c r="AE1" s="6" t="s">
        <v>36</v>
      </c>
      <c r="AF1" s="6" t="s">
        <v>35</v>
      </c>
      <c r="AG1" s="6"/>
      <c r="AH1" s="6" t="s">
        <v>48</v>
      </c>
      <c r="AI1" s="6" t="s">
        <v>37</v>
      </c>
      <c r="AJ1" s="6" t="s">
        <v>38</v>
      </c>
      <c r="AK1" s="6" t="s">
        <v>39</v>
      </c>
      <c r="AL1" s="6" t="s">
        <v>40</v>
      </c>
      <c r="AM1" s="35"/>
      <c r="AN1" s="4" t="s">
        <v>41</v>
      </c>
      <c r="AO1" s="4" t="s">
        <v>111</v>
      </c>
      <c r="AP1" s="4" t="s">
        <v>138</v>
      </c>
      <c r="AQ1" s="4" t="s">
        <v>154</v>
      </c>
      <c r="AR1" s="4" t="s">
        <v>152</v>
      </c>
      <c r="AS1" s="4" t="s">
        <v>141</v>
      </c>
      <c r="AT1" s="4" t="s">
        <v>142</v>
      </c>
      <c r="AU1" s="4" t="s">
        <v>136</v>
      </c>
      <c r="AV1" s="4" t="s">
        <v>140</v>
      </c>
      <c r="AW1" s="4" t="s">
        <v>143</v>
      </c>
      <c r="AX1" s="4" t="s">
        <v>139</v>
      </c>
      <c r="AY1" s="4" t="s">
        <v>137</v>
      </c>
      <c r="AZ1" s="4" t="s">
        <v>49</v>
      </c>
      <c r="BA1" s="4" t="s">
        <v>47</v>
      </c>
      <c r="BB1" s="4" t="s">
        <v>10</v>
      </c>
      <c r="BC1" s="4" t="s">
        <v>42</v>
      </c>
      <c r="BD1" s="4"/>
      <c r="BE1" s="4" t="s">
        <v>6</v>
      </c>
      <c r="BF1" s="4" t="s">
        <v>27</v>
      </c>
      <c r="BG1" s="4" t="s">
        <v>20</v>
      </c>
      <c r="BH1" s="4" t="s">
        <v>26</v>
      </c>
      <c r="BI1" s="4" t="s">
        <v>80</v>
      </c>
      <c r="BJ1" s="4" t="s">
        <v>147</v>
      </c>
      <c r="BK1" s="4" t="s">
        <v>148</v>
      </c>
      <c r="BL1" s="4" t="s">
        <v>150</v>
      </c>
      <c r="BM1" s="4" t="s">
        <v>146</v>
      </c>
      <c r="BN1" s="4" t="s">
        <v>79</v>
      </c>
      <c r="BO1" s="4" t="s">
        <v>88</v>
      </c>
      <c r="BP1" s="4" t="s">
        <v>101</v>
      </c>
      <c r="BQ1" s="4"/>
      <c r="BR1" s="4" t="s">
        <v>23</v>
      </c>
      <c r="BS1" s="4" t="s">
        <v>11</v>
      </c>
      <c r="BT1" s="4" t="s">
        <v>9</v>
      </c>
      <c r="BU1" s="4" t="s">
        <v>12</v>
      </c>
      <c r="BV1" s="4" t="s">
        <v>28</v>
      </c>
      <c r="BW1" s="4"/>
      <c r="BX1" s="4" t="s">
        <v>122</v>
      </c>
      <c r="BY1" s="4" t="s">
        <v>121</v>
      </c>
      <c r="BZ1" s="4" t="s">
        <v>36</v>
      </c>
      <c r="CA1" s="4" t="s">
        <v>35</v>
      </c>
      <c r="CB1" s="4"/>
      <c r="CC1" s="4" t="s">
        <v>48</v>
      </c>
      <c r="CD1" s="4" t="s">
        <v>92</v>
      </c>
      <c r="CE1" s="4" t="s">
        <v>38</v>
      </c>
      <c r="CF1" s="4" t="s">
        <v>39</v>
      </c>
      <c r="CG1" s="4" t="s">
        <v>40</v>
      </c>
      <c r="CH1" s="35"/>
      <c r="CI1" s="51" t="s">
        <v>2</v>
      </c>
      <c r="CJ1" s="51" t="s">
        <v>94</v>
      </c>
      <c r="CK1" s="51" t="s">
        <v>87</v>
      </c>
      <c r="CL1" s="52" t="s">
        <v>114</v>
      </c>
      <c r="CM1" s="52" t="s">
        <v>138</v>
      </c>
      <c r="CN1" s="52" t="s">
        <v>154</v>
      </c>
      <c r="CO1" s="52" t="s">
        <v>152</v>
      </c>
      <c r="CP1" s="52" t="s">
        <v>141</v>
      </c>
      <c r="CQ1" s="52" t="s">
        <v>142</v>
      </c>
      <c r="CR1" s="52" t="s">
        <v>136</v>
      </c>
      <c r="CS1" s="52" t="s">
        <v>140</v>
      </c>
      <c r="CT1" s="52" t="s">
        <v>143</v>
      </c>
      <c r="CU1" s="52" t="s">
        <v>139</v>
      </c>
      <c r="CV1" s="52" t="s">
        <v>137</v>
      </c>
      <c r="CW1" s="52" t="s">
        <v>49</v>
      </c>
      <c r="CX1" s="52" t="s">
        <v>47</v>
      </c>
      <c r="CY1" s="52" t="s">
        <v>10</v>
      </c>
      <c r="CZ1" s="52" t="s">
        <v>42</v>
      </c>
      <c r="DA1" s="51"/>
      <c r="DB1" s="51" t="s">
        <v>99</v>
      </c>
      <c r="DC1" s="51" t="s">
        <v>115</v>
      </c>
      <c r="DD1" s="51" t="s">
        <v>100</v>
      </c>
      <c r="DE1" s="51" t="s">
        <v>6</v>
      </c>
      <c r="DF1" s="51" t="s">
        <v>27</v>
      </c>
      <c r="DG1" s="51" t="s">
        <v>20</v>
      </c>
      <c r="DH1" s="51" t="s">
        <v>26</v>
      </c>
      <c r="DI1" s="51" t="s">
        <v>80</v>
      </c>
      <c r="DJ1" s="51" t="s">
        <v>147</v>
      </c>
      <c r="DK1" s="51" t="s">
        <v>148</v>
      </c>
      <c r="DL1" s="51" t="s">
        <v>150</v>
      </c>
      <c r="DM1" s="51" t="s">
        <v>146</v>
      </c>
      <c r="DN1" s="51" t="s">
        <v>79</v>
      </c>
      <c r="DO1" s="51" t="s">
        <v>93</v>
      </c>
      <c r="DP1" s="51" t="s">
        <v>81</v>
      </c>
      <c r="DQ1" s="51" t="s">
        <v>78</v>
      </c>
      <c r="DR1" s="51" t="s">
        <v>88</v>
      </c>
      <c r="DS1" s="51" t="s">
        <v>156</v>
      </c>
      <c r="DT1" s="51" t="s">
        <v>77</v>
      </c>
      <c r="DU1" s="51"/>
      <c r="DV1" s="51" t="s">
        <v>23</v>
      </c>
      <c r="DW1" s="51" t="s">
        <v>11</v>
      </c>
      <c r="DX1" s="51" t="s">
        <v>9</v>
      </c>
      <c r="DY1" s="51" t="s">
        <v>12</v>
      </c>
      <c r="DZ1" s="51" t="s">
        <v>28</v>
      </c>
      <c r="EA1" s="51"/>
      <c r="EB1" s="51" t="s">
        <v>41</v>
      </c>
      <c r="EC1" s="52" t="s">
        <v>114</v>
      </c>
      <c r="ED1" s="52" t="s">
        <v>138</v>
      </c>
      <c r="EE1" s="52" t="s">
        <v>154</v>
      </c>
      <c r="EF1" s="52" t="s">
        <v>152</v>
      </c>
      <c r="EG1" s="52" t="s">
        <v>141</v>
      </c>
      <c r="EH1" s="52" t="s">
        <v>142</v>
      </c>
      <c r="EI1" s="52" t="s">
        <v>136</v>
      </c>
      <c r="EJ1" s="52" t="s">
        <v>140</v>
      </c>
      <c r="EK1" s="52" t="s">
        <v>143</v>
      </c>
      <c r="EL1" s="52" t="s">
        <v>139</v>
      </c>
      <c r="EM1" s="52" t="s">
        <v>137</v>
      </c>
      <c r="EN1" s="52" t="s">
        <v>49</v>
      </c>
      <c r="EO1" s="52" t="s">
        <v>47</v>
      </c>
      <c r="EP1" s="52" t="s">
        <v>10</v>
      </c>
      <c r="EQ1" s="52" t="s">
        <v>42</v>
      </c>
      <c r="ER1" s="51"/>
      <c r="ES1" s="52" t="s">
        <v>6</v>
      </c>
      <c r="ET1" s="52" t="s">
        <v>27</v>
      </c>
      <c r="EU1" s="52" t="s">
        <v>20</v>
      </c>
      <c r="EV1" s="52" t="s">
        <v>26</v>
      </c>
      <c r="EW1" s="52" t="s">
        <v>80</v>
      </c>
      <c r="EX1" s="52" t="s">
        <v>147</v>
      </c>
      <c r="EY1" s="52" t="s">
        <v>148</v>
      </c>
      <c r="EZ1" s="52" t="s">
        <v>150</v>
      </c>
      <c r="FA1" s="52" t="s">
        <v>146</v>
      </c>
      <c r="FB1" s="52" t="s">
        <v>79</v>
      </c>
      <c r="FC1" s="52" t="s">
        <v>88</v>
      </c>
      <c r="FD1" s="52" t="s">
        <v>101</v>
      </c>
      <c r="FE1" s="51"/>
      <c r="FF1" s="51" t="s">
        <v>23</v>
      </c>
      <c r="FG1" s="51" t="s">
        <v>11</v>
      </c>
      <c r="FH1" s="51" t="s">
        <v>9</v>
      </c>
      <c r="FI1" s="51" t="s">
        <v>12</v>
      </c>
      <c r="FJ1" s="51" t="s">
        <v>28</v>
      </c>
      <c r="FK1" s="51"/>
      <c r="FL1" s="51" t="s">
        <v>122</v>
      </c>
      <c r="FM1" s="51" t="s">
        <v>121</v>
      </c>
      <c r="FN1" s="51" t="s">
        <v>36</v>
      </c>
      <c r="FO1" s="51" t="s">
        <v>35</v>
      </c>
      <c r="FP1" s="51"/>
      <c r="FQ1" s="51" t="s">
        <v>48</v>
      </c>
      <c r="FR1" s="51" t="s">
        <v>37</v>
      </c>
      <c r="FS1" s="51" t="s">
        <v>38</v>
      </c>
      <c r="FT1" s="51" t="s">
        <v>39</v>
      </c>
      <c r="FU1" s="51" t="s">
        <v>40</v>
      </c>
      <c r="FV1" s="35"/>
      <c r="FW1" s="8" t="s">
        <v>87</v>
      </c>
      <c r="FX1" s="8" t="s">
        <v>114</v>
      </c>
      <c r="FY1" s="8" t="s">
        <v>138</v>
      </c>
      <c r="FZ1" s="8" t="s">
        <v>154</v>
      </c>
      <c r="GA1" s="8" t="s">
        <v>152</v>
      </c>
      <c r="GB1" s="8" t="s">
        <v>141</v>
      </c>
      <c r="GC1" s="8" t="s">
        <v>142</v>
      </c>
      <c r="GD1" s="8" t="s">
        <v>136</v>
      </c>
      <c r="GE1" s="8" t="s">
        <v>140</v>
      </c>
      <c r="GF1" s="8" t="s">
        <v>143</v>
      </c>
      <c r="GG1" s="8" t="s">
        <v>139</v>
      </c>
      <c r="GH1" s="8" t="s">
        <v>137</v>
      </c>
      <c r="GI1" s="8" t="s">
        <v>49</v>
      </c>
      <c r="GJ1" s="8" t="s">
        <v>47</v>
      </c>
      <c r="GK1" s="8" t="s">
        <v>10</v>
      </c>
      <c r="GL1" s="8" t="s">
        <v>42</v>
      </c>
      <c r="GM1" s="8"/>
      <c r="GN1" s="8" t="s">
        <v>99</v>
      </c>
      <c r="GO1" s="8" t="s">
        <v>115</v>
      </c>
      <c r="GP1" s="8" t="s">
        <v>100</v>
      </c>
      <c r="GQ1" s="8" t="s">
        <v>6</v>
      </c>
      <c r="GR1" s="8" t="s">
        <v>27</v>
      </c>
      <c r="GS1" s="8" t="s">
        <v>20</v>
      </c>
      <c r="GT1" s="8" t="s">
        <v>26</v>
      </c>
      <c r="GU1" s="8" t="s">
        <v>80</v>
      </c>
      <c r="GV1" s="8" t="s">
        <v>147</v>
      </c>
      <c r="GW1" s="8" t="s">
        <v>148</v>
      </c>
      <c r="GX1" s="8" t="s">
        <v>150</v>
      </c>
      <c r="GY1" s="8" t="s">
        <v>146</v>
      </c>
      <c r="GZ1" s="8" t="s">
        <v>79</v>
      </c>
      <c r="HA1" s="8" t="s">
        <v>93</v>
      </c>
      <c r="HB1" s="8" t="s">
        <v>81</v>
      </c>
      <c r="HC1" s="8" t="s">
        <v>78</v>
      </c>
      <c r="HD1" s="8" t="s">
        <v>88</v>
      </c>
      <c r="HE1" s="8" t="s">
        <v>156</v>
      </c>
      <c r="HF1" s="8" t="s">
        <v>77</v>
      </c>
      <c r="HG1" s="8"/>
      <c r="HH1" s="8" t="s">
        <v>23</v>
      </c>
      <c r="HI1" s="8" t="s">
        <v>11</v>
      </c>
      <c r="HJ1" s="8" t="s">
        <v>9</v>
      </c>
      <c r="HK1" s="8" t="s">
        <v>12</v>
      </c>
      <c r="HL1" s="8" t="s">
        <v>28</v>
      </c>
      <c r="HM1" s="8"/>
      <c r="HN1" s="8" t="s">
        <v>122</v>
      </c>
      <c r="HO1" s="8" t="s">
        <v>121</v>
      </c>
      <c r="HP1" s="8" t="s">
        <v>36</v>
      </c>
      <c r="HQ1" s="8" t="s">
        <v>35</v>
      </c>
      <c r="HR1" s="8"/>
      <c r="HS1" s="8" t="s">
        <v>48</v>
      </c>
      <c r="HT1" s="8" t="s">
        <v>37</v>
      </c>
      <c r="HU1" s="8" t="s">
        <v>38</v>
      </c>
      <c r="HV1" s="8" t="s">
        <v>39</v>
      </c>
      <c r="HW1" s="8" t="s">
        <v>40</v>
      </c>
      <c r="HX1" s="35"/>
    </row>
    <row r="2" spans="1:232" x14ac:dyDescent="0.35">
      <c r="A2">
        <f t="shared" ref="A2:A52" si="0">B2-1990</f>
        <v>35</v>
      </c>
      <c r="B2">
        <v>2025</v>
      </c>
      <c r="C2" s="1">
        <f>IF($B2&lt;Analysis!C$66,0,$AN2)+$AT2+$AW2+$BC2+$CF2+$CA2</f>
        <v>-646016.4125773831</v>
      </c>
      <c r="D2" s="1">
        <f>IF($B2&lt;Analysis!C$66, 0, BV2)+AT2+AW2+BC2+CG2+CA2</f>
        <v>-759491.4125773831</v>
      </c>
      <c r="E2" s="1">
        <f t="shared" ref="E2:E52" si="1">AK2+AF2</f>
        <v>52939.215686274518</v>
      </c>
      <c r="F2" s="1">
        <f>AL2+AF2</f>
        <v>52401.372549019608</v>
      </c>
      <c r="G2" s="1">
        <f>IF(AND($B2&gt;=Analysis!$C$100, $B2&lt;Analysis!$C$101),$CK2,0)+IF($B2&gt;=Analysis!$C$130,EB2,0)+CQ2+CT2+CZ2+EH2+EK2+EQ2+$FO2+$FT2</f>
        <v>-328322.60306040221</v>
      </c>
      <c r="H2" s="1">
        <f>$DZ2+FJ2+CQ2+CT2+CZ2+EH2+EK2+EQ2+$FO2+$FU2</f>
        <v>-394571.60306040221</v>
      </c>
      <c r="I2" s="1">
        <f>IF($B2&lt;Analysis!$C$159,0,$FW2)+$GC2+$GF2+$GL2+$HQ2+$HV2</f>
        <v>-328322.60306040221</v>
      </c>
      <c r="J2" s="1">
        <f t="shared" ref="J2:J33" si="2">$HL2+$GC2+$GF2+$GL2+$HQ2+$HW2</f>
        <v>-394571.60306040221</v>
      </c>
      <c r="K2" s="36"/>
      <c r="L2" s="1">
        <f>12 * Analysis!$C$2</f>
        <v>93600</v>
      </c>
      <c r="M2" s="1">
        <f>IF($B2=Analysis!$C$47, (12*Analysis!$C$2) * (1 - Analysis!$C$48), (12*Analysis!$C$2))</f>
        <v>46800</v>
      </c>
      <c r="N2" s="1">
        <f>Analysis!$C$3*12*(1+O2)+P2</f>
        <v>-25050</v>
      </c>
      <c r="O2" s="64">
        <f>IF(OR($B2=Analysis!$C$47,$B2=Analysis!$C$52,$B2=Analysis!$C$58),-Analysis!$C$49,0)</f>
        <v>-0.5</v>
      </c>
      <c r="P2" s="1">
        <f>IF($B2&lt;Analysis!$C$47,0,IF($B2-Analysis!$C$47&lt;=3,Analysis!$C$40+Analysis!$C$44,IF($B2-Analysis!$C$47&lt;=10,Analysis!$C$41+Analysis!$C$44,IF($B2-Analysis!$C$47&lt;=18,Analysis!$C$42+Analysis!$C$44,IF($B2-Analysis!$C$47&lt;=25,Analysis!$C$43+Analysis!$C$44,0)))) + IF(AND($B2&gt;=Analysis!$C$52, $B2-Analysis!$C$52&lt;=3),Analysis!$C$40+Analysis!$C$44,IF(AND($B2&gt;=Analysis!$C$52, $B2-Analysis!$C$52&lt;=10),Analysis!$C$41+Analysis!$C$44,IF(AND($B2&gt;=Analysis!$C$52, $B2-Analysis!$C$52&lt;=18),Analysis!$C$42+Analysis!$C$44,IF(AND($B2&gt;=Analysis!$C$52, $B2-Analysis!$C$52&lt;=25),Analysis!$C$43+Analysis!$C$44,0)))) + Analysis!$C$57*IF(AND($B2&gt;=Analysis!$C$58, $B2-Analysis!$C$58&lt;=3),Analysis!$C$40+Analysis!$C$44,IF(AND($B2&gt;=Analysis!$C$58, $B2-Analysis!$C$58&lt;=10),Analysis!$C$41+Analysis!$C$44,IF(AND($B2&gt;=Analysis!$C$58, $B2-Analysis!$C$58&lt;=18),Analysis!$C$42+Analysis!$C$44,IF(AND($B2&gt;=Analysis!$C$58, $B2-Analysis!$C$58&lt;=25),Analysis!$C$43+Analysis!$C$44,0)))))</f>
        <v>-1050</v>
      </c>
      <c r="Q2" s="1">
        <f>Analysis!$C$5</f>
        <v>0</v>
      </c>
      <c r="R2" s="1">
        <f>IF(AND(AND(B2=Analysis!C$35,Analysis!C$34&lt;&gt;0),AND(B2=Analysis!C$37,Analysis!C$36&lt;&gt;0)),Analysis!C$34+Analysis!C$36,IF(AND(B2=Analysis!C$35,Analysis!C$34&lt;&gt;0),Analysis!C$34,IF(AND(B2=Analysis!C$37,Analysis!C$36&lt;&gt;0),Analysis!C$36,0)))</f>
        <v>0</v>
      </c>
      <c r="S2" s="64">
        <f>Analysis!C8</f>
        <v>0.02</v>
      </c>
      <c r="T2" s="64">
        <f>IF($B2&lt;Analysis!$C$13, ((1+IF($B2-$B$2&lt;10,Analysis!$C$11,IF($B2-$B$2&lt;20,(Analysis!$C$11+Analysis!$C$12)/2,Analysis!$C$12)))/(1+$S2)-1),IF($B2=Analysis!$C$13,-Analysis!$C$14,-$S2))</f>
        <v>2.450980392156854E-2</v>
      </c>
      <c r="U2" s="64">
        <f>IF($B2=$B$2,((1+Analysis!$C$16)/(1+$S2))-1,IF(B2&lt;Analysis!$C$13,U1-((Analysis!$C$16-Analysis!$C$17)/(Analysis!$C$13-$B$2)),((1+Analysis!$C$17)/(1+$S1))-1))</f>
        <v>7.8431372549019773E-2</v>
      </c>
      <c r="V2" s="64">
        <f>Analysis!$C$19</f>
        <v>0.26374999999999998</v>
      </c>
      <c r="W2" s="36"/>
      <c r="X2" s="1">
        <f>Analysis!$C$89*12</f>
        <v>-15840</v>
      </c>
      <c r="Y2" s="64">
        <f>((1+Analysis!$C$90)/(1+$S2))-1</f>
        <v>2.941176470588247E-2</v>
      </c>
      <c r="Z2" s="1">
        <f>Analysis!$C$91*12</f>
        <v>-3960</v>
      </c>
      <c r="AA2" s="64">
        <f>((1+Analysis!$C$92)/(1+$S2))-1</f>
        <v>0</v>
      </c>
      <c r="AB2" s="40"/>
      <c r="AC2" s="1">
        <f t="shared" ref="AC2:AC52" si="3">X2+$Z2+$P2+$N2</f>
        <v>-45900</v>
      </c>
      <c r="AD2" s="1">
        <f t="shared" ref="AD2:AD52" si="4">$M2+$R2</f>
        <v>46800</v>
      </c>
      <c r="AE2" s="1">
        <f>AD2+AC2</f>
        <v>900</v>
      </c>
      <c r="AF2" s="1">
        <f>IF(AE2&lt;0,Analysis!$C$7+AE2,Analysis!$C$7)</f>
        <v>24000</v>
      </c>
      <c r="AG2" s="40"/>
      <c r="AH2" s="1">
        <f>IF(Analysis!$C$6-Analysis!$C$7&gt;0,(Analysis!$C$6-Analysis!$C$7)*$U2,0)</f>
        <v>2039.2156862745142</v>
      </c>
      <c r="AI2" s="1">
        <f>IF(AE2 &gt;= 0,
    MAX(0, AE2 - Analysis!$C$7),
    0)</f>
        <v>0</v>
      </c>
      <c r="AJ2" s="1">
        <f>Analysis!$C$6-Analysis!$C$7+AE2</f>
        <v>26900</v>
      </c>
      <c r="AK2" s="1">
        <f>AJ2+AI2+AH2</f>
        <v>28939.215686274514</v>
      </c>
      <c r="AL2" s="1">
        <f t="shared" ref="AL2:AL52" si="5">IF(AK2-AJ2&gt;0, AK2-$V2*(AK2-AJ2),AK2)</f>
        <v>28401.372549019612</v>
      </c>
      <c r="AM2" s="36"/>
      <c r="AN2" s="1">
        <f>Analysis!$D65</f>
        <v>890000</v>
      </c>
      <c r="AO2" s="64">
        <f>((1+Analysis!$C$75)/(1+$S2))-1</f>
        <v>2.941176470588247E-2</v>
      </c>
      <c r="AP2" s="1">
        <f>IF($B2=Analysis!$C$66,(AN2*(1+Analysis!$C$23+Analysis!$C$24+Analysis!$C$25))-IF($B2=$B$2,(Analysis!$C$6-Analysis!$C$7+Analysis!$C$68), ($CG1-Analysis!$C$7+AY2)),0)</f>
        <v>916973.00000000012</v>
      </c>
      <c r="AQ2" s="65">
        <f>IF($B2=Analysis!$C$66,NPER(AU2,-AX2,-AP2),0)</f>
        <v>28.826407404605138</v>
      </c>
      <c r="AR2" s="64">
        <f>IF($B2=Analysis!$C$66,Analysis!$C$73,0)</f>
        <v>0.02</v>
      </c>
      <c r="AS2" s="1">
        <f>IF($B2&lt;Analysis!$C$66,0,IF($B2=Analysis!$C$66,-AP2*AR2,IF(AX2&gt;=0,0,AX2-AV2)))</f>
        <v>-18339.460000000003</v>
      </c>
      <c r="AT2" s="1">
        <f>IF($B2&lt;Analysis!$C$66,0,IF($B2=Analysis!$C$66,-AP2-AS2,MIN(0,AT1-AS2)))</f>
        <v>-898633.54000000015</v>
      </c>
      <c r="AU2" s="64">
        <f>IF($B2&lt;Analysis!$C$66,0,IF($B2=Analysis!$C$66,Analysis!$C$72,IF(($B2-Analysis!$C$66)&lt;LOOKUP(Analysis!$C$66,$B:$B,AQ:AQ),AU1,0)))</f>
        <v>3.6999999999999998E-2</v>
      </c>
      <c r="AV2" s="1">
        <f>IF($B2&lt;Analysis!$C$66,0,IF($B2=Analysis!$C$66,-AU2*AP2,AU1*AT1))</f>
        <v>-33928.001000000004</v>
      </c>
      <c r="AW2" s="1">
        <f>IF($B2&lt;Analysis!$C$66,0,IF($B2=Analysis!$C$66,PMT(AU2,AQ2,AP2)*AQ2-AX2-AT2,IF(($B2-Analysis!$C$66+1)&lt;LOOKUP(Analysis!$C$66,$B:$B,AQ:AQ),IF(AW1-AV2&lt;0, AW1-AV2,0),0)))</f>
        <v>-555782.12379030872</v>
      </c>
      <c r="AX2" s="1">
        <f>IF($B2&lt;Analysis!$C$66,0,IF($B2=Analysis!$C$66,AS2+AV2,IF(AT1&lt;0,IF(AT1&gt;LOOKUP(Analysis!$C$66,$B:$B,AX:AX), AT1*(1+AU1),AX1),0)))</f>
        <v>-52267.46100000001</v>
      </c>
      <c r="AY2" s="1">
        <f>IF($B2=Analysis!$C$66,Analysis!$C$68,0)</f>
        <v>50000</v>
      </c>
      <c r="AZ2" s="1">
        <f>IF($B2=Analysis!$C$66,PMT(AU2,BA2,AY2)*BA2,0)</f>
        <v>-60728.287787074187</v>
      </c>
      <c r="BA2" s="7">
        <f>IF($B2=Analysis!$C$66,Analysis!$C$70,0)</f>
        <v>10</v>
      </c>
      <c r="BB2" s="1">
        <f>IF($B2&lt;Analysis!$C$66,0,IF($B2=Analysis!$C$66,AZ2/BA2,IF(($B2-Analysis!$C$66)&lt;LOOKUP(Analysis!$C$66,$B:$B,BA:BA),BB1,0)))</f>
        <v>-6072.8287787074187</v>
      </c>
      <c r="BC2" s="1">
        <f>IF($B2&lt;Analysis!$C$66,0,IF($B2=Analysis!$C$66,BA2*BB2-BB2,IF(($B2-Analysis!$C$66)&lt;Analysis!$C$70,BC1-BB2,0)))</f>
        <v>-54655.459008366772</v>
      </c>
      <c r="BD2" s="42"/>
      <c r="BE2" s="1">
        <f>IF($B2&lt;Analysis!$C$66,0,-BF2*AN2)</f>
        <v>-2670</v>
      </c>
      <c r="BF2" s="64">
        <f>IF($B2&lt;Analysis!$C$66,0,Analysis!$C$78)</f>
        <v>3.0000000000000001E-3</v>
      </c>
      <c r="BG2" s="1">
        <f>IF($B2&lt;Analysis!$C$66,0,-BH2*AN2)</f>
        <v>-6675</v>
      </c>
      <c r="BH2" s="64">
        <f>IF($B2&lt;Analysis!$C$66,0,Analysis!$C$79)</f>
        <v>7.4999999999999997E-3</v>
      </c>
      <c r="BI2" s="1">
        <f>IF($B2&lt;Analysis!$C$66,0,MIN(Analysis!$C$80*12,SUM(BJ2:BN2)))</f>
        <v>-3960</v>
      </c>
      <c r="BJ2" s="1">
        <f>IF($B2&lt;Analysis!$C$66,0,Analysis!$C$81*12)</f>
        <v>-900</v>
      </c>
      <c r="BK2" s="1">
        <f>IF($B2&lt;Analysis!$C$66,0,Analysis!$C$82*12)</f>
        <v>-1500</v>
      </c>
      <c r="BL2" s="1">
        <f>IF($B2&lt;Analysis!$C$66,0,Analysis!$C$83*12)</f>
        <v>-480</v>
      </c>
      <c r="BM2" s="1">
        <f>IF($B2&lt;Analysis!$C$66,0,Analysis!$C$84*12)</f>
        <v>-480</v>
      </c>
      <c r="BN2" s="1">
        <f>IF($B2&lt;Analysis!$C$66,0,Analysis!$C$85*12)</f>
        <v>-600</v>
      </c>
      <c r="BO2" s="1">
        <v>0</v>
      </c>
      <c r="BP2" s="1">
        <f>-BO2*Analysis!$C$28</f>
        <v>0</v>
      </c>
      <c r="BQ2" s="42"/>
      <c r="BR2" s="1">
        <f>-BS2*AN2</f>
        <v>-113475</v>
      </c>
      <c r="BS2" s="64">
        <f>IF($B2&lt;Analysis!C$66,0,Analysis!C$31)</f>
        <v>0.1275</v>
      </c>
      <c r="BT2" s="1">
        <f>IF($B2&lt;Analysis!$C$66,0,AN2+BR2)</f>
        <v>776525</v>
      </c>
      <c r="BU2" s="1">
        <f>IF($B2-Analysis!$C$66&gt;3,0,IF($AN2&gt;LOOKUP(Analysis!$C$66,$B:$B, AN:AN),$V2*(LOOKUP(Analysis!$C$66,$B:$B, AN:AN)-AN2),0))</f>
        <v>0</v>
      </c>
      <c r="BV2" s="1">
        <f>BT2+BU2</f>
        <v>776525</v>
      </c>
      <c r="BW2" s="42"/>
      <c r="BX2" s="1">
        <f>IF($B2&lt;Analysis!$C$66,$P2+$N2+$X2+$Z2,$P2+$N2+AS2+AV2+BB2+BE2+BG2+MAX(BI2,SUM(BJ2:BN2))+BP2)</f>
        <v>-97745.289778707433</v>
      </c>
      <c r="BY2" s="1">
        <f>$M2+$R2</f>
        <v>46800</v>
      </c>
      <c r="BZ2" s="1">
        <f>BY2+BX2</f>
        <v>-50945.289778707433</v>
      </c>
      <c r="CA2" s="1">
        <f>IF(BZ2&lt;0,Analysis!$C$7+BZ2,Analysis!$C$7)</f>
        <v>-26945.289778707433</v>
      </c>
      <c r="CB2" s="42"/>
      <c r="CC2" s="1">
        <f>IF(Analysis!$C$6-Analysis!$C$7&gt;0,(Analysis!$C$6-Analysis!$C$7)*$U2,0)</f>
        <v>2039.2156862745142</v>
      </c>
      <c r="CD2" s="1">
        <f>IF(BZ2 &gt;= 0,
    MAX(0, BZ2 - Analysis!$C$7),
    0)</f>
        <v>0</v>
      </c>
      <c r="CE2" s="1">
        <f>IF($B2=Analysis!$C$66,0,Analysis!$C$6-Analysis!$C$7+BZ2)</f>
        <v>0</v>
      </c>
      <c r="CF2" s="1">
        <f>IF($B2=Analysis!$C$66,0,CE2+CD2+CC2)</f>
        <v>0</v>
      </c>
      <c r="CG2" s="1">
        <f>IF(CF2-CE2&gt;0, CF2-$V2*(CF2-CE2),CF2)</f>
        <v>0</v>
      </c>
      <c r="CH2" s="36"/>
      <c r="CI2" s="1">
        <f>IF(OR($B2&lt;Analysis!$C$100, $B2&gt;=Analysis!$C$130),0,X2)</f>
        <v>-15840</v>
      </c>
      <c r="CJ2" s="1">
        <f>IF(OR($B2&lt;Analysis!$C$100, $B2&gt;=Analysis!$C$130),0,Z2)</f>
        <v>-3960</v>
      </c>
      <c r="CK2" s="1">
        <f>Analysis!$D$97</f>
        <v>519600</v>
      </c>
      <c r="CL2" s="64">
        <f>((1+Analysis!$C$112)/(1+$S2))-1</f>
        <v>2.941176470588247E-2</v>
      </c>
      <c r="CM2" s="1">
        <f>IF($B2=Analysis!$C$100,(CK2*(1+Analysis!$C$23+Analysis!$C$24+Analysis!$C$25))-IF($B2=$B$2,(Analysis!$C$6-Analysis!$C$7+Analysis!$C$105), (FU1-Analysis!$C$7+CV2)),0)</f>
        <v>503717.72000000009</v>
      </c>
      <c r="CN2" s="65">
        <f>IF($B2=Analysis!$C$100,NPER(CR2,-CU2,-CM2),0)</f>
        <v>28.826407404605146</v>
      </c>
      <c r="CO2" s="64">
        <f>IF($B2=Analysis!$C$100,Analysis!$C$103,0)</f>
        <v>0.02</v>
      </c>
      <c r="CP2" s="1">
        <f>IF(OR($B2&lt;Analysis!$C$100, $B2&gt;=Analysis!$C$101),0,IF($B2=Analysis!$C$100,-CM2*CO2,IF(CU2&gt;=0,0,CU2-CS2)))</f>
        <v>-10074.354400000002</v>
      </c>
      <c r="CQ2" s="1">
        <f>IF(OR($B2&lt;Analysis!$C$100, $B2&gt;=Analysis!$C$101),0,IF($B2=Analysis!$C$100,-CM2-CP2,MIN(0,CQ1-CP2)))</f>
        <v>-493643.36560000008</v>
      </c>
      <c r="CR2" s="64">
        <f>IF(OR($B2&lt;Analysis!$C$100, $B2&gt;=Analysis!$C$101),0,IF($B2=Analysis!$C$100,Analysis!$C$102,IF(($B2-Analysis!$C$100)&lt;LOOKUP(Analysis!$C$100,$B:$B,CN:CN),CR1,0)))</f>
        <v>3.6999999999999998E-2</v>
      </c>
      <c r="CS2" s="1">
        <f>IF(OR($B2&lt;Analysis!$C$100, $B2&gt;=Analysis!$C$101),0,IF($B2=Analysis!$C$100,-CR2*CM2,CR1*CQ1))</f>
        <v>-18637.555640000002</v>
      </c>
      <c r="CT2" s="1">
        <f>IF(OR($B2&lt;Analysis!$C$100, $B2&gt;=Analysis!$C$101),0,IF($B2=Analysis!$C$100,PMT(CR2,CN2,CM2)*CN2-CU2-CQ2,IF(($B2-Analysis!$C$100+1)&lt;LOOKUP(Analysis!$C$100,$B:$B,CN:CN),IF(CT1-CS2&lt;0, CT1-CS2,0),0)))</f>
        <v>-305305.94053741189</v>
      </c>
      <c r="CU2" s="1">
        <f>IF(OR($B2&lt;Analysis!$C$100, $B2&gt;=Analysis!$C$101),0,IF($B2=Analysis!$C$100,CP2+CS2,IF(CQ1&lt;0,IF(CQ1&gt;LOOKUP(Analysis!$C$100,$B:$B,CU:CU), CQ1*(1+CR1),CU1),0)))</f>
        <v>-28711.910040000002</v>
      </c>
      <c r="CV2" s="1">
        <f>IF($B2=Analysis!$C$100,Analysis!$C$105,0)</f>
        <v>50000</v>
      </c>
      <c r="CW2" s="1">
        <f>IF($B2=Analysis!$C$100,PMT(CR2,CX2,CV2)*CX2,0)</f>
        <v>-60728.287787074187</v>
      </c>
      <c r="CX2" s="7">
        <f>IF($B2=Analysis!$C$100,Analysis!$C$107,0)</f>
        <v>10</v>
      </c>
      <c r="CY2" s="1">
        <f>IF(OR($B2&lt;Analysis!$C$100, $B2&gt;=Analysis!$C$101),0,IF($B2=Analysis!$C$100,CW2/CX2,IF(($B2-Analysis!$C$100)&lt;LOOKUP(Analysis!$C$100,$B:$B,CX:CX),CY1,0)))</f>
        <v>-6072.8287787074187</v>
      </c>
      <c r="CZ2" s="1">
        <f>IF(OR($B2&lt;Analysis!$C$100, $B2&gt;=Analysis!$C$101),0,IF($B2=Analysis!$C$100,CX2*CY2-CY2,IF(($B2-Analysis!$C$100)&lt;Analysis!$C$107,CZ1-CY2,0)))</f>
        <v>-54655.459008366772</v>
      </c>
      <c r="DA2" s="53"/>
      <c r="DB2" s="1">
        <f>IF(OR($B2&lt;Analysis!$C$100, $B2&gt;=Analysis!$C$101),0,IF($B2=2025,(Analysis!$C$109*12),IF($B2=Analysis!$C$100,(Analysis!$C$109*12)*(1+DC2)^($B2-$B$2),DB1*(1+DC2))))</f>
        <v>13860</v>
      </c>
      <c r="DC2" s="64">
        <f>IF(OR($B2&lt;Analysis!$C$100, $B2&gt;=Analysis!$C$101),0,((1+Analysis!$C$114)/(1+$S2))-1)</f>
        <v>2.941176470588247E-2</v>
      </c>
      <c r="DD2" s="1">
        <f t="shared" ref="DD2:DD52" si="6">DB2-DI2-DE2</f>
        <v>19378.8</v>
      </c>
      <c r="DE2" s="1">
        <f>-DF2*CK2</f>
        <v>-1558.8</v>
      </c>
      <c r="DF2" s="64">
        <f>IF(OR($B2&lt;Analysis!$C$100, $B2&gt;=Analysis!$C$101),0,Analysis!$C$118)</f>
        <v>3.0000000000000001E-3</v>
      </c>
      <c r="DG2" s="1">
        <f>-DH2*CK2</f>
        <v>-3897</v>
      </c>
      <c r="DH2" s="64">
        <f>IF(OR($B2&lt;Analysis!$C$100, $B2&gt;=Analysis!$C$101),0,Analysis!$C$119)</f>
        <v>7.4999999999999997E-3</v>
      </c>
      <c r="DI2" s="1">
        <f>IF(OR($B2&lt;Analysis!$C$100, $B2&gt;=Analysis!$C$101),0,MIN(Analysis!$C$120*12,SUM(DJ2:DN2)))</f>
        <v>-3960</v>
      </c>
      <c r="DJ2" s="1">
        <f>IF(OR($B2&lt;Analysis!$C$100, $B2&gt;=Analysis!$C$101),0,Analysis!$C$121*12)</f>
        <v>-900</v>
      </c>
      <c r="DK2" s="1">
        <f>IF(OR($B2&lt;Analysis!$C$100, $B2&gt;=Analysis!$C$101),0,Analysis!$C$122*12)</f>
        <v>-1500</v>
      </c>
      <c r="DL2" s="1">
        <f>IF(OR($B2&lt;Analysis!$C$100, $B2&gt;=Analysis!$C$101),0,Analysis!$C$123*12)</f>
        <v>-480</v>
      </c>
      <c r="DM2" s="1">
        <f>IF(OR($B2&lt;Analysis!$C$100, $B2&gt;=Analysis!$C$101),0,Analysis!$C$124*12)</f>
        <v>-480</v>
      </c>
      <c r="DN2" s="1">
        <f>IF(OR($B2&lt;Analysis!$C$100, $B2&gt;=Analysis!$C$101),0,Analysis!$C$125*12)</f>
        <v>-600</v>
      </c>
      <c r="DO2" s="64">
        <f>IF(OR($B2&lt;Analysis!$C$100, $B2&gt;=Analysis!$C$101),0,Analysis!$C$113)</f>
        <v>0.02</v>
      </c>
      <c r="DP2" s="1">
        <f>-DO2*LOOKUP(Analysis!$C$100,$B:$B,CK:CK)</f>
        <v>-10392</v>
      </c>
      <c r="DQ2" s="1">
        <f>-Analysis!$C$117*DB2</f>
        <v>-1039.5</v>
      </c>
      <c r="DR2" s="1">
        <f>DE2+DG2+MIN(DI2,SUM(DJ2:DN2))+DP2+DQ2</f>
        <v>-20847.3</v>
      </c>
      <c r="DS2" s="1">
        <f>MIN(0,-(DB2+DR2)*Analysis!$C$28)-CS2*Analysis!$C$28</f>
        <v>8258.3009040840006</v>
      </c>
      <c r="DT2" s="1">
        <f>-Analysis!$C$116*DD2/12</f>
        <v>-1614.8999999999999</v>
      </c>
      <c r="DU2" s="53"/>
      <c r="DV2" s="1">
        <f>-DW2*CK2</f>
        <v>-66249</v>
      </c>
      <c r="DW2" s="64">
        <f>IF(OR($B2&lt;Analysis!$C$100, $B2&gt;=Analysis!$C$101),0,IF($B2=Analysis!$C$100,Analysis!$C$31,DW1))</f>
        <v>0.1275</v>
      </c>
      <c r="DX2" s="1">
        <f>IF(OR($B2&lt;Analysis!$C$100, $B2&gt;=Analysis!$C$101),0,CK2+DV2)</f>
        <v>453351</v>
      </c>
      <c r="DY2" s="1">
        <f>IF(OR($B2&lt;Analysis!$C$100, $B2&gt;=Analysis!$C$101),0,IF($B2-Analysis!$C$100&gt;3,0,IF(CK2&gt;LOOKUP(Analysis!$C$100,$B:$B, CK:CK),$V2*(LOOKUP(Analysis!$C$100,$B:$B, CK:CK)-CK2),0)))</f>
        <v>0</v>
      </c>
      <c r="DZ2" s="1">
        <f>DX2+DY2</f>
        <v>453351</v>
      </c>
      <c r="EA2" s="53"/>
      <c r="EB2" s="1">
        <f>Analysis!$C129</f>
        <v>690000</v>
      </c>
      <c r="EC2" s="64">
        <f>((1+Analysis!$C$112)/(1+$S2))-1</f>
        <v>2.941176470588247E-2</v>
      </c>
      <c r="ED2" s="1">
        <f>MAX(0,IF($B2=Analysis!$C$130,(EB2*(1+Analysis!$C$23+Analysis!$C$24+Analysis!$C$25))-(IF($B2=$B$2,(Analysis!$C$6-Analysis!$C$7+Analysis!$C$132), (FU1-Analysis!$C$7+EM2)) + IF($B2=Analysis!$C$101,DZ1+CQ1+CT1+CZ1,0)),0))</f>
        <v>0</v>
      </c>
      <c r="EE2" s="65">
        <f>IF($B2=Analysis!$C$130,IF(ED2&gt;0,NPER(EI2,-EL2,-ED2),0),0)</f>
        <v>0</v>
      </c>
      <c r="EF2" s="64">
        <f>IF($B2=Analysis!$C$130,Analysis!$C$137,0)</f>
        <v>0</v>
      </c>
      <c r="EG2" s="1">
        <f>IF($B2&lt;Analysis!$C$130,0,IF($B2=Analysis!$C$130,-ED2*EF2,IF(EL2&gt;=0,0,EL2-EJ2)))</f>
        <v>0</v>
      </c>
      <c r="EH2" s="1">
        <f>IF($B2&lt;Analysis!$C$130,0,IF($B2=Analysis!$C$130,-ED2-EG2,MIN(0,EH1-EG2)))</f>
        <v>0</v>
      </c>
      <c r="EI2" s="64">
        <f>IF($B2&lt;Analysis!$C$130,0,IF($B2=Analysis!$C$130,Analysis!$C$136,IF(($B2-Analysis!$C$130)&lt;LOOKUP(Analysis!$C$130,$B:$B,EE:EE),EI1,0)))</f>
        <v>0</v>
      </c>
      <c r="EJ2" s="1">
        <f>IF($B2&lt;Analysis!$C$130,0,IF($B2=Analysis!$C$130,-EI2*ED2,EI1*EH1))</f>
        <v>0</v>
      </c>
      <c r="EK2" s="1">
        <f>IF(OR($B2&lt;Analysis!$C$130, ED2=0),0,IF($B2=Analysis!$C$130,PMT(EI2,EE2,ED2)*EE2-EL2-EH2,IF(($B2-Analysis!$C$130+1)&lt;LOOKUP(Analysis!$C$130,$B:$B,EE:EE),IF(EK1-EJ2&lt;0, EK1-EJ2,0),0)))</f>
        <v>0</v>
      </c>
      <c r="EL2" s="1">
        <f>IF($B2&lt;Analysis!$C$130,0,IF($B2=Analysis!$C$130,EG2+EJ2,IF(EH1&lt;0,IF(EH1&gt;LOOKUP(Analysis!$C$130,$B:$B,EL:EL), EH1*(1+EI1),EL1),0)))</f>
        <v>0</v>
      </c>
      <c r="EM2" s="1">
        <f>IF($B2=Analysis!$C$130,Analysis!$C$132,0)</f>
        <v>0</v>
      </c>
      <c r="EN2" s="1">
        <f>IF($B2=Analysis!$C$130,PMT(EI2,EO2,EM2)*EO2,0)</f>
        <v>0</v>
      </c>
      <c r="EO2" s="7">
        <f>IF($B2=Analysis!$C$130,Analysis!$C$134,0)</f>
        <v>0</v>
      </c>
      <c r="EP2" s="1">
        <f>IF($B2&lt;Analysis!$C$130,0,IF($B2=Analysis!$C$130,EN2/EO2,IF(($B2-Analysis!$C$130)&lt;LOOKUP(Analysis!$C$130,$B:$B,EO:EO),EP1,0)))</f>
        <v>0</v>
      </c>
      <c r="EQ2" s="1">
        <f>IF($B2&lt;Analysis!$C$130,0,IF($B2=Analysis!$C$130,EO2*EP2-EP2,IF(($B2-Analysis!$C$130)&lt;Analysis!$C$134,EQ1-EP2,0)))</f>
        <v>0</v>
      </c>
      <c r="ER2" s="53"/>
      <c r="ES2" s="1">
        <f>IF($B2&lt;Analysis!$C$130,0,-ET2*EB2)</f>
        <v>0</v>
      </c>
      <c r="ET2" s="64">
        <f>IF($B2&lt;Analysis!$C$130,0,Analysis!$C$142)</f>
        <v>0</v>
      </c>
      <c r="EU2" s="1">
        <f>IF($B2&lt;Analysis!$C$130,0,-EV2*EB2)</f>
        <v>0</v>
      </c>
      <c r="EV2" s="64">
        <f>IF($B2&lt;Analysis!$C$130,0,Analysis!$C$143)</f>
        <v>0</v>
      </c>
      <c r="EW2" s="1">
        <f>IF($B2&lt;Analysis!$C$130,0,MIN(Analysis!$C$144*12,SUM(EX2:FB2)))</f>
        <v>0</v>
      </c>
      <c r="EX2" s="1">
        <f>IF($B2&lt;Analysis!$C$130,0,Analysis!$C$145*12)</f>
        <v>0</v>
      </c>
      <c r="EY2" s="1">
        <f>IF($B2&lt;Analysis!$C$130,0,Analysis!$C$146*12)</f>
        <v>0</v>
      </c>
      <c r="EZ2" s="1">
        <f>IF($B2&lt;Analysis!$C$130,0,Analysis!$C$147*12)</f>
        <v>0</v>
      </c>
      <c r="FA2" s="1">
        <f>IF($B2&lt;Analysis!$C$130,0,Analysis!$C$148*12)</f>
        <v>0</v>
      </c>
      <c r="FB2" s="1">
        <f>IF($B2&lt;Analysis!$C$130,0,Analysis!$C$149*12)</f>
        <v>0</v>
      </c>
      <c r="FC2" s="1">
        <v>0</v>
      </c>
      <c r="FD2" s="1">
        <f>-FC2*Analysis!$C$28</f>
        <v>0</v>
      </c>
      <c r="FE2" s="53"/>
      <c r="FF2" s="1">
        <f>-FG2*EB2</f>
        <v>0</v>
      </c>
      <c r="FG2" s="64">
        <f>IF($B2&lt;Analysis!$C$130,0,Analysis!$C$31)</f>
        <v>0</v>
      </c>
      <c r="FH2" s="1">
        <f>IF($B2&lt;Analysis!$C$130,0,EB2+FF2)</f>
        <v>0</v>
      </c>
      <c r="FI2" s="1">
        <f>IF($B2-Analysis!$C$130&gt;3,0,IF(EB2&gt;LOOKUP(Analysis!$C$130,$B:$B, EB:EB),$V2*(LOOKUP(Analysis!$C$130,$B:$B, EB:EB)-EB2),0))</f>
        <v>0</v>
      </c>
      <c r="FJ2" s="1">
        <f>FH2+FI2</f>
        <v>0</v>
      </c>
      <c r="FK2" s="53"/>
      <c r="FL2" s="1">
        <f>$P2+$N2+IF($B2&lt;Analysis!$C$130,$X2+$Z2,0)+CP2+CS2+CY2+DE2+DG2+MIN(DI2,SUM(DJ2:DN2))+DQ2+DS2+DT2+EG2+EJ2+EP2+ES2+EU2+MIN(EW2,SUM(EX2:FB2))+FD2</f>
        <v>-84496.637914623425</v>
      </c>
      <c r="FM2" s="1">
        <f>$M2+$R2+DD2+IF(AND($B2&lt;&gt;Analysis!$C$130,$B2=Analysis!$C$101),DZ1+CQ1+CT1+CZ1,0)</f>
        <v>66178.8</v>
      </c>
      <c r="FN2" s="1">
        <f>FM2+FL2</f>
        <v>-18317.837914623422</v>
      </c>
      <c r="FO2" s="1">
        <f>IF(FN2&lt;0,Analysis!$C$7+FN2,Analysis!$C$7)</f>
        <v>5682.162085376578</v>
      </c>
      <c r="FP2" s="53"/>
      <c r="FQ2" s="1">
        <f>IF(Analysis!$C$6-Analysis!$C$7&gt;0,(Analysis!$C$6-Analysis!$C$7)*$U2,0)</f>
        <v>2039.2156862745142</v>
      </c>
      <c r="FR2" s="1">
        <f>IF(FN2 &gt;= 0,
    MAX(0, FN2 - Analysis!$C$7),
    0)</f>
        <v>0</v>
      </c>
      <c r="FS2" s="1">
        <f>IF(OR($B2=Analysis!$C$100, $B2=Analysis!$C$130),0,Analysis!$C$6-Analysis!$C$7+FN2)</f>
        <v>0</v>
      </c>
      <c r="FT2" s="1">
        <f>IF(OR($B2=Analysis!$C$100, $B2=Analysis!$C$130),0,FS2+FR2+FQ2)</f>
        <v>0</v>
      </c>
      <c r="FU2" s="1">
        <f>IF(FT2-FS2&gt;0, FT2-$V2*(FT2-FS2),FT2)</f>
        <v>0</v>
      </c>
      <c r="FV2" s="36"/>
      <c r="FW2" s="1">
        <f>Analysis!$D$156</f>
        <v>519600</v>
      </c>
      <c r="FX2" s="64">
        <f>((1+Analysis!$C$172)/(1+$S2))-1</f>
        <v>2.941176470588247E-2</v>
      </c>
      <c r="FY2" s="1">
        <f>IF($B2=Analysis!$C$159,(FW2*(1+Analysis!$C$23+Analysis!$C$24+Analysis!$C$25))-IF($B2=$B$2,(Analysis!$C$6-Analysis!$C$7+Analysis!$C$165), (HW1-Analysis!$C$7+GH2)),0)</f>
        <v>503717.72000000009</v>
      </c>
      <c r="FZ2" s="65">
        <f>IF($B2=Analysis!$C$159,NPER(GD2,-GG2,-FY2),0)</f>
        <v>28.826407404605146</v>
      </c>
      <c r="GA2" s="64">
        <f>IF($B2=Analysis!$C$159,Analysis!$C$161,0)</f>
        <v>0.02</v>
      </c>
      <c r="GB2" s="1">
        <f>IF($B2&lt;Analysis!$C$159,0,IF($B2=Analysis!$C$159,-FY2*GA2,IF(GG2&gt;=0,0,GG2-GE2)))</f>
        <v>-10074.354400000002</v>
      </c>
      <c r="GC2" s="1">
        <f>IF($B2&lt;Analysis!$C$159,0,IF($B2=Analysis!$C$159,-FY2-GB2,MIN(0,GC1-GB2)))</f>
        <v>-493643.36560000008</v>
      </c>
      <c r="GD2" s="64">
        <f>IF($B2&lt;Analysis!$C$159,0,IF($B2=Analysis!$C$159,Analysis!$C$160,IF(($B2-Analysis!$C$159)&lt;LOOKUP(Analysis!$C$159,$B:$B,FZ:FZ),GD1,0)))</f>
        <v>3.6999999999999998E-2</v>
      </c>
      <c r="GE2" s="1">
        <f>IF($B2&lt;Analysis!$C$159,0,IF($B2=Analysis!$C$159,-GD2*FY2,GD1*GC1))</f>
        <v>-18637.555640000002</v>
      </c>
      <c r="GF2" s="1">
        <f>IF($B2&lt;Analysis!$C$159,0,IF($B2=Analysis!$C$159,PMT(GD2,FZ2,FY2)*FZ2-GG2-GC2,IF(($B2-Analysis!$C$159+1)&lt;LOOKUP(Analysis!$C$159,$B:$B,FZ:FZ),IF(GF1-GE2&lt;0, GF1-GE2,0),0)))</f>
        <v>-305305.94053741189</v>
      </c>
      <c r="GG2" s="1">
        <f>IF($B2&lt;Analysis!$C$159,0,IF($B2=Analysis!$C$159,GB2+GE2,IF(GC1&lt;0,IF(GC1&gt;LOOKUP(Analysis!$C$159,$B:$B,GG:GG), GC1*(1+GD1),GG1),0)))</f>
        <v>-28711.910040000002</v>
      </c>
      <c r="GH2" s="1">
        <f>IF($B2=Analysis!$C$159,Analysis!$C$165,0)</f>
        <v>50000</v>
      </c>
      <c r="GI2" s="1">
        <f>IF($B2=Analysis!$C$159,PMT(GD2,GJ2,GH2)*GJ2,0)</f>
        <v>-60728.287787074187</v>
      </c>
      <c r="GJ2" s="7">
        <f>IF($B2=Analysis!$C$159,Analysis!$C$167,0)</f>
        <v>10</v>
      </c>
      <c r="GK2" s="1">
        <f>IF($B2&lt;Analysis!$C$159,0,IF($B2=Analysis!$C$159,GI2/GJ2,IF(($B2-Analysis!$C$159)&lt;LOOKUP(Analysis!$C$159,$B:$B,GJ:GJ),GK1,0)))</f>
        <v>-6072.8287787074187</v>
      </c>
      <c r="GL2" s="1">
        <f>IF($B2&lt;Analysis!$C$159,0,IF($B2=Analysis!$C$159,GJ2*GK2-GK2,IF(($B2-Analysis!$C$159)&lt;Analysis!$C$167,GL1-GK2,0)))</f>
        <v>-54655.459008366772</v>
      </c>
      <c r="GM2" s="38"/>
      <c r="GN2" s="1">
        <f>IF($B2&lt;Analysis!$C$159,0,IF($B2=2025,(Analysis!$C$109*12),IF($B2=Analysis!$C$159,(Analysis!$C$109*12)*(1+GO2)^($B2-$B$2),GN1*(1+GO2))))</f>
        <v>13860</v>
      </c>
      <c r="GO2" s="64">
        <f>IF($B2&lt;Analysis!$C$159,0,((1+Analysis!$C$174)/(1+$S2))-1)</f>
        <v>2.941176470588247E-2</v>
      </c>
      <c r="GP2" s="1">
        <f t="shared" ref="GP2:GP52" si="7">GN2-GU2-GQ2</f>
        <v>19378.8</v>
      </c>
      <c r="GQ2" s="1">
        <f>-GR2*FW2</f>
        <v>-1558.8</v>
      </c>
      <c r="GR2" s="64">
        <f>IF($B2&lt;Analysis!$C$159,0,Analysis!$C$178)</f>
        <v>3.0000000000000001E-3</v>
      </c>
      <c r="GS2" s="1">
        <f>-GT2*FW2</f>
        <v>-3897</v>
      </c>
      <c r="GT2" s="64">
        <f>IF($B2&lt;Analysis!$C$159,0,Analysis!$C$179)</f>
        <v>7.4999999999999997E-3</v>
      </c>
      <c r="GU2" s="1">
        <f>IF($B2&lt;Analysis!$C$159,0,MIN(Analysis!$C$180*12,SUM(GV2:GZ2)))</f>
        <v>-3960</v>
      </c>
      <c r="GV2" s="1">
        <f>IF($B2&lt;Analysis!$C$159,0,Analysis!$C$181*12)</f>
        <v>-900</v>
      </c>
      <c r="GW2" s="1">
        <f>IF($B2&lt;Analysis!$C$159,0,Analysis!$C$182*12)</f>
        <v>-1500</v>
      </c>
      <c r="GX2" s="1">
        <f>IF($B2&lt;Analysis!$C$159,0,Analysis!$C$183*12)</f>
        <v>-480</v>
      </c>
      <c r="GY2" s="1">
        <f>IF($B2&lt;Analysis!$C$159,0,Analysis!$C$184*12)</f>
        <v>-480</v>
      </c>
      <c r="GZ2" s="1">
        <f>IF($B2&lt;Analysis!$C$159,0,Analysis!$C$185*12)</f>
        <v>-600</v>
      </c>
      <c r="HA2" s="64">
        <f>IF($B2&lt;Analysis!$C$159,0,Analysis!$C$173)</f>
        <v>0.02</v>
      </c>
      <c r="HB2" s="1">
        <f>-HA2*LOOKUP(Analysis!$C$159,$B:$B,FW:FW)</f>
        <v>-10392</v>
      </c>
      <c r="HC2" s="1">
        <f>-Analysis!$C$177*GN2</f>
        <v>-1039.5</v>
      </c>
      <c r="HD2" s="1">
        <f>GQ2+GS2+MIN(GU2,SUM(GV2:GZ2))+HB2+HC2</f>
        <v>-20847.3</v>
      </c>
      <c r="HE2" s="1">
        <f>MIN(0,-(GN2+HD2)*Analysis!$C$28)-GE2*Analysis!$C$28</f>
        <v>8258.3009040840006</v>
      </c>
      <c r="HF2" s="1">
        <f>-Analysis!$C$176*GP2/12</f>
        <v>-1614.8999999999999</v>
      </c>
      <c r="HG2" s="38"/>
      <c r="HH2" s="1">
        <f>IF($B2&lt;Analysis!$C$159,0,-$HI2*$FW2)</f>
        <v>-66249</v>
      </c>
      <c r="HI2" s="64">
        <f>IF($B2&lt;Analysis!$C$159,0,IF($B2=Analysis!$C$159,Analysis!$C$31,HI1))</f>
        <v>0.1275</v>
      </c>
      <c r="HJ2" s="1">
        <f>IF($B2&lt;Analysis!$C$159,0,$FW2+HH2)</f>
        <v>453351</v>
      </c>
      <c r="HK2" s="1">
        <f>IF($B2-Analysis!$C$159&gt;10,0,IF($FW2&gt;LOOKUP(Analysis!$C$159,$B:$B, FW:FW),$V2*(LOOKUP(Analysis!$C$159,$B:$B, FW:FW)-FW2),0))</f>
        <v>0</v>
      </c>
      <c r="HL2" s="1">
        <f>HJ2+HK2</f>
        <v>453351</v>
      </c>
      <c r="HM2" s="38"/>
      <c r="HN2" s="1">
        <f>$P2+$N2+$X2+$Z2+GB2+GE2+GK2+GQ2+GS2+MIN(GU2,SUM(GV2:GZ2))+HC2+HE2+HF2</f>
        <v>-84496.637914623425</v>
      </c>
      <c r="HO2" s="1">
        <f t="shared" ref="HO2:HO52" si="8">$M2+$R2+$GP2</f>
        <v>66178.8</v>
      </c>
      <c r="HP2" s="1">
        <f>HO2+HN2</f>
        <v>-18317.837914623422</v>
      </c>
      <c r="HQ2" s="1">
        <f>IF(HP2&lt;0,Analysis!$C$7+HP2,Analysis!$C$7)</f>
        <v>5682.162085376578</v>
      </c>
      <c r="HR2" s="38"/>
      <c r="HS2" s="1">
        <f>IF(Analysis!$C$6-Analysis!$C$7&gt;0,(Analysis!$C$6-Analysis!$C$7)*$U2,0)</f>
        <v>2039.2156862745142</v>
      </c>
      <c r="HT2" s="1">
        <f>IF(HP2 &gt;= 0,
    MAX(0, HP2 - Analysis!$C$7),
    0)</f>
        <v>0</v>
      </c>
      <c r="HU2" s="1">
        <f>IF($B2=Analysis!$C$159,0,Analysis!$C$6-Analysis!$C$7+HP2)</f>
        <v>0</v>
      </c>
      <c r="HV2" s="1">
        <f>IF($B2=Analysis!$C$159,0,HU2+HT2+HS2)</f>
        <v>0</v>
      </c>
      <c r="HW2" s="1">
        <f>IF(HV2-HU2&gt;0, HV2-$V2*(HV2-HU2),HV2)</f>
        <v>0</v>
      </c>
      <c r="HX2" s="36"/>
    </row>
    <row r="3" spans="1:232" x14ac:dyDescent="0.35">
      <c r="A3">
        <f t="shared" si="0"/>
        <v>36</v>
      </c>
      <c r="B3">
        <v>2026</v>
      </c>
      <c r="C3" s="1">
        <f>IF($B3&lt;Analysis!C$66,0,$AN3)+$AT3+$AW3+$BC3+$CF3+$CA3</f>
        <v>-589781.3004655618</v>
      </c>
      <c r="D3" s="1">
        <f>IF($B3&lt;Analysis!C$66, 0, BV3)+AT3+AW3+BC3+CG3+CA3</f>
        <v>-713497.84458320902</v>
      </c>
      <c r="E3" s="1">
        <f t="shared" si="1"/>
        <v>80687.583303125168</v>
      </c>
      <c r="F3" s="1">
        <f t="shared" ref="F3:F52" si="9">AL3+AF3</f>
        <v>79564.180265749426</v>
      </c>
      <c r="G3" s="1">
        <f>IF(AND($B3&gt;=Analysis!$C$100, $B3&lt;Analysis!$C$101),$CK3,0)+IF($B3&gt;=Analysis!$C$130,EB3,0)+CQ3+CT3+CZ3+EH3+EK3+EQ3+$FO3+$FT3</f>
        <v>-271885.61523322342</v>
      </c>
      <c r="H3" s="1">
        <f t="shared" ref="H3:H52" si="10">$DZ3+FJ3+CQ3+CT3+CZ3+EH3+EK3+EQ3+$FO3+$FU3</f>
        <v>-344113.83582145872</v>
      </c>
      <c r="I3" s="1">
        <f>IF($B3&lt;Analysis!$C$159,0,$FW3)+$GC3+$GF3+$GL3+$HQ3+$HV3</f>
        <v>-271885.61523322342</v>
      </c>
      <c r="J3" s="1">
        <f t="shared" si="2"/>
        <v>-344113.83582145872</v>
      </c>
      <c r="K3" s="36"/>
      <c r="L3" s="1">
        <f t="shared" ref="L3:L52" si="11">L2 * (1 + T3)</f>
        <v>95894.117647058811</v>
      </c>
      <c r="M3" s="1">
        <f>IF($B3=Analysis!$C$47, M2 * (1 - Analysis!$C$48),
    IF($B3=Analysis!$C$52, M2 * (1 - Analysis!$C$53),
    IF($B3=Analysis!$C$58, M2 * (1 - Analysis!$C$60),
    L3)))</f>
        <v>95894.117647058811</v>
      </c>
      <c r="N3" s="1">
        <f>Analysis!$C$3*12*(1+O3)+P3</f>
        <v>-49050</v>
      </c>
      <c r="O3" s="64">
        <f>IF(OR($B3=Analysis!$C$47,$B3=Analysis!$C$52,$B3=Analysis!$C$58),-Analysis!$C$49,0)</f>
        <v>0</v>
      </c>
      <c r="P3" s="1">
        <f>IF($B3&lt;Analysis!$C$47,0,IF($B3-Analysis!$C$47&lt;=3,Analysis!$C$40+Analysis!$C$44,IF($B3-Analysis!$C$47&lt;=10,Analysis!$C$41+Analysis!$C$44,IF($B3-Analysis!$C$47&lt;=18,Analysis!$C$42+Analysis!$C$44,IF($B3-Analysis!$C$47&lt;=25,Analysis!$C$43+Analysis!$C$44,0)))) + IF(AND($B3&gt;=Analysis!$C$52, $B3-Analysis!$C$52&lt;=3),Analysis!$C$40+Analysis!$C$44,IF(AND($B3&gt;=Analysis!$C$52, $B3-Analysis!$C$52&lt;=10),Analysis!$C$41+Analysis!$C$44,IF(AND($B3&gt;=Analysis!$C$52, $B3-Analysis!$C$52&lt;=18),Analysis!$C$42+Analysis!$C$44,IF(AND($B3&gt;=Analysis!$C$52, $B3-Analysis!$C$52&lt;=25),Analysis!$C$43+Analysis!$C$44,0)))) + Analysis!$C$57*IF(AND($B3&gt;=Analysis!$C$58, $B3-Analysis!$C$58&lt;=3),Analysis!$C$40+Analysis!$C$44,IF(AND($B3&gt;=Analysis!$C$58, $B3-Analysis!$C$58&lt;=10),Analysis!$C$41+Analysis!$C$44,IF(AND($B3&gt;=Analysis!$C$58, $B3-Analysis!$C$58&lt;=18),Analysis!$C$42+Analysis!$C$44,IF(AND($B3&gt;=Analysis!$C$58, $B3-Analysis!$C$58&lt;=25),Analysis!$C$43+Analysis!$C$44,0)))))</f>
        <v>-1050</v>
      </c>
      <c r="Q3" s="1">
        <f>Q$2</f>
        <v>0</v>
      </c>
      <c r="R3" s="1">
        <f>IF(AND(AND(B3=Analysis!C$35,Analysis!C$34&lt;&gt;0),AND(B3=Analysis!C$37,Analysis!C$36&lt;&gt;0)),Analysis!C$34+Analysis!C$36,IF(AND(B3=Analysis!C$35,Analysis!C$34&lt;&gt;0),Analysis!C$34,IF(AND(B3=Analysis!C$37,Analysis!C$36&lt;&gt;0),Analysis!C$36,0)))</f>
        <v>0</v>
      </c>
      <c r="S3" s="64">
        <f t="shared" ref="S3:S52" si="12">S$2</f>
        <v>0.02</v>
      </c>
      <c r="T3" s="64">
        <f>IF($B3&lt;Analysis!$C$13, ((1+IF($B3-$B$2&lt;10,Analysis!$C$11,IF($B3-$B$2&lt;20,(Analysis!$C$11+Analysis!$C$12)/2,Analysis!$C$12)))/(1+$S3)-1),IF($B3=Analysis!$C$13,-Analysis!$C$14,-$S3))</f>
        <v>2.450980392156854E-2</v>
      </c>
      <c r="U3" s="64">
        <f>IF($B3=$B$2,((1+Analysis!$C$16)/(1+$S3))-1,IF(B3&lt;Analysis!$C$13,U2-((Analysis!$C$16-Analysis!$C$17)/(Analysis!$C$13-$B$2)),((1+Analysis!$C$17)/(1+$S2))-1))</f>
        <v>7.6717086834734063E-2</v>
      </c>
      <c r="V3" s="64">
        <f t="shared" ref="V3:V52" si="13">V$2</f>
        <v>0.26374999999999998</v>
      </c>
      <c r="W3" s="36"/>
      <c r="X3" s="1">
        <f t="shared" ref="X3:X52" si="14">X2+X2*$Y2</f>
        <v>-16305.882352941178</v>
      </c>
      <c r="Y3" s="64">
        <f t="shared" ref="Y3:Y52" si="15">Y$2</f>
        <v>2.941176470588247E-2</v>
      </c>
      <c r="Z3" s="1">
        <f t="shared" ref="Z3:Z52" si="16">Z2*(1+$AA2)</f>
        <v>-3960</v>
      </c>
      <c r="AA3" s="64">
        <f t="shared" ref="AA3:AA52" si="17">AA$2</f>
        <v>0</v>
      </c>
      <c r="AB3" s="40"/>
      <c r="AC3" s="1">
        <f t="shared" si="3"/>
        <v>-70365.882352941175</v>
      </c>
      <c r="AD3" s="1">
        <f t="shared" si="4"/>
        <v>95894.117647058811</v>
      </c>
      <c r="AE3" s="1">
        <f t="shared" ref="AE3:AE52" si="18">AD3+AC3</f>
        <v>25528.235294117636</v>
      </c>
      <c r="AF3" s="1">
        <f>IF(AE3 &lt; 0,
    IF(AF2 + AE3 &gt; 0,
        AF2 + AE3, IF(AK2-ABS(AF2 + AE3)*(1+$V3) &gt;= AF2 + AE3,
        0, AF2 + AE3)),
    MIN(AF2 + AE3, Analysis!$C$7))+IF(AF2&lt;0, AF2*Analysis!$C$9,0)</f>
        <v>24000</v>
      </c>
      <c r="AG3" s="40"/>
      <c r="AH3" s="1">
        <f t="shared" ref="AH3:AH52" si="19">IF(AK2&gt;0,AK2*$U3,0)</f>
        <v>2220.1323227330199</v>
      </c>
      <c r="AI3" s="1">
        <f>IF(AE3 &gt;= 0,
    MAX(0, AF2 + AE3 - Analysis!$C$7),
    0)</f>
        <v>25528.235294117636</v>
      </c>
      <c r="AJ3" s="1">
        <f>MAX(0, AJ2 + AI3 - IF(AE3 &lt; 0, MIN(ABS(AE3), AJ2 + AI3), 0))</f>
        <v>52428.235294117636</v>
      </c>
      <c r="AK3" s="1">
        <f t="shared" ref="AK3:AK52" si="20">IF(AE3 &lt; 0,
    IF(AE3 + AF2 &lt; 0,
        MAX(0, AK2 - (ABS(AE3 + AF2) * (1+$V2))),
        AK2 + AH3),
    AK2 + AI3 + AH3)</f>
        <v>56687.583303125175</v>
      </c>
      <c r="AL3" s="1">
        <f t="shared" si="5"/>
        <v>55564.180265749434</v>
      </c>
      <c r="AM3" s="36"/>
      <c r="AN3" s="1">
        <f>AN2*(1+AO2)</f>
        <v>916176.47058823542</v>
      </c>
      <c r="AO3" s="64">
        <f t="shared" ref="AO3:AO52" si="21">AO$2</f>
        <v>2.941176470588247E-2</v>
      </c>
      <c r="AP3" s="1">
        <f>IF($B3=Analysis!$C$66,(AN3*(1+Analysis!$C$23+Analysis!$C$24+Analysis!$C$25))-IF($B3=$B$2,(Analysis!$C$6-Analysis!$C$7+Analysis!$C$68), ($CG2-Analysis!$C$7+AY3)),0)</f>
        <v>0</v>
      </c>
      <c r="AQ3" s="65">
        <f>IF($B3=Analysis!$C$66,NPER(AU3,-AX3,-AP3),0)</f>
        <v>0</v>
      </c>
      <c r="AR3" s="64">
        <f>IF($B3=Analysis!$C$66,Analysis!$C$73,0)</f>
        <v>0</v>
      </c>
      <c r="AS3" s="1">
        <f>IF($B3&lt;Analysis!$C$66,0,IF($B3=Analysis!$C$66,-AP3*AR3,IF(AX3&gt;=0,0,AX3-AV3)))</f>
        <v>-19018.020020000004</v>
      </c>
      <c r="AT3" s="1">
        <f>IF($B3&lt;Analysis!$C$66,0,IF($B3=Analysis!$C$66,-AP3-AS3,MIN(0,AT2-AS3)))</f>
        <v>-879615.5199800001</v>
      </c>
      <c r="AU3" s="64">
        <f>IF($B3&lt;Analysis!$C$66,0,IF($B3=Analysis!$C$66,Analysis!$C$72,IF(($B3-Analysis!$C$66)&lt;LOOKUP(Analysis!$C$66,$B:$B,AQ:AQ),AU2,0)))</f>
        <v>3.6999999999999998E-2</v>
      </c>
      <c r="AV3" s="1">
        <f>IF($B3&lt;Analysis!$C$66,0,IF($B3=Analysis!$C$66,-AU3*AP3,AU2*AT2))</f>
        <v>-33249.440980000007</v>
      </c>
      <c r="AW3" s="1">
        <f>IF($B3&lt;Analysis!$C$66,0,IF($B3=Analysis!$C$66,PMT(AU3,AQ3,AP3)*AQ3-AX3-AT3,IF(($B3-Analysis!$C$66+1)&lt;LOOKUP(Analysis!$C$66,$B:$B,AQ:AQ),IF(AW2-AV3&lt;0, AW2-AV3,0),0)))</f>
        <v>-522532.6828103087</v>
      </c>
      <c r="AX3" s="1">
        <f>IF($B3&lt;Analysis!$C$66,0,IF($B3=Analysis!$C$66,AS3+AV3,IF(AT2&lt;0,IF(AT2&gt;LOOKUP(Analysis!$C$66,$B:$B,AX:AX), AT2*(1+AU2),AX2),0)))</f>
        <v>-52267.46100000001</v>
      </c>
      <c r="AY3" s="1">
        <f>IF($B3=Analysis!$C$66,Analysis!$C$68,0)</f>
        <v>0</v>
      </c>
      <c r="AZ3" s="1">
        <f>IF($B3=Analysis!$C$66,PMT(AU3,BA3,AY3)*BA3,0)</f>
        <v>0</v>
      </c>
      <c r="BA3" s="7">
        <f>IF($B3=Analysis!$C$66,Analysis!$C$70,0)</f>
        <v>0</v>
      </c>
      <c r="BB3" s="1">
        <f>IF($B3&lt;Analysis!$C$66,0,IF($B3=Analysis!$C$66,AZ3/BA3,IF(($B3-Analysis!$C$66)&lt;LOOKUP(Analysis!$C$66,$B:$B,BA:BA),BB2,0)))</f>
        <v>-6072.8287787074187</v>
      </c>
      <c r="BC3" s="1">
        <f>IF($B3&lt;Analysis!$C$66,0,IF($B3=Analysis!$C$66,BA3*BB3-BB3,IF(($B3-Analysis!$C$66)&lt;Analysis!$C$70,BC2-BB3,0)))</f>
        <v>-48582.630229659349</v>
      </c>
      <c r="BD3" s="42"/>
      <c r="BE3" s="1">
        <f>IF($B3&lt;Analysis!$C$66,0,-BF3*AN3)</f>
        <v>-2748.5294117647063</v>
      </c>
      <c r="BF3" s="64">
        <f>IF($B3&lt;Analysis!$C$66,0,Analysis!$C$78)</f>
        <v>3.0000000000000001E-3</v>
      </c>
      <c r="BG3" s="1">
        <f>IF($B3&lt;Analysis!$C$66,0,-BH3*AN3)</f>
        <v>-6871.3235294117658</v>
      </c>
      <c r="BH3" s="64">
        <f>IF($B3&lt;Analysis!$C$66,0,Analysis!$C$79)</f>
        <v>7.4999999999999997E-3</v>
      </c>
      <c r="BI3" s="1">
        <f>IF($B3&lt;Analysis!$C$66,0,MIN(Analysis!$C$80*12,SUM(BJ3:BN3)))</f>
        <v>-3960</v>
      </c>
      <c r="BJ3" s="1">
        <f>IF($B3&lt;Analysis!$C$66,0,Analysis!$C$81*12)</f>
        <v>-900</v>
      </c>
      <c r="BK3" s="1">
        <f>IF($B3&lt;Analysis!$C$66,0,Analysis!$C$82*12)</f>
        <v>-1500</v>
      </c>
      <c r="BL3" s="1">
        <f>IF($B3&lt;Analysis!$C$66,0,Analysis!$C$83*12)</f>
        <v>-480</v>
      </c>
      <c r="BM3" s="1">
        <f>IF($B3&lt;Analysis!$C$66,0,Analysis!$C$84*12)</f>
        <v>-480</v>
      </c>
      <c r="BN3" s="1">
        <f>IF($B3&lt;Analysis!$C$66,0,Analysis!$C$85*12)</f>
        <v>-600</v>
      </c>
      <c r="BO3" s="1">
        <v>0</v>
      </c>
      <c r="BP3" s="1">
        <f>-BO3*Analysis!$C$28</f>
        <v>0</v>
      </c>
      <c r="BQ3" s="42"/>
      <c r="BR3" s="1">
        <f t="shared" ref="BR3:BR52" si="22">-BS3*AN3</f>
        <v>-116812.50000000001</v>
      </c>
      <c r="BS3" s="64">
        <f>IF($B3&lt;Analysis!C$66,0,Analysis!C$31)</f>
        <v>0.1275</v>
      </c>
      <c r="BT3" s="1">
        <f>IF($B3&lt;Analysis!$C$66,0,AN3+BR3)</f>
        <v>799363.97058823542</v>
      </c>
      <c r="BU3" s="1">
        <f>IF($B3-Analysis!$C$66&gt;3,0,IF($AN3&gt;LOOKUP(Analysis!$C$66,$B:$B, AN:AN),$V3*(LOOKUP(Analysis!$C$66,$B:$B, AN:AN)-AN3),0))</f>
        <v>-6904.0441176470913</v>
      </c>
      <c r="BV3" s="1">
        <f t="shared" ref="BV3:BV52" si="23">BT3+BU3</f>
        <v>792459.92647058831</v>
      </c>
      <c r="BW3" s="42"/>
      <c r="BX3" s="1">
        <f>IF($B3&lt;Analysis!$C$66,$P3+$N3+$X3+$Z3,$P3+$N3+AS3+AV3+BB3+BE3+BG3+MAX(BI3,SUM(BJ3:BN3))+BP3)</f>
        <v>-122020.14271988389</v>
      </c>
      <c r="BY3" s="1">
        <f t="shared" ref="BY3:BY52" si="24">$M3+$R3</f>
        <v>95894.117647058811</v>
      </c>
      <c r="BZ3" s="1">
        <f>BY3+BX3</f>
        <v>-26126.025072825083</v>
      </c>
      <c r="CA3" s="1">
        <f>IF(BZ3 &lt; 0,
    IF(CA2 + BZ3 &gt; 0,
        CA2 + BZ3, IF(CF2-ABS(CA2 + BZ3)*(1+$V3) &gt;= CA2 + BZ3,
        0, CA2 + BZ3)),
    MIN(CA2 + BZ3, Analysis!$C$7))+IF(CA2&lt;0, CA2*Analysis!$C$9,0)</f>
        <v>-55226.938033829108</v>
      </c>
      <c r="CB3" s="42"/>
      <c r="CC3" s="1">
        <f>IF(CF2&gt;0,CF2*$U3,0)</f>
        <v>0</v>
      </c>
      <c r="CD3" s="1">
        <f>IF(BZ3 &gt;= 0,
    MAX(0, CA2 + BZ3 - Analysis!$C$7),
    0)</f>
        <v>0</v>
      </c>
      <c r="CE3" s="1">
        <f>IF($B3=Analysis!$C$66,0,MAX(0, CE2 + CD3 - IF(BZ3 &lt; 0, MIN(ABS(BZ3), CE2 + CD3), 0)))</f>
        <v>0</v>
      </c>
      <c r="CF3" s="1">
        <f>IF($B3=Analysis!$C$66,0,IF(BZ3 &lt; 0,
    IF(BZ3 + CA2 &lt; 0,
        MAX(0, CF2 - (ABS(BZ3 + CA2) * (1+$V2))),
        CF2 + CC3),
    CF2 + CD3 + CC3))</f>
        <v>0</v>
      </c>
      <c r="CG3" s="1">
        <f t="shared" ref="CG3:CG52" si="25">IF(CF3-CE3&gt;0, CF3-$V3*(CF3-CE3),CF3)</f>
        <v>0</v>
      </c>
      <c r="CH3" s="36"/>
      <c r="CI3" s="1">
        <f>IF(OR($B3&lt;Analysis!$C$100, $B3&gt;=Analysis!$C$130),0,X3)</f>
        <v>-16305.882352941178</v>
      </c>
      <c r="CJ3" s="1">
        <f>IF(OR($B3&lt;Analysis!$C$100, $B3&gt;=Analysis!$C$130),0,Z3)</f>
        <v>-3960</v>
      </c>
      <c r="CK3" s="1">
        <f t="shared" ref="CK3:CK34" si="26">CK2*(1+$CL2)</f>
        <v>534882.3529411765</v>
      </c>
      <c r="CL3" s="64">
        <f>$CL$2</f>
        <v>2.941176470588247E-2</v>
      </c>
      <c r="CM3" s="1">
        <f>IF($B3=Analysis!$C$100,(CK3*(1+Analysis!$C$23+Analysis!$C$24+Analysis!$C$25))-IF($B3=$B$2,(Analysis!$C$6-Analysis!$C$7+Analysis!$C$105), (FU2-Analysis!$C$7+CV3)),0)</f>
        <v>0</v>
      </c>
      <c r="CN3" s="65">
        <f>IF($B3=Analysis!$C$100,NPER(CR3,-CU3,-CM3),0)</f>
        <v>0</v>
      </c>
      <c r="CO3" s="64">
        <f>IF($B3=Analysis!$C$100,Analysis!$C$103,0)</f>
        <v>0</v>
      </c>
      <c r="CP3" s="1">
        <f>IF(OR($B3&lt;Analysis!$C$100, $B3&gt;=Analysis!$C$101),0,IF($B3=Analysis!$C$100,-CM3*CO3,IF(CU3&gt;=0,0,CU3-CS3)))</f>
        <v>-10447.105512800001</v>
      </c>
      <c r="CQ3" s="1">
        <f>IF(OR($B3&lt;Analysis!$C$100, $B3&gt;=Analysis!$C$101),0,IF($B3=Analysis!$C$100,-CM3-CP3,MIN(0,CQ2-CP3)))</f>
        <v>-483196.26008720009</v>
      </c>
      <c r="CR3" s="64">
        <f>IF(OR($B3&lt;Analysis!$C$100, $B3&gt;=Analysis!$C$101),0,IF($B3=Analysis!$C$100,Analysis!$C$102,IF(($B3-Analysis!$C$100)&lt;LOOKUP(Analysis!$C$100,$B:$B,CN:CN),CR2,0)))</f>
        <v>3.6999999999999998E-2</v>
      </c>
      <c r="CS3" s="1">
        <f>IF(OR($B3&lt;Analysis!$C$100, $B3&gt;=Analysis!$C$101),0,IF($B3=Analysis!$C$100,-CR3*CM3,CR2*CQ2))</f>
        <v>-18264.804527200002</v>
      </c>
      <c r="CT3" s="1">
        <f>IF(OR($B3&lt;Analysis!$C$100, $B3&gt;=Analysis!$C$101),0,IF($B3=Analysis!$C$100,PMT(CR3,CN3,CM3)*CN3-CU3-CQ3,IF(($B3-Analysis!$C$100+1)&lt;LOOKUP(Analysis!$C$100,$B:$B,CN:CN),IF(CT2-CS3&lt;0, CT2-CS3,0),0)))</f>
        <v>-287041.13601021189</v>
      </c>
      <c r="CU3" s="1">
        <f>IF(OR($B3&lt;Analysis!$C$100, $B3&gt;=Analysis!$C$101),0,IF($B3=Analysis!$C$100,CP3+CS3,IF(CQ2&lt;0,IF(CQ2&gt;LOOKUP(Analysis!$C$100,$B:$B,CU:CU), CQ2*(1+CR2),CU2),0)))</f>
        <v>-28711.910040000002</v>
      </c>
      <c r="CV3" s="1">
        <f>IF($B3=Analysis!$C$100,Analysis!$C$105,0)</f>
        <v>0</v>
      </c>
      <c r="CW3" s="1">
        <f>IF($B3=Analysis!$C$100,PMT(CR3,CX3,CV3)*CX3,0)</f>
        <v>0</v>
      </c>
      <c r="CX3" s="7">
        <f>IF($B3=Analysis!$C$100,Analysis!$C$107,0)</f>
        <v>0</v>
      </c>
      <c r="CY3" s="1">
        <f>IF(OR($B3&lt;Analysis!$C$100, $B3&gt;=Analysis!$C$101),0,IF($B3=Analysis!$C$100,CW3/CX3,IF(($B3-Analysis!$C$100)&lt;LOOKUP(Analysis!$C$100,$B:$B,CX:CX),CY2,0)))</f>
        <v>-6072.8287787074187</v>
      </c>
      <c r="CZ3" s="1">
        <f>IF(OR($B3&lt;Analysis!$C$100, $B3&gt;=Analysis!$C$101),0,IF($B3=Analysis!$C$100,CX3*CY3-CY3,IF(($B3-Analysis!$C$100)&lt;Analysis!$C$107,CZ2-CY3,0)))</f>
        <v>-48582.630229659349</v>
      </c>
      <c r="DA3" s="53"/>
      <c r="DB3" s="1">
        <f>IF(OR($B3&lt;Analysis!$C$100, $B3&gt;=Analysis!$C$101),0,IF($B3=2025,(Analysis!$C$109*12),IF($B3=Analysis!$C$100,(Analysis!$C$109*12)*(1+DC3)^($B3-$B$2),DB2*(1+DC3))))</f>
        <v>14267.647058823532</v>
      </c>
      <c r="DC3" s="64">
        <f>IF(OR($B3&lt;Analysis!$C$100, $B3&gt;=Analysis!$C$101),0,((1+Analysis!$C$114)/(1+$S3))-1)</f>
        <v>2.941176470588247E-2</v>
      </c>
      <c r="DD3" s="1">
        <f t="shared" si="6"/>
        <v>19832.294117647059</v>
      </c>
      <c r="DE3" s="1">
        <f t="shared" ref="DE3:DE52" si="27">-DF3*CK3</f>
        <v>-1604.6470588235295</v>
      </c>
      <c r="DF3" s="64">
        <f>IF(OR($B3&lt;Analysis!$C$100, $B3&gt;=Analysis!$C$101),0,Analysis!$C$118)</f>
        <v>3.0000000000000001E-3</v>
      </c>
      <c r="DG3" s="1">
        <f t="shared" ref="DG3:DG52" si="28">-DH3*CK3</f>
        <v>-4011.6176470588234</v>
      </c>
      <c r="DH3" s="64">
        <f>IF(OR($B3&lt;Analysis!$C$100, $B3&gt;=Analysis!$C$101),0,Analysis!$C$119)</f>
        <v>7.4999999999999997E-3</v>
      </c>
      <c r="DI3" s="1">
        <f>IF(OR($B3&lt;Analysis!$C$100, $B3&gt;=Analysis!$C$101),0,MIN(Analysis!$C$120*12,SUM(DJ3:DN3)))</f>
        <v>-3960</v>
      </c>
      <c r="DJ3" s="1">
        <f>IF(OR($B3&lt;Analysis!$C$100, $B3&gt;=Analysis!$C$101),0,Analysis!$C$121*12)</f>
        <v>-900</v>
      </c>
      <c r="DK3" s="1">
        <f>IF(OR($B3&lt;Analysis!$C$100, $B3&gt;=Analysis!$C$101),0,Analysis!$C$122*12)</f>
        <v>-1500</v>
      </c>
      <c r="DL3" s="1">
        <f>IF(OR($B3&lt;Analysis!$C$100, $B3&gt;=Analysis!$C$101),0,Analysis!$C$123*12)</f>
        <v>-480</v>
      </c>
      <c r="DM3" s="1">
        <f>IF(OR($B3&lt;Analysis!$C$100, $B3&gt;=Analysis!$C$101),0,Analysis!$C$124*12)</f>
        <v>-480</v>
      </c>
      <c r="DN3" s="1">
        <f>IF(OR($B3&lt;Analysis!$C$100, $B3&gt;=Analysis!$C$101),0,Analysis!$C$125*12)</f>
        <v>-600</v>
      </c>
      <c r="DO3" s="64">
        <f>IF(OR($B3&lt;Analysis!$C$100, $B3&gt;=Analysis!$C$101),0,Analysis!$C$113)</f>
        <v>0.02</v>
      </c>
      <c r="DP3" s="1">
        <f>-DO3*LOOKUP(Analysis!$C$100,$B:$B,CK:CK)</f>
        <v>-10392</v>
      </c>
      <c r="DQ3" s="1">
        <f>-Analysis!$C$117*DB3</f>
        <v>-1070.0735294117649</v>
      </c>
      <c r="DR3" s="1">
        <f t="shared" ref="DR3:DR52" si="29">DE3+DG3+MIN(DI3,SUM(DJ3:DN3))+DP3+DQ3</f>
        <v>-21038.338235294119</v>
      </c>
      <c r="DS3" s="1">
        <f>MIN(0,-(DB3+DR3)*Analysis!$C$28)-CS3*Analysis!$C$28</f>
        <v>8093.1348860023199</v>
      </c>
      <c r="DT3" s="1">
        <f>-Analysis!$C$116*DD3/12</f>
        <v>-1652.6911764705883</v>
      </c>
      <c r="DU3" s="53"/>
      <c r="DV3" s="1">
        <f t="shared" ref="DV3:DV52" si="30">-DW3*CK3</f>
        <v>-68197.5</v>
      </c>
      <c r="DW3" s="64">
        <f>IF(OR($B3&lt;Analysis!$C$100, $B3&gt;=Analysis!$C$101),0,IF($B3=Analysis!$C$100,Analysis!$C$31,DW2))</f>
        <v>0.1275</v>
      </c>
      <c r="DX3" s="1">
        <f>IF(OR($B3&lt;Analysis!$C$100, $B3&gt;=Analysis!$C$101),0,CK3+DV3)</f>
        <v>466684.8529411765</v>
      </c>
      <c r="DY3" s="1">
        <f>IF(OR($B3&lt;Analysis!$C$100, $B3&gt;=Analysis!$C$101),0,IF($B3-Analysis!$C$100&gt;3,0,IF(CK3&gt;LOOKUP(Analysis!$C$100,$B:$B, CK:CK),$V3*(LOOKUP(Analysis!$C$100,$B:$B, CK:CK)-CK3),0)))</f>
        <v>-4030.7205882353028</v>
      </c>
      <c r="DZ3" s="1">
        <f>DX3+DY3</f>
        <v>462654.1323529412</v>
      </c>
      <c r="EA3" s="53"/>
      <c r="EB3" s="1">
        <f t="shared" ref="EB3:EB52" si="31">EB2*(1+EC2)</f>
        <v>710294.11764705891</v>
      </c>
      <c r="EC3" s="64">
        <f>$CL$2</f>
        <v>2.941176470588247E-2</v>
      </c>
      <c r="ED3" s="1">
        <f>MAX(0,IF($B3=Analysis!$C$130,(EB3*(1+Analysis!$C$23+Analysis!$C$24+Analysis!$C$25))-(IF($B3=$B$2,(Analysis!$C$6-Analysis!$C$7+Analysis!$C$132), (FU2-Analysis!$C$7+EM3)) + IF($B3=Analysis!$C$101,DZ2+CQ2+CT2+CZ2,0)),0))</f>
        <v>0</v>
      </c>
      <c r="EE3" s="65">
        <f>IF($B3=Analysis!$C$130,IF(ED3&gt;0,NPER(EI3,-EL3,-ED3),0),0)</f>
        <v>0</v>
      </c>
      <c r="EF3" s="64">
        <f>IF($B3=Analysis!$C$130,Analysis!$C$137,0)</f>
        <v>0</v>
      </c>
      <c r="EG3" s="1">
        <f>IF($B3&lt;Analysis!$C$130,0,IF($B3=Analysis!$C$130,-ED3*EF3,IF(EL3&gt;=0,0,EL3-EJ3)))</f>
        <v>0</v>
      </c>
      <c r="EH3" s="1">
        <f>IF($B3&lt;Analysis!$C$130,0,IF($B3=Analysis!$C$130,-ED3-EG3,MIN(0,EH2-EG3)))</f>
        <v>0</v>
      </c>
      <c r="EI3" s="64">
        <f>IF($B3&lt;Analysis!$C$130,0,IF($B3=Analysis!$C$130,Analysis!$C$136,IF(($B3-Analysis!$C$130)&lt;LOOKUP(Analysis!$C$130,$B:$B,EE:EE),EI2,0)))</f>
        <v>0</v>
      </c>
      <c r="EJ3" s="1">
        <f>IF($B3&lt;Analysis!$C$130,0,IF($B3=Analysis!$C$130,-EI3*ED3,EI2*EH2))</f>
        <v>0</v>
      </c>
      <c r="EK3" s="1">
        <f>IF(OR($B3&lt;Analysis!$C$130, ED3=0),0,IF($B3=Analysis!$C$130,PMT(EI3,EE3,ED3)*EE3-EL3-EH3,IF(($B3-Analysis!$C$130+1)&lt;LOOKUP(Analysis!$C$130,$B:$B,EE:EE),IF(EK2-EJ3&lt;0, EK2-EJ3,0),0)))</f>
        <v>0</v>
      </c>
      <c r="EL3" s="1">
        <f>IF($B3&lt;Analysis!$C$130,0,IF($B3=Analysis!$C$130,EG3+EJ3,IF(EH2&lt;0,IF(EH2&gt;LOOKUP(Analysis!$C$130,$B:$B,EL:EL), EH2*(1+EI2),EL2),0)))</f>
        <v>0</v>
      </c>
      <c r="EM3" s="1">
        <f>IF($B3=Analysis!$C$130,Analysis!$C$132,0)</f>
        <v>0</v>
      </c>
      <c r="EN3" s="1">
        <f>IF($B3=Analysis!$C$130,PMT(EI3,EO3,EM3)*EO3,0)</f>
        <v>0</v>
      </c>
      <c r="EO3" s="7">
        <f>IF($B3=Analysis!$C$130,Analysis!$C$134,0)</f>
        <v>0</v>
      </c>
      <c r="EP3" s="1">
        <f>IF($B3&lt;Analysis!$C$130,0,IF($B3=Analysis!$C$130,EN3/EO3,IF(($B3-Analysis!$C$130)&lt;LOOKUP(Analysis!$C$130,$B:$B,EO:EO),EP2,0)))</f>
        <v>0</v>
      </c>
      <c r="EQ3" s="1">
        <f>IF($B3&lt;Analysis!$C$130,0,IF($B3=Analysis!$C$130,EO3*EP3-EP3,IF(($B3-Analysis!$C$130)&lt;Analysis!$C$134,EQ2-EP3,0)))</f>
        <v>0</v>
      </c>
      <c r="ER3" s="53"/>
      <c r="ES3" s="1">
        <f>IF($B3&lt;Analysis!$C$130,0,-ET3*EB3)</f>
        <v>0</v>
      </c>
      <c r="ET3" s="64">
        <f>IF($B3&lt;Analysis!$C$130,0,Analysis!$C$142)</f>
        <v>0</v>
      </c>
      <c r="EU3" s="1">
        <f>IF($B3&lt;Analysis!$C$130,0,-EV3*EB3)</f>
        <v>0</v>
      </c>
      <c r="EV3" s="64">
        <f>IF($B3&lt;Analysis!$C$130,0,Analysis!$C$143)</f>
        <v>0</v>
      </c>
      <c r="EW3" s="1">
        <f>IF($B3&lt;Analysis!$C$130,0,MIN(Analysis!$C$144*12,SUM(EX3:FB3)))</f>
        <v>0</v>
      </c>
      <c r="EX3" s="1">
        <f>IF($B3&lt;Analysis!$C$130,0,Analysis!$C$145*12)</f>
        <v>0</v>
      </c>
      <c r="EY3" s="1">
        <f>IF($B3&lt;Analysis!$C$130,0,Analysis!$C$146*12)</f>
        <v>0</v>
      </c>
      <c r="EZ3" s="1">
        <f>IF($B3&lt;Analysis!$C$130,0,Analysis!$C$147*12)</f>
        <v>0</v>
      </c>
      <c r="FA3" s="1">
        <f>IF($B3&lt;Analysis!$C$130,0,Analysis!$C$148*12)</f>
        <v>0</v>
      </c>
      <c r="FB3" s="1">
        <f>IF($B3&lt;Analysis!$C$130,0,Analysis!$C$149*12)</f>
        <v>0</v>
      </c>
      <c r="FC3" s="1">
        <v>0</v>
      </c>
      <c r="FD3" s="1">
        <f>-FC3*Analysis!$C$28</f>
        <v>0</v>
      </c>
      <c r="FE3" s="53"/>
      <c r="FF3" s="1">
        <f t="shared" ref="FF3:FF52" si="32">-FG3*EB3</f>
        <v>0</v>
      </c>
      <c r="FG3" s="64">
        <f>IF($B3&lt;Analysis!$C$130,0,Analysis!$C$31)</f>
        <v>0</v>
      </c>
      <c r="FH3" s="1">
        <f>IF($B3&lt;Analysis!$C$130,0,EB3+FF3)</f>
        <v>0</v>
      </c>
      <c r="FI3" s="1">
        <f>IF($B3-Analysis!$C$130&gt;3,0,IF(EB3&gt;LOOKUP(Analysis!$C$130,$B:$B, EB:EB),$V3*(LOOKUP(Analysis!$C$130,$B:$B, EB:EB)-EB3),0))</f>
        <v>0</v>
      </c>
      <c r="FJ3" s="1">
        <f t="shared" ref="FJ3:FJ52" si="33">FH3+FI3</f>
        <v>0</v>
      </c>
      <c r="FK3" s="53"/>
      <c r="FL3" s="1">
        <f>$P3+$N3+IF($B3&lt;Analysis!$C$130,$X3+$Z3,0)+CP3+CS3+CY3+DE3+DG3+MIN(DI3,SUM(DJ3:DN3))+DQ3+DS3+DT3+EG3+EJ3+EP3+ES3+EU3+MIN(EW3,SUM(EX3:FB3))+FD3</f>
        <v>-109356.51569741099</v>
      </c>
      <c r="FM3" s="1">
        <f>$M3+$R3+DD3+IF(AND($B3&lt;&gt;Analysis!$C$130,$B3=Analysis!$C$101),DZ2+CQ2+CT2+CZ2,0)</f>
        <v>115726.41176470587</v>
      </c>
      <c r="FN3" s="1">
        <f t="shared" ref="FN3:FN52" si="34">FM3+FL3</f>
        <v>6369.8960672948888</v>
      </c>
      <c r="FO3" s="1">
        <f>IF(FN3 &lt; 0,
    IF(FO2 + FN3 &gt; 0,
        FO2 + FN3, IF(FT2-ABS(FO2 + FN3)*(1+$V3) &gt;= FO2 + FN3,
        0, FO2 + FN3)),
    MIN(FO2 + FN3, Analysis!$C$7))+IF(FO2&lt;0, FO2*Analysis!$C$9,0)</f>
        <v>12052.058152671467</v>
      </c>
      <c r="FP3" s="53"/>
      <c r="FQ3" s="1">
        <f>IF(FT2&gt;0,FT2*$U3,0)</f>
        <v>0</v>
      </c>
      <c r="FR3" s="1">
        <f>IF(OR($B3=Analysis!$C$100, $B3=Analysis!$C$130),0,IF(FN3 &gt;= 0,
    MAX(0, FO2 + FN3 - Analysis!$C$7),
    0))</f>
        <v>0</v>
      </c>
      <c r="FS3" s="1">
        <f>IF(OR($B3=Analysis!$C$100, $B3=Analysis!$C$130),0,MAX(0, FS2 + FR3 - IF(FN3 &lt; 0, MIN(ABS(FN3), FS2 + FR3), 0)))</f>
        <v>0</v>
      </c>
      <c r="FT3" s="1">
        <f>IF(OR($B3=Analysis!$C$100, $B3=Analysis!$C$130),0,IF(FN3 &lt; 0,
    IF(FN3 + FO2 &lt; 0,
        MAX(0, FT2 - (ABS(FN3 + FO2) * (1+$V2))),
        FT2 + FQ3),
    FT2 + FR3 + FQ3))</f>
        <v>0</v>
      </c>
      <c r="FU3" s="1">
        <f t="shared" ref="FU3:FU11" si="35">IF(FT3-FS3&gt;0, FT3-$V3*(FT3-FS3),FT3)</f>
        <v>0</v>
      </c>
      <c r="FV3" s="36"/>
      <c r="FW3" s="1">
        <f>FW2*(1+$FX2)</f>
        <v>534882.3529411765</v>
      </c>
      <c r="FX3" s="64">
        <f>$FX$2</f>
        <v>2.941176470588247E-2</v>
      </c>
      <c r="FY3" s="1">
        <f>IF($B3=Analysis!$C$159,(FW3*(1+Analysis!$C$23+Analysis!$C$24+Analysis!$C$25))-IF($B3=$B$2,(Analysis!$C$6-Analysis!$C$7+Analysis!$C$165), (HW2-Analysis!$C$7+GH3)),0)</f>
        <v>0</v>
      </c>
      <c r="FZ3" s="65">
        <f>IF($B3=Analysis!$C$159,NPER(GD3,-GG3,-FY3),0)</f>
        <v>0</v>
      </c>
      <c r="GA3" s="64">
        <f>IF($B3=Analysis!$C$159,Analysis!$C$161,0)</f>
        <v>0</v>
      </c>
      <c r="GB3" s="1">
        <f>IF($B3&lt;Analysis!$C$159,0,IF($B3=Analysis!$C$159,-FY3*GA3,IF(GG3&gt;=0,0,GG3-GE3)))</f>
        <v>-10447.105512800001</v>
      </c>
      <c r="GC3" s="1">
        <f>IF($B3&lt;Analysis!$C$159,0,IF($B3=Analysis!$C$159,-FY3-GB3,MIN(0,GC2-GB3)))</f>
        <v>-483196.26008720009</v>
      </c>
      <c r="GD3" s="64">
        <f>IF($B3&lt;Analysis!$C$159,0,IF($B3=Analysis!$C$159,Analysis!$C$160,IF(($B3-Analysis!$C$159)&lt;LOOKUP(Analysis!$C$159,$B:$B,FZ:FZ),GD2,0)))</f>
        <v>3.6999999999999998E-2</v>
      </c>
      <c r="GE3" s="1">
        <f>IF($B3&lt;Analysis!$C$159,0,IF($B3=Analysis!$C$159,-GD3*FY3,GD2*GC2))</f>
        <v>-18264.804527200002</v>
      </c>
      <c r="GF3" s="1">
        <f>IF($B3&lt;Analysis!$C$159,0,IF($B3=Analysis!$C$159,PMT(GD3,FZ3,FY3)*FZ3-GG3-GC3,IF(($B3-Analysis!$C$159+1)&lt;LOOKUP(Analysis!$C$159,$B:$B,FZ:FZ),IF(GF2-GE3&lt;0, GF2-GE3,0),0)))</f>
        <v>-287041.13601021189</v>
      </c>
      <c r="GG3" s="1">
        <f>IF($B3&lt;Analysis!$C$159,0,IF($B3=Analysis!$C$159,GB3+GE3,IF(GC2&lt;0,IF(GC2&gt;LOOKUP(Analysis!$C$159,$B:$B,GG:GG), GC2*(1+GD2),GG2),0)))</f>
        <v>-28711.910040000002</v>
      </c>
      <c r="GH3" s="1">
        <f>IF($B3=Analysis!$C$159,Analysis!$C$165,0)</f>
        <v>0</v>
      </c>
      <c r="GI3" s="1">
        <f>IF($B3=Analysis!$C$159,PMT(GD3,GJ3,GH3)*GJ3,0)</f>
        <v>0</v>
      </c>
      <c r="GJ3" s="7">
        <f>IF($B3=Analysis!$C$159,Analysis!$C$167,0)</f>
        <v>0</v>
      </c>
      <c r="GK3" s="1">
        <f>IF($B3&lt;Analysis!$C$159,0,IF($B3=Analysis!$C$159,GI3/GJ3,IF(($B3-Analysis!$C$159)&lt;LOOKUP(Analysis!$C$159,$B:$B,GJ:GJ),GK2,0)))</f>
        <v>-6072.8287787074187</v>
      </c>
      <c r="GL3" s="1">
        <f>IF($B3&lt;Analysis!$C$159,0,IF($B3=Analysis!$C$159,GJ3*GK3-GK3,IF(($B3-Analysis!$C$159)&lt;Analysis!$C$167,GL2-GK3,0)))</f>
        <v>-48582.630229659349</v>
      </c>
      <c r="GM3" s="38"/>
      <c r="GN3" s="1">
        <f>IF($B3&lt;Analysis!$C$159,0,IF($B3=2025,(Analysis!$C$109*12),IF($B3=Analysis!$C$159,(Analysis!$C$109*12)*(1+GO3)^($B3-$B$2),GN2*(1+GO3))))</f>
        <v>14267.647058823532</v>
      </c>
      <c r="GO3" s="64">
        <f>IF($B3&lt;Analysis!$C$159,0,((1+Analysis!$C$174)/(1+$S3))-1)</f>
        <v>2.941176470588247E-2</v>
      </c>
      <c r="GP3" s="1">
        <f t="shared" si="7"/>
        <v>19832.294117647059</v>
      </c>
      <c r="GQ3" s="1">
        <f t="shared" ref="GQ3:GQ52" si="36">-GR3*FW3</f>
        <v>-1604.6470588235295</v>
      </c>
      <c r="GR3" s="64">
        <f>IF($B3&lt;Analysis!$C$159,0,Analysis!$C$178)</f>
        <v>3.0000000000000001E-3</v>
      </c>
      <c r="GS3" s="1">
        <f t="shared" ref="GS3:GS52" si="37">-GT3*FW3</f>
        <v>-4011.6176470588234</v>
      </c>
      <c r="GT3" s="64">
        <f>IF($B3&lt;Analysis!$C$159,0,Analysis!$C$179)</f>
        <v>7.4999999999999997E-3</v>
      </c>
      <c r="GU3" s="1">
        <f>IF($B3&lt;Analysis!$C$159,0,MIN(Analysis!$C$180*12,SUM(GV3:GZ3)))</f>
        <v>-3960</v>
      </c>
      <c r="GV3" s="1">
        <f>IF($B3&lt;Analysis!$C$159,0,Analysis!$C$181*12)</f>
        <v>-900</v>
      </c>
      <c r="GW3" s="1">
        <f>IF($B3&lt;Analysis!$C$159,0,Analysis!$C$182*12)</f>
        <v>-1500</v>
      </c>
      <c r="GX3" s="1">
        <f>IF($B3&lt;Analysis!$C$159,0,Analysis!$C$183*12)</f>
        <v>-480</v>
      </c>
      <c r="GY3" s="1">
        <f>IF($B3&lt;Analysis!$C$159,0,Analysis!$C$184*12)</f>
        <v>-480</v>
      </c>
      <c r="GZ3" s="1">
        <f>IF($B3&lt;Analysis!$C$159,0,Analysis!$C$185*12)</f>
        <v>-600</v>
      </c>
      <c r="HA3" s="64">
        <f>IF($B3&lt;Analysis!$C$159,0,Analysis!$C$173)</f>
        <v>0.02</v>
      </c>
      <c r="HB3" s="1">
        <f>-HA3*LOOKUP(Analysis!$C$159,$B:$B,FW:FW)</f>
        <v>-10392</v>
      </c>
      <c r="HC3" s="1">
        <f>-Analysis!$C$177*GN3</f>
        <v>-1070.0735294117649</v>
      </c>
      <c r="HD3" s="1">
        <f t="shared" ref="HD3:HD52" si="38">GQ3+GS3+MIN(GU3,SUM(GV3:GZ3))+HB3+HC3</f>
        <v>-21038.338235294119</v>
      </c>
      <c r="HE3" s="1">
        <f>MIN(0,-(GN3+HD3)*Analysis!$C$28)-GE3*Analysis!$C$28</f>
        <v>8093.1348860023199</v>
      </c>
      <c r="HF3" s="1">
        <f>-Analysis!$C$176*GP3/12</f>
        <v>-1652.6911764705883</v>
      </c>
      <c r="HG3" s="38"/>
      <c r="HH3" s="1">
        <f>IF($B3&lt;Analysis!$C$159,0,-$HI3*$FW3)</f>
        <v>-68197.5</v>
      </c>
      <c r="HI3" s="64">
        <f>IF($B3&lt;Analysis!$C$159,0,IF($B3=Analysis!$C$159,Analysis!$C$31,HI2))</f>
        <v>0.1275</v>
      </c>
      <c r="HJ3" s="1">
        <f>IF($B3&lt;Analysis!$C$159,0,$FW3+HH3)</f>
        <v>466684.8529411765</v>
      </c>
      <c r="HK3" s="1">
        <f>IF($B3-Analysis!$C$159&gt;10,0,IF($FW3&gt;LOOKUP(Analysis!$C$159,$B:$B, FW:FW),$V3*(LOOKUP(Analysis!$C$159,$B:$B, FW:FW)-FW3),0))</f>
        <v>-4030.7205882353028</v>
      </c>
      <c r="HL3" s="1">
        <f t="shared" ref="HL3:HL52" si="39">HJ3+HK3</f>
        <v>462654.1323529412</v>
      </c>
      <c r="HM3" s="38"/>
      <c r="HN3" s="1">
        <f t="shared" ref="HN3:HN52" si="40">$P3+$N3+$X3+$Z3+GB3+GE3+GK3+GQ3+GS3+MIN(GU3,SUM(GV3:GZ3))+HC3+HE3+HF3</f>
        <v>-109356.51569741099</v>
      </c>
      <c r="HO3" s="1">
        <f t="shared" si="8"/>
        <v>115726.41176470587</v>
      </c>
      <c r="HP3" s="1">
        <f t="shared" ref="HP3:HP52" si="41">HO3+HN3</f>
        <v>6369.8960672948888</v>
      </c>
      <c r="HQ3" s="1">
        <f>IF(HP3 &lt; 0,
    IF(HQ2 + HP3 &gt; 0,
        HQ2 + HP3, IF(HV2-ABS(HQ2 + HP3)*(1+$V3) &gt;= HQ2 + HP3,
        0, HQ2 + HP3)),
    MIN(HQ2 + HP3, Analysis!$C$7))+IF(HQ2&lt;0, HQ2*Analysis!$C$9,0)</f>
        <v>12052.058152671467</v>
      </c>
      <c r="HR3" s="38"/>
      <c r="HS3" s="1">
        <f>IF(HV2&gt;0,HV2*$U3,0)</f>
        <v>0</v>
      </c>
      <c r="HT3" s="1">
        <f>IF($B3=Analysis!$C$159,0,IF(HP3 &gt;= 0,
    MAX(0, HQ2 + HP3 - Analysis!$C$7),
    0))</f>
        <v>0</v>
      </c>
      <c r="HU3" s="1">
        <f>IF($B3=Analysis!$C$159,0,MAX(0, HU2 + HT3 - IF(HP3 &lt; 0, MIN(ABS(HP3), HU2 + HT3), 0)))</f>
        <v>0</v>
      </c>
      <c r="HV3" s="1">
        <f>IF($B3=Analysis!$C$159,0,IF(HP3 &lt; 0,
    IF(HP3 + HQ2 &lt; 0,
        MAX(0, HV2 - (ABS(HP3 + HQ2) * (1+$V2))),
        HV2 + HS3),
    HV2 + HT3 + HS3))</f>
        <v>0</v>
      </c>
      <c r="HW3" s="1">
        <f t="shared" ref="HW3:HW11" si="42">IF(HV3-HU3&gt;0, HV3-$V3*(HV3-HU3),HV3)</f>
        <v>0</v>
      </c>
      <c r="HX3" s="36"/>
    </row>
    <row r="4" spans="1:232" x14ac:dyDescent="0.35">
      <c r="A4">
        <f t="shared" si="0"/>
        <v>37</v>
      </c>
      <c r="B4">
        <v>2027</v>
      </c>
      <c r="C4" s="1">
        <f>IF($B4&lt;Analysis!C$66,0,$AN4)+$AT4+$AW4+$BC4+$CF4+$CA4</f>
        <v>-561368.81969511928</v>
      </c>
      <c r="D4" s="1">
        <f>IF($B4&lt;Analysis!C$66, 0, BV4)+AT4+AW4+BC4+CG4+CA4</f>
        <v>-695628.12981622678</v>
      </c>
      <c r="E4" s="1">
        <f t="shared" si="1"/>
        <v>83940.902535110043</v>
      </c>
      <c r="F4" s="1">
        <f t="shared" si="9"/>
        <v>81432.776169675461</v>
      </c>
      <c r="G4" s="1">
        <f>IF(AND($B4&gt;=Analysis!$C$100, $B4&lt;Analysis!$C$101),$CK4,0)+IF($B4&gt;=Analysis!$C$130,EB4,0)+CQ4+CT4+CZ4+EH4+EK4+EQ4+$FO4+$FT4</f>
        <v>-241465.79470520356</v>
      </c>
      <c r="H4" s="1">
        <f t="shared" si="10"/>
        <v>-319849.09531073994</v>
      </c>
      <c r="I4" s="1">
        <f>IF($B4&lt;Analysis!$C$159,0,$FW4)+$GC4+$GF4+$GL4+$HQ4+$HV4</f>
        <v>-241465.79470520356</v>
      </c>
      <c r="J4" s="1">
        <f t="shared" si="2"/>
        <v>-319849.09531073994</v>
      </c>
      <c r="K4" s="36"/>
      <c r="L4" s="1">
        <f t="shared" si="11"/>
        <v>98244.463667820048</v>
      </c>
      <c r="M4" s="1">
        <f>IF($B4=Analysis!$C$47, M3 * (1 - Analysis!$C$48),
    IF($B4=Analysis!$C$52, M3 * (1 - Analysis!$C$53),
    IF($B4=Analysis!$C$58, M3 * (1 - Analysis!$C$60),
    L4)))</f>
        <v>47947.058823529405</v>
      </c>
      <c r="N4" s="1">
        <f>Analysis!$C$3*12*(1+O4)+P4</f>
        <v>-26100</v>
      </c>
      <c r="O4" s="64">
        <f>IF(OR($B4=Analysis!$C$47,$B4=Analysis!$C$52,$B4=Analysis!$C$58),-Analysis!$C$49,0)</f>
        <v>-0.5</v>
      </c>
      <c r="P4" s="1">
        <f>IF($B4&lt;Analysis!$C$47,0,IF($B4-Analysis!$C$47&lt;=3,Analysis!$C$40+Analysis!$C$44,IF($B4-Analysis!$C$47&lt;=10,Analysis!$C$41+Analysis!$C$44,IF($B4-Analysis!$C$47&lt;=18,Analysis!$C$42+Analysis!$C$44,IF($B4-Analysis!$C$47&lt;=25,Analysis!$C$43+Analysis!$C$44,0)))) + IF(AND($B4&gt;=Analysis!$C$52, $B4-Analysis!$C$52&lt;=3),Analysis!$C$40+Analysis!$C$44,IF(AND($B4&gt;=Analysis!$C$52, $B4-Analysis!$C$52&lt;=10),Analysis!$C$41+Analysis!$C$44,IF(AND($B4&gt;=Analysis!$C$52, $B4-Analysis!$C$52&lt;=18),Analysis!$C$42+Analysis!$C$44,IF(AND($B4&gt;=Analysis!$C$52, $B4-Analysis!$C$52&lt;=25),Analysis!$C$43+Analysis!$C$44,0)))) + Analysis!$C$57*IF(AND($B4&gt;=Analysis!$C$58, $B4-Analysis!$C$58&lt;=3),Analysis!$C$40+Analysis!$C$44,IF(AND($B4&gt;=Analysis!$C$58, $B4-Analysis!$C$58&lt;=10),Analysis!$C$41+Analysis!$C$44,IF(AND($B4&gt;=Analysis!$C$58, $B4-Analysis!$C$58&lt;=18),Analysis!$C$42+Analysis!$C$44,IF(AND($B4&gt;=Analysis!$C$58, $B4-Analysis!$C$58&lt;=25),Analysis!$C$43+Analysis!$C$44,0)))))</f>
        <v>-2100</v>
      </c>
      <c r="Q4" s="1">
        <f t="shared" ref="Q4:Q52" si="43">Q$2</f>
        <v>0</v>
      </c>
      <c r="R4" s="1">
        <f>IF(AND(AND(B4=Analysis!C$35,Analysis!C$34&lt;&gt;0),AND(B4=Analysis!C$37,Analysis!C$36&lt;&gt;0)),Analysis!C$34+Analysis!C$36,IF(AND(B4=Analysis!C$35,Analysis!C$34&lt;&gt;0),Analysis!C$34,IF(AND(B4=Analysis!C$37,Analysis!C$36&lt;&gt;0),Analysis!C$36,0)))</f>
        <v>0</v>
      </c>
      <c r="S4" s="64">
        <f t="shared" si="12"/>
        <v>0.02</v>
      </c>
      <c r="T4" s="64">
        <f>IF($B4&lt;Analysis!$C$13, ((1+IF($B4-$B$2&lt;10,Analysis!$C$11,IF($B4-$B$2&lt;20,(Analysis!$C$11+Analysis!$C$12)/2,Analysis!$C$12)))/(1+$S4)-1),IF($B4=Analysis!$C$13,-Analysis!$C$14,-$S4))</f>
        <v>2.450980392156854E-2</v>
      </c>
      <c r="U4" s="64">
        <f>IF($B4=$B$2,((1+Analysis!$C$16)/(1+$S4))-1,IF(B4&lt;Analysis!$C$13,U3-((Analysis!$C$16-Analysis!$C$17)/(Analysis!$C$13-$B$2)),((1+Analysis!$C$17)/(1+$S3))-1))</f>
        <v>7.5002801120448354E-2</v>
      </c>
      <c r="V4" s="64">
        <f t="shared" si="13"/>
        <v>0.26374999999999998</v>
      </c>
      <c r="W4" s="36"/>
      <c r="X4" s="1">
        <f t="shared" si="14"/>
        <v>-16785.467128027685</v>
      </c>
      <c r="Y4" s="64">
        <f t="shared" si="15"/>
        <v>2.941176470588247E-2</v>
      </c>
      <c r="Z4" s="1">
        <f t="shared" si="16"/>
        <v>-3960</v>
      </c>
      <c r="AA4" s="64">
        <f t="shared" si="17"/>
        <v>0</v>
      </c>
      <c r="AB4" s="40"/>
      <c r="AC4" s="1">
        <f t="shared" si="3"/>
        <v>-48945.467128027682</v>
      </c>
      <c r="AD4" s="1">
        <f t="shared" si="4"/>
        <v>47947.058823529405</v>
      </c>
      <c r="AE4" s="1">
        <f t="shared" si="18"/>
        <v>-998.40830449827627</v>
      </c>
      <c r="AF4" s="1">
        <f>IF(AE4 &lt; 0,
    IF(AF3 + AE4 &gt; 0,
        AF3 + AE4, IF(AK3-ABS(AF3 + AE4)*(1+$V4) &gt;= AF3 + AE4,
        0, AF3 + AE4)),
    MIN(AF3 + AE4, Analysis!$C$7))+IF(AF3&lt;0, AF3*Analysis!$C$9,0)</f>
        <v>23001.591695501724</v>
      </c>
      <c r="AG4" s="40"/>
      <c r="AH4" s="1">
        <f t="shared" si="19"/>
        <v>4251.7275364831467</v>
      </c>
      <c r="AI4" s="1">
        <f>IF(AE4 &gt;= 0,
    MAX(0, AF3 + AE4 - Analysis!$C$7),
    0)</f>
        <v>0</v>
      </c>
      <c r="AJ4" s="1">
        <f t="shared" ref="AJ4:AJ52" si="44">MAX(0, AJ3 + AI4 - IF(AE4 &lt; 0, MIN(ABS(AE4), AJ3 + AI4), 0))</f>
        <v>51429.82698961936</v>
      </c>
      <c r="AK4" s="1">
        <f t="shared" si="20"/>
        <v>60939.310839608319</v>
      </c>
      <c r="AL4" s="1">
        <f t="shared" si="5"/>
        <v>58431.18447417373</v>
      </c>
      <c r="AM4" s="36"/>
      <c r="AN4" s="1">
        <f t="shared" ref="AN4:AN52" si="45">AN3*(1+AO3)</f>
        <v>943122.83737024246</v>
      </c>
      <c r="AO4" s="64">
        <f t="shared" si="21"/>
        <v>2.941176470588247E-2</v>
      </c>
      <c r="AP4" s="1">
        <f>IF($B4=Analysis!$C$66,(AN4*(1+Analysis!$C$23+Analysis!$C$24+Analysis!$C$25))-IF($B4=$B$2,(Analysis!$C$6-Analysis!$C$7+Analysis!$C$68), ($CG3-Analysis!$C$7+AY4)),0)</f>
        <v>0</v>
      </c>
      <c r="AQ4" s="65">
        <f>IF($B4=Analysis!$C$66,NPER(AU4,-AX4,-AP4),0)</f>
        <v>0</v>
      </c>
      <c r="AR4" s="64">
        <f>IF($B4=Analysis!$C$66,Analysis!$C$73,0)</f>
        <v>0</v>
      </c>
      <c r="AS4" s="1">
        <f>IF($B4&lt;Analysis!$C$66,0,IF($B4=Analysis!$C$66,-AP4*AR4,IF(AX4&gt;=0,0,AX4-AV4)))</f>
        <v>-19721.686760740009</v>
      </c>
      <c r="AT4" s="1">
        <f>IF($B4&lt;Analysis!$C$66,0,IF($B4=Analysis!$C$66,-AP4-AS4,MIN(0,AT3-AS4)))</f>
        <v>-859893.83321926009</v>
      </c>
      <c r="AU4" s="64">
        <f>IF($B4&lt;Analysis!$C$66,0,IF($B4=Analysis!$C$66,Analysis!$C$72,IF(($B4-Analysis!$C$66)&lt;LOOKUP(Analysis!$C$66,$B:$B,AQ:AQ),AU3,0)))</f>
        <v>3.6999999999999998E-2</v>
      </c>
      <c r="AV4" s="1">
        <f>IF($B4&lt;Analysis!$C$66,0,IF($B4=Analysis!$C$66,-AU4*AP4,AU3*AT3))</f>
        <v>-32545.774239260001</v>
      </c>
      <c r="AW4" s="1">
        <f>IF($B4&lt;Analysis!$C$66,0,IF($B4=Analysis!$C$66,PMT(AU4,AQ4,AP4)*AQ4-AX4-AT4,IF(($B4-Analysis!$C$66+1)&lt;LOOKUP(Analysis!$C$66,$B:$B,AQ:AQ),IF(AW3-AV4&lt;0, AW3-AV4,0),0)))</f>
        <v>-489986.9085710487</v>
      </c>
      <c r="AX4" s="1">
        <f>IF($B4&lt;Analysis!$C$66,0,IF($B4=Analysis!$C$66,AS4+AV4,IF(AT3&lt;0,IF(AT3&gt;LOOKUP(Analysis!$C$66,$B:$B,AX:AX), AT3*(1+AU3),AX3),0)))</f>
        <v>-52267.46100000001</v>
      </c>
      <c r="AY4" s="1">
        <f>IF($B4=Analysis!$C$66,Analysis!$C$68,0)</f>
        <v>0</v>
      </c>
      <c r="AZ4" s="1">
        <f>IF($B4=Analysis!$C$66,PMT(AU4,BA4,AY4)*BA4,0)</f>
        <v>0</v>
      </c>
      <c r="BA4" s="7">
        <f>IF($B4=Analysis!$C$66,Analysis!$C$70,0)</f>
        <v>0</v>
      </c>
      <c r="BB4" s="1">
        <f>IF($B4&lt;Analysis!$C$66,0,IF($B4=Analysis!$C$66,AZ4/BA4,IF(($B4-Analysis!$C$66)&lt;LOOKUP(Analysis!$C$66,$B:$B,BA:BA),BB3,0)))</f>
        <v>-6072.8287787074187</v>
      </c>
      <c r="BC4" s="1">
        <f>IF($B4&lt;Analysis!$C$66,0,IF($B4=Analysis!$C$66,BA4*BB4-BB4,IF(($B4-Analysis!$C$66)&lt;Analysis!$C$70,BC3-BB4,0)))</f>
        <v>-42509.801450951927</v>
      </c>
      <c r="BD4" s="42"/>
      <c r="BE4" s="1">
        <f>IF($B4&lt;Analysis!$C$66,0,-BF4*AN4)</f>
        <v>-2829.3685121107274</v>
      </c>
      <c r="BF4" s="64">
        <f>IF($B4&lt;Analysis!$C$66,0,Analysis!$C$78)</f>
        <v>3.0000000000000001E-3</v>
      </c>
      <c r="BG4" s="1">
        <f>IF($B4&lt;Analysis!$C$66,0,-BH4*AN4)</f>
        <v>-7073.4212802768179</v>
      </c>
      <c r="BH4" s="64">
        <f>IF($B4&lt;Analysis!$C$66,0,Analysis!$C$79)</f>
        <v>7.4999999999999997E-3</v>
      </c>
      <c r="BI4" s="1">
        <f>IF($B4&lt;Analysis!$C$66,0,MIN(Analysis!$C$80*12,SUM(BJ4:BN4)))</f>
        <v>-3960</v>
      </c>
      <c r="BJ4" s="1">
        <f>IF($B4&lt;Analysis!$C$66,0,Analysis!$C$81*12)</f>
        <v>-900</v>
      </c>
      <c r="BK4" s="1">
        <f>IF($B4&lt;Analysis!$C$66,0,Analysis!$C$82*12)</f>
        <v>-1500</v>
      </c>
      <c r="BL4" s="1">
        <f>IF($B4&lt;Analysis!$C$66,0,Analysis!$C$83*12)</f>
        <v>-480</v>
      </c>
      <c r="BM4" s="1">
        <f>IF($B4&lt;Analysis!$C$66,0,Analysis!$C$84*12)</f>
        <v>-480</v>
      </c>
      <c r="BN4" s="1">
        <f>IF($B4&lt;Analysis!$C$66,0,Analysis!$C$85*12)</f>
        <v>-600</v>
      </c>
      <c r="BO4" s="1">
        <v>0</v>
      </c>
      <c r="BP4" s="1">
        <f>-BO4*Analysis!$C$28</f>
        <v>0</v>
      </c>
      <c r="BQ4" s="42"/>
      <c r="BR4" s="1">
        <f t="shared" si="22"/>
        <v>-120248.16176470592</v>
      </c>
      <c r="BS4" s="64">
        <f>IF($B4&lt;Analysis!C$66,0,Analysis!C$31)</f>
        <v>0.1275</v>
      </c>
      <c r="BT4" s="1">
        <f>IF($B4&lt;Analysis!$C$66,0,AN4+BR4)</f>
        <v>822874.67560553655</v>
      </c>
      <c r="BU4" s="1">
        <f>IF($B4-Analysis!$C$66&gt;3,0,IF($AN4&gt;LOOKUP(Analysis!$C$66,$B:$B, AN:AN),$V4*(LOOKUP(Analysis!$C$66,$B:$B, AN:AN)-AN4),0))</f>
        <v>-14011.148356401447</v>
      </c>
      <c r="BV4" s="1">
        <f>BT4+BU4</f>
        <v>808863.52724913508</v>
      </c>
      <c r="BW4" s="42"/>
      <c r="BX4" s="1">
        <f>IF($B4&lt;Analysis!$C$66,$P4+$N4+$X4+$Z4,$P4+$N4+AS4+AV4+BB4+BE4+BG4+MAX(BI4,SUM(BJ4:BN4))+BP4)</f>
        <v>-100403.07957109498</v>
      </c>
      <c r="BY4" s="1">
        <f t="shared" si="24"/>
        <v>47947.058823529405</v>
      </c>
      <c r="BZ4" s="1">
        <f t="shared" ref="BZ4:BZ52" si="46">BY4+BX4</f>
        <v>-52456.02074756557</v>
      </c>
      <c r="CA4" s="1">
        <f>IF(BZ4 &lt; 0,
    IF(CA3 + BZ4 &gt; 0,
        CA3 + BZ4, IF(CF3-ABS(CA3 + BZ4)*(1+$V4) &gt;= CA3 + BZ4,
        0, CA3 + BZ4)),
    MIN(CA3 + BZ4, Analysis!$C$7))+IF(CA3&lt;0, CA3*Analysis!$C$9,0)</f>
        <v>-112101.113824101</v>
      </c>
      <c r="CB4" s="42"/>
      <c r="CC4" s="1">
        <f t="shared" ref="CC4:CC52" si="47">IF(CF3&gt;0,CF3*$U4,0)</f>
        <v>0</v>
      </c>
      <c r="CD4" s="1">
        <f>IF(BZ4 &gt;= 0,
    MAX(0, CA3 + BZ4 - Analysis!$C$7),
    0)</f>
        <v>0</v>
      </c>
      <c r="CE4" s="1">
        <f>IF($B4=Analysis!$C$66,0,MAX(0, CE3 + CD4 - IF(BZ4 &lt; 0, MIN(ABS(BZ4), CE3 + CD4), 0)))</f>
        <v>0</v>
      </c>
      <c r="CF4" s="1">
        <f>IF($B4=Analysis!$C$66,0,IF(BZ4 &lt; 0,
    IF(BZ4 + CA3 &lt; 0,
        MAX(0, CF3 - (ABS(BZ4 + CA3) * (1+$V3))),
        CF3 + CC4),
    CF3 + CD4 + CC4))</f>
        <v>0</v>
      </c>
      <c r="CG4" s="1">
        <f t="shared" si="25"/>
        <v>0</v>
      </c>
      <c r="CH4" s="36"/>
      <c r="CI4" s="1">
        <f>IF(OR($B4&lt;Analysis!$C$100, $B4&gt;=Analysis!$C$130),0,X4)</f>
        <v>-16785.467128027685</v>
      </c>
      <c r="CJ4" s="1">
        <f>IF(OR($B4&lt;Analysis!$C$100, $B4&gt;=Analysis!$C$130),0,Z4)</f>
        <v>-3960</v>
      </c>
      <c r="CK4" s="1">
        <f t="shared" si="26"/>
        <v>550614.18685121113</v>
      </c>
      <c r="CL4" s="64">
        <f t="shared" ref="CL4:CL52" si="48">$CL$2</f>
        <v>2.941176470588247E-2</v>
      </c>
      <c r="CM4" s="1">
        <f>IF($B4=Analysis!$C$100,(CK4*(1+Analysis!$C$23+Analysis!$C$24+Analysis!$C$25))-IF($B4=$B$2,(Analysis!$C$6-Analysis!$C$7+Analysis!$C$105), (FU3-Analysis!$C$7+CV4)),0)</f>
        <v>0</v>
      </c>
      <c r="CN4" s="65">
        <f>IF($B4=Analysis!$C$100,NPER(CR4,-CU4,-CM4),0)</f>
        <v>0</v>
      </c>
      <c r="CO4" s="64">
        <f>IF($B4=Analysis!$C$100,Analysis!$C$103,0)</f>
        <v>0</v>
      </c>
      <c r="CP4" s="1">
        <f>IF(OR($B4&lt;Analysis!$C$100, $B4&gt;=Analysis!$C$101),0,IF($B4=Analysis!$C$100,-CM4*CO4,IF(CU4&gt;=0,0,CU4-CS4)))</f>
        <v>-10833.648416773602</v>
      </c>
      <c r="CQ4" s="1">
        <f>IF(OR($B4&lt;Analysis!$C$100, $B4&gt;=Analysis!$C$101),0,IF($B4=Analysis!$C$100,-CM4-CP4,MIN(0,CQ3-CP4)))</f>
        <v>-472362.6116704265</v>
      </c>
      <c r="CR4" s="64">
        <f>IF(OR($B4&lt;Analysis!$C$100, $B4&gt;=Analysis!$C$101),0,IF($B4=Analysis!$C$100,Analysis!$C$102,IF(($B4-Analysis!$C$100)&lt;LOOKUP(Analysis!$C$100,$B:$B,CN:CN),CR3,0)))</f>
        <v>3.6999999999999998E-2</v>
      </c>
      <c r="CS4" s="1">
        <f>IF(OR($B4&lt;Analysis!$C$100, $B4&gt;=Analysis!$C$101),0,IF($B4=Analysis!$C$100,-CR4*CM4,CR3*CQ3))</f>
        <v>-17878.261623226401</v>
      </c>
      <c r="CT4" s="1">
        <f>IF(OR($B4&lt;Analysis!$C$100, $B4&gt;=Analysis!$C$101),0,IF($B4=Analysis!$C$100,PMT(CR4,CN4,CM4)*CN4-CU4-CQ4,IF(($B4-Analysis!$C$100+1)&lt;LOOKUP(Analysis!$C$100,$B:$B,CN:CN),IF(CT3-CS4&lt;0, CT3-CS4,0),0)))</f>
        <v>-269162.8743869855</v>
      </c>
      <c r="CU4" s="1">
        <f>IF(OR($B4&lt;Analysis!$C$100, $B4&gt;=Analysis!$C$101),0,IF($B4=Analysis!$C$100,CP4+CS4,IF(CQ3&lt;0,IF(CQ3&gt;LOOKUP(Analysis!$C$100,$B:$B,CU:CU), CQ3*(1+CR3),CU3),0)))</f>
        <v>-28711.910040000002</v>
      </c>
      <c r="CV4" s="1">
        <f>IF($B4=Analysis!$C$100,Analysis!$C$105,0)</f>
        <v>0</v>
      </c>
      <c r="CW4" s="1">
        <f>IF($B4=Analysis!$C$100,PMT(CR4,CX4,CV4)*CX4,0)</f>
        <v>0</v>
      </c>
      <c r="CX4" s="7">
        <f>IF($B4=Analysis!$C$100,Analysis!$C$107,0)</f>
        <v>0</v>
      </c>
      <c r="CY4" s="1">
        <f>IF(OR($B4&lt;Analysis!$C$100, $B4&gt;=Analysis!$C$101),0,IF($B4=Analysis!$C$100,CW4/CX4,IF(($B4-Analysis!$C$100)&lt;LOOKUP(Analysis!$C$100,$B:$B,CX:CX),CY3,0)))</f>
        <v>-6072.8287787074187</v>
      </c>
      <c r="CZ4" s="1">
        <f>IF(OR($B4&lt;Analysis!$C$100, $B4&gt;=Analysis!$C$101),0,IF($B4=Analysis!$C$100,CX4*CY4-CY4,IF(($B4-Analysis!$C$100)&lt;Analysis!$C$107,CZ3-CY4,0)))</f>
        <v>-42509.801450951927</v>
      </c>
      <c r="DA4" s="53"/>
      <c r="DB4" s="1">
        <f>IF(OR($B4&lt;Analysis!$C$100, $B4&gt;=Analysis!$C$101),0,IF($B4=2025,(Analysis!$C$109*12),IF($B4=Analysis!$C$100,(Analysis!$C$109*12)*(1+DC4)^($B4-$B$2),DB3*(1+DC4))))</f>
        <v>14687.283737024225</v>
      </c>
      <c r="DC4" s="64">
        <f>IF(OR($B4&lt;Analysis!$C$100, $B4&gt;=Analysis!$C$101),0,((1+Analysis!$C$114)/(1+$S4))-1)</f>
        <v>2.941176470588247E-2</v>
      </c>
      <c r="DD4" s="1">
        <f t="shared" si="6"/>
        <v>20299.126297577859</v>
      </c>
      <c r="DE4" s="1">
        <f t="shared" si="27"/>
        <v>-1651.8425605536333</v>
      </c>
      <c r="DF4" s="64">
        <f>IF(OR($B4&lt;Analysis!$C$100, $B4&gt;=Analysis!$C$101),0,Analysis!$C$118)</f>
        <v>3.0000000000000001E-3</v>
      </c>
      <c r="DG4" s="1">
        <f t="shared" si="28"/>
        <v>-4129.6064013840833</v>
      </c>
      <c r="DH4" s="64">
        <f>IF(OR($B4&lt;Analysis!$C$100, $B4&gt;=Analysis!$C$101),0,Analysis!$C$119)</f>
        <v>7.4999999999999997E-3</v>
      </c>
      <c r="DI4" s="1">
        <f>IF(OR($B4&lt;Analysis!$C$100, $B4&gt;=Analysis!$C$101),0,MIN(Analysis!$C$120*12,SUM(DJ4:DN4)))</f>
        <v>-3960</v>
      </c>
      <c r="DJ4" s="1">
        <f>IF(OR($B4&lt;Analysis!$C$100, $B4&gt;=Analysis!$C$101),0,Analysis!$C$121*12)</f>
        <v>-900</v>
      </c>
      <c r="DK4" s="1">
        <f>IF(OR($B4&lt;Analysis!$C$100, $B4&gt;=Analysis!$C$101),0,Analysis!$C$122*12)</f>
        <v>-1500</v>
      </c>
      <c r="DL4" s="1">
        <f>IF(OR($B4&lt;Analysis!$C$100, $B4&gt;=Analysis!$C$101),0,Analysis!$C$123*12)</f>
        <v>-480</v>
      </c>
      <c r="DM4" s="1">
        <f>IF(OR($B4&lt;Analysis!$C$100, $B4&gt;=Analysis!$C$101),0,Analysis!$C$124*12)</f>
        <v>-480</v>
      </c>
      <c r="DN4" s="1">
        <f>IF(OR($B4&lt;Analysis!$C$100, $B4&gt;=Analysis!$C$101),0,Analysis!$C$125*12)</f>
        <v>-600</v>
      </c>
      <c r="DO4" s="64">
        <f>IF(OR($B4&lt;Analysis!$C$100, $B4&gt;=Analysis!$C$101),0,Analysis!$C$113)</f>
        <v>0.02</v>
      </c>
      <c r="DP4" s="1">
        <f>-DO4*LOOKUP(Analysis!$C$100,$B:$B,CK:CK)</f>
        <v>-10392</v>
      </c>
      <c r="DQ4" s="1">
        <f>-Analysis!$C$117*DB4</f>
        <v>-1101.5462802768168</v>
      </c>
      <c r="DR4" s="1">
        <f t="shared" si="29"/>
        <v>-21234.995242214532</v>
      </c>
      <c r="DS4" s="1">
        <f>MIN(0,-(DB4+DR4)*Analysis!$C$28)-CS4*Analysis!$C$28</f>
        <v>7921.857725251617</v>
      </c>
      <c r="DT4" s="1">
        <f>-Analysis!$C$116*DD4/12</f>
        <v>-1691.5938581314883</v>
      </c>
      <c r="DU4" s="53"/>
      <c r="DV4" s="1">
        <f t="shared" si="30"/>
        <v>-70203.308823529413</v>
      </c>
      <c r="DW4" s="64">
        <f>IF(OR($B4&lt;Analysis!$C$100, $B4&gt;=Analysis!$C$101),0,IF($B4=Analysis!$C$100,Analysis!$C$31,DW3))</f>
        <v>0.1275</v>
      </c>
      <c r="DX4" s="1">
        <f>IF(OR($B4&lt;Analysis!$C$100, $B4&gt;=Analysis!$C$101),0,CK4+DV4)</f>
        <v>480410.87802768173</v>
      </c>
      <c r="DY4" s="1">
        <f>IF(OR($B4&lt;Analysis!$C$100, $B4&gt;=Analysis!$C$101),0,IF($B4-Analysis!$C$100&gt;3,0,IF(CK4&gt;LOOKUP(Analysis!$C$100,$B:$B, CK:CK),$V4*(LOOKUP(Analysis!$C$100,$B:$B, CK:CK)-CK4),0)))</f>
        <v>-8179.991782006934</v>
      </c>
      <c r="DZ4" s="1">
        <f t="shared" ref="DZ4:DZ52" si="49">DX4+DY4</f>
        <v>472230.8862456748</v>
      </c>
      <c r="EA4" s="53"/>
      <c r="EB4" s="1">
        <f t="shared" si="31"/>
        <v>731185.12110726663</v>
      </c>
      <c r="EC4" s="64">
        <f t="shared" ref="EC4:EC52" si="50">$CL$2</f>
        <v>2.941176470588247E-2</v>
      </c>
      <c r="ED4" s="1">
        <f>MAX(0,IF($B4=Analysis!$C$130,(EB4*(1+Analysis!$C$23+Analysis!$C$24+Analysis!$C$25))-(IF($B4=$B$2,(Analysis!$C$6-Analysis!$C$7+Analysis!$C$132), (FU3-Analysis!$C$7+EM4)) + IF($B4=Analysis!$C$101,DZ3+CQ3+CT3+CZ3,0)),0))</f>
        <v>0</v>
      </c>
      <c r="EE4" s="65">
        <f>IF($B4=Analysis!$C$130,IF(ED4&gt;0,NPER(EI4,-EL4,-ED4),0),0)</f>
        <v>0</v>
      </c>
      <c r="EF4" s="64">
        <f>IF($B4=Analysis!$C$130,Analysis!$C$137,0)</f>
        <v>0</v>
      </c>
      <c r="EG4" s="1">
        <f>IF($B4&lt;Analysis!$C$130,0,IF($B4=Analysis!$C$130,-ED4*EF4,IF(EL4&gt;=0,0,EL4-EJ4)))</f>
        <v>0</v>
      </c>
      <c r="EH4" s="1">
        <f>IF($B4&lt;Analysis!$C$130,0,IF($B4=Analysis!$C$130,-ED4-EG4,MIN(0,EH3-EG4)))</f>
        <v>0</v>
      </c>
      <c r="EI4" s="64">
        <f>IF($B4&lt;Analysis!$C$130,0,IF($B4=Analysis!$C$130,Analysis!$C$136,IF(($B4-Analysis!$C$130)&lt;LOOKUP(Analysis!$C$130,$B:$B,EE:EE),EI3,0)))</f>
        <v>0</v>
      </c>
      <c r="EJ4" s="1">
        <f>IF($B4&lt;Analysis!$C$130,0,IF($B4=Analysis!$C$130,-EI4*ED4,EI3*EH3))</f>
        <v>0</v>
      </c>
      <c r="EK4" s="1">
        <f>IF(OR($B4&lt;Analysis!$C$130, ED4=0),0,IF($B4=Analysis!$C$130,PMT(EI4,EE4,ED4)*EE4-EL4-EH4,IF(($B4-Analysis!$C$130+1)&lt;LOOKUP(Analysis!$C$130,$B:$B,EE:EE),IF(EK3-EJ4&lt;0, EK3-EJ4,0),0)))</f>
        <v>0</v>
      </c>
      <c r="EL4" s="1">
        <f>IF($B4&lt;Analysis!$C$130,0,IF($B4=Analysis!$C$130,EG4+EJ4,IF(EH3&lt;0,IF(EH3&gt;LOOKUP(Analysis!$C$130,$B:$B,EL:EL), EH3*(1+EI3),EL3),0)))</f>
        <v>0</v>
      </c>
      <c r="EM4" s="1">
        <f>IF($B4=Analysis!$C$130,Analysis!$C$132,0)</f>
        <v>0</v>
      </c>
      <c r="EN4" s="1">
        <f>IF($B4=Analysis!$C$130,PMT(EI4,EO4,EM4)*EO4,0)</f>
        <v>0</v>
      </c>
      <c r="EO4" s="7">
        <f>IF($B4=Analysis!$C$130,Analysis!$C$134,0)</f>
        <v>0</v>
      </c>
      <c r="EP4" s="1">
        <f>IF($B4&lt;Analysis!$C$130,0,IF($B4=Analysis!$C$130,EN4/EO4,IF(($B4-Analysis!$C$130)&lt;LOOKUP(Analysis!$C$130,$B:$B,EO:EO),EP3,0)))</f>
        <v>0</v>
      </c>
      <c r="EQ4" s="1">
        <f>IF($B4&lt;Analysis!$C$130,0,IF($B4=Analysis!$C$130,EO4*EP4-EP4,IF(($B4-Analysis!$C$130)&lt;Analysis!$C$134,EQ3-EP4,0)))</f>
        <v>0</v>
      </c>
      <c r="ER4" s="53"/>
      <c r="ES4" s="1">
        <f>IF($B4&lt;Analysis!$C$130,0,-ET4*EB4)</f>
        <v>0</v>
      </c>
      <c r="ET4" s="64">
        <f>IF($B4&lt;Analysis!$C$130,0,Analysis!$C$142)</f>
        <v>0</v>
      </c>
      <c r="EU4" s="1">
        <f>IF($B4&lt;Analysis!$C$130,0,-EV4*EB4)</f>
        <v>0</v>
      </c>
      <c r="EV4" s="64">
        <f>IF($B4&lt;Analysis!$C$130,0,Analysis!$C$143)</f>
        <v>0</v>
      </c>
      <c r="EW4" s="1">
        <f>IF($B4&lt;Analysis!$C$130,0,MIN(Analysis!$C$144*12,SUM(EX4:FB4)))</f>
        <v>0</v>
      </c>
      <c r="EX4" s="1">
        <f>IF($B4&lt;Analysis!$C$130,0,Analysis!$C$145*12)</f>
        <v>0</v>
      </c>
      <c r="EY4" s="1">
        <f>IF($B4&lt;Analysis!$C$130,0,Analysis!$C$146*12)</f>
        <v>0</v>
      </c>
      <c r="EZ4" s="1">
        <f>IF($B4&lt;Analysis!$C$130,0,Analysis!$C$147*12)</f>
        <v>0</v>
      </c>
      <c r="FA4" s="1">
        <f>IF($B4&lt;Analysis!$C$130,0,Analysis!$C$148*12)</f>
        <v>0</v>
      </c>
      <c r="FB4" s="1">
        <f>IF($B4&lt;Analysis!$C$130,0,Analysis!$C$149*12)</f>
        <v>0</v>
      </c>
      <c r="FC4" s="1">
        <v>0</v>
      </c>
      <c r="FD4" s="1">
        <f>-FC4*Analysis!$C$28</f>
        <v>0</v>
      </c>
      <c r="FE4" s="53"/>
      <c r="FF4" s="1">
        <f t="shared" si="32"/>
        <v>0</v>
      </c>
      <c r="FG4" s="64">
        <f>IF($B4&lt;Analysis!$C$130,0,Analysis!$C$31)</f>
        <v>0</v>
      </c>
      <c r="FH4" s="1">
        <f>IF($B4&lt;Analysis!$C$130,0,EB4+FF4)</f>
        <v>0</v>
      </c>
      <c r="FI4" s="1">
        <f>IF($B4-Analysis!$C$130&gt;3,0,IF(EB4&gt;LOOKUP(Analysis!$C$130,$B:$B, EB:EB),$V4*(LOOKUP(Analysis!$C$130,$B:$B, EB:EB)-EB4),0))</f>
        <v>0</v>
      </c>
      <c r="FJ4" s="1">
        <f t="shared" si="33"/>
        <v>0</v>
      </c>
      <c r="FK4" s="53"/>
      <c r="FL4" s="1">
        <f>$P4+$N4+IF($B4&lt;Analysis!$C$130,$X4+$Z4,0)+CP4+CS4+CY4+DE4+DG4+MIN(DI4,SUM(DJ4:DN4))+DQ4+DS4+DT4+EG4+EJ4+EP4+ES4+EU4+MIN(EW4,SUM(EX4:FB4))+FD4</f>
        <v>-88342.937321829508</v>
      </c>
      <c r="FM4" s="1">
        <f>$M4+$R4+DD4+IF(AND($B4&lt;&gt;Analysis!$C$130,$B4=Analysis!$C$101),DZ3+CQ3+CT3+CZ3,0)</f>
        <v>68246.185121107264</v>
      </c>
      <c r="FN4" s="1">
        <f t="shared" si="34"/>
        <v>-20096.752200722243</v>
      </c>
      <c r="FO4" s="1">
        <f>IF(FN4 &lt; 0,
    IF(FO3 + FN4 &gt; 0,
        FO3 + FN4, IF(FT3-ABS(FO3 + FN4)*(1+$V4) &gt;= FO3 + FN4,
        0, FO3 + FN4)),
    MIN(FO3 + FN4, Analysis!$C$7))+IF(FO3&lt;0, FO3*Analysis!$C$9,0)</f>
        <v>-8044.6940480507765</v>
      </c>
      <c r="FP4" s="53"/>
      <c r="FQ4" s="1">
        <f t="shared" ref="FQ4:FQ52" si="51">IF(FT3&gt;0,FT3*$U4,0)</f>
        <v>0</v>
      </c>
      <c r="FR4" s="1">
        <f>IF(OR($B4=Analysis!$C$100, $B4=Analysis!$C$130),0,IF(FN4 &gt;= 0,
    MAX(0, FO3 + FN4 - Analysis!$C$7),
    0))</f>
        <v>0</v>
      </c>
      <c r="FS4" s="1">
        <f>IF(OR($B4=Analysis!$C$100, $B4=Analysis!$C$130),0,MAX(0, FS3 + FR4 - IF(FN4 &lt; 0, MIN(ABS(FN4), FS3 + FR4), 0)))</f>
        <v>0</v>
      </c>
      <c r="FT4" s="1">
        <f>IF(OR($B4=Analysis!$C$100, $B4=Analysis!$C$130),0,IF(FN4 &lt; 0,
    IF(FN4 + FO3 &lt; 0,
        MAX(0, FT3 - (ABS(FN4 + FO3) * (1+$V3))),
        FT3 + FQ4),
    FT3 + FR4 + FQ4))</f>
        <v>0</v>
      </c>
      <c r="FU4" s="1">
        <f t="shared" si="35"/>
        <v>0</v>
      </c>
      <c r="FV4" s="36"/>
      <c r="FW4" s="1">
        <f t="shared" ref="FW4:FW52" si="52">FW3*(1+$FX3)</f>
        <v>550614.18685121113</v>
      </c>
      <c r="FX4" s="64">
        <f t="shared" ref="FX4:FX52" si="53">$FX$2</f>
        <v>2.941176470588247E-2</v>
      </c>
      <c r="FY4" s="1">
        <f>IF($B4=Analysis!$C$159,(FW4*(1+Analysis!$C$23+Analysis!$C$24+Analysis!$C$25))-IF($B4=$B$2,(Analysis!$C$6-Analysis!$C$7+Analysis!$C$165), (HW3-Analysis!$C$7+GH4)),0)</f>
        <v>0</v>
      </c>
      <c r="FZ4" s="65">
        <f>IF($B4=Analysis!$C$159,NPER(GD4,-GG4,-FY4),0)</f>
        <v>0</v>
      </c>
      <c r="GA4" s="64">
        <f>IF($B4=Analysis!$C$159,Analysis!$C$161,0)</f>
        <v>0</v>
      </c>
      <c r="GB4" s="1">
        <f>IF($B4&lt;Analysis!$C$159,0,IF($B4=Analysis!$C$159,-FY4*GA4,IF(GG4&gt;=0,0,GG4-GE4)))</f>
        <v>-10833.648416773602</v>
      </c>
      <c r="GC4" s="1">
        <f>IF($B4&lt;Analysis!$C$159,0,IF($B4=Analysis!$C$159,-FY4-GB4,MIN(0,GC3-GB4)))</f>
        <v>-472362.6116704265</v>
      </c>
      <c r="GD4" s="64">
        <f>IF($B4&lt;Analysis!$C$159,0,IF($B4=Analysis!$C$159,Analysis!$C$160,IF(($B4-Analysis!$C$159)&lt;LOOKUP(Analysis!$C$159,$B:$B,FZ:FZ),GD3,0)))</f>
        <v>3.6999999999999998E-2</v>
      </c>
      <c r="GE4" s="1">
        <f>IF($B4&lt;Analysis!$C$159,0,IF($B4=Analysis!$C$159,-GD4*FY4,GD3*GC3))</f>
        <v>-17878.261623226401</v>
      </c>
      <c r="GF4" s="1">
        <f>IF($B4&lt;Analysis!$C$159,0,IF($B4=Analysis!$C$159,PMT(GD4,FZ4,FY4)*FZ4-GG4-GC4,IF(($B4-Analysis!$C$159+1)&lt;LOOKUP(Analysis!$C$159,$B:$B,FZ:FZ),IF(GF3-GE4&lt;0, GF3-GE4,0),0)))</f>
        <v>-269162.8743869855</v>
      </c>
      <c r="GG4" s="1">
        <f>IF($B4&lt;Analysis!$C$159,0,IF($B4=Analysis!$C$159,GB4+GE4,IF(GC3&lt;0,IF(GC3&gt;LOOKUP(Analysis!$C$159,$B:$B,GG:GG), GC3*(1+GD3),GG3),0)))</f>
        <v>-28711.910040000002</v>
      </c>
      <c r="GH4" s="1">
        <f>IF($B4=Analysis!$C$159,Analysis!$C$165,0)</f>
        <v>0</v>
      </c>
      <c r="GI4" s="1">
        <f>IF($B4=Analysis!$C$159,PMT(GD4,GJ4,GH4)*GJ4,0)</f>
        <v>0</v>
      </c>
      <c r="GJ4" s="7">
        <f>IF($B4=Analysis!$C$159,Analysis!$C$167,0)</f>
        <v>0</v>
      </c>
      <c r="GK4" s="1">
        <f>IF($B4&lt;Analysis!$C$159,0,IF($B4=Analysis!$C$159,GI4/GJ4,IF(($B4-Analysis!$C$159)&lt;LOOKUP(Analysis!$C$159,$B:$B,GJ:GJ),GK3,0)))</f>
        <v>-6072.8287787074187</v>
      </c>
      <c r="GL4" s="1">
        <f>IF($B4&lt;Analysis!$C$159,0,IF($B4=Analysis!$C$159,GJ4*GK4-GK4,IF(($B4-Analysis!$C$159)&lt;Analysis!$C$167,GL3-GK4,0)))</f>
        <v>-42509.801450951927</v>
      </c>
      <c r="GM4" s="38"/>
      <c r="GN4" s="1">
        <f>IF($B4&lt;Analysis!$C$159,0,IF($B4=2025,(Analysis!$C$109*12),IF($B4=Analysis!$C$159,(Analysis!$C$109*12)*(1+GO4)^($B4-$B$2),GN3*(1+GO4))))</f>
        <v>14687.283737024225</v>
      </c>
      <c r="GO4" s="64">
        <f>IF($B4&lt;Analysis!$C$159,0,((1+Analysis!$C$174)/(1+$S4))-1)</f>
        <v>2.941176470588247E-2</v>
      </c>
      <c r="GP4" s="1">
        <f t="shared" si="7"/>
        <v>20299.126297577859</v>
      </c>
      <c r="GQ4" s="1">
        <f t="shared" si="36"/>
        <v>-1651.8425605536333</v>
      </c>
      <c r="GR4" s="64">
        <f>IF($B4&lt;Analysis!$C$159,0,Analysis!$C$178)</f>
        <v>3.0000000000000001E-3</v>
      </c>
      <c r="GS4" s="1">
        <f t="shared" si="37"/>
        <v>-4129.6064013840833</v>
      </c>
      <c r="GT4" s="64">
        <f>IF($B4&lt;Analysis!$C$159,0,Analysis!$C$179)</f>
        <v>7.4999999999999997E-3</v>
      </c>
      <c r="GU4" s="1">
        <f>IF($B4&lt;Analysis!$C$159,0,MIN(Analysis!$C$180*12,SUM(GV4:GZ4)))</f>
        <v>-3960</v>
      </c>
      <c r="GV4" s="1">
        <f>IF($B4&lt;Analysis!$C$159,0,Analysis!$C$181*12)</f>
        <v>-900</v>
      </c>
      <c r="GW4" s="1">
        <f>IF($B4&lt;Analysis!$C$159,0,Analysis!$C$182*12)</f>
        <v>-1500</v>
      </c>
      <c r="GX4" s="1">
        <f>IF($B4&lt;Analysis!$C$159,0,Analysis!$C$183*12)</f>
        <v>-480</v>
      </c>
      <c r="GY4" s="1">
        <f>IF($B4&lt;Analysis!$C$159,0,Analysis!$C$184*12)</f>
        <v>-480</v>
      </c>
      <c r="GZ4" s="1">
        <f>IF($B4&lt;Analysis!$C$159,0,Analysis!$C$185*12)</f>
        <v>-600</v>
      </c>
      <c r="HA4" s="64">
        <f>IF($B4&lt;Analysis!$C$159,0,Analysis!$C$173)</f>
        <v>0.02</v>
      </c>
      <c r="HB4" s="1">
        <f>-HA4*LOOKUP(Analysis!$C$159,$B:$B,FW:FW)</f>
        <v>-10392</v>
      </c>
      <c r="HC4" s="1">
        <f>-Analysis!$C$177*GN4</f>
        <v>-1101.5462802768168</v>
      </c>
      <c r="HD4" s="1">
        <f t="shared" si="38"/>
        <v>-21234.995242214532</v>
      </c>
      <c r="HE4" s="1">
        <f>MIN(0,-(GN4+HD4)*Analysis!$C$28)-GE4*Analysis!$C$28</f>
        <v>7921.857725251617</v>
      </c>
      <c r="HF4" s="1">
        <f>-Analysis!$C$176*GP4/12</f>
        <v>-1691.5938581314883</v>
      </c>
      <c r="HG4" s="38"/>
      <c r="HH4" s="1">
        <f>IF($B4&lt;Analysis!$C$159,0,-$HI4*$FW4)</f>
        <v>-70203.308823529413</v>
      </c>
      <c r="HI4" s="64">
        <f>IF($B4&lt;Analysis!$C$159,0,IF($B4=Analysis!$C$159,Analysis!$C$31,HI3))</f>
        <v>0.1275</v>
      </c>
      <c r="HJ4" s="1">
        <f>IF($B4&lt;Analysis!$C$159,0,$FW4+HH4)</f>
        <v>480410.87802768173</v>
      </c>
      <c r="HK4" s="1">
        <f>IF($B4-Analysis!$C$159&gt;10,0,IF($FW4&gt;LOOKUP(Analysis!$C$159,$B:$B, FW:FW),$V4*(LOOKUP(Analysis!$C$159,$B:$B, FW:FW)-FW4),0))</f>
        <v>-8179.991782006934</v>
      </c>
      <c r="HL4" s="1">
        <f t="shared" si="39"/>
        <v>472230.8862456748</v>
      </c>
      <c r="HM4" s="38"/>
      <c r="HN4" s="1">
        <f t="shared" si="40"/>
        <v>-88342.937321829508</v>
      </c>
      <c r="HO4" s="1">
        <f t="shared" si="8"/>
        <v>68246.185121107264</v>
      </c>
      <c r="HP4" s="1">
        <f t="shared" si="41"/>
        <v>-20096.752200722243</v>
      </c>
      <c r="HQ4" s="1">
        <f>IF(HP4 &lt; 0,
    IF(HQ3 + HP4 &gt; 0,
        HQ3 + HP4, IF(HV3-ABS(HQ3 + HP4)*(1+$V4) &gt;= HQ3 + HP4,
        0, HQ3 + HP4)),
    MIN(HQ3 + HP4, Analysis!$C$7))+IF(HQ3&lt;0, HQ3*Analysis!$C$9,0)</f>
        <v>-8044.6940480507765</v>
      </c>
      <c r="HR4" s="38"/>
      <c r="HS4" s="1">
        <f t="shared" ref="HS4:HS52" si="54">IF(HV3&gt;0,HV3*$U4,0)</f>
        <v>0</v>
      </c>
      <c r="HT4" s="1">
        <f>IF($B4=Analysis!$C$159,0,IF(HP4 &gt;= 0,
    MAX(0, HQ3 + HP4 - Analysis!$C$7),
    0))</f>
        <v>0</v>
      </c>
      <c r="HU4" s="1">
        <f>IF($B4=Analysis!$C$159,0,MAX(0, HU3 + HT4 - IF(HP4 &lt; 0, MIN(ABS(HP4), HU3 + HT4), 0)))</f>
        <v>0</v>
      </c>
      <c r="HV4" s="1">
        <f>IF($B4=Analysis!$C$159,0,IF(HP4 &lt; 0,
    IF(HP4 + HQ3 &lt; 0,
        MAX(0, HV3 - (ABS(HP4 + HQ3) * (1+$V3))),
        HV3 + HS4),
    HV3 + HT4 + HS4))</f>
        <v>0</v>
      </c>
      <c r="HW4" s="1">
        <f t="shared" si="42"/>
        <v>0</v>
      </c>
      <c r="HX4" s="36"/>
    </row>
    <row r="5" spans="1:232" x14ac:dyDescent="0.35">
      <c r="A5">
        <f t="shared" si="0"/>
        <v>38</v>
      </c>
      <c r="B5">
        <v>2028</v>
      </c>
      <c r="C5" s="1">
        <f>IF($B5&lt;Analysis!C$66,0,$AN5)+$AT5+$AW5+$BC5+$CF5+$CA5</f>
        <v>-508299.63392656454</v>
      </c>
      <c r="D5" s="1">
        <f>IF($B5&lt;Analysis!C$66, 0, BV5)+AT5+AW5+BC5+CG5+CA5</f>
        <v>-653411.79140417511</v>
      </c>
      <c r="E5" s="1">
        <f t="shared" si="1"/>
        <v>115620.31302744204</v>
      </c>
      <c r="F5" s="1">
        <f t="shared" si="9"/>
        <v>111934.23917188705</v>
      </c>
      <c r="G5" s="1">
        <f>IF(AND($B5&gt;=Analysis!$C$100, $B5&lt;Analysis!$C$101),$CK5,0)+IF($B5&gt;=Analysis!$C$130,EB5,0)+CQ5+CT5+CZ5+EH5+EK5+EQ5+$FO5+$FT5</f>
        <v>-182954.72132040362</v>
      </c>
      <c r="H5" s="1">
        <f t="shared" si="10"/>
        <v>-267674.13370845577</v>
      </c>
      <c r="I5" s="1">
        <f>IF($B5&lt;Analysis!$C$159,0,$FW5)+$GC5+$GF5+$GL5+$HQ5+$HV5</f>
        <v>-182954.72132040362</v>
      </c>
      <c r="J5" s="1">
        <f t="shared" si="2"/>
        <v>-267674.13370845577</v>
      </c>
      <c r="K5" s="36"/>
      <c r="L5" s="1">
        <f t="shared" si="11"/>
        <v>100652.41620869798</v>
      </c>
      <c r="M5" s="1">
        <f>IF($B5=Analysis!$C$47, M4 * (1 - Analysis!$C$48),
    IF($B5=Analysis!$C$52, M4 * (1 - Analysis!$C$53),
    IF($B5=Analysis!$C$58, M4 * (1 - Analysis!$C$60),
    L5)))</f>
        <v>100652.41620869798</v>
      </c>
      <c r="N5" s="1">
        <f>Analysis!$C$3*12*(1+O5)+P5</f>
        <v>-50100</v>
      </c>
      <c r="O5" s="64">
        <f>IF(OR($B5=Analysis!$C$47,$B5=Analysis!$C$52,$B5=Analysis!$C$58),-Analysis!$C$49,0)</f>
        <v>0</v>
      </c>
      <c r="P5" s="1">
        <f>IF($B5&lt;Analysis!$C$47,0,IF($B5-Analysis!$C$47&lt;=3,Analysis!$C$40+Analysis!$C$44,IF($B5-Analysis!$C$47&lt;=10,Analysis!$C$41+Analysis!$C$44,IF($B5-Analysis!$C$47&lt;=18,Analysis!$C$42+Analysis!$C$44,IF($B5-Analysis!$C$47&lt;=25,Analysis!$C$43+Analysis!$C$44,0)))) + IF(AND($B5&gt;=Analysis!$C$52, $B5-Analysis!$C$52&lt;=3),Analysis!$C$40+Analysis!$C$44,IF(AND($B5&gt;=Analysis!$C$52, $B5-Analysis!$C$52&lt;=10),Analysis!$C$41+Analysis!$C$44,IF(AND($B5&gt;=Analysis!$C$52, $B5-Analysis!$C$52&lt;=18),Analysis!$C$42+Analysis!$C$44,IF(AND($B5&gt;=Analysis!$C$52, $B5-Analysis!$C$52&lt;=25),Analysis!$C$43+Analysis!$C$44,0)))) + Analysis!$C$57*IF(AND($B5&gt;=Analysis!$C$58, $B5-Analysis!$C$58&lt;=3),Analysis!$C$40+Analysis!$C$44,IF(AND($B5&gt;=Analysis!$C$58, $B5-Analysis!$C$58&lt;=10),Analysis!$C$41+Analysis!$C$44,IF(AND($B5&gt;=Analysis!$C$58, $B5-Analysis!$C$58&lt;=18),Analysis!$C$42+Analysis!$C$44,IF(AND($B5&gt;=Analysis!$C$58, $B5-Analysis!$C$58&lt;=25),Analysis!$C$43+Analysis!$C$44,0)))))</f>
        <v>-2100</v>
      </c>
      <c r="Q5" s="1">
        <f t="shared" si="43"/>
        <v>0</v>
      </c>
      <c r="R5" s="1">
        <f>IF(AND(AND(B5=Analysis!C$35,Analysis!C$34&lt;&gt;0),AND(B5=Analysis!C$37,Analysis!C$36&lt;&gt;0)),Analysis!C$34+Analysis!C$36,IF(AND(B5=Analysis!C$35,Analysis!C$34&lt;&gt;0),Analysis!C$34,IF(AND(B5=Analysis!C$37,Analysis!C$36&lt;&gt;0),Analysis!C$36,0)))</f>
        <v>0</v>
      </c>
      <c r="S5" s="64">
        <f t="shared" si="12"/>
        <v>0.02</v>
      </c>
      <c r="T5" s="64">
        <f>IF($B5&lt;Analysis!$C$13, ((1+IF($B5-$B$2&lt;10,Analysis!$C$11,IF($B5-$B$2&lt;20,(Analysis!$C$11+Analysis!$C$12)/2,Analysis!$C$12)))/(1+$S5)-1),IF($B5=Analysis!$C$13,-Analysis!$C$14,-$S5))</f>
        <v>2.450980392156854E-2</v>
      </c>
      <c r="U5" s="64">
        <f>IF($B5=$B$2,((1+Analysis!$C$16)/(1+$S5))-1,IF(B5&lt;Analysis!$C$13,U4-((Analysis!$C$16-Analysis!$C$17)/(Analysis!$C$13-$B$2)),((1+Analysis!$C$17)/(1+$S4))-1))</f>
        <v>7.3288515406162644E-2</v>
      </c>
      <c r="V5" s="64">
        <f t="shared" si="13"/>
        <v>0.26374999999999998</v>
      </c>
      <c r="W5" s="36"/>
      <c r="X5" s="1">
        <f t="shared" si="14"/>
        <v>-17279.157337675559</v>
      </c>
      <c r="Y5" s="64">
        <f t="shared" si="15"/>
        <v>2.941176470588247E-2</v>
      </c>
      <c r="Z5" s="1">
        <f t="shared" si="16"/>
        <v>-3960</v>
      </c>
      <c r="AA5" s="64">
        <f t="shared" si="17"/>
        <v>0</v>
      </c>
      <c r="AB5" s="40"/>
      <c r="AC5" s="1">
        <f t="shared" si="3"/>
        <v>-73439.157337675555</v>
      </c>
      <c r="AD5" s="1">
        <f t="shared" si="4"/>
        <v>100652.41620869798</v>
      </c>
      <c r="AE5" s="1">
        <f t="shared" si="18"/>
        <v>27213.258871022423</v>
      </c>
      <c r="AF5" s="1">
        <f>IF(AE5 &lt; 0,
    IF(AF4 + AE5 &gt; 0,
        AF4 + AE5, IF(AK4-ABS(AF4 + AE5)*(1+$V5) &gt;= AF4 + AE5,
        0, AF4 + AE5)),
    MIN(AF4 + AE5, Analysis!$C$7))+IF(AF4&lt;0, AF4*Analysis!$C$9,0)</f>
        <v>24000</v>
      </c>
      <c r="AG5" s="40"/>
      <c r="AH5" s="1">
        <f t="shared" si="19"/>
        <v>4466.1516213095683</v>
      </c>
      <c r="AI5" s="1">
        <f>IF(AE5 &gt;= 0,
    MAX(0, AF4 + AE5 - Analysis!$C$7),
    0)</f>
        <v>26214.850566524146</v>
      </c>
      <c r="AJ5" s="1">
        <f t="shared" si="44"/>
        <v>77644.677556143506</v>
      </c>
      <c r="AK5" s="1">
        <f t="shared" si="20"/>
        <v>91620.31302744204</v>
      </c>
      <c r="AL5" s="1">
        <f t="shared" si="5"/>
        <v>87934.239171887049</v>
      </c>
      <c r="AM5" s="36"/>
      <c r="AN5" s="1">
        <f t="shared" si="45"/>
        <v>970861.74435172032</v>
      </c>
      <c r="AO5" s="64">
        <f t="shared" si="21"/>
        <v>2.941176470588247E-2</v>
      </c>
      <c r="AP5" s="1">
        <f>IF($B5=Analysis!$C$66,(AN5*(1+Analysis!$C$23+Analysis!$C$24+Analysis!$C$25))-IF($B5=$B$2,(Analysis!$C$6-Analysis!$C$7+Analysis!$C$68), ($CG4-Analysis!$C$7+AY5)),0)</f>
        <v>0</v>
      </c>
      <c r="AQ5" s="65">
        <f>IF($B5=Analysis!$C$66,NPER(AU5,-AX5,-AP5),0)</f>
        <v>0</v>
      </c>
      <c r="AR5" s="64">
        <f>IF($B5=Analysis!$C$66,Analysis!$C$73,0)</f>
        <v>0</v>
      </c>
      <c r="AS5" s="1">
        <f>IF($B5&lt;Analysis!$C$66,0,IF($B5=Analysis!$C$66,-AP5*AR5,IF(AX5&gt;=0,0,AX5-AV5)))</f>
        <v>-20451.389170887389</v>
      </c>
      <c r="AT5" s="1">
        <f>IF($B5&lt;Analysis!$C$66,0,IF($B5=Analysis!$C$66,-AP5-AS5,MIN(0,AT4-AS5)))</f>
        <v>-839442.44404837268</v>
      </c>
      <c r="AU5" s="64">
        <f>IF($B5&lt;Analysis!$C$66,0,IF($B5=Analysis!$C$66,Analysis!$C$72,IF(($B5-Analysis!$C$66)&lt;LOOKUP(Analysis!$C$66,$B:$B,AQ:AQ),AU4,0)))</f>
        <v>3.6999999999999998E-2</v>
      </c>
      <c r="AV5" s="1">
        <f>IF($B5&lt;Analysis!$C$66,0,IF($B5=Analysis!$C$66,-AU5*AP5,AU4*AT4))</f>
        <v>-31816.071829112621</v>
      </c>
      <c r="AW5" s="1">
        <f>IF($B5&lt;Analysis!$C$66,0,IF($B5=Analysis!$C$66,PMT(AU5,AQ5,AP5)*AQ5-AX5-AT5,IF(($B5-Analysis!$C$66+1)&lt;LOOKUP(Analysis!$C$66,$B:$B,AQ:AQ),IF(AW4-AV5&lt;0, AW4-AV5,0),0)))</f>
        <v>-458170.8367419361</v>
      </c>
      <c r="AX5" s="1">
        <f>IF($B5&lt;Analysis!$C$66,0,IF($B5=Analysis!$C$66,AS5+AV5,IF(AT4&lt;0,IF(AT4&gt;LOOKUP(Analysis!$C$66,$B:$B,AX:AX), AT4*(1+AU4),AX4),0)))</f>
        <v>-52267.46100000001</v>
      </c>
      <c r="AY5" s="1">
        <f>IF($B5=Analysis!$C$66,Analysis!$C$68,0)</f>
        <v>0</v>
      </c>
      <c r="AZ5" s="1">
        <f>IF($B5=Analysis!$C$66,PMT(AU5,BA5,AY5)*BA5,0)</f>
        <v>0</v>
      </c>
      <c r="BA5" s="7">
        <f>IF($B5=Analysis!$C$66,Analysis!$C$70,0)</f>
        <v>0</v>
      </c>
      <c r="BB5" s="1">
        <f>IF($B5&lt;Analysis!$C$66,0,IF($B5=Analysis!$C$66,AZ5/BA5,IF(($B5-Analysis!$C$66)&lt;LOOKUP(Analysis!$C$66,$B:$B,BA:BA),BB4,0)))</f>
        <v>-6072.8287787074187</v>
      </c>
      <c r="BC5" s="1">
        <f>IF($B5&lt;Analysis!$C$66,0,IF($B5=Analysis!$C$66,BA5*BB5-BB5,IF(($B5-Analysis!$C$66)&lt;Analysis!$C$70,BC4-BB5,0)))</f>
        <v>-36436.972672244505</v>
      </c>
      <c r="BD5" s="42"/>
      <c r="BE5" s="1">
        <f>IF($B5&lt;Analysis!$C$66,0,-BF5*AN5)</f>
        <v>-2912.5852330551611</v>
      </c>
      <c r="BF5" s="64">
        <f>IF($B5&lt;Analysis!$C$66,0,Analysis!$C$78)</f>
        <v>3.0000000000000001E-3</v>
      </c>
      <c r="BG5" s="1">
        <f>IF($B5&lt;Analysis!$C$66,0,-BH5*AN5)</f>
        <v>-7281.4630826379025</v>
      </c>
      <c r="BH5" s="64">
        <f>IF($B5&lt;Analysis!$C$66,0,Analysis!$C$79)</f>
        <v>7.4999999999999997E-3</v>
      </c>
      <c r="BI5" s="1">
        <f>IF($B5&lt;Analysis!$C$66,0,MIN(Analysis!$C$80*12,SUM(BJ5:BN5)))</f>
        <v>-3960</v>
      </c>
      <c r="BJ5" s="1">
        <f>IF($B5&lt;Analysis!$C$66,0,Analysis!$C$81*12)</f>
        <v>-900</v>
      </c>
      <c r="BK5" s="1">
        <f>IF($B5&lt;Analysis!$C$66,0,Analysis!$C$82*12)</f>
        <v>-1500</v>
      </c>
      <c r="BL5" s="1">
        <f>IF($B5&lt;Analysis!$C$66,0,Analysis!$C$83*12)</f>
        <v>-480</v>
      </c>
      <c r="BM5" s="1">
        <f>IF($B5&lt;Analysis!$C$66,0,Analysis!$C$84*12)</f>
        <v>-480</v>
      </c>
      <c r="BN5" s="1">
        <f>IF($B5&lt;Analysis!$C$66,0,Analysis!$C$85*12)</f>
        <v>-600</v>
      </c>
      <c r="BO5" s="1">
        <v>0</v>
      </c>
      <c r="BP5" s="1">
        <f>-BO5*Analysis!$C$28</f>
        <v>0</v>
      </c>
      <c r="BQ5" s="42"/>
      <c r="BR5" s="1">
        <f t="shared" si="22"/>
        <v>-123784.87240484434</v>
      </c>
      <c r="BS5" s="64">
        <f>IF($B5&lt;Analysis!C$66,0,Analysis!C$31)</f>
        <v>0.1275</v>
      </c>
      <c r="BT5" s="1">
        <f>IF($B5&lt;Analysis!$C$66,0,AN5+BR5)</f>
        <v>847076.87194687594</v>
      </c>
      <c r="BU5" s="1">
        <f>IF($B5-Analysis!$C$66&gt;3,0,IF($AN5&gt;LOOKUP(Analysis!$C$66,$B:$B, AN:AN),$V5*(LOOKUP(Analysis!$C$66,$B:$B, AN:AN)-AN5),0))</f>
        <v>-21327.285072766233</v>
      </c>
      <c r="BV5" s="1">
        <f t="shared" si="23"/>
        <v>825749.58687410969</v>
      </c>
      <c r="BW5" s="42"/>
      <c r="BX5" s="1">
        <f>IF($B5&lt;Analysis!$C$66,$P5+$N5+$X5+$Z5,$P5+$N5+AS5+AV5+BB5+BE5+BG5+MAX(BI5,SUM(BJ5:BN5))+BP5)</f>
        <v>-124694.33809440049</v>
      </c>
      <c r="BY5" s="1">
        <f t="shared" si="24"/>
        <v>100652.41620869798</v>
      </c>
      <c r="BZ5" s="1">
        <f t="shared" si="46"/>
        <v>-24041.921885702512</v>
      </c>
      <c r="CA5" s="1">
        <f>IF(BZ5 &lt; 0,
    IF(CA4 + BZ5 &gt; 0,
        CA4 + BZ5, IF(CF4-ABS(CA4 + BZ5)*(1+$V5) &gt;= CA4 + BZ5,
        0, CA4 + BZ5)),
    MIN(CA4 + BZ5, Analysis!$C$7))+IF(CA4&lt;0, CA4*Analysis!$C$9,0)</f>
        <v>-145111.1248157316</v>
      </c>
      <c r="CB5" s="42"/>
      <c r="CC5" s="1">
        <f t="shared" si="47"/>
        <v>0</v>
      </c>
      <c r="CD5" s="1">
        <f>IF(BZ5 &gt;= 0,
    MAX(0, CA4 + BZ5 - Analysis!$C$7),
    0)</f>
        <v>0</v>
      </c>
      <c r="CE5" s="1">
        <f>IF($B5=Analysis!$C$66,0,MAX(0, CE4 + CD5 - IF(BZ5 &lt; 0, MIN(ABS(BZ5), CE4 + CD5), 0)))</f>
        <v>0</v>
      </c>
      <c r="CF5" s="1">
        <f>IF($B5=Analysis!$C$66,0,IF(BZ5 &lt; 0,
    IF(BZ5 + CA4 &lt; 0,
        MAX(0, CF4 - (ABS(BZ5 + CA4) * (1+$V4))),
        CF4 + CC5),
    CF4 + CD5 + CC5))</f>
        <v>0</v>
      </c>
      <c r="CG5" s="1">
        <f t="shared" si="25"/>
        <v>0</v>
      </c>
      <c r="CH5" s="36"/>
      <c r="CI5" s="1">
        <f>IF(OR($B5&lt;Analysis!$C$100, $B5&gt;=Analysis!$C$130),0,X5)</f>
        <v>-17279.157337675559</v>
      </c>
      <c r="CJ5" s="1">
        <f>IF(OR($B5&lt;Analysis!$C$100, $B5&gt;=Analysis!$C$130),0,Z5)</f>
        <v>-3960</v>
      </c>
      <c r="CK5" s="1">
        <f t="shared" si="26"/>
        <v>566808.72175859974</v>
      </c>
      <c r="CL5" s="64">
        <f t="shared" si="48"/>
        <v>2.941176470588247E-2</v>
      </c>
      <c r="CM5" s="1">
        <f>IF($B5=Analysis!$C$100,(CK5*(1+Analysis!$C$23+Analysis!$C$24+Analysis!$C$25))-IF($B5=$B$2,(Analysis!$C$6-Analysis!$C$7+Analysis!$C$105), (FU4-Analysis!$C$7+CV5)),0)</f>
        <v>0</v>
      </c>
      <c r="CN5" s="65">
        <f>IF($B5=Analysis!$C$100,NPER(CR5,-CU5,-CM5),0)</f>
        <v>0</v>
      </c>
      <c r="CO5" s="64">
        <f>IF($B5=Analysis!$C$100,Analysis!$C$103,0)</f>
        <v>0</v>
      </c>
      <c r="CP5" s="1">
        <f>IF(OR($B5&lt;Analysis!$C$100, $B5&gt;=Analysis!$C$101),0,IF($B5=Analysis!$C$100,-CM5*CO5,IF(CU5&gt;=0,0,CU5-CS5)))</f>
        <v>-11234.493408194223</v>
      </c>
      <c r="CQ5" s="1">
        <f>IF(OR($B5&lt;Analysis!$C$100, $B5&gt;=Analysis!$C$101),0,IF($B5=Analysis!$C$100,-CM5-CP5,MIN(0,CQ4-CP5)))</f>
        <v>-461128.11826223228</v>
      </c>
      <c r="CR5" s="64">
        <f>IF(OR($B5&lt;Analysis!$C$100, $B5&gt;=Analysis!$C$101),0,IF($B5=Analysis!$C$100,Analysis!$C$102,IF(($B5-Analysis!$C$100)&lt;LOOKUP(Analysis!$C$100,$B:$B,CN:CN),CR4,0)))</f>
        <v>3.6999999999999998E-2</v>
      </c>
      <c r="CS5" s="1">
        <f>IF(OR($B5&lt;Analysis!$C$100, $B5&gt;=Analysis!$C$101),0,IF($B5=Analysis!$C$100,-CR5*CM5,CR4*CQ4))</f>
        <v>-17477.41663180578</v>
      </c>
      <c r="CT5" s="1">
        <f>IF(OR($B5&lt;Analysis!$C$100, $B5&gt;=Analysis!$C$101),0,IF($B5=Analysis!$C$100,PMT(CR5,CN5,CM5)*CN5-CU5-CQ5,IF(($B5-Analysis!$C$100+1)&lt;LOOKUP(Analysis!$C$100,$B:$B,CN:CN),IF(CT4-CS5&lt;0, CT4-CS5,0),0)))</f>
        <v>-251685.45775517973</v>
      </c>
      <c r="CU5" s="1">
        <f>IF(OR($B5&lt;Analysis!$C$100, $B5&gt;=Analysis!$C$101),0,IF($B5=Analysis!$C$100,CP5+CS5,IF(CQ4&lt;0,IF(CQ4&gt;LOOKUP(Analysis!$C$100,$B:$B,CU:CU), CQ4*(1+CR4),CU4),0)))</f>
        <v>-28711.910040000002</v>
      </c>
      <c r="CV5" s="1">
        <f>IF($B5=Analysis!$C$100,Analysis!$C$105,0)</f>
        <v>0</v>
      </c>
      <c r="CW5" s="1">
        <f>IF($B5=Analysis!$C$100,PMT(CR5,CX5,CV5)*CX5,0)</f>
        <v>0</v>
      </c>
      <c r="CX5" s="7">
        <f>IF($B5=Analysis!$C$100,Analysis!$C$107,0)</f>
        <v>0</v>
      </c>
      <c r="CY5" s="1">
        <f>IF(OR($B5&lt;Analysis!$C$100, $B5&gt;=Analysis!$C$101),0,IF($B5=Analysis!$C$100,CW5/CX5,IF(($B5-Analysis!$C$100)&lt;LOOKUP(Analysis!$C$100,$B:$B,CX:CX),CY4,0)))</f>
        <v>-6072.8287787074187</v>
      </c>
      <c r="CZ5" s="1">
        <f>IF(OR($B5&lt;Analysis!$C$100, $B5&gt;=Analysis!$C$101),0,IF($B5=Analysis!$C$100,CX5*CY5-CY5,IF(($B5-Analysis!$C$100)&lt;Analysis!$C$107,CZ4-CY5,0)))</f>
        <v>-36436.972672244505</v>
      </c>
      <c r="DA5" s="53"/>
      <c r="DB5" s="1">
        <f>IF(OR($B5&lt;Analysis!$C$100, $B5&gt;=Analysis!$C$101),0,IF($B5=2025,(Analysis!$C$109*12),IF($B5=Analysis!$C$100,(Analysis!$C$109*12)*(1+DC5)^($B5-$B$2),DB4*(1+DC5))))</f>
        <v>15119.262670466116</v>
      </c>
      <c r="DC5" s="64">
        <f>IF(OR($B5&lt;Analysis!$C$100, $B5&gt;=Analysis!$C$101),0,((1+Analysis!$C$114)/(1+$S5))-1)</f>
        <v>2.941176470588247E-2</v>
      </c>
      <c r="DD5" s="1">
        <f t="shared" si="6"/>
        <v>20779.688835741916</v>
      </c>
      <c r="DE5" s="1">
        <f t="shared" si="27"/>
        <v>-1700.4261652757993</v>
      </c>
      <c r="DF5" s="64">
        <f>IF(OR($B5&lt;Analysis!$C$100, $B5&gt;=Analysis!$C$101),0,Analysis!$C$118)</f>
        <v>3.0000000000000001E-3</v>
      </c>
      <c r="DG5" s="1">
        <f t="shared" si="28"/>
        <v>-4251.065413189498</v>
      </c>
      <c r="DH5" s="64">
        <f>IF(OR($B5&lt;Analysis!$C$100, $B5&gt;=Analysis!$C$101),0,Analysis!$C$119)</f>
        <v>7.4999999999999997E-3</v>
      </c>
      <c r="DI5" s="1">
        <f>IF(OR($B5&lt;Analysis!$C$100, $B5&gt;=Analysis!$C$101),0,MIN(Analysis!$C$120*12,SUM(DJ5:DN5)))</f>
        <v>-3960</v>
      </c>
      <c r="DJ5" s="1">
        <f>IF(OR($B5&lt;Analysis!$C$100, $B5&gt;=Analysis!$C$101),0,Analysis!$C$121*12)</f>
        <v>-900</v>
      </c>
      <c r="DK5" s="1">
        <f>IF(OR($B5&lt;Analysis!$C$100, $B5&gt;=Analysis!$C$101),0,Analysis!$C$122*12)</f>
        <v>-1500</v>
      </c>
      <c r="DL5" s="1">
        <f>IF(OR($B5&lt;Analysis!$C$100, $B5&gt;=Analysis!$C$101),0,Analysis!$C$123*12)</f>
        <v>-480</v>
      </c>
      <c r="DM5" s="1">
        <f>IF(OR($B5&lt;Analysis!$C$100, $B5&gt;=Analysis!$C$101),0,Analysis!$C$124*12)</f>
        <v>-480</v>
      </c>
      <c r="DN5" s="1">
        <f>IF(OR($B5&lt;Analysis!$C$100, $B5&gt;=Analysis!$C$101),0,Analysis!$C$125*12)</f>
        <v>-600</v>
      </c>
      <c r="DO5" s="64">
        <f>IF(OR($B5&lt;Analysis!$C$100, $B5&gt;=Analysis!$C$101),0,Analysis!$C$113)</f>
        <v>0.02</v>
      </c>
      <c r="DP5" s="1">
        <f>-DO5*LOOKUP(Analysis!$C$100,$B:$B,CK:CK)</f>
        <v>-10392</v>
      </c>
      <c r="DQ5" s="1">
        <f>-Analysis!$C$117*DB5</f>
        <v>-1133.9447002849586</v>
      </c>
      <c r="DR5" s="1">
        <f t="shared" si="29"/>
        <v>-21437.436278750258</v>
      </c>
      <c r="DS5" s="1">
        <f>MIN(0,-(DB5+DR5)*Analysis!$C$28)-CS5*Analysis!$C$28</f>
        <v>7744.2433095531396</v>
      </c>
      <c r="DT5" s="1">
        <f>-Analysis!$C$116*DD5/12</f>
        <v>-1731.6407363118262</v>
      </c>
      <c r="DU5" s="53"/>
      <c r="DV5" s="1">
        <f t="shared" si="30"/>
        <v>-72268.112024221467</v>
      </c>
      <c r="DW5" s="64">
        <f>IF(OR($B5&lt;Analysis!$C$100, $B5&gt;=Analysis!$C$101),0,IF($B5=Analysis!$C$100,Analysis!$C$31,DW4))</f>
        <v>0.1275</v>
      </c>
      <c r="DX5" s="1">
        <f>IF(OR($B5&lt;Analysis!$C$100, $B5&gt;=Analysis!$C$101),0,CK5+DV5)</f>
        <v>494540.60973437829</v>
      </c>
      <c r="DY5" s="1">
        <f>IF(OR($B5&lt;Analysis!$C$100, $B5&gt;=Analysis!$C$101),0,IF($B5-Analysis!$C$100&gt;3,0,IF(CK5&gt;LOOKUP(Analysis!$C$100,$B:$B, CK:CK),$V5*(LOOKUP(Analysis!$C$100,$B:$B, CK:CK)-CK5),0)))</f>
        <v>-12451.300363830682</v>
      </c>
      <c r="DZ5" s="1">
        <f t="shared" si="49"/>
        <v>482089.30937054759</v>
      </c>
      <c r="EA5" s="53"/>
      <c r="EB5" s="1">
        <f t="shared" si="31"/>
        <v>752690.5658457157</v>
      </c>
      <c r="EC5" s="64">
        <f t="shared" si="50"/>
        <v>2.941176470588247E-2</v>
      </c>
      <c r="ED5" s="1">
        <f>MAX(0,IF($B5=Analysis!$C$130,(EB5*(1+Analysis!$C$23+Analysis!$C$24+Analysis!$C$25))-(IF($B5=$B$2,(Analysis!$C$6-Analysis!$C$7+Analysis!$C$132), (FU4-Analysis!$C$7+EM5)) + IF($B5=Analysis!$C$101,DZ4+CQ4+CT4+CZ4,0)),0))</f>
        <v>0</v>
      </c>
      <c r="EE5" s="65">
        <f>IF($B5=Analysis!$C$130,IF(ED5&gt;0,NPER(EI5,-EL5,-ED5),0),0)</f>
        <v>0</v>
      </c>
      <c r="EF5" s="64">
        <f>IF($B5=Analysis!$C$130,Analysis!$C$137,0)</f>
        <v>0</v>
      </c>
      <c r="EG5" s="1">
        <f>IF($B5&lt;Analysis!$C$130,0,IF($B5=Analysis!$C$130,-ED5*EF5,IF(EL5&gt;=0,0,EL5-EJ5)))</f>
        <v>0</v>
      </c>
      <c r="EH5" s="1">
        <f>IF($B5&lt;Analysis!$C$130,0,IF($B5=Analysis!$C$130,-ED5-EG5,MIN(0,EH4-EG5)))</f>
        <v>0</v>
      </c>
      <c r="EI5" s="64">
        <f>IF($B5&lt;Analysis!$C$130,0,IF($B5=Analysis!$C$130,Analysis!$C$136,IF(($B5-Analysis!$C$130)&lt;LOOKUP(Analysis!$C$130,$B:$B,EE:EE),EI4,0)))</f>
        <v>0</v>
      </c>
      <c r="EJ5" s="1">
        <f>IF($B5&lt;Analysis!$C$130,0,IF($B5=Analysis!$C$130,-EI5*ED5,EI4*EH4))</f>
        <v>0</v>
      </c>
      <c r="EK5" s="1">
        <f>IF(OR($B5&lt;Analysis!$C$130, ED5=0),0,IF($B5=Analysis!$C$130,PMT(EI5,EE5,ED5)*EE5-EL5-EH5,IF(($B5-Analysis!$C$130+1)&lt;LOOKUP(Analysis!$C$130,$B:$B,EE:EE),IF(EK4-EJ5&lt;0, EK4-EJ5,0),0)))</f>
        <v>0</v>
      </c>
      <c r="EL5" s="1">
        <f>IF($B5&lt;Analysis!$C$130,0,IF($B5=Analysis!$C$130,EG5+EJ5,IF(EH4&lt;0,IF(EH4&gt;LOOKUP(Analysis!$C$130,$B:$B,EL:EL), EH4*(1+EI4),EL4),0)))</f>
        <v>0</v>
      </c>
      <c r="EM5" s="1">
        <f>IF($B5=Analysis!$C$130,Analysis!$C$132,0)</f>
        <v>0</v>
      </c>
      <c r="EN5" s="1">
        <f>IF($B5=Analysis!$C$130,PMT(EI5,EO5,EM5)*EO5,0)</f>
        <v>0</v>
      </c>
      <c r="EO5" s="7">
        <f>IF($B5=Analysis!$C$130,Analysis!$C$134,0)</f>
        <v>0</v>
      </c>
      <c r="EP5" s="1">
        <f>IF($B5&lt;Analysis!$C$130,0,IF($B5=Analysis!$C$130,EN5/EO5,IF(($B5-Analysis!$C$130)&lt;LOOKUP(Analysis!$C$130,$B:$B,EO:EO),EP4,0)))</f>
        <v>0</v>
      </c>
      <c r="EQ5" s="1">
        <f>IF($B5&lt;Analysis!$C$130,0,IF($B5=Analysis!$C$130,EO5*EP5-EP5,IF(($B5-Analysis!$C$130)&lt;Analysis!$C$134,EQ4-EP5,0)))</f>
        <v>0</v>
      </c>
      <c r="ER5" s="53"/>
      <c r="ES5" s="1">
        <f>IF($B5&lt;Analysis!$C$130,0,-ET5*EB5)</f>
        <v>0</v>
      </c>
      <c r="ET5" s="64">
        <f>IF($B5&lt;Analysis!$C$130,0,Analysis!$C$142)</f>
        <v>0</v>
      </c>
      <c r="EU5" s="1">
        <f>IF($B5&lt;Analysis!$C$130,0,-EV5*EB5)</f>
        <v>0</v>
      </c>
      <c r="EV5" s="64">
        <f>IF($B5&lt;Analysis!$C$130,0,Analysis!$C$143)</f>
        <v>0</v>
      </c>
      <c r="EW5" s="1">
        <f>IF($B5&lt;Analysis!$C$130,0,MIN(Analysis!$C$144*12,SUM(EX5:FB5)))</f>
        <v>0</v>
      </c>
      <c r="EX5" s="1">
        <f>IF($B5&lt;Analysis!$C$130,0,Analysis!$C$145*12)</f>
        <v>0</v>
      </c>
      <c r="EY5" s="1">
        <f>IF($B5&lt;Analysis!$C$130,0,Analysis!$C$146*12)</f>
        <v>0</v>
      </c>
      <c r="EZ5" s="1">
        <f>IF($B5&lt;Analysis!$C$130,0,Analysis!$C$147*12)</f>
        <v>0</v>
      </c>
      <c r="FA5" s="1">
        <f>IF($B5&lt;Analysis!$C$130,0,Analysis!$C$148*12)</f>
        <v>0</v>
      </c>
      <c r="FB5" s="1">
        <f>IF($B5&lt;Analysis!$C$130,0,Analysis!$C$149*12)</f>
        <v>0</v>
      </c>
      <c r="FC5" s="1">
        <v>0</v>
      </c>
      <c r="FD5" s="1">
        <f>-FC5*Analysis!$C$28</f>
        <v>0</v>
      </c>
      <c r="FE5" s="53"/>
      <c r="FF5" s="1">
        <f t="shared" si="32"/>
        <v>0</v>
      </c>
      <c r="FG5" s="64">
        <f>IF($B5&lt;Analysis!$C$130,0,Analysis!$C$31)</f>
        <v>0</v>
      </c>
      <c r="FH5" s="1">
        <f>IF($B5&lt;Analysis!$C$130,0,EB5+FF5)</f>
        <v>0</v>
      </c>
      <c r="FI5" s="1">
        <f>IF($B5-Analysis!$C$130&gt;3,0,IF(EB5&gt;LOOKUP(Analysis!$C$130,$B:$B, EB:EB),$V5*(LOOKUP(Analysis!$C$130,$B:$B, EB:EB)-EB5),0))</f>
        <v>0</v>
      </c>
      <c r="FJ5" s="1">
        <f t="shared" si="33"/>
        <v>0</v>
      </c>
      <c r="FK5" s="53"/>
      <c r="FL5" s="1">
        <f>$P5+$N5+IF($B5&lt;Analysis!$C$130,$X5+$Z5,0)+CP5+CS5+CY5+DE5+DG5+MIN(DI5,SUM(DJ5:DN5))+DQ5+DS5+DT5+EG5+EJ5+EP5+ES5+EU5+MIN(EW5,SUM(EX5:FB5))+FD5</f>
        <v>-113256.72986189192</v>
      </c>
      <c r="FM5" s="1">
        <f>$M5+$R5+DD5+IF(AND($B5&lt;&gt;Analysis!$C$130,$B5=Analysis!$C$101),DZ4+CQ4+CT4+CZ4,0)</f>
        <v>121432.1050444399</v>
      </c>
      <c r="FN5" s="1">
        <f t="shared" si="34"/>
        <v>8175.3751825479849</v>
      </c>
      <c r="FO5" s="1">
        <f>IF(FN5 &lt; 0,
    IF(FO4 + FN5 &gt; 0,
        FO4 + FN5, IF(FT4-ABS(FO4 + FN5)*(1+$V5) &gt;= FO4 + FN5,
        0, FO4 + FN5)),
    MIN(FO4 + FN5, Analysis!$C$7))+IF(FO4&lt;0, FO4*Analysis!$C$9,0)</f>
        <v>-512.8943893468537</v>
      </c>
      <c r="FP5" s="53"/>
      <c r="FQ5" s="1">
        <f t="shared" si="51"/>
        <v>0</v>
      </c>
      <c r="FR5" s="1">
        <f>IF(OR($B5=Analysis!$C$100, $B5=Analysis!$C$130),0,IF(FN5 &gt;= 0,
    MAX(0, FO4 + FN5 - Analysis!$C$7),
    0))</f>
        <v>0</v>
      </c>
      <c r="FS5" s="1">
        <f>IF(OR($B5=Analysis!$C$100, $B5=Analysis!$C$130),0,MAX(0, FS4 + FR5 - IF(FN5 &lt; 0, MIN(ABS(FN5), FS4 + FR5), 0)))</f>
        <v>0</v>
      </c>
      <c r="FT5" s="1">
        <f>IF(OR($B5=Analysis!$C$100, $B5=Analysis!$C$130),0,IF(FN5 &lt; 0,
    IF(FN5 + FO4 &lt; 0,
        MAX(0, FT4 - (ABS(FN5 + FO4) * (1+$V4))),
        FT4 + FQ5),
    FT4 + FR5 + FQ5))</f>
        <v>0</v>
      </c>
      <c r="FU5" s="1">
        <f t="shared" si="35"/>
        <v>0</v>
      </c>
      <c r="FV5" s="36"/>
      <c r="FW5" s="1">
        <f t="shared" si="52"/>
        <v>566808.72175859974</v>
      </c>
      <c r="FX5" s="64">
        <f t="shared" si="53"/>
        <v>2.941176470588247E-2</v>
      </c>
      <c r="FY5" s="1">
        <f>IF($B5=Analysis!$C$159,(FW5*(1+Analysis!$C$23+Analysis!$C$24+Analysis!$C$25))-IF($B5=$B$2,(Analysis!$C$6-Analysis!$C$7+Analysis!$C$165), (HW4-Analysis!$C$7+GH5)),0)</f>
        <v>0</v>
      </c>
      <c r="FZ5" s="65">
        <f>IF($B5=Analysis!$C$159,NPER(GD5,-GG5,-FY5),0)</f>
        <v>0</v>
      </c>
      <c r="GA5" s="64">
        <f>IF($B5=Analysis!$C$159,Analysis!$C$161,0)</f>
        <v>0</v>
      </c>
      <c r="GB5" s="1">
        <f>IF($B5&lt;Analysis!$C$159,0,IF($B5=Analysis!$C$159,-FY5*GA5,IF(GG5&gt;=0,0,GG5-GE5)))</f>
        <v>-11234.493408194223</v>
      </c>
      <c r="GC5" s="1">
        <f>IF($B5&lt;Analysis!$C$159,0,IF($B5=Analysis!$C$159,-FY5-GB5,MIN(0,GC4-GB5)))</f>
        <v>-461128.11826223228</v>
      </c>
      <c r="GD5" s="64">
        <f>IF($B5&lt;Analysis!$C$159,0,IF($B5=Analysis!$C$159,Analysis!$C$160,IF(($B5-Analysis!$C$159)&lt;LOOKUP(Analysis!$C$159,$B:$B,FZ:FZ),GD4,0)))</f>
        <v>3.6999999999999998E-2</v>
      </c>
      <c r="GE5" s="1">
        <f>IF($B5&lt;Analysis!$C$159,0,IF($B5=Analysis!$C$159,-GD5*FY5,GD4*GC4))</f>
        <v>-17477.41663180578</v>
      </c>
      <c r="GF5" s="1">
        <f>IF($B5&lt;Analysis!$C$159,0,IF($B5=Analysis!$C$159,PMT(GD5,FZ5,FY5)*FZ5-GG5-GC5,IF(($B5-Analysis!$C$159+1)&lt;LOOKUP(Analysis!$C$159,$B:$B,FZ:FZ),IF(GF4-GE5&lt;0, GF4-GE5,0),0)))</f>
        <v>-251685.45775517973</v>
      </c>
      <c r="GG5" s="1">
        <f>IF($B5&lt;Analysis!$C$159,0,IF($B5=Analysis!$C$159,GB5+GE5,IF(GC4&lt;0,IF(GC4&gt;LOOKUP(Analysis!$C$159,$B:$B,GG:GG), GC4*(1+GD4),GG4),0)))</f>
        <v>-28711.910040000002</v>
      </c>
      <c r="GH5" s="1">
        <f>IF($B5=Analysis!$C$159,Analysis!$C$165,0)</f>
        <v>0</v>
      </c>
      <c r="GI5" s="1">
        <f>IF($B5=Analysis!$C$159,PMT(GD5,GJ5,GH5)*GJ5,0)</f>
        <v>0</v>
      </c>
      <c r="GJ5" s="7">
        <f>IF($B5=Analysis!$C$159,Analysis!$C$167,0)</f>
        <v>0</v>
      </c>
      <c r="GK5" s="1">
        <f>IF($B5&lt;Analysis!$C$159,0,IF($B5=Analysis!$C$159,GI5/GJ5,IF(($B5-Analysis!$C$159)&lt;LOOKUP(Analysis!$C$159,$B:$B,GJ:GJ),GK4,0)))</f>
        <v>-6072.8287787074187</v>
      </c>
      <c r="GL5" s="1">
        <f>IF($B5&lt;Analysis!$C$159,0,IF($B5=Analysis!$C$159,GJ5*GK5-GK5,IF(($B5-Analysis!$C$159)&lt;Analysis!$C$167,GL4-GK5,0)))</f>
        <v>-36436.972672244505</v>
      </c>
      <c r="GM5" s="38"/>
      <c r="GN5" s="1">
        <f>IF($B5&lt;Analysis!$C$159,0,IF($B5=2025,(Analysis!$C$109*12),IF($B5=Analysis!$C$159,(Analysis!$C$109*12)*(1+GO5)^($B5-$B$2),GN4*(1+GO5))))</f>
        <v>15119.262670466116</v>
      </c>
      <c r="GO5" s="64">
        <f>IF($B5&lt;Analysis!$C$159,0,((1+Analysis!$C$174)/(1+$S5))-1)</f>
        <v>2.941176470588247E-2</v>
      </c>
      <c r="GP5" s="1">
        <f t="shared" si="7"/>
        <v>20779.688835741916</v>
      </c>
      <c r="GQ5" s="1">
        <f t="shared" si="36"/>
        <v>-1700.4261652757993</v>
      </c>
      <c r="GR5" s="64">
        <f>IF($B5&lt;Analysis!$C$159,0,Analysis!$C$178)</f>
        <v>3.0000000000000001E-3</v>
      </c>
      <c r="GS5" s="1">
        <f t="shared" si="37"/>
        <v>-4251.065413189498</v>
      </c>
      <c r="GT5" s="64">
        <f>IF($B5&lt;Analysis!$C$159,0,Analysis!$C$179)</f>
        <v>7.4999999999999997E-3</v>
      </c>
      <c r="GU5" s="1">
        <f>IF($B5&lt;Analysis!$C$159,0,MIN(Analysis!$C$180*12,SUM(GV5:GZ5)))</f>
        <v>-3960</v>
      </c>
      <c r="GV5" s="1">
        <f>IF($B5&lt;Analysis!$C$159,0,Analysis!$C$181*12)</f>
        <v>-900</v>
      </c>
      <c r="GW5" s="1">
        <f>IF($B5&lt;Analysis!$C$159,0,Analysis!$C$182*12)</f>
        <v>-1500</v>
      </c>
      <c r="GX5" s="1">
        <f>IF($B5&lt;Analysis!$C$159,0,Analysis!$C$183*12)</f>
        <v>-480</v>
      </c>
      <c r="GY5" s="1">
        <f>IF($B5&lt;Analysis!$C$159,0,Analysis!$C$184*12)</f>
        <v>-480</v>
      </c>
      <c r="GZ5" s="1">
        <f>IF($B5&lt;Analysis!$C$159,0,Analysis!$C$185*12)</f>
        <v>-600</v>
      </c>
      <c r="HA5" s="64">
        <f>IF($B5&lt;Analysis!$C$159,0,Analysis!$C$173)</f>
        <v>0.02</v>
      </c>
      <c r="HB5" s="1">
        <f>-HA5*LOOKUP(Analysis!$C$159,$B:$B,FW:FW)</f>
        <v>-10392</v>
      </c>
      <c r="HC5" s="1">
        <f>-Analysis!$C$177*GN5</f>
        <v>-1133.9447002849586</v>
      </c>
      <c r="HD5" s="1">
        <f t="shared" si="38"/>
        <v>-21437.436278750258</v>
      </c>
      <c r="HE5" s="1">
        <f>MIN(0,-(GN5+HD5)*Analysis!$C$28)-GE5*Analysis!$C$28</f>
        <v>7744.2433095531396</v>
      </c>
      <c r="HF5" s="1">
        <f>-Analysis!$C$176*GP5/12</f>
        <v>-1731.6407363118262</v>
      </c>
      <c r="HG5" s="38"/>
      <c r="HH5" s="1">
        <f>IF($B5&lt;Analysis!$C$159,0,-$HI5*$FW5)</f>
        <v>-72268.112024221467</v>
      </c>
      <c r="HI5" s="64">
        <f>IF($B5&lt;Analysis!$C$159,0,IF($B5=Analysis!$C$159,Analysis!$C$31,HI4))</f>
        <v>0.1275</v>
      </c>
      <c r="HJ5" s="1">
        <f>IF($B5&lt;Analysis!$C$159,0,$FW5+HH5)</f>
        <v>494540.60973437829</v>
      </c>
      <c r="HK5" s="1">
        <f>IF($B5-Analysis!$C$159&gt;10,0,IF($FW5&gt;LOOKUP(Analysis!$C$159,$B:$B, FW:FW),$V5*(LOOKUP(Analysis!$C$159,$B:$B, FW:FW)-FW5),0))</f>
        <v>-12451.300363830682</v>
      </c>
      <c r="HL5" s="1">
        <f t="shared" si="39"/>
        <v>482089.30937054759</v>
      </c>
      <c r="HM5" s="38"/>
      <c r="HN5" s="1">
        <f t="shared" si="40"/>
        <v>-113256.72986189192</v>
      </c>
      <c r="HO5" s="1">
        <f t="shared" si="8"/>
        <v>121432.1050444399</v>
      </c>
      <c r="HP5" s="1">
        <f t="shared" si="41"/>
        <v>8175.3751825479849</v>
      </c>
      <c r="HQ5" s="1">
        <f>IF(HP5 &lt; 0,
    IF(HQ4 + HP5 &gt; 0,
        HQ4 + HP5, IF(HV4-ABS(HQ4 + HP5)*(1+$V5) &gt;= HQ4 + HP5,
        0, HQ4 + HP5)),
    MIN(HQ4 + HP5, Analysis!$C$7))+IF(HQ4&lt;0, HQ4*Analysis!$C$9,0)</f>
        <v>-512.8943893468537</v>
      </c>
      <c r="HR5" s="38"/>
      <c r="HS5" s="1">
        <f t="shared" si="54"/>
        <v>0</v>
      </c>
      <c r="HT5" s="1">
        <f>IF($B5=Analysis!$C$159,0,IF(HP5 &gt;= 0,
    MAX(0, HQ4 + HP5 - Analysis!$C$7),
    0))</f>
        <v>0</v>
      </c>
      <c r="HU5" s="1">
        <f>IF($B5=Analysis!$C$159,0,MAX(0, HU4 + HT5 - IF(HP5 &lt; 0, MIN(ABS(HP5), HU4 + HT5), 0)))</f>
        <v>0</v>
      </c>
      <c r="HV5" s="1">
        <f>IF($B5=Analysis!$C$159,0,IF(HP5 &lt; 0,
    IF(HP5 + HQ4 &lt; 0,
        MAX(0, HV4 - (ABS(HP5 + HQ4) * (1+$V4))),
        HV4 + HS5),
    HV4 + HT5 + HS5))</f>
        <v>0</v>
      </c>
      <c r="HW5" s="1">
        <f t="shared" si="42"/>
        <v>0</v>
      </c>
      <c r="HX5" s="36"/>
    </row>
    <row r="6" spans="1:232" x14ac:dyDescent="0.35">
      <c r="A6">
        <f t="shared" si="0"/>
        <v>39</v>
      </c>
      <c r="B6">
        <v>2029</v>
      </c>
      <c r="C6" s="1">
        <f>IF($B6&lt;Analysis!C$66,0,$AN6)+$AT6+$AW6+$BC6+$CF6+$CA6</f>
        <v>-457988.25279695709</v>
      </c>
      <c r="D6" s="1">
        <f>IF($B6&lt;Analysis!C$66, 0, BV6)+AT6+AW6+BC6+CG6+CA6</f>
        <v>-585413.85674312036</v>
      </c>
      <c r="E6" s="1">
        <f t="shared" si="1"/>
        <v>148249.98570310793</v>
      </c>
      <c r="F6" s="1">
        <f t="shared" si="9"/>
        <v>142834.33078201133</v>
      </c>
      <c r="G6" s="1">
        <f>IF(AND($B6&gt;=Analysis!$C$100, $B6&lt;Analysis!$C$101),$CK6,0)+IF($B6&gt;=Analysis!$C$130,EB6,0)+CQ6+CT6+CZ6+EH6+EK6+EQ6+$FO6+$FT6</f>
        <v>-124445.1429679384</v>
      </c>
      <c r="H6" s="1">
        <f t="shared" si="10"/>
        <v>-198838.78769875463</v>
      </c>
      <c r="I6" s="1">
        <f>IF($B6&lt;Analysis!$C$159,0,$FW6)+$GC6+$GF6+$GL6+$HQ6+$HV6</f>
        <v>-124445.1429679384</v>
      </c>
      <c r="J6" s="1">
        <f t="shared" si="2"/>
        <v>-215687.02336740389</v>
      </c>
      <c r="K6" s="36"/>
      <c r="L6" s="1">
        <f t="shared" si="11"/>
        <v>103119.38719420528</v>
      </c>
      <c r="M6" s="1">
        <f>IF($B6=Analysis!$C$47, M5 * (1 - Analysis!$C$48),
    IF($B6=Analysis!$C$52, M5 * (1 - Analysis!$C$53),
    IF($B6=Analysis!$C$58, M5 * (1 - Analysis!$C$60),
    L6)))</f>
        <v>103119.38719420528</v>
      </c>
      <c r="N6" s="1">
        <f>Analysis!$C$3*12*(1+O6)+P6</f>
        <v>-51650</v>
      </c>
      <c r="O6" s="64">
        <f>IF(OR($B6=Analysis!$C$47,$B6=Analysis!$C$52,$B6=Analysis!$C$58),-Analysis!$C$49,0)</f>
        <v>0</v>
      </c>
      <c r="P6" s="1">
        <f>IF($B6&lt;Analysis!$C$47,0,IF($B6-Analysis!$C$47&lt;=3,Analysis!$C$40+Analysis!$C$44,IF($B6-Analysis!$C$47&lt;=10,Analysis!$C$41+Analysis!$C$44,IF($B6-Analysis!$C$47&lt;=18,Analysis!$C$42+Analysis!$C$44,IF($B6-Analysis!$C$47&lt;=25,Analysis!$C$43+Analysis!$C$44,0)))) + IF(AND($B6&gt;=Analysis!$C$52, $B6-Analysis!$C$52&lt;=3),Analysis!$C$40+Analysis!$C$44,IF(AND($B6&gt;=Analysis!$C$52, $B6-Analysis!$C$52&lt;=10),Analysis!$C$41+Analysis!$C$44,IF(AND($B6&gt;=Analysis!$C$52, $B6-Analysis!$C$52&lt;=18),Analysis!$C$42+Analysis!$C$44,IF(AND($B6&gt;=Analysis!$C$52, $B6-Analysis!$C$52&lt;=25),Analysis!$C$43+Analysis!$C$44,0)))) + Analysis!$C$57*IF(AND($B6&gt;=Analysis!$C$58, $B6-Analysis!$C$58&lt;=3),Analysis!$C$40+Analysis!$C$44,IF(AND($B6&gt;=Analysis!$C$58, $B6-Analysis!$C$58&lt;=10),Analysis!$C$41+Analysis!$C$44,IF(AND($B6&gt;=Analysis!$C$58, $B6-Analysis!$C$58&lt;=18),Analysis!$C$42+Analysis!$C$44,IF(AND($B6&gt;=Analysis!$C$58, $B6-Analysis!$C$58&lt;=25),Analysis!$C$43+Analysis!$C$44,0)))))</f>
        <v>-3650</v>
      </c>
      <c r="Q6" s="1">
        <f t="shared" si="43"/>
        <v>0</v>
      </c>
      <c r="R6" s="1">
        <f>IF(AND(AND(B6=Analysis!C$35,Analysis!C$34&lt;&gt;0),AND(B6=Analysis!C$37,Analysis!C$36&lt;&gt;0)),Analysis!C$34+Analysis!C$36,IF(AND(B6=Analysis!C$35,Analysis!C$34&lt;&gt;0),Analysis!C$34,IF(AND(B6=Analysis!C$37,Analysis!C$36&lt;&gt;0),Analysis!C$36,0)))</f>
        <v>0</v>
      </c>
      <c r="S6" s="64">
        <f t="shared" si="12"/>
        <v>0.02</v>
      </c>
      <c r="T6" s="64">
        <f>IF($B6&lt;Analysis!$C$13, ((1+IF($B6-$B$2&lt;10,Analysis!$C$11,IF($B6-$B$2&lt;20,(Analysis!$C$11+Analysis!$C$12)/2,Analysis!$C$12)))/(1+$S6)-1),IF($B6=Analysis!$C$13,-Analysis!$C$14,-$S6))</f>
        <v>2.450980392156854E-2</v>
      </c>
      <c r="U6" s="64">
        <f>IF($B6=$B$2,((1+Analysis!$C$16)/(1+$S6))-1,IF(B6&lt;Analysis!$C$13,U5-((Analysis!$C$16-Analysis!$C$17)/(Analysis!$C$13-$B$2)),((1+Analysis!$C$17)/(1+$S5))-1))</f>
        <v>7.1574229691876934E-2</v>
      </c>
      <c r="V6" s="64">
        <f t="shared" si="13"/>
        <v>0.26374999999999998</v>
      </c>
      <c r="W6" s="36"/>
      <c r="X6" s="1">
        <f t="shared" si="14"/>
        <v>-17787.367847607195</v>
      </c>
      <c r="Y6" s="64">
        <f t="shared" si="15"/>
        <v>2.941176470588247E-2</v>
      </c>
      <c r="Z6" s="1">
        <f t="shared" si="16"/>
        <v>-3960</v>
      </c>
      <c r="AA6" s="64">
        <f t="shared" si="17"/>
        <v>0</v>
      </c>
      <c r="AB6" s="40"/>
      <c r="AC6" s="1">
        <f t="shared" si="3"/>
        <v>-77047.367847607195</v>
      </c>
      <c r="AD6" s="1">
        <f t="shared" si="4"/>
        <v>103119.38719420528</v>
      </c>
      <c r="AE6" s="1">
        <f t="shared" si="18"/>
        <v>26072.019346598085</v>
      </c>
      <c r="AF6" s="1">
        <f>IF(AE6 &lt; 0,
    IF(AF5 + AE6 &gt; 0,
        AF5 + AE6, IF(AK5-ABS(AF5 + AE6)*(1+$V6) &gt;= AF5 + AE6,
        0, AF5 + AE6)),
    MIN(AF5 + AE6, Analysis!$C$7))+IF(AF5&lt;0, AF5*Analysis!$C$9,0)</f>
        <v>24000</v>
      </c>
      <c r="AG6" s="40"/>
      <c r="AH6" s="1">
        <f t="shared" si="19"/>
        <v>6557.6533290678008</v>
      </c>
      <c r="AI6" s="1">
        <f>IF(AE6 &gt;= 0,
    MAX(0, AF5 + AE6 - Analysis!$C$7),
    0)</f>
        <v>26072.019346598085</v>
      </c>
      <c r="AJ6" s="1">
        <f t="shared" si="44"/>
        <v>103716.69690274159</v>
      </c>
      <c r="AK6" s="1">
        <f t="shared" si="20"/>
        <v>124249.98570310793</v>
      </c>
      <c r="AL6" s="1">
        <f t="shared" si="5"/>
        <v>118834.33078201131</v>
      </c>
      <c r="AM6" s="36"/>
      <c r="AN6" s="1">
        <f t="shared" si="45"/>
        <v>999416.5015385357</v>
      </c>
      <c r="AO6" s="64">
        <f t="shared" si="21"/>
        <v>2.941176470588247E-2</v>
      </c>
      <c r="AP6" s="1">
        <f>IF($B6=Analysis!$C$66,(AN6*(1+Analysis!$C$23+Analysis!$C$24+Analysis!$C$25))-IF($B6=$B$2,(Analysis!$C$6-Analysis!$C$7+Analysis!$C$68), ($CG5-Analysis!$C$7+AY6)),0)</f>
        <v>0</v>
      </c>
      <c r="AQ6" s="65">
        <f>IF($B6=Analysis!$C$66,NPER(AU6,-AX6,-AP6),0)</f>
        <v>0</v>
      </c>
      <c r="AR6" s="64">
        <f>IF($B6=Analysis!$C$66,Analysis!$C$73,0)</f>
        <v>0</v>
      </c>
      <c r="AS6" s="1">
        <f>IF($B6&lt;Analysis!$C$66,0,IF($B6=Analysis!$C$66,-AP6*AR6,IF(AX6&gt;=0,0,AX6-AV6)))</f>
        <v>-21208.090570210221</v>
      </c>
      <c r="AT6" s="1">
        <f>IF($B6&lt;Analysis!$C$66,0,IF($B6=Analysis!$C$66,-AP6-AS6,MIN(0,AT5-AS6)))</f>
        <v>-818234.35347816243</v>
      </c>
      <c r="AU6" s="64">
        <f>IF($B6&lt;Analysis!$C$66,0,IF($B6=Analysis!$C$66,Analysis!$C$72,IF(($B6-Analysis!$C$66)&lt;LOOKUP(Analysis!$C$66,$B:$B,AQ:AQ),AU5,0)))</f>
        <v>3.6999999999999998E-2</v>
      </c>
      <c r="AV6" s="1">
        <f>IF($B6&lt;Analysis!$C$66,0,IF($B6=Analysis!$C$66,-AU6*AP6,AU5*AT5))</f>
        <v>-31059.370429789789</v>
      </c>
      <c r="AW6" s="1">
        <f>IF($B6&lt;Analysis!$C$66,0,IF($B6=Analysis!$C$66,PMT(AU6,AQ6,AP6)*AQ6-AX6-AT6,IF(($B6-Analysis!$C$66+1)&lt;LOOKUP(Analysis!$C$66,$B:$B,AQ:AQ),IF(AW5-AV6&lt;0, AW5-AV6,0),0)))</f>
        <v>-427111.46631214634</v>
      </c>
      <c r="AX6" s="1">
        <f>IF($B6&lt;Analysis!$C$66,0,IF($B6=Analysis!$C$66,AS6+AV6,IF(AT5&lt;0,IF(AT5&gt;LOOKUP(Analysis!$C$66,$B:$B,AX:AX), AT5*(1+AU5),AX5),0)))</f>
        <v>-52267.46100000001</v>
      </c>
      <c r="AY6" s="1">
        <f>IF($B6=Analysis!$C$66,Analysis!$C$68,0)</f>
        <v>0</v>
      </c>
      <c r="AZ6" s="1">
        <f>IF($B6=Analysis!$C$66,PMT(AU6,BA6,AY6)*BA6,0)</f>
        <v>0</v>
      </c>
      <c r="BA6" s="7">
        <f>IF($B6=Analysis!$C$66,Analysis!$C$70,0)</f>
        <v>0</v>
      </c>
      <c r="BB6" s="1">
        <f>IF($B6&lt;Analysis!$C$66,0,IF($B6=Analysis!$C$66,AZ6/BA6,IF(($B6-Analysis!$C$66)&lt;LOOKUP(Analysis!$C$66,$B:$B,BA:BA),BB5,0)))</f>
        <v>-6072.8287787074187</v>
      </c>
      <c r="BC6" s="1">
        <f>IF($B6&lt;Analysis!$C$66,0,IF($B6=Analysis!$C$66,BA6*BB6-BB6,IF(($B6-Analysis!$C$66)&lt;Analysis!$C$70,BC5-BB6,0)))</f>
        <v>-30364.143893537086</v>
      </c>
      <c r="BD6" s="42"/>
      <c r="BE6" s="1">
        <f>IF($B6&lt;Analysis!$C$66,0,-BF6*AN6)</f>
        <v>-2998.2495046156073</v>
      </c>
      <c r="BF6" s="64">
        <f>IF($B6&lt;Analysis!$C$66,0,Analysis!$C$78)</f>
        <v>3.0000000000000001E-3</v>
      </c>
      <c r="BG6" s="1">
        <f>IF($B6&lt;Analysis!$C$66,0,-BH6*AN6)</f>
        <v>-7495.6237615390173</v>
      </c>
      <c r="BH6" s="64">
        <f>IF($B6&lt;Analysis!$C$66,0,Analysis!$C$79)</f>
        <v>7.4999999999999997E-3</v>
      </c>
      <c r="BI6" s="1">
        <f>IF($B6&lt;Analysis!$C$66,0,MIN(Analysis!$C$80*12,SUM(BJ6:BN6)))</f>
        <v>-3960</v>
      </c>
      <c r="BJ6" s="1">
        <f>IF($B6&lt;Analysis!$C$66,0,Analysis!$C$81*12)</f>
        <v>-900</v>
      </c>
      <c r="BK6" s="1">
        <f>IF($B6&lt;Analysis!$C$66,0,Analysis!$C$82*12)</f>
        <v>-1500</v>
      </c>
      <c r="BL6" s="1">
        <f>IF($B6&lt;Analysis!$C$66,0,Analysis!$C$83*12)</f>
        <v>-480</v>
      </c>
      <c r="BM6" s="1">
        <f>IF($B6&lt;Analysis!$C$66,0,Analysis!$C$84*12)</f>
        <v>-480</v>
      </c>
      <c r="BN6" s="1">
        <f>IF($B6&lt;Analysis!$C$66,0,Analysis!$C$85*12)</f>
        <v>-600</v>
      </c>
      <c r="BO6" s="1">
        <v>0</v>
      </c>
      <c r="BP6" s="1">
        <f>-BO6*Analysis!$C$28</f>
        <v>0</v>
      </c>
      <c r="BQ6" s="42"/>
      <c r="BR6" s="1">
        <f t="shared" si="22"/>
        <v>-127425.6039461633</v>
      </c>
      <c r="BS6" s="64">
        <f>IF($B6&lt;Analysis!C$66,0,Analysis!C$31)</f>
        <v>0.1275</v>
      </c>
      <c r="BT6" s="1">
        <f>IF($B6&lt;Analysis!$C$66,0,AN6+BR6)</f>
        <v>871990.89759237238</v>
      </c>
      <c r="BU6" s="1">
        <f>IF($B6-Analysis!$C$66&gt;3,0,IF($AN6&gt;LOOKUP(Analysis!$C$66,$B:$B, AN:AN),$V6*(LOOKUP(Analysis!$C$66,$B:$B, AN:AN)-AN6),0))</f>
        <v>0</v>
      </c>
      <c r="BV6" s="1">
        <f t="shared" si="23"/>
        <v>871990.89759237238</v>
      </c>
      <c r="BW6" s="42"/>
      <c r="BX6" s="1">
        <f>IF($B6&lt;Analysis!$C$66,$P6+$N6+$X6+$Z6,$P6+$N6+AS6+AV6+BB6+BE6+BG6+MAX(BI6,SUM(BJ6:BN6))+BP6)</f>
        <v>-128094.16304486206</v>
      </c>
      <c r="BY6" s="1">
        <f t="shared" si="24"/>
        <v>103119.38719420528</v>
      </c>
      <c r="BZ6" s="1">
        <f t="shared" si="46"/>
        <v>-24974.775850656777</v>
      </c>
      <c r="CA6" s="1">
        <f>IF(BZ6 &lt; 0,
    IF(CA5 + BZ6 &gt; 0,
        CA5 + BZ6, IF(CF5-ABS(CA5 + BZ6)*(1+$V6) &gt;= CA5 + BZ6,
        0, CA5 + BZ6)),
    MIN(CA5 + BZ6, Analysis!$C$7))+IF(CA5&lt;0, CA5*Analysis!$C$9,0)</f>
        <v>-181694.79065164691</v>
      </c>
      <c r="CB6" s="42"/>
      <c r="CC6" s="1">
        <f t="shared" si="47"/>
        <v>0</v>
      </c>
      <c r="CD6" s="1">
        <f>IF(BZ6 &gt;= 0,
    MAX(0, CA5 + BZ6 - Analysis!$C$7),
    0)</f>
        <v>0</v>
      </c>
      <c r="CE6" s="1">
        <f>IF($B6=Analysis!$C$66,0,MAX(0, CE5 + CD6 - IF(BZ6 &lt; 0, MIN(ABS(BZ6), CE5 + CD6), 0)))</f>
        <v>0</v>
      </c>
      <c r="CF6" s="1">
        <f>IF($B6=Analysis!$C$66,0,IF(BZ6 &lt; 0,
    IF(BZ6 + CA5 &lt; 0,
        MAX(0, CF5 - (ABS(BZ6 + CA5) * (1+$V5))),
        CF5 + CC6),
    CF5 + CD6 + CC6))</f>
        <v>0</v>
      </c>
      <c r="CG6" s="1">
        <f t="shared" si="25"/>
        <v>0</v>
      </c>
      <c r="CH6" s="36"/>
      <c r="CI6" s="1">
        <f>IF(OR($B6&lt;Analysis!$C$100, $B6&gt;=Analysis!$C$130),0,X6)</f>
        <v>-17787.367847607195</v>
      </c>
      <c r="CJ6" s="1">
        <f>IF(OR($B6&lt;Analysis!$C$100, $B6&gt;=Analysis!$C$130),0,Z6)</f>
        <v>-3960</v>
      </c>
      <c r="CK6" s="1">
        <f t="shared" si="26"/>
        <v>583479.56651620567</v>
      </c>
      <c r="CL6" s="64">
        <f t="shared" si="48"/>
        <v>2.941176470588247E-2</v>
      </c>
      <c r="CM6" s="1">
        <f>IF($B6=Analysis!$C$100,(CK6*(1+Analysis!$C$23+Analysis!$C$24+Analysis!$C$25))-IF($B6=$B$2,(Analysis!$C$6-Analysis!$C$7+Analysis!$C$105), (FU5-Analysis!$C$7+CV6)),0)</f>
        <v>0</v>
      </c>
      <c r="CN6" s="65">
        <f>IF($B6=Analysis!$C$100,NPER(CR6,-CU6,-CM6),0)</f>
        <v>0</v>
      </c>
      <c r="CO6" s="64">
        <f>IF($B6=Analysis!$C$100,Analysis!$C$103,0)</f>
        <v>0</v>
      </c>
      <c r="CP6" s="1">
        <f>IF(OR($B6&lt;Analysis!$C$100, $B6&gt;=Analysis!$C$101),0,IF($B6=Analysis!$C$100,-CM6*CO6,IF(CU6&gt;=0,0,CU6-CS6)))</f>
        <v>-11650.169664297409</v>
      </c>
      <c r="CQ6" s="1">
        <f>IF(OR($B6&lt;Analysis!$C$100, $B6&gt;=Analysis!$C$101),0,IF($B6=Analysis!$C$100,-CM6-CP6,MIN(0,CQ5-CP6)))</f>
        <v>-449477.94859793485</v>
      </c>
      <c r="CR6" s="64">
        <f>IF(OR($B6&lt;Analysis!$C$100, $B6&gt;=Analysis!$C$101),0,IF($B6=Analysis!$C$100,Analysis!$C$102,IF(($B6-Analysis!$C$100)&lt;LOOKUP(Analysis!$C$100,$B:$B,CN:CN),CR5,0)))</f>
        <v>3.6999999999999998E-2</v>
      </c>
      <c r="CS6" s="1">
        <f>IF(OR($B6&lt;Analysis!$C$100, $B6&gt;=Analysis!$C$101),0,IF($B6=Analysis!$C$100,-CR6*CM6,CR5*CQ5))</f>
        <v>-17061.740375702593</v>
      </c>
      <c r="CT6" s="1">
        <f>IF(OR($B6&lt;Analysis!$C$100, $B6&gt;=Analysis!$C$101),0,IF($B6=Analysis!$C$100,PMT(CR6,CN6,CM6)*CN6-CU6-CQ6,IF(($B6-Analysis!$C$100+1)&lt;LOOKUP(Analysis!$C$100,$B:$B,CN:CN),IF(CT5-CS6&lt;0, CT5-CS6,0),0)))</f>
        <v>-234623.71737947714</v>
      </c>
      <c r="CU6" s="1">
        <f>IF(OR($B6&lt;Analysis!$C$100, $B6&gt;=Analysis!$C$101),0,IF($B6=Analysis!$C$100,CP6+CS6,IF(CQ5&lt;0,IF(CQ5&gt;LOOKUP(Analysis!$C$100,$B:$B,CU:CU), CQ5*(1+CR5),CU5),0)))</f>
        <v>-28711.910040000002</v>
      </c>
      <c r="CV6" s="1">
        <f>IF($B6=Analysis!$C$100,Analysis!$C$105,0)</f>
        <v>0</v>
      </c>
      <c r="CW6" s="1">
        <f>IF($B6=Analysis!$C$100,PMT(CR6,CX6,CV6)*CX6,0)</f>
        <v>0</v>
      </c>
      <c r="CX6" s="7">
        <f>IF($B6=Analysis!$C$100,Analysis!$C$107,0)</f>
        <v>0</v>
      </c>
      <c r="CY6" s="1">
        <f>IF(OR($B6&lt;Analysis!$C$100, $B6&gt;=Analysis!$C$101),0,IF($B6=Analysis!$C$100,CW6/CX6,IF(($B6-Analysis!$C$100)&lt;LOOKUP(Analysis!$C$100,$B:$B,CX:CX),CY5,0)))</f>
        <v>-6072.8287787074187</v>
      </c>
      <c r="CZ6" s="1">
        <f>IF(OR($B6&lt;Analysis!$C$100, $B6&gt;=Analysis!$C$101),0,IF($B6=Analysis!$C$100,CX6*CY6-CY6,IF(($B6-Analysis!$C$100)&lt;Analysis!$C$107,CZ5-CY6,0)))</f>
        <v>-30364.143893537086</v>
      </c>
      <c r="DA6" s="53"/>
      <c r="DB6" s="1">
        <f>IF(OR($B6&lt;Analysis!$C$100, $B6&gt;=Analysis!$C$101),0,IF($B6=2025,(Analysis!$C$109*12),IF($B6=Analysis!$C$100,(Analysis!$C$109*12)*(1+DC6)^($B6-$B$2),DB5*(1+DC6))))</f>
        <v>15563.946866656297</v>
      </c>
      <c r="DC6" s="64">
        <f>IF(OR($B6&lt;Analysis!$C$100, $B6&gt;=Analysis!$C$101),0,((1+Analysis!$C$114)/(1+$S6))-1)</f>
        <v>2.941176470588247E-2</v>
      </c>
      <c r="DD6" s="1">
        <f t="shared" si="6"/>
        <v>21274.385566204914</v>
      </c>
      <c r="DE6" s="1">
        <f t="shared" si="27"/>
        <v>-1750.438699548617</v>
      </c>
      <c r="DF6" s="64">
        <f>IF(OR($B6&lt;Analysis!$C$100, $B6&gt;=Analysis!$C$101),0,Analysis!$C$118)</f>
        <v>3.0000000000000001E-3</v>
      </c>
      <c r="DG6" s="1">
        <f t="shared" si="28"/>
        <v>-4376.0967488715423</v>
      </c>
      <c r="DH6" s="64">
        <f>IF(OR($B6&lt;Analysis!$C$100, $B6&gt;=Analysis!$C$101),0,Analysis!$C$119)</f>
        <v>7.4999999999999997E-3</v>
      </c>
      <c r="DI6" s="1">
        <f>IF(OR($B6&lt;Analysis!$C$100, $B6&gt;=Analysis!$C$101),0,MIN(Analysis!$C$120*12,SUM(DJ6:DN6)))</f>
        <v>-3960</v>
      </c>
      <c r="DJ6" s="1">
        <f>IF(OR($B6&lt;Analysis!$C$100, $B6&gt;=Analysis!$C$101),0,Analysis!$C$121*12)</f>
        <v>-900</v>
      </c>
      <c r="DK6" s="1">
        <f>IF(OR($B6&lt;Analysis!$C$100, $B6&gt;=Analysis!$C$101),0,Analysis!$C$122*12)</f>
        <v>-1500</v>
      </c>
      <c r="DL6" s="1">
        <f>IF(OR($B6&lt;Analysis!$C$100, $B6&gt;=Analysis!$C$101),0,Analysis!$C$123*12)</f>
        <v>-480</v>
      </c>
      <c r="DM6" s="1">
        <f>IF(OR($B6&lt;Analysis!$C$100, $B6&gt;=Analysis!$C$101),0,Analysis!$C$124*12)</f>
        <v>-480</v>
      </c>
      <c r="DN6" s="1">
        <f>IF(OR($B6&lt;Analysis!$C$100, $B6&gt;=Analysis!$C$101),0,Analysis!$C$125*12)</f>
        <v>-600</v>
      </c>
      <c r="DO6" s="64">
        <f>IF(OR($B6&lt;Analysis!$C$100, $B6&gt;=Analysis!$C$101),0,Analysis!$C$113)</f>
        <v>0.02</v>
      </c>
      <c r="DP6" s="1">
        <f>-DO6*LOOKUP(Analysis!$C$100,$B:$B,CK:CK)</f>
        <v>-10392</v>
      </c>
      <c r="DQ6" s="1">
        <f>-Analysis!$C$117*DB6</f>
        <v>-1167.2960149992223</v>
      </c>
      <c r="DR6" s="1">
        <f t="shared" si="29"/>
        <v>-21645.831463419381</v>
      </c>
      <c r="DS6" s="1">
        <f>MIN(0,-(DB6+DR6)*Analysis!$C$28)-CS6*Analysis!$C$28</f>
        <v>7560.0571604738179</v>
      </c>
      <c r="DT6" s="1">
        <f>-Analysis!$C$116*DD6/12</f>
        <v>-1772.8654638504095</v>
      </c>
      <c r="DU6" s="53"/>
      <c r="DV6" s="1">
        <f t="shared" si="30"/>
        <v>-74393.644730816217</v>
      </c>
      <c r="DW6" s="64">
        <f>IF(OR($B6&lt;Analysis!$C$100, $B6&gt;=Analysis!$C$101),0,IF($B6=Analysis!$C$100,Analysis!$C$31,DW5))</f>
        <v>0.1275</v>
      </c>
      <c r="DX6" s="1">
        <f>IF(OR($B6&lt;Analysis!$C$100, $B6&gt;=Analysis!$C$101),0,CK6+DV6)</f>
        <v>509085.92178538942</v>
      </c>
      <c r="DY6" s="1">
        <f>IF(OR($B6&lt;Analysis!$C$100, $B6&gt;=Analysis!$C$101),0,IF($B6-Analysis!$C$100&gt;3,0,IF(CK6&gt;LOOKUP(Analysis!$C$100,$B:$B, CK:CK),$V6*(LOOKUP(Analysis!$C$100,$B:$B, CK:CK)-CK6),0)))</f>
        <v>0</v>
      </c>
      <c r="DZ6" s="1">
        <f t="shared" si="49"/>
        <v>509085.92178538942</v>
      </c>
      <c r="EA6" s="53"/>
      <c r="EB6" s="1">
        <f t="shared" si="31"/>
        <v>774828.52366470743</v>
      </c>
      <c r="EC6" s="64">
        <f t="shared" si="50"/>
        <v>2.941176470588247E-2</v>
      </c>
      <c r="ED6" s="1">
        <f>MAX(0,IF($B6=Analysis!$C$130,(EB6*(1+Analysis!$C$23+Analysis!$C$24+Analysis!$C$25))-(IF($B6=$B$2,(Analysis!$C$6-Analysis!$C$7+Analysis!$C$132), (FU5-Analysis!$C$7+EM6)) + IF($B6=Analysis!$C$101,DZ5+CQ5+CT5+CZ5,0)),0))</f>
        <v>0</v>
      </c>
      <c r="EE6" s="65">
        <f>IF($B6=Analysis!$C$130,IF(ED6&gt;0,NPER(EI6,-EL6,-ED6),0),0)</f>
        <v>0</v>
      </c>
      <c r="EF6" s="64">
        <f>IF($B6=Analysis!$C$130,Analysis!$C$137,0)</f>
        <v>0</v>
      </c>
      <c r="EG6" s="1">
        <f>IF($B6&lt;Analysis!$C$130,0,IF($B6=Analysis!$C$130,-ED6*EF6,IF(EL6&gt;=0,0,EL6-EJ6)))</f>
        <v>0</v>
      </c>
      <c r="EH6" s="1">
        <f>IF($B6&lt;Analysis!$C$130,0,IF($B6=Analysis!$C$130,-ED6-EG6,MIN(0,EH5-EG6)))</f>
        <v>0</v>
      </c>
      <c r="EI6" s="64">
        <f>IF($B6&lt;Analysis!$C$130,0,IF($B6=Analysis!$C$130,Analysis!$C$136,IF(($B6-Analysis!$C$130)&lt;LOOKUP(Analysis!$C$130,$B:$B,EE:EE),EI5,0)))</f>
        <v>0</v>
      </c>
      <c r="EJ6" s="1">
        <f>IF($B6&lt;Analysis!$C$130,0,IF($B6=Analysis!$C$130,-EI6*ED6,EI5*EH5))</f>
        <v>0</v>
      </c>
      <c r="EK6" s="1">
        <f>IF(OR($B6&lt;Analysis!$C$130, ED6=0),0,IF($B6=Analysis!$C$130,PMT(EI6,EE6,ED6)*EE6-EL6-EH6,IF(($B6-Analysis!$C$130+1)&lt;LOOKUP(Analysis!$C$130,$B:$B,EE:EE),IF(EK5-EJ6&lt;0, EK5-EJ6,0),0)))</f>
        <v>0</v>
      </c>
      <c r="EL6" s="1">
        <f>IF($B6&lt;Analysis!$C$130,0,IF($B6=Analysis!$C$130,EG6+EJ6,IF(EH5&lt;0,IF(EH5&gt;LOOKUP(Analysis!$C$130,$B:$B,EL:EL), EH5*(1+EI5),EL5),0)))</f>
        <v>0</v>
      </c>
      <c r="EM6" s="1">
        <f>IF($B6=Analysis!$C$130,Analysis!$C$132,0)</f>
        <v>0</v>
      </c>
      <c r="EN6" s="1">
        <f>IF($B6=Analysis!$C$130,PMT(EI6,EO6,EM6)*EO6,0)</f>
        <v>0</v>
      </c>
      <c r="EO6" s="7">
        <f>IF($B6=Analysis!$C$130,Analysis!$C$134,0)</f>
        <v>0</v>
      </c>
      <c r="EP6" s="1">
        <f>IF($B6&lt;Analysis!$C$130,0,IF($B6=Analysis!$C$130,EN6/EO6,IF(($B6-Analysis!$C$130)&lt;LOOKUP(Analysis!$C$130,$B:$B,EO:EO),EP5,0)))</f>
        <v>0</v>
      </c>
      <c r="EQ6" s="1">
        <f>IF($B6&lt;Analysis!$C$130,0,IF($B6=Analysis!$C$130,EO6*EP6-EP6,IF(($B6-Analysis!$C$130)&lt;Analysis!$C$134,EQ5-EP6,0)))</f>
        <v>0</v>
      </c>
      <c r="ER6" s="53"/>
      <c r="ES6" s="1">
        <f>IF($B6&lt;Analysis!$C$130,0,-ET6*EB6)</f>
        <v>0</v>
      </c>
      <c r="ET6" s="64">
        <f>IF($B6&lt;Analysis!$C$130,0,Analysis!$C$142)</f>
        <v>0</v>
      </c>
      <c r="EU6" s="1">
        <f>IF($B6&lt;Analysis!$C$130,0,-EV6*EB6)</f>
        <v>0</v>
      </c>
      <c r="EV6" s="64">
        <f>IF($B6&lt;Analysis!$C$130,0,Analysis!$C$143)</f>
        <v>0</v>
      </c>
      <c r="EW6" s="1">
        <f>IF($B6&lt;Analysis!$C$130,0,MIN(Analysis!$C$144*12,SUM(EX6:FB6)))</f>
        <v>0</v>
      </c>
      <c r="EX6" s="1">
        <f>IF($B6&lt;Analysis!$C$130,0,Analysis!$C$145*12)</f>
        <v>0</v>
      </c>
      <c r="EY6" s="1">
        <f>IF($B6&lt;Analysis!$C$130,0,Analysis!$C$146*12)</f>
        <v>0</v>
      </c>
      <c r="EZ6" s="1">
        <f>IF($B6&lt;Analysis!$C$130,0,Analysis!$C$147*12)</f>
        <v>0</v>
      </c>
      <c r="FA6" s="1">
        <f>IF($B6&lt;Analysis!$C$130,0,Analysis!$C$148*12)</f>
        <v>0</v>
      </c>
      <c r="FB6" s="1">
        <f>IF($B6&lt;Analysis!$C$130,0,Analysis!$C$149*12)</f>
        <v>0</v>
      </c>
      <c r="FC6" s="1">
        <v>0</v>
      </c>
      <c r="FD6" s="1">
        <f>-FC6*Analysis!$C$28</f>
        <v>0</v>
      </c>
      <c r="FE6" s="53"/>
      <c r="FF6" s="1">
        <f t="shared" si="32"/>
        <v>0</v>
      </c>
      <c r="FG6" s="64">
        <f>IF($B6&lt;Analysis!$C$130,0,Analysis!$C$31)</f>
        <v>0</v>
      </c>
      <c r="FH6" s="1">
        <f>IF($B6&lt;Analysis!$C$130,0,EB6+FF6)</f>
        <v>0</v>
      </c>
      <c r="FI6" s="1">
        <f>IF($B6-Analysis!$C$130&gt;3,0,IF(EB6&gt;LOOKUP(Analysis!$C$130,$B:$B, EB:EB),$V6*(LOOKUP(Analysis!$C$130,$B:$B, EB:EB)-EB6),0))</f>
        <v>0</v>
      </c>
      <c r="FJ6" s="1">
        <f t="shared" si="33"/>
        <v>0</v>
      </c>
      <c r="FK6" s="53"/>
      <c r="FL6" s="1">
        <f>$P6+$N6+IF($B6&lt;Analysis!$C$130,$X6+$Z6,0)+CP6+CS6+CY6+DE6+DG6+MIN(DI6,SUM(DJ6:DN6))+DQ6+DS6+DT6+EG6+EJ6+EP6+ES6+EU6+MIN(EW6,SUM(EX6:FB6))+FD6</f>
        <v>-117298.74643311059</v>
      </c>
      <c r="FM6" s="1">
        <f>$M6+$R6+DD6+IF(AND($B6&lt;&gt;Analysis!$C$130,$B6=Analysis!$C$101),DZ5+CQ5+CT5+CZ5,0)</f>
        <v>124393.7727604102</v>
      </c>
      <c r="FN6" s="1">
        <f t="shared" si="34"/>
        <v>7095.026327299609</v>
      </c>
      <c r="FO6" s="1">
        <f>IF(FN6 &lt; 0,
    IF(FO5 + FN6 &gt; 0,
        FO5 + FN6, IF(FT5-ABS(FO5 + FN6)*(1+$V6) &gt;= FO5 + FN6,
        0, FO5 + FN6)),
    MIN(FO5 + FN6, Analysis!$C$7))+IF(FO5&lt;0, FO5*Analysis!$C$9,0)</f>
        <v>6541.1003868050066</v>
      </c>
      <c r="FP6" s="53"/>
      <c r="FQ6" s="1">
        <f t="shared" si="51"/>
        <v>0</v>
      </c>
      <c r="FR6" s="1">
        <f>IF(OR($B6=Analysis!$C$100, $B6=Analysis!$C$130),0,IF(FN6 &gt;= 0,
    MAX(0, FO5 + FN6 - Analysis!$C$7),
    0))</f>
        <v>0</v>
      </c>
      <c r="FS6" s="1">
        <f>IF(OR($B6=Analysis!$C$100, $B6=Analysis!$C$130),0,MAX(0, FS5 + FR6 - IF(FN6 &lt; 0, MIN(ABS(FN6), FS5 + FR6), 0)))</f>
        <v>0</v>
      </c>
      <c r="FT6" s="1">
        <f>IF(OR($B6=Analysis!$C$100, $B6=Analysis!$C$130),0,IF(FN6 &lt; 0,
    IF(FN6 + FO5 &lt; 0,
        MAX(0, FT5 - (ABS(FN6 + FO5) * (1+$V5))),
        FT5 + FQ6),
    FT5 + FR6 + FQ6))</f>
        <v>0</v>
      </c>
      <c r="FU6" s="1">
        <f t="shared" si="35"/>
        <v>0</v>
      </c>
      <c r="FV6" s="36"/>
      <c r="FW6" s="1">
        <f t="shared" si="52"/>
        <v>583479.56651620567</v>
      </c>
      <c r="FX6" s="64">
        <f t="shared" si="53"/>
        <v>2.941176470588247E-2</v>
      </c>
      <c r="FY6" s="1">
        <f>IF($B6=Analysis!$C$159,(FW6*(1+Analysis!$C$23+Analysis!$C$24+Analysis!$C$25))-IF($B6=$B$2,(Analysis!$C$6-Analysis!$C$7+Analysis!$C$165), (HW5-Analysis!$C$7+GH6)),0)</f>
        <v>0</v>
      </c>
      <c r="FZ6" s="65">
        <f>IF($B6=Analysis!$C$159,NPER(GD6,-GG6,-FY6),0)</f>
        <v>0</v>
      </c>
      <c r="GA6" s="64">
        <f>IF($B6=Analysis!$C$159,Analysis!$C$161,0)</f>
        <v>0</v>
      </c>
      <c r="GB6" s="1">
        <f>IF($B6&lt;Analysis!$C$159,0,IF($B6=Analysis!$C$159,-FY6*GA6,IF(GG6&gt;=0,0,GG6-GE6)))</f>
        <v>-11650.169664297409</v>
      </c>
      <c r="GC6" s="1">
        <f>IF($B6&lt;Analysis!$C$159,0,IF($B6=Analysis!$C$159,-FY6-GB6,MIN(0,GC5-GB6)))</f>
        <v>-449477.94859793485</v>
      </c>
      <c r="GD6" s="64">
        <f>IF($B6&lt;Analysis!$C$159,0,IF($B6=Analysis!$C$159,Analysis!$C$160,IF(($B6-Analysis!$C$159)&lt;LOOKUP(Analysis!$C$159,$B:$B,FZ:FZ),GD5,0)))</f>
        <v>3.6999999999999998E-2</v>
      </c>
      <c r="GE6" s="1">
        <f>IF($B6&lt;Analysis!$C$159,0,IF($B6=Analysis!$C$159,-GD6*FY6,GD5*GC5))</f>
        <v>-17061.740375702593</v>
      </c>
      <c r="GF6" s="1">
        <f>IF($B6&lt;Analysis!$C$159,0,IF($B6=Analysis!$C$159,PMT(GD6,FZ6,FY6)*FZ6-GG6-GC6,IF(($B6-Analysis!$C$159+1)&lt;LOOKUP(Analysis!$C$159,$B:$B,FZ:FZ),IF(GF5-GE6&lt;0, GF5-GE6,0),0)))</f>
        <v>-234623.71737947714</v>
      </c>
      <c r="GG6" s="1">
        <f>IF($B6&lt;Analysis!$C$159,0,IF($B6=Analysis!$C$159,GB6+GE6,IF(GC5&lt;0,IF(GC5&gt;LOOKUP(Analysis!$C$159,$B:$B,GG:GG), GC5*(1+GD5),GG5),0)))</f>
        <v>-28711.910040000002</v>
      </c>
      <c r="GH6" s="1">
        <f>IF($B6=Analysis!$C$159,Analysis!$C$165,0)</f>
        <v>0</v>
      </c>
      <c r="GI6" s="1">
        <f>IF($B6=Analysis!$C$159,PMT(GD6,GJ6,GH6)*GJ6,0)</f>
        <v>0</v>
      </c>
      <c r="GJ6" s="7">
        <f>IF($B6=Analysis!$C$159,Analysis!$C$167,0)</f>
        <v>0</v>
      </c>
      <c r="GK6" s="1">
        <f>IF($B6&lt;Analysis!$C$159,0,IF($B6=Analysis!$C$159,GI6/GJ6,IF(($B6-Analysis!$C$159)&lt;LOOKUP(Analysis!$C$159,$B:$B,GJ:GJ),GK5,0)))</f>
        <v>-6072.8287787074187</v>
      </c>
      <c r="GL6" s="1">
        <f>IF($B6&lt;Analysis!$C$159,0,IF($B6=Analysis!$C$159,GJ6*GK6-GK6,IF(($B6-Analysis!$C$159)&lt;Analysis!$C$167,GL5-GK6,0)))</f>
        <v>-30364.143893537086</v>
      </c>
      <c r="GM6" s="38"/>
      <c r="GN6" s="1">
        <f>IF($B6&lt;Analysis!$C$159,0,IF($B6=2025,(Analysis!$C$109*12),IF($B6=Analysis!$C$159,(Analysis!$C$109*12)*(1+GO6)^($B6-$B$2),GN5*(1+GO6))))</f>
        <v>15563.946866656297</v>
      </c>
      <c r="GO6" s="64">
        <f>IF($B6&lt;Analysis!$C$159,0,((1+Analysis!$C$174)/(1+$S6))-1)</f>
        <v>2.941176470588247E-2</v>
      </c>
      <c r="GP6" s="1">
        <f t="shared" si="7"/>
        <v>21274.385566204914</v>
      </c>
      <c r="GQ6" s="1">
        <f t="shared" si="36"/>
        <v>-1750.438699548617</v>
      </c>
      <c r="GR6" s="64">
        <f>IF($B6&lt;Analysis!$C$159,0,Analysis!$C$178)</f>
        <v>3.0000000000000001E-3</v>
      </c>
      <c r="GS6" s="1">
        <f t="shared" si="37"/>
        <v>-4376.0967488715423</v>
      </c>
      <c r="GT6" s="64">
        <f>IF($B6&lt;Analysis!$C$159,0,Analysis!$C$179)</f>
        <v>7.4999999999999997E-3</v>
      </c>
      <c r="GU6" s="1">
        <f>IF($B6&lt;Analysis!$C$159,0,MIN(Analysis!$C$180*12,SUM(GV6:GZ6)))</f>
        <v>-3960</v>
      </c>
      <c r="GV6" s="1">
        <f>IF($B6&lt;Analysis!$C$159,0,Analysis!$C$181*12)</f>
        <v>-900</v>
      </c>
      <c r="GW6" s="1">
        <f>IF($B6&lt;Analysis!$C$159,0,Analysis!$C$182*12)</f>
        <v>-1500</v>
      </c>
      <c r="GX6" s="1">
        <f>IF($B6&lt;Analysis!$C$159,0,Analysis!$C$183*12)</f>
        <v>-480</v>
      </c>
      <c r="GY6" s="1">
        <f>IF($B6&lt;Analysis!$C$159,0,Analysis!$C$184*12)</f>
        <v>-480</v>
      </c>
      <c r="GZ6" s="1">
        <f>IF($B6&lt;Analysis!$C$159,0,Analysis!$C$185*12)</f>
        <v>-600</v>
      </c>
      <c r="HA6" s="64">
        <f>IF($B6&lt;Analysis!$C$159,0,Analysis!$C$173)</f>
        <v>0.02</v>
      </c>
      <c r="HB6" s="1">
        <f>-HA6*LOOKUP(Analysis!$C$159,$B:$B,FW:FW)</f>
        <v>-10392</v>
      </c>
      <c r="HC6" s="1">
        <f>-Analysis!$C$177*GN6</f>
        <v>-1167.2960149992223</v>
      </c>
      <c r="HD6" s="1">
        <f t="shared" si="38"/>
        <v>-21645.831463419381</v>
      </c>
      <c r="HE6" s="1">
        <f>MIN(0,-(GN6+HD6)*Analysis!$C$28)-GE6*Analysis!$C$28</f>
        <v>7560.0571604738179</v>
      </c>
      <c r="HF6" s="1">
        <f>-Analysis!$C$176*GP6/12</f>
        <v>-1772.8654638504095</v>
      </c>
      <c r="HG6" s="38"/>
      <c r="HH6" s="1">
        <f>IF($B6&lt;Analysis!$C$159,0,-$HI6*$FW6)</f>
        <v>-74393.644730816217</v>
      </c>
      <c r="HI6" s="64">
        <f>IF($B6&lt;Analysis!$C$159,0,IF($B6=Analysis!$C$159,Analysis!$C$31,HI5))</f>
        <v>0.1275</v>
      </c>
      <c r="HJ6" s="1">
        <f>IF($B6&lt;Analysis!$C$159,0,$FW6+HH6)</f>
        <v>509085.92178538942</v>
      </c>
      <c r="HK6" s="1">
        <f>IF($B6-Analysis!$C$159&gt;10,0,IF($FW6&gt;LOOKUP(Analysis!$C$159,$B:$B, FW:FW),$V6*(LOOKUP(Analysis!$C$159,$B:$B, FW:FW)-FW6),0))</f>
        <v>-16848.235668649246</v>
      </c>
      <c r="HL6" s="1">
        <f t="shared" si="39"/>
        <v>492237.68611674017</v>
      </c>
      <c r="HM6" s="38"/>
      <c r="HN6" s="1">
        <f t="shared" si="40"/>
        <v>-117298.74643311059</v>
      </c>
      <c r="HO6" s="1">
        <f t="shared" si="8"/>
        <v>124393.7727604102</v>
      </c>
      <c r="HP6" s="1">
        <f t="shared" si="41"/>
        <v>7095.026327299609</v>
      </c>
      <c r="HQ6" s="1">
        <f>IF(HP6 &lt; 0,
    IF(HQ5 + HP6 &gt; 0,
        HQ5 + HP6, IF(HV5-ABS(HQ5 + HP6)*(1+$V6) &gt;= HQ5 + HP6,
        0, HQ5 + HP6)),
    MIN(HQ5 + HP6, Analysis!$C$7))+IF(HQ5&lt;0, HQ5*Analysis!$C$9,0)</f>
        <v>6541.1003868050066</v>
      </c>
      <c r="HR6" s="38"/>
      <c r="HS6" s="1">
        <f t="shared" si="54"/>
        <v>0</v>
      </c>
      <c r="HT6" s="1">
        <f>IF($B6=Analysis!$C$159,0,IF(HP6 &gt;= 0,
    MAX(0, HQ5 + HP6 - Analysis!$C$7),
    0))</f>
        <v>0</v>
      </c>
      <c r="HU6" s="1">
        <f>IF($B6=Analysis!$C$159,0,MAX(0, HU5 + HT6 - IF(HP6 &lt; 0, MIN(ABS(HP6), HU5 + HT6), 0)))</f>
        <v>0</v>
      </c>
      <c r="HV6" s="1">
        <f>IF($B6=Analysis!$C$159,0,IF(HP6 &lt; 0,
    IF(HP6 + HQ5 &lt; 0,
        MAX(0, HV5 - (ABS(HP6 + HQ5) * (1+$V5))),
        HV5 + HS6),
    HV5 + HT6 + HS6))</f>
        <v>0</v>
      </c>
      <c r="HW6" s="1">
        <f t="shared" si="42"/>
        <v>0</v>
      </c>
      <c r="HX6" s="36"/>
    </row>
    <row r="7" spans="1:232" x14ac:dyDescent="0.35">
      <c r="A7">
        <f t="shared" si="0"/>
        <v>40</v>
      </c>
      <c r="B7">
        <v>2030</v>
      </c>
      <c r="C7" s="1">
        <f>IF($B7&lt;Analysis!C$66,0,$AN7)+$AT7+$AW7+$BC7+$CF7+$CA7</f>
        <v>-407544.92650532571</v>
      </c>
      <c r="D7" s="1">
        <f>IF($B7&lt;Analysis!C$66, 0, BV7)+AT7+AW7+BC7+CG7+CA7</f>
        <v>-538718.34233225859</v>
      </c>
      <c r="E7" s="1">
        <f t="shared" si="1"/>
        <v>185006.38017291311</v>
      </c>
      <c r="F7" s="1">
        <f t="shared" si="9"/>
        <v>177301.34965740159</v>
      </c>
      <c r="G7" s="1">
        <f>IF(AND($B7&gt;=Analysis!$C$100, $B7&lt;Analysis!$C$101),$CK7,0)+IF($B7&gt;=Analysis!$C$130,EB7,0)+CQ7+CT7+CZ7+EH7+EK7+EQ7+$FO7+$FT7</f>
        <v>-63338.652094721532</v>
      </c>
      <c r="H7" s="1">
        <f t="shared" si="10"/>
        <v>-139920.34519997353</v>
      </c>
      <c r="I7" s="1">
        <f>IF($B7&lt;Analysis!$C$159,0,$FW7)+$GC7+$GF7+$GL7+$HQ7+$HV7</f>
        <v>-63338.652094721532</v>
      </c>
      <c r="J7" s="1">
        <f t="shared" si="2"/>
        <v>-161294.83780005362</v>
      </c>
      <c r="K7" s="36"/>
      <c r="L7" s="1">
        <f t="shared" si="11"/>
        <v>105646.82315484756</v>
      </c>
      <c r="M7" s="1">
        <f>IF($B7=Analysis!$C$47, M6 * (1 - Analysis!$C$48),
    IF($B7=Analysis!$C$52, M6 * (1 - Analysis!$C$53),
    IF($B7=Analysis!$C$58, M6 * (1 - Analysis!$C$60),
    L7)))</f>
        <v>105646.82315484756</v>
      </c>
      <c r="N7" s="1">
        <f>Analysis!$C$3*12*(1+O7)+P7</f>
        <v>-51650</v>
      </c>
      <c r="O7" s="64">
        <f>IF(OR($B7=Analysis!$C$47,$B7=Analysis!$C$52,$B7=Analysis!$C$58),-Analysis!$C$49,0)</f>
        <v>0</v>
      </c>
      <c r="P7" s="1">
        <f>IF($B7&lt;Analysis!$C$47,0,IF($B7-Analysis!$C$47&lt;=3,Analysis!$C$40+Analysis!$C$44,IF($B7-Analysis!$C$47&lt;=10,Analysis!$C$41+Analysis!$C$44,IF($B7-Analysis!$C$47&lt;=18,Analysis!$C$42+Analysis!$C$44,IF($B7-Analysis!$C$47&lt;=25,Analysis!$C$43+Analysis!$C$44,0)))) + IF(AND($B7&gt;=Analysis!$C$52, $B7-Analysis!$C$52&lt;=3),Analysis!$C$40+Analysis!$C$44,IF(AND($B7&gt;=Analysis!$C$52, $B7-Analysis!$C$52&lt;=10),Analysis!$C$41+Analysis!$C$44,IF(AND($B7&gt;=Analysis!$C$52, $B7-Analysis!$C$52&lt;=18),Analysis!$C$42+Analysis!$C$44,IF(AND($B7&gt;=Analysis!$C$52, $B7-Analysis!$C$52&lt;=25),Analysis!$C$43+Analysis!$C$44,0)))) + Analysis!$C$57*IF(AND($B7&gt;=Analysis!$C$58, $B7-Analysis!$C$58&lt;=3),Analysis!$C$40+Analysis!$C$44,IF(AND($B7&gt;=Analysis!$C$58, $B7-Analysis!$C$58&lt;=10),Analysis!$C$41+Analysis!$C$44,IF(AND($B7&gt;=Analysis!$C$58, $B7-Analysis!$C$58&lt;=18),Analysis!$C$42+Analysis!$C$44,IF(AND($B7&gt;=Analysis!$C$58, $B7-Analysis!$C$58&lt;=25),Analysis!$C$43+Analysis!$C$44,0)))))</f>
        <v>-3650</v>
      </c>
      <c r="Q7" s="1">
        <f t="shared" si="43"/>
        <v>0</v>
      </c>
      <c r="R7" s="1">
        <f>IF(AND(AND(B7=Analysis!C$35,Analysis!C$34&lt;&gt;0),AND(B7=Analysis!C$37,Analysis!C$36&lt;&gt;0)),Analysis!C$34+Analysis!C$36,IF(AND(B7=Analysis!C$35,Analysis!C$34&lt;&gt;0),Analysis!C$34,IF(AND(B7=Analysis!C$37,Analysis!C$36&lt;&gt;0),Analysis!C$36,0)))</f>
        <v>0</v>
      </c>
      <c r="S7" s="64">
        <f t="shared" si="12"/>
        <v>0.02</v>
      </c>
      <c r="T7" s="64">
        <f>IF($B7&lt;Analysis!$C$13, ((1+IF($B7-$B$2&lt;10,Analysis!$C$11,IF($B7-$B$2&lt;20,(Analysis!$C$11+Analysis!$C$12)/2,Analysis!$C$12)))/(1+$S7)-1),IF($B7=Analysis!$C$13,-Analysis!$C$14,-$S7))</f>
        <v>2.450980392156854E-2</v>
      </c>
      <c r="U7" s="64">
        <f>IF($B7=$B$2,((1+Analysis!$C$16)/(1+$S7))-1,IF(B7&lt;Analysis!$C$13,U6-((Analysis!$C$16-Analysis!$C$17)/(Analysis!$C$13-$B$2)),((1+Analysis!$C$17)/(1+$S6))-1))</f>
        <v>6.9859943977591224E-2</v>
      </c>
      <c r="V7" s="64">
        <f t="shared" si="13"/>
        <v>0.26374999999999998</v>
      </c>
      <c r="W7" s="36"/>
      <c r="X7" s="1">
        <f t="shared" si="14"/>
        <v>-18310.525725477997</v>
      </c>
      <c r="Y7" s="64">
        <f t="shared" si="15"/>
        <v>2.941176470588247E-2</v>
      </c>
      <c r="Z7" s="1">
        <f t="shared" si="16"/>
        <v>-3960</v>
      </c>
      <c r="AA7" s="64">
        <f t="shared" si="17"/>
        <v>0</v>
      </c>
      <c r="AB7" s="40"/>
      <c r="AC7" s="1">
        <f t="shared" si="3"/>
        <v>-77570.525725478001</v>
      </c>
      <c r="AD7" s="1">
        <f t="shared" si="4"/>
        <v>105646.82315484756</v>
      </c>
      <c r="AE7" s="1">
        <f t="shared" si="18"/>
        <v>28076.297429369559</v>
      </c>
      <c r="AF7" s="1">
        <f>IF(AE7 &lt; 0,
    IF(AF6 + AE7 &gt; 0,
        AF6 + AE7, IF(AK6-ABS(AF6 + AE7)*(1+$V7) &gt;= AF6 + AE7,
        0, AF6 + AE7)),
    MIN(AF6 + AE7, Analysis!$C$7))+IF(AF6&lt;0, AF6*Analysis!$C$9,0)</f>
        <v>24000</v>
      </c>
      <c r="AG7" s="40"/>
      <c r="AH7" s="1">
        <f t="shared" si="19"/>
        <v>8680.0970404356303</v>
      </c>
      <c r="AI7" s="1">
        <f>IF(AE7 &gt;= 0,
    MAX(0, AF6 + AE7 - Analysis!$C$7),
    0)</f>
        <v>28076.297429369559</v>
      </c>
      <c r="AJ7" s="1">
        <f t="shared" si="44"/>
        <v>131792.99433211115</v>
      </c>
      <c r="AK7" s="1">
        <f t="shared" si="20"/>
        <v>161006.38017291311</v>
      </c>
      <c r="AL7" s="1">
        <f t="shared" si="5"/>
        <v>153301.34965740159</v>
      </c>
      <c r="AM7" s="36"/>
      <c r="AN7" s="1">
        <f t="shared" si="45"/>
        <v>1028811.1045249633</v>
      </c>
      <c r="AO7" s="64">
        <f t="shared" si="21"/>
        <v>2.941176470588247E-2</v>
      </c>
      <c r="AP7" s="1">
        <f>IF($B7=Analysis!$C$66,(AN7*(1+Analysis!$C$23+Analysis!$C$24+Analysis!$C$25))-IF($B7=$B$2,(Analysis!$C$6-Analysis!$C$7+Analysis!$C$68), ($CG6-Analysis!$C$7+AY7)),0)</f>
        <v>0</v>
      </c>
      <c r="AQ7" s="65">
        <f>IF($B7=Analysis!$C$66,NPER(AU7,-AX7,-AP7),0)</f>
        <v>0</v>
      </c>
      <c r="AR7" s="64">
        <f>IF($B7=Analysis!$C$66,Analysis!$C$73,0)</f>
        <v>0</v>
      </c>
      <c r="AS7" s="1">
        <f>IF($B7&lt;Analysis!$C$66,0,IF($B7=Analysis!$C$66,-AP7*AR7,IF(AX7&gt;=0,0,AX7-AV7)))</f>
        <v>-21992.789921308002</v>
      </c>
      <c r="AT7" s="1">
        <f>IF($B7&lt;Analysis!$C$66,0,IF($B7=Analysis!$C$66,-AP7-AS7,MIN(0,AT6-AS7)))</f>
        <v>-796241.56355685438</v>
      </c>
      <c r="AU7" s="64">
        <f>IF($B7&lt;Analysis!$C$66,0,IF($B7=Analysis!$C$66,Analysis!$C$72,IF(($B7-Analysis!$C$66)&lt;LOOKUP(Analysis!$C$66,$B:$B,AQ:AQ),AU6,0)))</f>
        <v>3.6999999999999998E-2</v>
      </c>
      <c r="AV7" s="1">
        <f>IF($B7&lt;Analysis!$C$66,0,IF($B7=Analysis!$C$66,-AU7*AP7,AU6*AT6))</f>
        <v>-30274.671078692008</v>
      </c>
      <c r="AW7" s="1">
        <f>IF($B7&lt;Analysis!$C$66,0,IF($B7=Analysis!$C$66,PMT(AU7,AQ7,AP7)*AQ7-AX7-AT7,IF(($B7-Analysis!$C$66+1)&lt;LOOKUP(Analysis!$C$66,$B:$B,AQ:AQ),IF(AW6-AV7&lt;0, AW6-AV7,0),0)))</f>
        <v>-396836.79523345432</v>
      </c>
      <c r="AX7" s="1">
        <f>IF($B7&lt;Analysis!$C$66,0,IF($B7=Analysis!$C$66,AS7+AV7,IF(AT6&lt;0,IF(AT6&gt;LOOKUP(Analysis!$C$66,$B:$B,AX:AX), AT6*(1+AU6),AX6),0)))</f>
        <v>-52267.46100000001</v>
      </c>
      <c r="AY7" s="1">
        <f>IF($B7=Analysis!$C$66,Analysis!$C$68,0)</f>
        <v>0</v>
      </c>
      <c r="AZ7" s="1">
        <f>IF($B7=Analysis!$C$66,PMT(AU7,BA7,AY7)*BA7,0)</f>
        <v>0</v>
      </c>
      <c r="BA7" s="7">
        <f>IF($B7=Analysis!$C$66,Analysis!$C$70,0)</f>
        <v>0</v>
      </c>
      <c r="BB7" s="1">
        <f>IF($B7&lt;Analysis!$C$66,0,IF($B7=Analysis!$C$66,AZ7/BA7,IF(($B7-Analysis!$C$66)&lt;LOOKUP(Analysis!$C$66,$B:$B,BA:BA),BB6,0)))</f>
        <v>-6072.8287787074187</v>
      </c>
      <c r="BC7" s="1">
        <f>IF($B7&lt;Analysis!$C$66,0,IF($B7=Analysis!$C$66,BA7*BB7-BB7,IF(($B7-Analysis!$C$66)&lt;Analysis!$C$70,BC6-BB7,0)))</f>
        <v>-24291.315114829667</v>
      </c>
      <c r="BD7" s="42"/>
      <c r="BE7" s="1">
        <f>IF($B7&lt;Analysis!$C$66,0,-BF7*AN7)</f>
        <v>-3086.4333135748898</v>
      </c>
      <c r="BF7" s="64">
        <f>IF($B7&lt;Analysis!$C$66,0,Analysis!$C$78)</f>
        <v>3.0000000000000001E-3</v>
      </c>
      <c r="BG7" s="1">
        <f>IF($B7&lt;Analysis!$C$66,0,-BH7*AN7)</f>
        <v>-7716.0832839372242</v>
      </c>
      <c r="BH7" s="64">
        <f>IF($B7&lt;Analysis!$C$66,0,Analysis!$C$79)</f>
        <v>7.4999999999999997E-3</v>
      </c>
      <c r="BI7" s="1">
        <f>IF($B7&lt;Analysis!$C$66,0,MIN(Analysis!$C$80*12,SUM(BJ7:BN7)))</f>
        <v>-3960</v>
      </c>
      <c r="BJ7" s="1">
        <f>IF($B7&lt;Analysis!$C$66,0,Analysis!$C$81*12)</f>
        <v>-900</v>
      </c>
      <c r="BK7" s="1">
        <f>IF($B7&lt;Analysis!$C$66,0,Analysis!$C$82*12)</f>
        <v>-1500</v>
      </c>
      <c r="BL7" s="1">
        <f>IF($B7&lt;Analysis!$C$66,0,Analysis!$C$83*12)</f>
        <v>-480</v>
      </c>
      <c r="BM7" s="1">
        <f>IF($B7&lt;Analysis!$C$66,0,Analysis!$C$84*12)</f>
        <v>-480</v>
      </c>
      <c r="BN7" s="1">
        <f>IF($B7&lt;Analysis!$C$66,0,Analysis!$C$85*12)</f>
        <v>-600</v>
      </c>
      <c r="BO7" s="1">
        <v>0</v>
      </c>
      <c r="BP7" s="1">
        <f>-BO7*Analysis!$C$28</f>
        <v>0</v>
      </c>
      <c r="BQ7" s="42"/>
      <c r="BR7" s="1">
        <f t="shared" si="22"/>
        <v>-131173.41582693282</v>
      </c>
      <c r="BS7" s="64">
        <f>IF($B7&lt;Analysis!C$66,0,Analysis!C$31)</f>
        <v>0.1275</v>
      </c>
      <c r="BT7" s="1">
        <f>IF($B7&lt;Analysis!$C$66,0,AN7+BR7)</f>
        <v>897637.68869803054</v>
      </c>
      <c r="BU7" s="1">
        <f>IF($B7-Analysis!$C$66&gt;3,0,IF($AN7&gt;LOOKUP(Analysis!$C$66,$B:$B, AN:AN),$V7*(LOOKUP(Analysis!$C$66,$B:$B, AN:AN)-AN7),0))</f>
        <v>0</v>
      </c>
      <c r="BV7" s="1">
        <f t="shared" si="23"/>
        <v>897637.68869803054</v>
      </c>
      <c r="BW7" s="42"/>
      <c r="BX7" s="1">
        <f>IF($B7&lt;Analysis!$C$66,$P7+$N7+$X7+$Z7,$P7+$N7+AS7+AV7+BB7+BE7+BG7+MAX(BI7,SUM(BJ7:BN7))+BP7)</f>
        <v>-128402.80637621955</v>
      </c>
      <c r="BY7" s="1">
        <f t="shared" si="24"/>
        <v>105646.82315484756</v>
      </c>
      <c r="BZ7" s="1">
        <f t="shared" si="46"/>
        <v>-22755.983221371993</v>
      </c>
      <c r="CA7" s="1">
        <f>IF(BZ7 &lt; 0,
    IF(CA6 + BZ7 &gt; 0,
        CA6 + BZ7, IF(CF6-ABS(CA6 + BZ7)*(1+$V7) &gt;= CA6 + BZ7,
        0, CA6 + BZ7)),
    MIN(CA6 + BZ7, Analysis!$C$7))+IF(CA6&lt;0, CA6*Analysis!$C$9,0)</f>
        <v>-218986.35712515068</v>
      </c>
      <c r="CB7" s="42"/>
      <c r="CC7" s="1">
        <f t="shared" si="47"/>
        <v>0</v>
      </c>
      <c r="CD7" s="1">
        <f>IF(BZ7 &gt;= 0,
    MAX(0, CA6 + BZ7 - Analysis!$C$7),
    0)</f>
        <v>0</v>
      </c>
      <c r="CE7" s="1">
        <f>IF($B7=Analysis!$C$66,0,MAX(0, CE6 + CD7 - IF(BZ7 &lt; 0, MIN(ABS(BZ7), CE6 + CD7), 0)))</f>
        <v>0</v>
      </c>
      <c r="CF7" s="1">
        <f>IF($B7=Analysis!$C$66,0,IF(BZ7 &lt; 0,
    IF(BZ7 + CA6 &lt; 0,
        MAX(0, CF6 - (ABS(BZ7 + CA6) * (1+$V6))),
        CF6 + CC7),
    CF6 + CD7 + CC7))</f>
        <v>0</v>
      </c>
      <c r="CG7" s="1">
        <f t="shared" si="25"/>
        <v>0</v>
      </c>
      <c r="CH7" s="36"/>
      <c r="CI7" s="1">
        <f>IF(OR($B7&lt;Analysis!$C$100, $B7&gt;=Analysis!$C$130),0,X7)</f>
        <v>-18310.525725477997</v>
      </c>
      <c r="CJ7" s="1">
        <f>IF(OR($B7&lt;Analysis!$C$100, $B7&gt;=Analysis!$C$130),0,Z7)</f>
        <v>-3960</v>
      </c>
      <c r="CK7" s="1">
        <f t="shared" si="26"/>
        <v>600640.73023727059</v>
      </c>
      <c r="CL7" s="64">
        <f t="shared" si="48"/>
        <v>2.941176470588247E-2</v>
      </c>
      <c r="CM7" s="1">
        <f>IF($B7=Analysis!$C$100,(CK7*(1+Analysis!$C$23+Analysis!$C$24+Analysis!$C$25))-IF($B7=$B$2,(Analysis!$C$6-Analysis!$C$7+Analysis!$C$105), (FU6-Analysis!$C$7+CV7)),0)</f>
        <v>0</v>
      </c>
      <c r="CN7" s="65">
        <f>IF($B7=Analysis!$C$100,NPER(CR7,-CU7,-CM7),0)</f>
        <v>0</v>
      </c>
      <c r="CO7" s="64">
        <f>IF($B7=Analysis!$C$100,Analysis!$C$103,0)</f>
        <v>0</v>
      </c>
      <c r="CP7" s="1">
        <f>IF(OR($B7&lt;Analysis!$C$100, $B7&gt;=Analysis!$C$101),0,IF($B7=Analysis!$C$100,-CM7*CO7,IF(CU7&gt;=0,0,CU7-CS7)))</f>
        <v>-12081.225941876415</v>
      </c>
      <c r="CQ7" s="1">
        <f>IF(OR($B7&lt;Analysis!$C$100, $B7&gt;=Analysis!$C$101),0,IF($B7=Analysis!$C$100,-CM7-CP7,MIN(0,CQ6-CP7)))</f>
        <v>-437396.72265605844</v>
      </c>
      <c r="CR7" s="64">
        <f>IF(OR($B7&lt;Analysis!$C$100, $B7&gt;=Analysis!$C$101),0,IF($B7=Analysis!$C$100,Analysis!$C$102,IF(($B7-Analysis!$C$100)&lt;LOOKUP(Analysis!$C$100,$B:$B,CN:CN),CR6,0)))</f>
        <v>3.6999999999999998E-2</v>
      </c>
      <c r="CS7" s="1">
        <f>IF(OR($B7&lt;Analysis!$C$100, $B7&gt;=Analysis!$C$101),0,IF($B7=Analysis!$C$100,-CR7*CM7,CR6*CQ6))</f>
        <v>-16630.684098123587</v>
      </c>
      <c r="CT7" s="1">
        <f>IF(OR($B7&lt;Analysis!$C$100, $B7&gt;=Analysis!$C$101),0,IF($B7=Analysis!$C$100,PMT(CR7,CN7,CM7)*CN7-CU7-CQ7,IF(($B7-Analysis!$C$100+1)&lt;LOOKUP(Analysis!$C$100,$B:$B,CN:CN),IF(CT6-CS7&lt;0, CT6-CS7,0),0)))</f>
        <v>-217993.03328135354</v>
      </c>
      <c r="CU7" s="1">
        <f>IF(OR($B7&lt;Analysis!$C$100, $B7&gt;=Analysis!$C$101),0,IF($B7=Analysis!$C$100,CP7+CS7,IF(CQ6&lt;0,IF(CQ6&gt;LOOKUP(Analysis!$C$100,$B:$B,CU:CU), CQ6*(1+CR6),CU6),0)))</f>
        <v>-28711.910040000002</v>
      </c>
      <c r="CV7" s="1">
        <f>IF($B7=Analysis!$C$100,Analysis!$C$105,0)</f>
        <v>0</v>
      </c>
      <c r="CW7" s="1">
        <f>IF($B7=Analysis!$C$100,PMT(CR7,CX7,CV7)*CX7,0)</f>
        <v>0</v>
      </c>
      <c r="CX7" s="7">
        <f>IF($B7=Analysis!$C$100,Analysis!$C$107,0)</f>
        <v>0</v>
      </c>
      <c r="CY7" s="1">
        <f>IF(OR($B7&lt;Analysis!$C$100, $B7&gt;=Analysis!$C$101),0,IF($B7=Analysis!$C$100,CW7/CX7,IF(($B7-Analysis!$C$100)&lt;LOOKUP(Analysis!$C$100,$B:$B,CX:CX),CY6,0)))</f>
        <v>-6072.8287787074187</v>
      </c>
      <c r="CZ7" s="1">
        <f>IF(OR($B7&lt;Analysis!$C$100, $B7&gt;=Analysis!$C$101),0,IF($B7=Analysis!$C$100,CX7*CY7-CY7,IF(($B7-Analysis!$C$100)&lt;Analysis!$C$107,CZ6-CY7,0)))</f>
        <v>-24291.315114829667</v>
      </c>
      <c r="DA7" s="53"/>
      <c r="DB7" s="1">
        <f>IF(OR($B7&lt;Analysis!$C$100, $B7&gt;=Analysis!$C$101),0,IF($B7=2025,(Analysis!$C$109*12),IF($B7=Analysis!$C$100,(Analysis!$C$109*12)*(1+DC7)^($B7-$B$2),DB6*(1+DC7))))</f>
        <v>16021.710009793249</v>
      </c>
      <c r="DC7" s="64">
        <f>IF(OR($B7&lt;Analysis!$C$100, $B7&gt;=Analysis!$C$101),0,((1+Analysis!$C$114)/(1+$S7))-1)</f>
        <v>2.941176470588247E-2</v>
      </c>
      <c r="DD7" s="1">
        <f t="shared" si="6"/>
        <v>21783.632200505061</v>
      </c>
      <c r="DE7" s="1">
        <f t="shared" si="27"/>
        <v>-1801.9221907118117</v>
      </c>
      <c r="DF7" s="64">
        <f>IF(OR($B7&lt;Analysis!$C$100, $B7&gt;=Analysis!$C$101),0,Analysis!$C$118)</f>
        <v>3.0000000000000001E-3</v>
      </c>
      <c r="DG7" s="1">
        <f t="shared" si="28"/>
        <v>-4504.8054767795293</v>
      </c>
      <c r="DH7" s="64">
        <f>IF(OR($B7&lt;Analysis!$C$100, $B7&gt;=Analysis!$C$101),0,Analysis!$C$119)</f>
        <v>7.4999999999999997E-3</v>
      </c>
      <c r="DI7" s="1">
        <f>IF(OR($B7&lt;Analysis!$C$100, $B7&gt;=Analysis!$C$101),0,MIN(Analysis!$C$120*12,SUM(DJ7:DN7)))</f>
        <v>-3960</v>
      </c>
      <c r="DJ7" s="1">
        <f>IF(OR($B7&lt;Analysis!$C$100, $B7&gt;=Analysis!$C$101),0,Analysis!$C$121*12)</f>
        <v>-900</v>
      </c>
      <c r="DK7" s="1">
        <f>IF(OR($B7&lt;Analysis!$C$100, $B7&gt;=Analysis!$C$101),0,Analysis!$C$122*12)</f>
        <v>-1500</v>
      </c>
      <c r="DL7" s="1">
        <f>IF(OR($B7&lt;Analysis!$C$100, $B7&gt;=Analysis!$C$101),0,Analysis!$C$123*12)</f>
        <v>-480</v>
      </c>
      <c r="DM7" s="1">
        <f>IF(OR($B7&lt;Analysis!$C$100, $B7&gt;=Analysis!$C$101),0,Analysis!$C$124*12)</f>
        <v>-480</v>
      </c>
      <c r="DN7" s="1">
        <f>IF(OR($B7&lt;Analysis!$C$100, $B7&gt;=Analysis!$C$101),0,Analysis!$C$125*12)</f>
        <v>-600</v>
      </c>
      <c r="DO7" s="64">
        <f>IF(OR($B7&lt;Analysis!$C$100, $B7&gt;=Analysis!$C$101),0,Analysis!$C$113)</f>
        <v>0.02</v>
      </c>
      <c r="DP7" s="1">
        <f>-DO7*LOOKUP(Analysis!$C$100,$B:$B,CK:CK)</f>
        <v>-10392</v>
      </c>
      <c r="DQ7" s="1">
        <f>-Analysis!$C$117*DB7</f>
        <v>-1201.6282507344936</v>
      </c>
      <c r="DR7" s="1">
        <f t="shared" si="29"/>
        <v>-21860.355918225836</v>
      </c>
      <c r="DS7" s="1">
        <f>MIN(0,-(DB7+DR7)*Analysis!$C$28)-CS7*Analysis!$C$28</f>
        <v>7369.0561238785604</v>
      </c>
      <c r="DT7" s="1">
        <f>-Analysis!$C$116*DD7/12</f>
        <v>-1815.3026833754218</v>
      </c>
      <c r="DU7" s="53"/>
      <c r="DV7" s="1">
        <f t="shared" si="30"/>
        <v>-76581.693105252009</v>
      </c>
      <c r="DW7" s="64">
        <f>IF(OR($B7&lt;Analysis!$C$100, $B7&gt;=Analysis!$C$101),0,IF($B7=Analysis!$C$100,Analysis!$C$31,DW6))</f>
        <v>0.1275</v>
      </c>
      <c r="DX7" s="1">
        <f>IF(OR($B7&lt;Analysis!$C$100, $B7&gt;=Analysis!$C$101),0,CK7+DV7)</f>
        <v>524059.0371320186</v>
      </c>
      <c r="DY7" s="1">
        <f>IF(OR($B7&lt;Analysis!$C$100, $B7&gt;=Analysis!$C$101),0,IF($B7-Analysis!$C$100&gt;3,0,IF(CK7&gt;LOOKUP(Analysis!$C$100,$B:$B, CK:CK),$V7*(LOOKUP(Analysis!$C$100,$B:$B, CK:CK)-CK7),0)))</f>
        <v>0</v>
      </c>
      <c r="DZ7" s="1">
        <f t="shared" si="49"/>
        <v>524059.0371320186</v>
      </c>
      <c r="EA7" s="53"/>
      <c r="EB7" s="1">
        <f t="shared" si="31"/>
        <v>797617.59789014014</v>
      </c>
      <c r="EC7" s="64">
        <f t="shared" si="50"/>
        <v>2.941176470588247E-2</v>
      </c>
      <c r="ED7" s="1">
        <f>MAX(0,IF($B7=Analysis!$C$130,(EB7*(1+Analysis!$C$23+Analysis!$C$24+Analysis!$C$25))-(IF($B7=$B$2,(Analysis!$C$6-Analysis!$C$7+Analysis!$C$132), (FU6-Analysis!$C$7+EM7)) + IF($B7=Analysis!$C$101,DZ6+CQ6+CT6+CZ6,0)),0))</f>
        <v>0</v>
      </c>
      <c r="EE7" s="65">
        <f>IF($B7=Analysis!$C$130,IF(ED7&gt;0,NPER(EI7,-EL7,-ED7),0),0)</f>
        <v>0</v>
      </c>
      <c r="EF7" s="64">
        <f>IF($B7=Analysis!$C$130,Analysis!$C$137,0)</f>
        <v>0</v>
      </c>
      <c r="EG7" s="1">
        <f>IF($B7&lt;Analysis!$C$130,0,IF($B7=Analysis!$C$130,-ED7*EF7,IF(EL7&gt;=0,0,EL7-EJ7)))</f>
        <v>0</v>
      </c>
      <c r="EH7" s="1">
        <f>IF($B7&lt;Analysis!$C$130,0,IF($B7=Analysis!$C$130,-ED7-EG7,MIN(0,EH6-EG7)))</f>
        <v>0</v>
      </c>
      <c r="EI7" s="64">
        <f>IF($B7&lt;Analysis!$C$130,0,IF($B7=Analysis!$C$130,Analysis!$C$136,IF(($B7-Analysis!$C$130)&lt;LOOKUP(Analysis!$C$130,$B:$B,EE:EE),EI6,0)))</f>
        <v>0</v>
      </c>
      <c r="EJ7" s="1">
        <f>IF($B7&lt;Analysis!$C$130,0,IF($B7=Analysis!$C$130,-EI7*ED7,EI6*EH6))</f>
        <v>0</v>
      </c>
      <c r="EK7" s="1">
        <f>IF(OR($B7&lt;Analysis!$C$130, ED7=0),0,IF($B7=Analysis!$C$130,PMT(EI7,EE7,ED7)*EE7-EL7-EH7,IF(($B7-Analysis!$C$130+1)&lt;LOOKUP(Analysis!$C$130,$B:$B,EE:EE),IF(EK6-EJ7&lt;0, EK6-EJ7,0),0)))</f>
        <v>0</v>
      </c>
      <c r="EL7" s="1">
        <f>IF($B7&lt;Analysis!$C$130,0,IF($B7=Analysis!$C$130,EG7+EJ7,IF(EH6&lt;0,IF(EH6&gt;LOOKUP(Analysis!$C$130,$B:$B,EL:EL), EH6*(1+EI6),EL6),0)))</f>
        <v>0</v>
      </c>
      <c r="EM7" s="1">
        <f>IF($B7=Analysis!$C$130,Analysis!$C$132,0)</f>
        <v>0</v>
      </c>
      <c r="EN7" s="1">
        <f>IF($B7=Analysis!$C$130,PMT(EI7,EO7,EM7)*EO7,0)</f>
        <v>0</v>
      </c>
      <c r="EO7" s="7">
        <f>IF($B7=Analysis!$C$130,Analysis!$C$134,0)</f>
        <v>0</v>
      </c>
      <c r="EP7" s="1">
        <f>IF($B7&lt;Analysis!$C$130,0,IF($B7=Analysis!$C$130,EN7/EO7,IF(($B7-Analysis!$C$130)&lt;LOOKUP(Analysis!$C$130,$B:$B,EO:EO),EP6,0)))</f>
        <v>0</v>
      </c>
      <c r="EQ7" s="1">
        <f>IF($B7&lt;Analysis!$C$130,0,IF($B7=Analysis!$C$130,EO7*EP7-EP7,IF(($B7-Analysis!$C$130)&lt;Analysis!$C$134,EQ6-EP7,0)))</f>
        <v>0</v>
      </c>
      <c r="ER7" s="53"/>
      <c r="ES7" s="1">
        <f>IF($B7&lt;Analysis!$C$130,0,-ET7*EB7)</f>
        <v>0</v>
      </c>
      <c r="ET7" s="64">
        <f>IF($B7&lt;Analysis!$C$130,0,Analysis!$C$142)</f>
        <v>0</v>
      </c>
      <c r="EU7" s="1">
        <f>IF($B7&lt;Analysis!$C$130,0,-EV7*EB7)</f>
        <v>0</v>
      </c>
      <c r="EV7" s="64">
        <f>IF($B7&lt;Analysis!$C$130,0,Analysis!$C$143)</f>
        <v>0</v>
      </c>
      <c r="EW7" s="1">
        <f>IF($B7&lt;Analysis!$C$130,0,MIN(Analysis!$C$144*12,SUM(EX7:FB7)))</f>
        <v>0</v>
      </c>
      <c r="EX7" s="1">
        <f>IF($B7&lt;Analysis!$C$130,0,Analysis!$C$145*12)</f>
        <v>0</v>
      </c>
      <c r="EY7" s="1">
        <f>IF($B7&lt;Analysis!$C$130,0,Analysis!$C$146*12)</f>
        <v>0</v>
      </c>
      <c r="EZ7" s="1">
        <f>IF($B7&lt;Analysis!$C$130,0,Analysis!$C$147*12)</f>
        <v>0</v>
      </c>
      <c r="FA7" s="1">
        <f>IF($B7&lt;Analysis!$C$130,0,Analysis!$C$148*12)</f>
        <v>0</v>
      </c>
      <c r="FB7" s="1">
        <f>IF($B7&lt;Analysis!$C$130,0,Analysis!$C$149*12)</f>
        <v>0</v>
      </c>
      <c r="FC7" s="1">
        <v>0</v>
      </c>
      <c r="FD7" s="1">
        <f>-FC7*Analysis!$C$28</f>
        <v>0</v>
      </c>
      <c r="FE7" s="53"/>
      <c r="FF7" s="1">
        <f t="shared" si="32"/>
        <v>0</v>
      </c>
      <c r="FG7" s="64">
        <f>IF($B7&lt;Analysis!$C$130,0,Analysis!$C$31)</f>
        <v>0</v>
      </c>
      <c r="FH7" s="1">
        <f>IF($B7&lt;Analysis!$C$130,0,EB7+FF7)</f>
        <v>0</v>
      </c>
      <c r="FI7" s="1">
        <f>IF($B7-Analysis!$C$130&gt;3,0,IF(EB7&gt;LOOKUP(Analysis!$C$130,$B:$B, EB:EB),$V7*(LOOKUP(Analysis!$C$130,$B:$B, EB:EB)-EB7),0))</f>
        <v>0</v>
      </c>
      <c r="FJ7" s="1">
        <f t="shared" si="33"/>
        <v>0</v>
      </c>
      <c r="FK7" s="53"/>
      <c r="FL7" s="1">
        <f>$P7+$N7+IF($B7&lt;Analysis!$C$130,$X7+$Z7,0)+CP7+CS7+CY7+DE7+DG7+MIN(DI7,SUM(DJ7:DN7))+DQ7+DS7+DT7+EG7+EJ7+EP7+ES7+EU7+MIN(EW7,SUM(EX7:FB7))+FD7</f>
        <v>-118269.86702190811</v>
      </c>
      <c r="FM7" s="1">
        <f>$M7+$R7+DD7+IF(AND($B7&lt;&gt;Analysis!$C$130,$B7=Analysis!$C$101),DZ6+CQ6+CT6+CZ6,0)</f>
        <v>127430.45535535262</v>
      </c>
      <c r="FN7" s="1">
        <f t="shared" si="34"/>
        <v>9160.5883334445098</v>
      </c>
      <c r="FO7" s="1">
        <f>IF(FN7 &lt; 0,
    IF(FO6 + FN7 &gt; 0,
        FO6 + FN7, IF(FT6-ABS(FO6 + FN7)*(1+$V7) &gt;= FO6 + FN7,
        0, FO6 + FN7)),
    MIN(FO6 + FN7, Analysis!$C$7))+IF(FO6&lt;0, FO6*Analysis!$C$9,0)</f>
        <v>15701.688720249516</v>
      </c>
      <c r="FP7" s="53"/>
      <c r="FQ7" s="1">
        <f t="shared" si="51"/>
        <v>0</v>
      </c>
      <c r="FR7" s="1">
        <f>IF(OR($B7=Analysis!$C$100, $B7=Analysis!$C$130),0,IF(FN7 &gt;= 0,
    MAX(0, FO6 + FN7 - Analysis!$C$7),
    0))</f>
        <v>0</v>
      </c>
      <c r="FS7" s="1">
        <f>IF(OR($B7=Analysis!$C$100, $B7=Analysis!$C$130),0,MAX(0, FS6 + FR7 - IF(FN7 &lt; 0, MIN(ABS(FN7), FS6 + FR7), 0)))</f>
        <v>0</v>
      </c>
      <c r="FT7" s="1">
        <f>IF(OR($B7=Analysis!$C$100, $B7=Analysis!$C$130),0,IF(FN7 &lt; 0,
    IF(FN7 + FO6 &lt; 0,
        MAX(0, FT6 - (ABS(FN7 + FO6) * (1+$V6))),
        FT6 + FQ7),
    FT6 + FR7 + FQ7))</f>
        <v>0</v>
      </c>
      <c r="FU7" s="1">
        <f t="shared" si="35"/>
        <v>0</v>
      </c>
      <c r="FV7" s="36"/>
      <c r="FW7" s="1">
        <f t="shared" si="52"/>
        <v>600640.73023727059</v>
      </c>
      <c r="FX7" s="64">
        <f t="shared" si="53"/>
        <v>2.941176470588247E-2</v>
      </c>
      <c r="FY7" s="1">
        <f>IF($B7=Analysis!$C$159,(FW7*(1+Analysis!$C$23+Analysis!$C$24+Analysis!$C$25))-IF($B7=$B$2,(Analysis!$C$6-Analysis!$C$7+Analysis!$C$165), (HW6-Analysis!$C$7+GH7)),0)</f>
        <v>0</v>
      </c>
      <c r="FZ7" s="65">
        <f>IF($B7=Analysis!$C$159,NPER(GD7,-GG7,-FY7),0)</f>
        <v>0</v>
      </c>
      <c r="GA7" s="64">
        <f>IF($B7=Analysis!$C$159,Analysis!$C$161,0)</f>
        <v>0</v>
      </c>
      <c r="GB7" s="1">
        <f>IF($B7&lt;Analysis!$C$159,0,IF($B7=Analysis!$C$159,-FY7*GA7,IF(GG7&gt;=0,0,GG7-GE7)))</f>
        <v>-12081.225941876415</v>
      </c>
      <c r="GC7" s="1">
        <f>IF($B7&lt;Analysis!$C$159,0,IF($B7=Analysis!$C$159,-FY7-GB7,MIN(0,GC6-GB7)))</f>
        <v>-437396.72265605844</v>
      </c>
      <c r="GD7" s="64">
        <f>IF($B7&lt;Analysis!$C$159,0,IF($B7=Analysis!$C$159,Analysis!$C$160,IF(($B7-Analysis!$C$159)&lt;LOOKUP(Analysis!$C$159,$B:$B,FZ:FZ),GD6,0)))</f>
        <v>3.6999999999999998E-2</v>
      </c>
      <c r="GE7" s="1">
        <f>IF($B7&lt;Analysis!$C$159,0,IF($B7=Analysis!$C$159,-GD7*FY7,GD6*GC6))</f>
        <v>-16630.684098123587</v>
      </c>
      <c r="GF7" s="1">
        <f>IF($B7&lt;Analysis!$C$159,0,IF($B7=Analysis!$C$159,PMT(GD7,FZ7,FY7)*FZ7-GG7-GC7,IF(($B7-Analysis!$C$159+1)&lt;LOOKUP(Analysis!$C$159,$B:$B,FZ:FZ),IF(GF6-GE7&lt;0, GF6-GE7,0),0)))</f>
        <v>-217993.03328135354</v>
      </c>
      <c r="GG7" s="1">
        <f>IF($B7&lt;Analysis!$C$159,0,IF($B7=Analysis!$C$159,GB7+GE7,IF(GC6&lt;0,IF(GC6&gt;LOOKUP(Analysis!$C$159,$B:$B,GG:GG), GC6*(1+GD6),GG6),0)))</f>
        <v>-28711.910040000002</v>
      </c>
      <c r="GH7" s="1">
        <f>IF($B7=Analysis!$C$159,Analysis!$C$165,0)</f>
        <v>0</v>
      </c>
      <c r="GI7" s="1">
        <f>IF($B7=Analysis!$C$159,PMT(GD7,GJ7,GH7)*GJ7,0)</f>
        <v>0</v>
      </c>
      <c r="GJ7" s="7">
        <f>IF($B7=Analysis!$C$159,Analysis!$C$167,0)</f>
        <v>0</v>
      </c>
      <c r="GK7" s="1">
        <f>IF($B7&lt;Analysis!$C$159,0,IF($B7=Analysis!$C$159,GI7/GJ7,IF(($B7-Analysis!$C$159)&lt;LOOKUP(Analysis!$C$159,$B:$B,GJ:GJ),GK6,0)))</f>
        <v>-6072.8287787074187</v>
      </c>
      <c r="GL7" s="1">
        <f>IF($B7&lt;Analysis!$C$159,0,IF($B7=Analysis!$C$159,GJ7*GK7-GK7,IF(($B7-Analysis!$C$159)&lt;Analysis!$C$167,GL6-GK7,0)))</f>
        <v>-24291.315114829667</v>
      </c>
      <c r="GM7" s="38"/>
      <c r="GN7" s="1">
        <f>IF($B7&lt;Analysis!$C$159,0,IF($B7=2025,(Analysis!$C$109*12),IF($B7=Analysis!$C$159,(Analysis!$C$109*12)*(1+GO7)^($B7-$B$2),GN6*(1+GO7))))</f>
        <v>16021.710009793249</v>
      </c>
      <c r="GO7" s="64">
        <f>IF($B7&lt;Analysis!$C$159,0,((1+Analysis!$C$174)/(1+$S7))-1)</f>
        <v>2.941176470588247E-2</v>
      </c>
      <c r="GP7" s="1">
        <f t="shared" si="7"/>
        <v>21783.632200505061</v>
      </c>
      <c r="GQ7" s="1">
        <f t="shared" si="36"/>
        <v>-1801.9221907118117</v>
      </c>
      <c r="GR7" s="64">
        <f>IF($B7&lt;Analysis!$C$159,0,Analysis!$C$178)</f>
        <v>3.0000000000000001E-3</v>
      </c>
      <c r="GS7" s="1">
        <f t="shared" si="37"/>
        <v>-4504.8054767795293</v>
      </c>
      <c r="GT7" s="64">
        <f>IF($B7&lt;Analysis!$C$159,0,Analysis!$C$179)</f>
        <v>7.4999999999999997E-3</v>
      </c>
      <c r="GU7" s="1">
        <f>IF($B7&lt;Analysis!$C$159,0,MIN(Analysis!$C$180*12,SUM(GV7:GZ7)))</f>
        <v>-3960</v>
      </c>
      <c r="GV7" s="1">
        <f>IF($B7&lt;Analysis!$C$159,0,Analysis!$C$181*12)</f>
        <v>-900</v>
      </c>
      <c r="GW7" s="1">
        <f>IF($B7&lt;Analysis!$C$159,0,Analysis!$C$182*12)</f>
        <v>-1500</v>
      </c>
      <c r="GX7" s="1">
        <f>IF($B7&lt;Analysis!$C$159,0,Analysis!$C$183*12)</f>
        <v>-480</v>
      </c>
      <c r="GY7" s="1">
        <f>IF($B7&lt;Analysis!$C$159,0,Analysis!$C$184*12)</f>
        <v>-480</v>
      </c>
      <c r="GZ7" s="1">
        <f>IF($B7&lt;Analysis!$C$159,0,Analysis!$C$185*12)</f>
        <v>-600</v>
      </c>
      <c r="HA7" s="64">
        <f>IF($B7&lt;Analysis!$C$159,0,Analysis!$C$173)</f>
        <v>0.02</v>
      </c>
      <c r="HB7" s="1">
        <f>-HA7*LOOKUP(Analysis!$C$159,$B:$B,FW:FW)</f>
        <v>-10392</v>
      </c>
      <c r="HC7" s="1">
        <f>-Analysis!$C$177*GN7</f>
        <v>-1201.6282507344936</v>
      </c>
      <c r="HD7" s="1">
        <f t="shared" si="38"/>
        <v>-21860.355918225836</v>
      </c>
      <c r="HE7" s="1">
        <f>MIN(0,-(GN7+HD7)*Analysis!$C$28)-GE7*Analysis!$C$28</f>
        <v>7369.0561238785604</v>
      </c>
      <c r="HF7" s="1">
        <f>-Analysis!$C$176*GP7/12</f>
        <v>-1815.3026833754218</v>
      </c>
      <c r="HG7" s="38"/>
      <c r="HH7" s="1">
        <f>IF($B7&lt;Analysis!$C$159,0,-$HI7*$FW7)</f>
        <v>-76581.693105252009</v>
      </c>
      <c r="HI7" s="64">
        <f>IF($B7&lt;Analysis!$C$159,0,IF($B7=Analysis!$C$159,Analysis!$C$31,HI6))</f>
        <v>0.1275</v>
      </c>
      <c r="HJ7" s="1">
        <f>IF($B7&lt;Analysis!$C$159,0,$FW7+HH7)</f>
        <v>524059.0371320186</v>
      </c>
      <c r="HK7" s="1">
        <f>IF($B7-Analysis!$C$159&gt;10,0,IF($FW7&gt;LOOKUP(Analysis!$C$159,$B:$B, FW:FW),$V7*(LOOKUP(Analysis!$C$159,$B:$B, FW:FW)-FW7),0))</f>
        <v>-21374.492600080117</v>
      </c>
      <c r="HL7" s="1">
        <f t="shared" si="39"/>
        <v>502684.5445319385</v>
      </c>
      <c r="HM7" s="38"/>
      <c r="HN7" s="1">
        <f t="shared" si="40"/>
        <v>-118269.86702190811</v>
      </c>
      <c r="HO7" s="1">
        <f t="shared" si="8"/>
        <v>127430.45535535262</v>
      </c>
      <c r="HP7" s="1">
        <f t="shared" si="41"/>
        <v>9160.5883334445098</v>
      </c>
      <c r="HQ7" s="1">
        <f>IF(HP7 &lt; 0,
    IF(HQ6 + HP7 &gt; 0,
        HQ6 + HP7, IF(HV6-ABS(HQ6 + HP7)*(1+$V7) &gt;= HQ6 + HP7,
        0, HQ6 + HP7)),
    MIN(HQ6 + HP7, Analysis!$C$7))+IF(HQ6&lt;0, HQ6*Analysis!$C$9,0)</f>
        <v>15701.688720249516</v>
      </c>
      <c r="HR7" s="38"/>
      <c r="HS7" s="1">
        <f t="shared" si="54"/>
        <v>0</v>
      </c>
      <c r="HT7" s="1">
        <f>IF($B7=Analysis!$C$159,0,IF(HP7 &gt;= 0,
    MAX(0, HQ6 + HP7 - Analysis!$C$7),
    0))</f>
        <v>0</v>
      </c>
      <c r="HU7" s="1">
        <f>IF($B7=Analysis!$C$159,0,MAX(0, HU6 + HT7 - IF(HP7 &lt; 0, MIN(ABS(HP7), HU6 + HT7), 0)))</f>
        <v>0</v>
      </c>
      <c r="HV7" s="1">
        <f>IF($B7=Analysis!$C$159,0,IF(HP7 &lt; 0,
    IF(HP7 + HQ6 &lt; 0,
        MAX(0, HV6 - (ABS(HP7 + HQ6) * (1+$V6))),
        HV6 + HS7),
    HV6 + HT7 + HS7))</f>
        <v>0</v>
      </c>
      <c r="HW7" s="1">
        <f t="shared" si="42"/>
        <v>0</v>
      </c>
      <c r="HX7" s="36"/>
    </row>
    <row r="8" spans="1:232" x14ac:dyDescent="0.35">
      <c r="A8">
        <f t="shared" si="0"/>
        <v>41</v>
      </c>
      <c r="B8">
        <v>2031</v>
      </c>
      <c r="C8" s="1">
        <f>IF($B8&lt;Analysis!C$66,0,$AN8)+$AT8+$AW8+$BC8+$CF8+$CA8</f>
        <v>-360048.71654085052</v>
      </c>
      <c r="D8" s="1">
        <f>IF($B8&lt;Analysis!C$66, 0, BV8)+AT8+AW8+BC8+CG8+CA8</f>
        <v>-495080.17400975194</v>
      </c>
      <c r="E8" s="1">
        <f t="shared" si="1"/>
        <v>223005.40140994103</v>
      </c>
      <c r="F8" s="1">
        <f t="shared" si="9"/>
        <v>212406.53602484043</v>
      </c>
      <c r="G8" s="1">
        <f>IF(AND($B8&gt;=Analysis!$C$100, $B8&lt;Analysis!$C$101),$CK8,0)+IF($B8&gt;=Analysis!$C$130,EB8,0)+CQ8+CT8+CZ8+EH8+EK8+EQ8+$FO8+$FT8</f>
        <v>-2714.9460349775982</v>
      </c>
      <c r="H8" s="1">
        <f t="shared" si="10"/>
        <v>-81549.041878619391</v>
      </c>
      <c r="I8" s="1">
        <f>IF($B8&lt;Analysis!$C$159,0,$FW8)+$GC8+$GF8+$GL8+$HQ8+$HV8</f>
        <v>-2714.9460349775982</v>
      </c>
      <c r="J8" s="1">
        <f t="shared" si="2"/>
        <v>-107582.916613996</v>
      </c>
      <c r="K8" s="36"/>
      <c r="L8" s="1">
        <f t="shared" si="11"/>
        <v>108236.2060753095</v>
      </c>
      <c r="M8" s="1">
        <f>IF($B8=Analysis!$C$47, M7 * (1 - Analysis!$C$48),
    IF($B8=Analysis!$C$52, M7 * (1 - Analysis!$C$53),
    IF($B8=Analysis!$C$58, M7 * (1 - Analysis!$C$60),
    L8)))</f>
        <v>108236.2060753095</v>
      </c>
      <c r="N8" s="1">
        <f>Analysis!$C$3*12*(1+O8)+P8</f>
        <v>-53200</v>
      </c>
      <c r="O8" s="64">
        <f>IF(OR($B8=Analysis!$C$47,$B8=Analysis!$C$52,$B8=Analysis!$C$58),-Analysis!$C$49,0)</f>
        <v>0</v>
      </c>
      <c r="P8" s="1">
        <f>IF($B8&lt;Analysis!$C$47,0,IF($B8-Analysis!$C$47&lt;=3,Analysis!$C$40+Analysis!$C$44,IF($B8-Analysis!$C$47&lt;=10,Analysis!$C$41+Analysis!$C$44,IF($B8-Analysis!$C$47&lt;=18,Analysis!$C$42+Analysis!$C$44,IF($B8-Analysis!$C$47&lt;=25,Analysis!$C$43+Analysis!$C$44,0)))) + IF(AND($B8&gt;=Analysis!$C$52, $B8-Analysis!$C$52&lt;=3),Analysis!$C$40+Analysis!$C$44,IF(AND($B8&gt;=Analysis!$C$52, $B8-Analysis!$C$52&lt;=10),Analysis!$C$41+Analysis!$C$44,IF(AND($B8&gt;=Analysis!$C$52, $B8-Analysis!$C$52&lt;=18),Analysis!$C$42+Analysis!$C$44,IF(AND($B8&gt;=Analysis!$C$52, $B8-Analysis!$C$52&lt;=25),Analysis!$C$43+Analysis!$C$44,0)))) + Analysis!$C$57*IF(AND($B8&gt;=Analysis!$C$58, $B8-Analysis!$C$58&lt;=3),Analysis!$C$40+Analysis!$C$44,IF(AND($B8&gt;=Analysis!$C$58, $B8-Analysis!$C$58&lt;=10),Analysis!$C$41+Analysis!$C$44,IF(AND($B8&gt;=Analysis!$C$58, $B8-Analysis!$C$58&lt;=18),Analysis!$C$42+Analysis!$C$44,IF(AND($B8&gt;=Analysis!$C$58, $B8-Analysis!$C$58&lt;=25),Analysis!$C$43+Analysis!$C$44,0)))))</f>
        <v>-5200</v>
      </c>
      <c r="Q8" s="1">
        <f t="shared" si="43"/>
        <v>0</v>
      </c>
      <c r="R8" s="1">
        <f>IF(AND(AND(B8=Analysis!C$35,Analysis!C$34&lt;&gt;0),AND(B8=Analysis!C$37,Analysis!C$36&lt;&gt;0)),Analysis!C$34+Analysis!C$36,IF(AND(B8=Analysis!C$35,Analysis!C$34&lt;&gt;0),Analysis!C$34,IF(AND(B8=Analysis!C$37,Analysis!C$36&lt;&gt;0),Analysis!C$36,0)))</f>
        <v>0</v>
      </c>
      <c r="S8" s="64">
        <f t="shared" si="12"/>
        <v>0.02</v>
      </c>
      <c r="T8" s="64">
        <f>IF($B8&lt;Analysis!$C$13, ((1+IF($B8-$B$2&lt;10,Analysis!$C$11,IF($B8-$B$2&lt;20,(Analysis!$C$11+Analysis!$C$12)/2,Analysis!$C$12)))/(1+$S8)-1),IF($B8=Analysis!$C$13,-Analysis!$C$14,-$S8))</f>
        <v>2.450980392156854E-2</v>
      </c>
      <c r="U8" s="64">
        <f>IF($B8=$B$2,((1+Analysis!$C$16)/(1+$S8))-1,IF(B8&lt;Analysis!$C$13,U7-((Analysis!$C$16-Analysis!$C$17)/(Analysis!$C$13-$B$2)),((1+Analysis!$C$17)/(1+$S7))-1))</f>
        <v>6.8145658263305514E-2</v>
      </c>
      <c r="V8" s="64">
        <f t="shared" si="13"/>
        <v>0.26374999999999998</v>
      </c>
      <c r="W8" s="36"/>
      <c r="X8" s="1">
        <f t="shared" si="14"/>
        <v>-18849.070599756764</v>
      </c>
      <c r="Y8" s="64">
        <f t="shared" si="15"/>
        <v>2.941176470588247E-2</v>
      </c>
      <c r="Z8" s="1">
        <f t="shared" si="16"/>
        <v>-3960</v>
      </c>
      <c r="AA8" s="64">
        <f t="shared" si="17"/>
        <v>0</v>
      </c>
      <c r="AB8" s="40"/>
      <c r="AC8" s="1">
        <f t="shared" si="3"/>
        <v>-81209.070599756757</v>
      </c>
      <c r="AD8" s="1">
        <f t="shared" si="4"/>
        <v>108236.2060753095</v>
      </c>
      <c r="AE8" s="1">
        <f t="shared" si="18"/>
        <v>27027.135475552743</v>
      </c>
      <c r="AF8" s="1">
        <f>IF(AE8 &lt; 0,
    IF(AF7 + AE8 &gt; 0,
        AF7 + AE8, IF(AK7-ABS(AF7 + AE8)*(1+$V8) &gt;= AF7 + AE8,
        0, AF7 + AE8)),
    MIN(AF7 + AE8, Analysis!$C$7))+IF(AF7&lt;0, AF7*Analysis!$C$9,0)</f>
        <v>24000</v>
      </c>
      <c r="AG8" s="40"/>
      <c r="AH8" s="1">
        <f t="shared" si="19"/>
        <v>10971.885761475185</v>
      </c>
      <c r="AI8" s="1">
        <f>IF(AE8 &gt;= 0,
    MAX(0, AF7 + AE8 - Analysis!$C$7),
    0)</f>
        <v>27027.135475552743</v>
      </c>
      <c r="AJ8" s="1">
        <f t="shared" si="44"/>
        <v>158820.12980766391</v>
      </c>
      <c r="AK8" s="1">
        <f t="shared" si="20"/>
        <v>199005.40140994103</v>
      </c>
      <c r="AL8" s="1">
        <f t="shared" si="5"/>
        <v>188406.53602484043</v>
      </c>
      <c r="AM8" s="36"/>
      <c r="AN8" s="1">
        <f t="shared" si="45"/>
        <v>1059070.2546580506</v>
      </c>
      <c r="AO8" s="64">
        <f t="shared" si="21"/>
        <v>2.941176470588247E-2</v>
      </c>
      <c r="AP8" s="1">
        <f>IF($B8=Analysis!$C$66,(AN8*(1+Analysis!$C$23+Analysis!$C$24+Analysis!$C$25))-IF($B8=$B$2,(Analysis!$C$6-Analysis!$C$7+Analysis!$C$68), ($CG7-Analysis!$C$7+AY8)),0)</f>
        <v>0</v>
      </c>
      <c r="AQ8" s="65">
        <f>IF($B8=Analysis!$C$66,NPER(AU8,-AX8,-AP8),0)</f>
        <v>0</v>
      </c>
      <c r="AR8" s="64">
        <f>IF($B8=Analysis!$C$66,Analysis!$C$73,0)</f>
        <v>0</v>
      </c>
      <c r="AS8" s="1">
        <f>IF($B8&lt;Analysis!$C$66,0,IF($B8=Analysis!$C$66,-AP8*AR8,IF(AX8&gt;=0,0,AX8-AV8)))</f>
        <v>-22806.523148396398</v>
      </c>
      <c r="AT8" s="1">
        <f>IF($B8&lt;Analysis!$C$66,0,IF($B8=Analysis!$C$66,-AP8-AS8,MIN(0,AT7-AS8)))</f>
        <v>-773435.04040845798</v>
      </c>
      <c r="AU8" s="64">
        <f>IF($B8&lt;Analysis!$C$66,0,IF($B8=Analysis!$C$66,Analysis!$C$72,IF(($B8-Analysis!$C$66)&lt;LOOKUP(Analysis!$C$66,$B:$B,AQ:AQ),AU7,0)))</f>
        <v>3.6999999999999998E-2</v>
      </c>
      <c r="AV8" s="1">
        <f>IF($B8&lt;Analysis!$C$66,0,IF($B8=Analysis!$C$66,-AU8*AP8,AU7*AT7))</f>
        <v>-29460.937851603612</v>
      </c>
      <c r="AW8" s="1">
        <f>IF($B8&lt;Analysis!$C$66,0,IF($B8=Analysis!$C$66,PMT(AU8,AQ8,AP8)*AQ8-AX8-AT8,IF(($B8-Analysis!$C$66+1)&lt;LOOKUP(Analysis!$C$66,$B:$B,AQ:AQ),IF(AW7-AV8&lt;0, AW7-AV8,0),0)))</f>
        <v>-367375.85738185071</v>
      </c>
      <c r="AX8" s="1">
        <f>IF($B8&lt;Analysis!$C$66,0,IF($B8=Analysis!$C$66,AS8+AV8,IF(AT7&lt;0,IF(AT7&gt;LOOKUP(Analysis!$C$66,$B:$B,AX:AX), AT7*(1+AU7),AX7),0)))</f>
        <v>-52267.46100000001</v>
      </c>
      <c r="AY8" s="1">
        <f>IF($B8=Analysis!$C$66,Analysis!$C$68,0)</f>
        <v>0</v>
      </c>
      <c r="AZ8" s="1">
        <f>IF($B8=Analysis!$C$66,PMT(AU8,BA8,AY8)*BA8,0)</f>
        <v>0</v>
      </c>
      <c r="BA8" s="7">
        <f>IF($B8=Analysis!$C$66,Analysis!$C$70,0)</f>
        <v>0</v>
      </c>
      <c r="BB8" s="1">
        <f>IF($B8&lt;Analysis!$C$66,0,IF($B8=Analysis!$C$66,AZ8/BA8,IF(($B8-Analysis!$C$66)&lt;LOOKUP(Analysis!$C$66,$B:$B,BA:BA),BB7,0)))</f>
        <v>-6072.8287787074187</v>
      </c>
      <c r="BC8" s="1">
        <f>IF($B8&lt;Analysis!$C$66,0,IF($B8=Analysis!$C$66,BA8*BB8-BB8,IF(($B8-Analysis!$C$66)&lt;Analysis!$C$70,BC7-BB8,0)))</f>
        <v>-18218.486336122249</v>
      </c>
      <c r="BD8" s="42"/>
      <c r="BE8" s="1">
        <f>IF($B8&lt;Analysis!$C$66,0,-BF8*AN8)</f>
        <v>-3177.2107639741521</v>
      </c>
      <c r="BF8" s="64">
        <f>IF($B8&lt;Analysis!$C$66,0,Analysis!$C$78)</f>
        <v>3.0000000000000001E-3</v>
      </c>
      <c r="BG8" s="1">
        <f>IF($B8&lt;Analysis!$C$66,0,-BH8*AN8)</f>
        <v>-7943.0269099353791</v>
      </c>
      <c r="BH8" s="64">
        <f>IF($B8&lt;Analysis!$C$66,0,Analysis!$C$79)</f>
        <v>7.4999999999999997E-3</v>
      </c>
      <c r="BI8" s="1">
        <f>IF($B8&lt;Analysis!$C$66,0,MIN(Analysis!$C$80*12,SUM(BJ8:BN8)))</f>
        <v>-3960</v>
      </c>
      <c r="BJ8" s="1">
        <f>IF($B8&lt;Analysis!$C$66,0,Analysis!$C$81*12)</f>
        <v>-900</v>
      </c>
      <c r="BK8" s="1">
        <f>IF($B8&lt;Analysis!$C$66,0,Analysis!$C$82*12)</f>
        <v>-1500</v>
      </c>
      <c r="BL8" s="1">
        <f>IF($B8&lt;Analysis!$C$66,0,Analysis!$C$83*12)</f>
        <v>-480</v>
      </c>
      <c r="BM8" s="1">
        <f>IF($B8&lt;Analysis!$C$66,0,Analysis!$C$84*12)</f>
        <v>-480</v>
      </c>
      <c r="BN8" s="1">
        <f>IF($B8&lt;Analysis!$C$66,0,Analysis!$C$85*12)</f>
        <v>-600</v>
      </c>
      <c r="BO8" s="1">
        <v>0</v>
      </c>
      <c r="BP8" s="1">
        <f>-BO8*Analysis!$C$28</f>
        <v>0</v>
      </c>
      <c r="BQ8" s="42"/>
      <c r="BR8" s="1">
        <f t="shared" si="22"/>
        <v>-135031.45746890144</v>
      </c>
      <c r="BS8" s="64">
        <f>IF($B8&lt;Analysis!C$66,0,Analysis!C$31)</f>
        <v>0.1275</v>
      </c>
      <c r="BT8" s="1">
        <f>IF($B8&lt;Analysis!$C$66,0,AN8+BR8)</f>
        <v>924038.79718914919</v>
      </c>
      <c r="BU8" s="1">
        <f>IF($B8-Analysis!$C$66&gt;3,0,IF($AN8&gt;LOOKUP(Analysis!$C$66,$B:$B, AN:AN),$V8*(LOOKUP(Analysis!$C$66,$B:$B, AN:AN)-AN8),0))</f>
        <v>0</v>
      </c>
      <c r="BV8" s="1">
        <f t="shared" si="23"/>
        <v>924038.79718914919</v>
      </c>
      <c r="BW8" s="42"/>
      <c r="BX8" s="1">
        <f>IF($B8&lt;Analysis!$C$66,$P8+$N8+$X8+$Z8,$P8+$N8+AS8+AV8+BB8+BE8+BG8+MAX(BI8,SUM(BJ8:BN8))+BP8)</f>
        <v>-131820.52745261695</v>
      </c>
      <c r="BY8" s="1">
        <f t="shared" si="24"/>
        <v>108236.2060753095</v>
      </c>
      <c r="BZ8" s="1">
        <f t="shared" si="46"/>
        <v>-23584.321377307453</v>
      </c>
      <c r="CA8" s="1">
        <f>IF(BZ8 &lt; 0,
    IF(CA7 + BZ8 &gt; 0,
        CA7 + BZ8, IF(CF7-ABS(CA7 + BZ8)*(1+$V8) &gt;= CA7 + BZ8,
        0, CA7 + BZ8)),
    MIN(CA7 + BZ8, Analysis!$C$7))+IF(CA7&lt;0, CA7*Analysis!$C$9,0)</f>
        <v>-260089.5870724702</v>
      </c>
      <c r="CB8" s="42"/>
      <c r="CC8" s="1">
        <f t="shared" si="47"/>
        <v>0</v>
      </c>
      <c r="CD8" s="1">
        <f>IF(BZ8 &gt;= 0,
    MAX(0, CA7 + BZ8 - Analysis!$C$7),
    0)</f>
        <v>0</v>
      </c>
      <c r="CE8" s="1">
        <f>IF($B8=Analysis!$C$66,0,MAX(0, CE7 + CD8 - IF(BZ8 &lt; 0, MIN(ABS(BZ8), CE7 + CD8), 0)))</f>
        <v>0</v>
      </c>
      <c r="CF8" s="1">
        <f>IF($B8=Analysis!$C$66,0,IF(BZ8 &lt; 0,
    IF(BZ8 + CA7 &lt; 0,
        MAX(0, CF7 - (ABS(BZ8 + CA7) * (1+$V7))),
        CF7 + CC8),
    CF7 + CD8 + CC8))</f>
        <v>0</v>
      </c>
      <c r="CG8" s="1">
        <f t="shared" si="25"/>
        <v>0</v>
      </c>
      <c r="CH8" s="36"/>
      <c r="CI8" s="1">
        <f>IF(OR($B8&lt;Analysis!$C$100, $B8&gt;=Analysis!$C$130),0,X8)</f>
        <v>-18849.070599756764</v>
      </c>
      <c r="CJ8" s="1">
        <f>IF(OR($B8&lt;Analysis!$C$100, $B8&gt;=Analysis!$C$130),0,Z8)</f>
        <v>-3960</v>
      </c>
      <c r="CK8" s="1">
        <f t="shared" si="26"/>
        <v>618306.63406777859</v>
      </c>
      <c r="CL8" s="64">
        <f t="shared" si="48"/>
        <v>2.941176470588247E-2</v>
      </c>
      <c r="CM8" s="1">
        <f>IF($B8=Analysis!$C$100,(CK8*(1+Analysis!$C$23+Analysis!$C$24+Analysis!$C$25))-IF($B8=$B$2,(Analysis!$C$6-Analysis!$C$7+Analysis!$C$105), (FU7-Analysis!$C$7+CV8)),0)</f>
        <v>0</v>
      </c>
      <c r="CN8" s="65">
        <f>IF($B8=Analysis!$C$100,NPER(CR8,-CU8,-CM8),0)</f>
        <v>0</v>
      </c>
      <c r="CO8" s="64">
        <f>IF($B8=Analysis!$C$100,Analysis!$C$103,0)</f>
        <v>0</v>
      </c>
      <c r="CP8" s="1">
        <f>IF(OR($B8&lt;Analysis!$C$100, $B8&gt;=Analysis!$C$101),0,IF($B8=Analysis!$C$100,-CM8*CO8,IF(CU8&gt;=0,0,CU8-CS8)))</f>
        <v>-12528.23130172584</v>
      </c>
      <c r="CQ8" s="1">
        <f>IF(OR($B8&lt;Analysis!$C$100, $B8&gt;=Analysis!$C$101),0,IF($B8=Analysis!$C$100,-CM8-CP8,MIN(0,CQ7-CP8)))</f>
        <v>-424868.4913543326</v>
      </c>
      <c r="CR8" s="64">
        <f>IF(OR($B8&lt;Analysis!$C$100, $B8&gt;=Analysis!$C$101),0,IF($B8=Analysis!$C$100,Analysis!$C$102,IF(($B8-Analysis!$C$100)&lt;LOOKUP(Analysis!$C$100,$B:$B,CN:CN),CR7,0)))</f>
        <v>3.6999999999999998E-2</v>
      </c>
      <c r="CS8" s="1">
        <f>IF(OR($B8&lt;Analysis!$C$100, $B8&gt;=Analysis!$C$101),0,IF($B8=Analysis!$C$100,-CR8*CM8,CR7*CQ7))</f>
        <v>-16183.678738274162</v>
      </c>
      <c r="CT8" s="1">
        <f>IF(OR($B8&lt;Analysis!$C$100, $B8&gt;=Analysis!$C$101),0,IF($B8=Analysis!$C$100,PMT(CR8,CN8,CM8)*CN8-CU8-CQ8,IF(($B8-Analysis!$C$100+1)&lt;LOOKUP(Analysis!$C$100,$B:$B,CN:CN),IF(CT7-CS8&lt;0, CT7-CS8,0),0)))</f>
        <v>-201809.35454307936</v>
      </c>
      <c r="CU8" s="1">
        <f>IF(OR($B8&lt;Analysis!$C$100, $B8&gt;=Analysis!$C$101),0,IF($B8=Analysis!$C$100,CP8+CS8,IF(CQ7&lt;0,IF(CQ7&gt;LOOKUP(Analysis!$C$100,$B:$B,CU:CU), CQ7*(1+CR7),CU7),0)))</f>
        <v>-28711.910040000002</v>
      </c>
      <c r="CV8" s="1">
        <f>IF($B8=Analysis!$C$100,Analysis!$C$105,0)</f>
        <v>0</v>
      </c>
      <c r="CW8" s="1">
        <f>IF($B8=Analysis!$C$100,PMT(CR8,CX8,CV8)*CX8,0)</f>
        <v>0</v>
      </c>
      <c r="CX8" s="7">
        <f>IF($B8=Analysis!$C$100,Analysis!$C$107,0)</f>
        <v>0</v>
      </c>
      <c r="CY8" s="1">
        <f>IF(OR($B8&lt;Analysis!$C$100, $B8&gt;=Analysis!$C$101),0,IF($B8=Analysis!$C$100,CW8/CX8,IF(($B8-Analysis!$C$100)&lt;LOOKUP(Analysis!$C$100,$B:$B,CX:CX),CY7,0)))</f>
        <v>-6072.8287787074187</v>
      </c>
      <c r="CZ8" s="1">
        <f>IF(OR($B8&lt;Analysis!$C$100, $B8&gt;=Analysis!$C$101),0,IF($B8=Analysis!$C$100,CX8*CY8-CY8,IF(($B8-Analysis!$C$100)&lt;Analysis!$C$107,CZ7-CY8,0)))</f>
        <v>-18218.486336122249</v>
      </c>
      <c r="DA8" s="53"/>
      <c r="DB8" s="1">
        <f>IF(OR($B8&lt;Analysis!$C$100, $B8&gt;=Analysis!$C$101),0,IF($B8=2025,(Analysis!$C$109*12),IF($B8=Analysis!$C$100,(Analysis!$C$109*12)*(1+DC8)^($B8-$B$2),DB7*(1+DC8))))</f>
        <v>16492.936774787169</v>
      </c>
      <c r="DC8" s="64">
        <f>IF(OR($B8&lt;Analysis!$C$100, $B8&gt;=Analysis!$C$101),0,((1+Analysis!$C$114)/(1+$S8))-1)</f>
        <v>2.941176470588247E-2</v>
      </c>
      <c r="DD8" s="1">
        <f t="shared" si="6"/>
        <v>22307.856676990505</v>
      </c>
      <c r="DE8" s="1">
        <f t="shared" si="27"/>
        <v>-1854.9199022033358</v>
      </c>
      <c r="DF8" s="64">
        <f>IF(OR($B8&lt;Analysis!$C$100, $B8&gt;=Analysis!$C$101),0,Analysis!$C$118)</f>
        <v>3.0000000000000001E-3</v>
      </c>
      <c r="DG8" s="1">
        <f t="shared" si="28"/>
        <v>-4637.2997555083393</v>
      </c>
      <c r="DH8" s="64">
        <f>IF(OR($B8&lt;Analysis!$C$100, $B8&gt;=Analysis!$C$101),0,Analysis!$C$119)</f>
        <v>7.4999999999999997E-3</v>
      </c>
      <c r="DI8" s="1">
        <f>IF(OR($B8&lt;Analysis!$C$100, $B8&gt;=Analysis!$C$101),0,MIN(Analysis!$C$120*12,SUM(DJ8:DN8)))</f>
        <v>-3960</v>
      </c>
      <c r="DJ8" s="1">
        <f>IF(OR($B8&lt;Analysis!$C$100, $B8&gt;=Analysis!$C$101),0,Analysis!$C$121*12)</f>
        <v>-900</v>
      </c>
      <c r="DK8" s="1">
        <f>IF(OR($B8&lt;Analysis!$C$100, $B8&gt;=Analysis!$C$101),0,Analysis!$C$122*12)</f>
        <v>-1500</v>
      </c>
      <c r="DL8" s="1">
        <f>IF(OR($B8&lt;Analysis!$C$100, $B8&gt;=Analysis!$C$101),0,Analysis!$C$123*12)</f>
        <v>-480</v>
      </c>
      <c r="DM8" s="1">
        <f>IF(OR($B8&lt;Analysis!$C$100, $B8&gt;=Analysis!$C$101),0,Analysis!$C$124*12)</f>
        <v>-480</v>
      </c>
      <c r="DN8" s="1">
        <f>IF(OR($B8&lt;Analysis!$C$100, $B8&gt;=Analysis!$C$101),0,Analysis!$C$125*12)</f>
        <v>-600</v>
      </c>
      <c r="DO8" s="64">
        <f>IF(OR($B8&lt;Analysis!$C$100, $B8&gt;=Analysis!$C$101),0,Analysis!$C$113)</f>
        <v>0.02</v>
      </c>
      <c r="DP8" s="1">
        <f>-DO8*LOOKUP(Analysis!$C$100,$B:$B,CK:CK)</f>
        <v>-10392</v>
      </c>
      <c r="DQ8" s="1">
        <f>-Analysis!$C$117*DB8</f>
        <v>-1236.9702581090376</v>
      </c>
      <c r="DR8" s="1">
        <f t="shared" si="29"/>
        <v>-22081.189915820716</v>
      </c>
      <c r="DS8" s="1">
        <f>MIN(0,-(DB8+DR8)*Analysis!$C$28)-CS8*Analysis!$C$28</f>
        <v>7170.98804892928</v>
      </c>
      <c r="DT8" s="1">
        <f>-Analysis!$C$116*DD8/12</f>
        <v>-1858.9880564158755</v>
      </c>
      <c r="DU8" s="53"/>
      <c r="DV8" s="1">
        <f t="shared" si="30"/>
        <v>-78834.095843641771</v>
      </c>
      <c r="DW8" s="64">
        <f>IF(OR($B8&lt;Analysis!$C$100, $B8&gt;=Analysis!$C$101),0,IF($B8=Analysis!$C$100,Analysis!$C$31,DW7))</f>
        <v>0.1275</v>
      </c>
      <c r="DX8" s="1">
        <f>IF(OR($B8&lt;Analysis!$C$100, $B8&gt;=Analysis!$C$101),0,CK8+DV8)</f>
        <v>539472.53822413681</v>
      </c>
      <c r="DY8" s="1">
        <f>IF(OR($B8&lt;Analysis!$C$100, $B8&gt;=Analysis!$C$101),0,IF($B8-Analysis!$C$100&gt;3,0,IF(CK8&gt;LOOKUP(Analysis!$C$100,$B:$B, CK:CK),$V8*(LOOKUP(Analysis!$C$100,$B:$B, CK:CK)-CK8),0)))</f>
        <v>0</v>
      </c>
      <c r="DZ8" s="1">
        <f t="shared" si="49"/>
        <v>539472.53822413681</v>
      </c>
      <c r="EA8" s="53"/>
      <c r="EB8" s="1">
        <f t="shared" si="31"/>
        <v>821076.93900455616</v>
      </c>
      <c r="EC8" s="64">
        <f t="shared" si="50"/>
        <v>2.941176470588247E-2</v>
      </c>
      <c r="ED8" s="1">
        <f>MAX(0,IF($B8=Analysis!$C$130,(EB8*(1+Analysis!$C$23+Analysis!$C$24+Analysis!$C$25))-(IF($B8=$B$2,(Analysis!$C$6-Analysis!$C$7+Analysis!$C$132), (FU7-Analysis!$C$7+EM8)) + IF($B8=Analysis!$C$101,DZ7+CQ7+CT7+CZ7,0)),0))</f>
        <v>0</v>
      </c>
      <c r="EE8" s="65">
        <f>IF($B8=Analysis!$C$130,IF(ED8&gt;0,NPER(EI8,-EL8,-ED8),0),0)</f>
        <v>0</v>
      </c>
      <c r="EF8" s="64">
        <f>IF($B8=Analysis!$C$130,Analysis!$C$137,0)</f>
        <v>0</v>
      </c>
      <c r="EG8" s="1">
        <f>IF($B8&lt;Analysis!$C$130,0,IF($B8=Analysis!$C$130,-ED8*EF8,IF(EL8&gt;=0,0,EL8-EJ8)))</f>
        <v>0</v>
      </c>
      <c r="EH8" s="1">
        <f>IF($B8&lt;Analysis!$C$130,0,IF($B8=Analysis!$C$130,-ED8-EG8,MIN(0,EH7-EG8)))</f>
        <v>0</v>
      </c>
      <c r="EI8" s="64">
        <f>IF($B8&lt;Analysis!$C$130,0,IF($B8=Analysis!$C$130,Analysis!$C$136,IF(($B8-Analysis!$C$130)&lt;LOOKUP(Analysis!$C$130,$B:$B,EE:EE),EI7,0)))</f>
        <v>0</v>
      </c>
      <c r="EJ8" s="1">
        <f>IF($B8&lt;Analysis!$C$130,0,IF($B8=Analysis!$C$130,-EI8*ED8,EI7*EH7))</f>
        <v>0</v>
      </c>
      <c r="EK8" s="1">
        <f>IF(OR($B8&lt;Analysis!$C$130, ED8=0),0,IF($B8=Analysis!$C$130,PMT(EI8,EE8,ED8)*EE8-EL8-EH8,IF(($B8-Analysis!$C$130+1)&lt;LOOKUP(Analysis!$C$130,$B:$B,EE:EE),IF(EK7-EJ8&lt;0, EK7-EJ8,0),0)))</f>
        <v>0</v>
      </c>
      <c r="EL8" s="1">
        <f>IF($B8&lt;Analysis!$C$130,0,IF($B8=Analysis!$C$130,EG8+EJ8,IF(EH7&lt;0,IF(EH7&gt;LOOKUP(Analysis!$C$130,$B:$B,EL:EL), EH7*(1+EI7),EL7),0)))</f>
        <v>0</v>
      </c>
      <c r="EM8" s="1">
        <f>IF($B8=Analysis!$C$130,Analysis!$C$132,0)</f>
        <v>0</v>
      </c>
      <c r="EN8" s="1">
        <f>IF($B8=Analysis!$C$130,PMT(EI8,EO8,EM8)*EO8,0)</f>
        <v>0</v>
      </c>
      <c r="EO8" s="7">
        <f>IF($B8=Analysis!$C$130,Analysis!$C$134,0)</f>
        <v>0</v>
      </c>
      <c r="EP8" s="1">
        <f>IF($B8&lt;Analysis!$C$130,0,IF($B8=Analysis!$C$130,EN8/EO8,IF(($B8-Analysis!$C$130)&lt;LOOKUP(Analysis!$C$130,$B:$B,EO:EO),EP7,0)))</f>
        <v>0</v>
      </c>
      <c r="EQ8" s="1">
        <f>IF($B8&lt;Analysis!$C$130,0,IF($B8=Analysis!$C$130,EO8*EP8-EP8,IF(($B8-Analysis!$C$130)&lt;Analysis!$C$134,EQ7-EP8,0)))</f>
        <v>0</v>
      </c>
      <c r="ER8" s="53"/>
      <c r="ES8" s="1">
        <f>IF($B8&lt;Analysis!$C$130,0,-ET8*EB8)</f>
        <v>0</v>
      </c>
      <c r="ET8" s="64">
        <f>IF($B8&lt;Analysis!$C$130,0,Analysis!$C$142)</f>
        <v>0</v>
      </c>
      <c r="EU8" s="1">
        <f>IF($B8&lt;Analysis!$C$130,0,-EV8*EB8)</f>
        <v>0</v>
      </c>
      <c r="EV8" s="64">
        <f>IF($B8&lt;Analysis!$C$130,0,Analysis!$C$143)</f>
        <v>0</v>
      </c>
      <c r="EW8" s="1">
        <f>IF($B8&lt;Analysis!$C$130,0,MIN(Analysis!$C$144*12,SUM(EX8:FB8)))</f>
        <v>0</v>
      </c>
      <c r="EX8" s="1">
        <f>IF($B8&lt;Analysis!$C$130,0,Analysis!$C$145*12)</f>
        <v>0</v>
      </c>
      <c r="EY8" s="1">
        <f>IF($B8&lt;Analysis!$C$130,0,Analysis!$C$146*12)</f>
        <v>0</v>
      </c>
      <c r="EZ8" s="1">
        <f>IF($B8&lt;Analysis!$C$130,0,Analysis!$C$147*12)</f>
        <v>0</v>
      </c>
      <c r="FA8" s="1">
        <f>IF($B8&lt;Analysis!$C$130,0,Analysis!$C$148*12)</f>
        <v>0</v>
      </c>
      <c r="FB8" s="1">
        <f>IF($B8&lt;Analysis!$C$130,0,Analysis!$C$149*12)</f>
        <v>0</v>
      </c>
      <c r="FC8" s="1">
        <v>0</v>
      </c>
      <c r="FD8" s="1">
        <f>-FC8*Analysis!$C$28</f>
        <v>0</v>
      </c>
      <c r="FE8" s="53"/>
      <c r="FF8" s="1">
        <f t="shared" si="32"/>
        <v>0</v>
      </c>
      <c r="FG8" s="64">
        <f>IF($B8&lt;Analysis!$C$130,0,Analysis!$C$31)</f>
        <v>0</v>
      </c>
      <c r="FH8" s="1">
        <f>IF($B8&lt;Analysis!$C$130,0,EB8+FF8)</f>
        <v>0</v>
      </c>
      <c r="FI8" s="1">
        <f>IF($B8-Analysis!$C$130&gt;3,0,IF(EB8&gt;LOOKUP(Analysis!$C$130,$B:$B, EB:EB),$V8*(LOOKUP(Analysis!$C$130,$B:$B, EB:EB)-EB8),0))</f>
        <v>0</v>
      </c>
      <c r="FJ8" s="1">
        <f t="shared" si="33"/>
        <v>0</v>
      </c>
      <c r="FK8" s="53"/>
      <c r="FL8" s="1">
        <f>$P8+$N8+IF($B8&lt;Analysis!$C$130,$X8+$Z8,0)+CP8+CS8+CY8+DE8+DG8+MIN(DI8,SUM(DJ8:DN8))+DQ8+DS8+DT8+EG8+EJ8+EP8+ES8+EU8+MIN(EW8,SUM(EX8:FB8))+FD8</f>
        <v>-122370.9993417715</v>
      </c>
      <c r="FM8" s="1">
        <f>$M8+$R8+DD8+IF(AND($B8&lt;&gt;Analysis!$C$130,$B8=Analysis!$C$101),DZ7+CQ7+CT7+CZ7,0)</f>
        <v>130544.0627523</v>
      </c>
      <c r="FN8" s="1">
        <f t="shared" si="34"/>
        <v>8173.0634105284989</v>
      </c>
      <c r="FO8" s="1">
        <f>IF(FN8 &lt; 0,
    IF(FO7 + FN8 &gt; 0,
        FO7 + FN8, IF(FT7-ABS(FO7 + FN8)*(1+$V8) &gt;= FO7 + FN8,
        0, FO7 + FN8)),
    MIN(FO7 + FN8, Analysis!$C$7))+IF(FO7&lt;0, FO7*Analysis!$C$9,0)</f>
        <v>23874.752130778015</v>
      </c>
      <c r="FP8" s="53"/>
      <c r="FQ8" s="1">
        <f t="shared" si="51"/>
        <v>0</v>
      </c>
      <c r="FR8" s="1">
        <f>IF(OR($B8=Analysis!$C$100, $B8=Analysis!$C$130),0,IF(FN8 &gt;= 0,
    MAX(0, FO7 + FN8 - Analysis!$C$7),
    0))</f>
        <v>0</v>
      </c>
      <c r="FS8" s="1">
        <f>IF(OR($B8=Analysis!$C$100, $B8=Analysis!$C$130),0,MAX(0, FS7 + FR8 - IF(FN8 &lt; 0, MIN(ABS(FN8), FS7 + FR8), 0)))</f>
        <v>0</v>
      </c>
      <c r="FT8" s="1">
        <f>IF(OR($B8=Analysis!$C$100, $B8=Analysis!$C$130),0,IF(FN8 &lt; 0,
    IF(FN8 + FO7 &lt; 0,
        MAX(0, FT7 - (ABS(FN8 + FO7) * (1+$V7))),
        FT7 + FQ8),
    FT7 + FR8 + FQ8))</f>
        <v>0</v>
      </c>
      <c r="FU8" s="1">
        <f t="shared" si="35"/>
        <v>0</v>
      </c>
      <c r="FV8" s="36"/>
      <c r="FW8" s="1">
        <f t="shared" si="52"/>
        <v>618306.63406777859</v>
      </c>
      <c r="FX8" s="64">
        <f t="shared" si="53"/>
        <v>2.941176470588247E-2</v>
      </c>
      <c r="FY8" s="1">
        <f>IF($B8=Analysis!$C$159,(FW8*(1+Analysis!$C$23+Analysis!$C$24+Analysis!$C$25))-IF($B8=$B$2,(Analysis!$C$6-Analysis!$C$7+Analysis!$C$165), (HW7-Analysis!$C$7+GH8)),0)</f>
        <v>0</v>
      </c>
      <c r="FZ8" s="65">
        <f>IF($B8=Analysis!$C$159,NPER(GD8,-GG8,-FY8),0)</f>
        <v>0</v>
      </c>
      <c r="GA8" s="64">
        <f>IF($B8=Analysis!$C$159,Analysis!$C$161,0)</f>
        <v>0</v>
      </c>
      <c r="GB8" s="1">
        <f>IF($B8&lt;Analysis!$C$159,0,IF($B8=Analysis!$C$159,-FY8*GA8,IF(GG8&gt;=0,0,GG8-GE8)))</f>
        <v>-12528.23130172584</v>
      </c>
      <c r="GC8" s="1">
        <f>IF($B8&lt;Analysis!$C$159,0,IF($B8=Analysis!$C$159,-FY8-GB8,MIN(0,GC7-GB8)))</f>
        <v>-424868.4913543326</v>
      </c>
      <c r="GD8" s="64">
        <f>IF($B8&lt;Analysis!$C$159,0,IF($B8=Analysis!$C$159,Analysis!$C$160,IF(($B8-Analysis!$C$159)&lt;LOOKUP(Analysis!$C$159,$B:$B,FZ:FZ),GD7,0)))</f>
        <v>3.6999999999999998E-2</v>
      </c>
      <c r="GE8" s="1">
        <f>IF($B8&lt;Analysis!$C$159,0,IF($B8=Analysis!$C$159,-GD8*FY8,GD7*GC7))</f>
        <v>-16183.678738274162</v>
      </c>
      <c r="GF8" s="1">
        <f>IF($B8&lt;Analysis!$C$159,0,IF($B8=Analysis!$C$159,PMT(GD8,FZ8,FY8)*FZ8-GG8-GC8,IF(($B8-Analysis!$C$159+1)&lt;LOOKUP(Analysis!$C$159,$B:$B,FZ:FZ),IF(GF7-GE8&lt;0, GF7-GE8,0),0)))</f>
        <v>-201809.35454307936</v>
      </c>
      <c r="GG8" s="1">
        <f>IF($B8&lt;Analysis!$C$159,0,IF($B8=Analysis!$C$159,GB8+GE8,IF(GC7&lt;0,IF(GC7&gt;LOOKUP(Analysis!$C$159,$B:$B,GG:GG), GC7*(1+GD7),GG7),0)))</f>
        <v>-28711.910040000002</v>
      </c>
      <c r="GH8" s="1">
        <f>IF($B8=Analysis!$C$159,Analysis!$C$165,0)</f>
        <v>0</v>
      </c>
      <c r="GI8" s="1">
        <f>IF($B8=Analysis!$C$159,PMT(GD8,GJ8,GH8)*GJ8,0)</f>
        <v>0</v>
      </c>
      <c r="GJ8" s="7">
        <f>IF($B8=Analysis!$C$159,Analysis!$C$167,0)</f>
        <v>0</v>
      </c>
      <c r="GK8" s="1">
        <f>IF($B8&lt;Analysis!$C$159,0,IF($B8=Analysis!$C$159,GI8/GJ8,IF(($B8-Analysis!$C$159)&lt;LOOKUP(Analysis!$C$159,$B:$B,GJ:GJ),GK7,0)))</f>
        <v>-6072.8287787074187</v>
      </c>
      <c r="GL8" s="1">
        <f>IF($B8&lt;Analysis!$C$159,0,IF($B8=Analysis!$C$159,GJ8*GK8-GK8,IF(($B8-Analysis!$C$159)&lt;Analysis!$C$167,GL7-GK8,0)))</f>
        <v>-18218.486336122249</v>
      </c>
      <c r="GM8" s="38"/>
      <c r="GN8" s="1">
        <f>IF($B8&lt;Analysis!$C$159,0,IF($B8=2025,(Analysis!$C$109*12),IF($B8=Analysis!$C$159,(Analysis!$C$109*12)*(1+GO8)^($B8-$B$2),GN7*(1+GO8))))</f>
        <v>16492.936774787169</v>
      </c>
      <c r="GO8" s="64">
        <f>IF($B8&lt;Analysis!$C$159,0,((1+Analysis!$C$174)/(1+$S8))-1)</f>
        <v>2.941176470588247E-2</v>
      </c>
      <c r="GP8" s="1">
        <f t="shared" si="7"/>
        <v>22307.856676990505</v>
      </c>
      <c r="GQ8" s="1">
        <f t="shared" si="36"/>
        <v>-1854.9199022033358</v>
      </c>
      <c r="GR8" s="64">
        <f>IF($B8&lt;Analysis!$C$159,0,Analysis!$C$178)</f>
        <v>3.0000000000000001E-3</v>
      </c>
      <c r="GS8" s="1">
        <f t="shared" si="37"/>
        <v>-4637.2997555083393</v>
      </c>
      <c r="GT8" s="64">
        <f>IF($B8&lt;Analysis!$C$159,0,Analysis!$C$179)</f>
        <v>7.4999999999999997E-3</v>
      </c>
      <c r="GU8" s="1">
        <f>IF($B8&lt;Analysis!$C$159,0,MIN(Analysis!$C$180*12,SUM(GV8:GZ8)))</f>
        <v>-3960</v>
      </c>
      <c r="GV8" s="1">
        <f>IF($B8&lt;Analysis!$C$159,0,Analysis!$C$181*12)</f>
        <v>-900</v>
      </c>
      <c r="GW8" s="1">
        <f>IF($B8&lt;Analysis!$C$159,0,Analysis!$C$182*12)</f>
        <v>-1500</v>
      </c>
      <c r="GX8" s="1">
        <f>IF($B8&lt;Analysis!$C$159,0,Analysis!$C$183*12)</f>
        <v>-480</v>
      </c>
      <c r="GY8" s="1">
        <f>IF($B8&lt;Analysis!$C$159,0,Analysis!$C$184*12)</f>
        <v>-480</v>
      </c>
      <c r="GZ8" s="1">
        <f>IF($B8&lt;Analysis!$C$159,0,Analysis!$C$185*12)</f>
        <v>-600</v>
      </c>
      <c r="HA8" s="64">
        <f>IF($B8&lt;Analysis!$C$159,0,Analysis!$C$173)</f>
        <v>0.02</v>
      </c>
      <c r="HB8" s="1">
        <f>-HA8*LOOKUP(Analysis!$C$159,$B:$B,FW:FW)</f>
        <v>-10392</v>
      </c>
      <c r="HC8" s="1">
        <f>-Analysis!$C$177*GN8</f>
        <v>-1236.9702581090376</v>
      </c>
      <c r="HD8" s="1">
        <f t="shared" si="38"/>
        <v>-22081.189915820716</v>
      </c>
      <c r="HE8" s="1">
        <f>MIN(0,-(GN8+HD8)*Analysis!$C$28)-GE8*Analysis!$C$28</f>
        <v>7170.98804892928</v>
      </c>
      <c r="HF8" s="1">
        <f>-Analysis!$C$176*GP8/12</f>
        <v>-1858.9880564158755</v>
      </c>
      <c r="HG8" s="38"/>
      <c r="HH8" s="1">
        <f>IF($B8&lt;Analysis!$C$159,0,-$HI8*$FW8)</f>
        <v>-78834.095843641771</v>
      </c>
      <c r="HI8" s="64">
        <f>IF($B8&lt;Analysis!$C$159,0,IF($B8=Analysis!$C$159,Analysis!$C$31,HI7))</f>
        <v>0.1275</v>
      </c>
      <c r="HJ8" s="1">
        <f>IF($B8&lt;Analysis!$C$159,0,$FW8+HH8)</f>
        <v>539472.53822413681</v>
      </c>
      <c r="HK8" s="1">
        <f>IF($B8-Analysis!$C$159&gt;10,0,IF($FW8&gt;LOOKUP(Analysis!$C$159,$B:$B, FW:FW),$V8*(LOOKUP(Analysis!$C$159,$B:$B, FW:FW)-FW8),0))</f>
        <v>-26033.874735376601</v>
      </c>
      <c r="HL8" s="1">
        <f t="shared" si="39"/>
        <v>513438.66348876018</v>
      </c>
      <c r="HM8" s="38"/>
      <c r="HN8" s="1">
        <f t="shared" si="40"/>
        <v>-122370.9993417715</v>
      </c>
      <c r="HO8" s="1">
        <f t="shared" si="8"/>
        <v>130544.0627523</v>
      </c>
      <c r="HP8" s="1">
        <f t="shared" si="41"/>
        <v>8173.0634105284989</v>
      </c>
      <c r="HQ8" s="1">
        <f>IF(HP8 &lt; 0,
    IF(HQ7 + HP8 &gt; 0,
        HQ7 + HP8, IF(HV7-ABS(HQ7 + HP8)*(1+$V8) &gt;= HQ7 + HP8,
        0, HQ7 + HP8)),
    MIN(HQ7 + HP8, Analysis!$C$7))+IF(HQ7&lt;0, HQ7*Analysis!$C$9,0)</f>
        <v>23874.752130778015</v>
      </c>
      <c r="HR8" s="38"/>
      <c r="HS8" s="1">
        <f t="shared" si="54"/>
        <v>0</v>
      </c>
      <c r="HT8" s="1">
        <f>IF($B8=Analysis!$C$159,0,IF(HP8 &gt;= 0,
    MAX(0, HQ7 + HP8 - Analysis!$C$7),
    0))</f>
        <v>0</v>
      </c>
      <c r="HU8" s="1">
        <f>IF($B8=Analysis!$C$159,0,MAX(0, HU7 + HT8 - IF(HP8 &lt; 0, MIN(ABS(HP8), HU7 + HT8), 0)))</f>
        <v>0</v>
      </c>
      <c r="HV8" s="1">
        <f>IF($B8=Analysis!$C$159,0,IF(HP8 &lt; 0,
    IF(HP8 + HQ7 &lt; 0,
        MAX(0, HV7 - (ABS(HP8 + HQ7) * (1+$V7))),
        HV7 + HS8),
    HV7 + HT8 + HS8))</f>
        <v>0</v>
      </c>
      <c r="HW8" s="1">
        <f t="shared" si="42"/>
        <v>0</v>
      </c>
      <c r="HX8" s="36"/>
    </row>
    <row r="9" spans="1:232" x14ac:dyDescent="0.35">
      <c r="A9">
        <f t="shared" si="0"/>
        <v>42</v>
      </c>
      <c r="B9">
        <v>2032</v>
      </c>
      <c r="C9" s="1">
        <f>IF($B9&lt;Analysis!C$66,0,$AN9)+$AT9+$AW9+$BC9+$CF9+$CA9</f>
        <v>-312625.00759406493</v>
      </c>
      <c r="D9" s="1">
        <f>IF($B9&lt;Analysis!C$66, 0, BV9)+AT9+AW9+BC9+CG9+CA9</f>
        <v>-451627.9785179341</v>
      </c>
      <c r="E9" s="1">
        <f t="shared" si="1"/>
        <v>265351.20260454051</v>
      </c>
      <c r="F9" s="1">
        <f t="shared" si="9"/>
        <v>251265.50895240257</v>
      </c>
      <c r="G9" s="1">
        <f>IF(AND($B9&gt;=Analysis!$C$100, $B9&lt;Analysis!$C$101),$CK9,0)+IF($B9&gt;=Analysis!$C$130,EB9,0)+CQ9+CT9+CZ9+EH9+EK9+EQ9+$FO9+$FT9</f>
        <v>60588.756087855567</v>
      </c>
      <c r="H9" s="1">
        <f t="shared" si="10"/>
        <v>-20563.989633540376</v>
      </c>
      <c r="I9" s="1">
        <f>IF($B9&lt;Analysis!$C$159,0,$FW9)+$GC9+$GF9+$GL9+$HQ9+$HV9</f>
        <v>60588.756087855567</v>
      </c>
      <c r="J9" s="1">
        <f t="shared" si="2"/>
        <v>-51394.287155251586</v>
      </c>
      <c r="K9" s="36"/>
      <c r="L9" s="1">
        <f t="shared" si="11"/>
        <v>110889.05426342982</v>
      </c>
      <c r="M9" s="1">
        <f>IF($B9=Analysis!$C$47, M8 * (1 - Analysis!$C$48),
    IF($B9=Analysis!$C$52, M8 * (1 - Analysis!$C$53),
    IF($B9=Analysis!$C$58, M8 * (1 - Analysis!$C$60),
    L9)))</f>
        <v>110889.05426342982</v>
      </c>
      <c r="N9" s="1">
        <f>Analysis!$C$3*12*(1+O9)+P9</f>
        <v>-53200</v>
      </c>
      <c r="O9" s="64">
        <f>IF(OR($B9=Analysis!$C$47,$B9=Analysis!$C$52,$B9=Analysis!$C$58),-Analysis!$C$49,0)</f>
        <v>0</v>
      </c>
      <c r="P9" s="1">
        <f>IF($B9&lt;Analysis!$C$47,0,IF($B9-Analysis!$C$47&lt;=3,Analysis!$C$40+Analysis!$C$44,IF($B9-Analysis!$C$47&lt;=10,Analysis!$C$41+Analysis!$C$44,IF($B9-Analysis!$C$47&lt;=18,Analysis!$C$42+Analysis!$C$44,IF($B9-Analysis!$C$47&lt;=25,Analysis!$C$43+Analysis!$C$44,0)))) + IF(AND($B9&gt;=Analysis!$C$52, $B9-Analysis!$C$52&lt;=3),Analysis!$C$40+Analysis!$C$44,IF(AND($B9&gt;=Analysis!$C$52, $B9-Analysis!$C$52&lt;=10),Analysis!$C$41+Analysis!$C$44,IF(AND($B9&gt;=Analysis!$C$52, $B9-Analysis!$C$52&lt;=18),Analysis!$C$42+Analysis!$C$44,IF(AND($B9&gt;=Analysis!$C$52, $B9-Analysis!$C$52&lt;=25),Analysis!$C$43+Analysis!$C$44,0)))) + Analysis!$C$57*IF(AND($B9&gt;=Analysis!$C$58, $B9-Analysis!$C$58&lt;=3),Analysis!$C$40+Analysis!$C$44,IF(AND($B9&gt;=Analysis!$C$58, $B9-Analysis!$C$58&lt;=10),Analysis!$C$41+Analysis!$C$44,IF(AND($B9&gt;=Analysis!$C$58, $B9-Analysis!$C$58&lt;=18),Analysis!$C$42+Analysis!$C$44,IF(AND($B9&gt;=Analysis!$C$58, $B9-Analysis!$C$58&lt;=25),Analysis!$C$43+Analysis!$C$44,0)))))</f>
        <v>-5200</v>
      </c>
      <c r="Q9" s="1">
        <f t="shared" si="43"/>
        <v>0</v>
      </c>
      <c r="R9" s="1">
        <f>IF(AND(AND(B9=Analysis!C$35,Analysis!C$34&lt;&gt;0),AND(B9=Analysis!C$37,Analysis!C$36&lt;&gt;0)),Analysis!C$34+Analysis!C$36,IF(AND(B9=Analysis!C$35,Analysis!C$34&lt;&gt;0),Analysis!C$34,IF(AND(B9=Analysis!C$37,Analysis!C$36&lt;&gt;0),Analysis!C$36,0)))</f>
        <v>0</v>
      </c>
      <c r="S9" s="64">
        <f t="shared" si="12"/>
        <v>0.02</v>
      </c>
      <c r="T9" s="64">
        <f>IF($B9&lt;Analysis!$C$13, ((1+IF($B9-$B$2&lt;10,Analysis!$C$11,IF($B9-$B$2&lt;20,(Analysis!$C$11+Analysis!$C$12)/2,Analysis!$C$12)))/(1+$S9)-1),IF($B9=Analysis!$C$13,-Analysis!$C$14,-$S9))</f>
        <v>2.450980392156854E-2</v>
      </c>
      <c r="U9" s="64">
        <f>IF($B9=$B$2,((1+Analysis!$C$16)/(1+$S9))-1,IF(B9&lt;Analysis!$C$13,U8-((Analysis!$C$16-Analysis!$C$17)/(Analysis!$C$13-$B$2)),((1+Analysis!$C$17)/(1+$S8))-1))</f>
        <v>6.6431372549019804E-2</v>
      </c>
      <c r="V9" s="64">
        <f t="shared" si="13"/>
        <v>0.26374999999999998</v>
      </c>
      <c r="W9" s="36"/>
      <c r="X9" s="1">
        <f t="shared" si="14"/>
        <v>-19403.455029161378</v>
      </c>
      <c r="Y9" s="64">
        <f t="shared" si="15"/>
        <v>2.941176470588247E-2</v>
      </c>
      <c r="Z9" s="1">
        <f t="shared" si="16"/>
        <v>-3960</v>
      </c>
      <c r="AA9" s="64">
        <f t="shared" si="17"/>
        <v>0</v>
      </c>
      <c r="AB9" s="40"/>
      <c r="AC9" s="1">
        <f t="shared" si="3"/>
        <v>-81763.455029161385</v>
      </c>
      <c r="AD9" s="1">
        <f t="shared" si="4"/>
        <v>110889.05426342982</v>
      </c>
      <c r="AE9" s="1">
        <f t="shared" si="18"/>
        <v>29125.599234268433</v>
      </c>
      <c r="AF9" s="1">
        <f>IF(AE9 &lt; 0,
    IF(AF8 + AE9 &gt; 0,
        AF8 + AE9, IF(AK8-ABS(AF8 + AE9)*(1+$V9) &gt;= AF8 + AE9,
        0, AF8 + AE9)),
    MIN(AF8 + AE9, Analysis!$C$7))+IF(AF8&lt;0, AF8*Analysis!$C$9,0)</f>
        <v>24000</v>
      </c>
      <c r="AG9" s="40"/>
      <c r="AH9" s="1">
        <f t="shared" si="19"/>
        <v>13220.201960331024</v>
      </c>
      <c r="AI9" s="1">
        <f>IF(AE9 &gt;= 0,
    MAX(0, AF8 + AE9 - Analysis!$C$7),
    0)</f>
        <v>29125.599234268433</v>
      </c>
      <c r="AJ9" s="1">
        <f t="shared" si="44"/>
        <v>187945.72904193233</v>
      </c>
      <c r="AK9" s="1">
        <f t="shared" si="20"/>
        <v>241351.20260454048</v>
      </c>
      <c r="AL9" s="1">
        <f t="shared" si="5"/>
        <v>227265.50895240257</v>
      </c>
      <c r="AM9" s="36"/>
      <c r="AN9" s="1">
        <f t="shared" si="45"/>
        <v>1090219.3797950521</v>
      </c>
      <c r="AO9" s="64">
        <f t="shared" si="21"/>
        <v>2.941176470588247E-2</v>
      </c>
      <c r="AP9" s="1">
        <f>IF($B9=Analysis!$C$66,(AN9*(1+Analysis!$C$23+Analysis!$C$24+Analysis!$C$25))-IF($B9=$B$2,(Analysis!$C$6-Analysis!$C$7+Analysis!$C$68), ($CG8-Analysis!$C$7+AY9)),0)</f>
        <v>0</v>
      </c>
      <c r="AQ9" s="65">
        <f>IF($B9=Analysis!$C$66,NPER(AU9,-AX9,-AP9),0)</f>
        <v>0</v>
      </c>
      <c r="AR9" s="64">
        <f>IF($B9=Analysis!$C$66,Analysis!$C$73,0)</f>
        <v>0</v>
      </c>
      <c r="AS9" s="1">
        <f>IF($B9&lt;Analysis!$C$66,0,IF($B9=Analysis!$C$66,-AP9*AR9,IF(AX9&gt;=0,0,AX9-AV9)))</f>
        <v>-23650.364504887068</v>
      </c>
      <c r="AT9" s="1">
        <f>IF($B9&lt;Analysis!$C$66,0,IF($B9=Analysis!$C$66,-AP9-AS9,MIN(0,AT8-AS9)))</f>
        <v>-749784.67590357095</v>
      </c>
      <c r="AU9" s="64">
        <f>IF($B9&lt;Analysis!$C$66,0,IF($B9=Analysis!$C$66,Analysis!$C$72,IF(($B9-Analysis!$C$66)&lt;LOOKUP(Analysis!$C$66,$B:$B,AQ:AQ),AU8,0)))</f>
        <v>3.6999999999999998E-2</v>
      </c>
      <c r="AV9" s="1">
        <f>IF($B9&lt;Analysis!$C$66,0,IF($B9=Analysis!$C$66,-AU9*AP9,AU8*AT8))</f>
        <v>-28617.096495112943</v>
      </c>
      <c r="AW9" s="1">
        <f>IF($B9&lt;Analysis!$C$66,0,IF($B9=Analysis!$C$66,PMT(AU9,AQ9,AP9)*AQ9-AX9-AT9,IF(($B9-Analysis!$C$66+1)&lt;LOOKUP(Analysis!$C$66,$B:$B,AQ:AQ),IF(AW8-AV9&lt;0, AW8-AV9,0),0)))</f>
        <v>-338758.76088673779</v>
      </c>
      <c r="AX9" s="1">
        <f>IF($B9&lt;Analysis!$C$66,0,IF($B9=Analysis!$C$66,AS9+AV9,IF(AT8&lt;0,IF(AT8&gt;LOOKUP(Analysis!$C$66,$B:$B,AX:AX), AT8*(1+AU8),AX8),0)))</f>
        <v>-52267.46100000001</v>
      </c>
      <c r="AY9" s="1">
        <f>IF($B9=Analysis!$C$66,Analysis!$C$68,0)</f>
        <v>0</v>
      </c>
      <c r="AZ9" s="1">
        <f>IF($B9=Analysis!$C$66,PMT(AU9,BA9,AY9)*BA9,0)</f>
        <v>0</v>
      </c>
      <c r="BA9" s="7">
        <f>IF($B9=Analysis!$C$66,Analysis!$C$70,0)</f>
        <v>0</v>
      </c>
      <c r="BB9" s="1">
        <f>IF($B9&lt;Analysis!$C$66,0,IF($B9=Analysis!$C$66,AZ9/BA9,IF(($B9-Analysis!$C$66)&lt;LOOKUP(Analysis!$C$66,$B:$B,BA:BA),BB8,0)))</f>
        <v>-6072.8287787074187</v>
      </c>
      <c r="BC9" s="1">
        <f>IF($B9&lt;Analysis!$C$66,0,IF($B9=Analysis!$C$66,BA9*BB9-BB9,IF(($B9-Analysis!$C$66)&lt;Analysis!$C$70,BC8-BB9,0)))</f>
        <v>-12145.65755741483</v>
      </c>
      <c r="BD9" s="42"/>
      <c r="BE9" s="1">
        <f>IF($B9&lt;Analysis!$C$66,0,-BF9*AN9)</f>
        <v>-3270.6581393851566</v>
      </c>
      <c r="BF9" s="64">
        <f>IF($B9&lt;Analysis!$C$66,0,Analysis!$C$78)</f>
        <v>3.0000000000000001E-3</v>
      </c>
      <c r="BG9" s="1">
        <f>IF($B9&lt;Analysis!$C$66,0,-BH9*AN9)</f>
        <v>-8176.645348462891</v>
      </c>
      <c r="BH9" s="64">
        <f>IF($B9&lt;Analysis!$C$66,0,Analysis!$C$79)</f>
        <v>7.4999999999999997E-3</v>
      </c>
      <c r="BI9" s="1">
        <f>IF($B9&lt;Analysis!$C$66,0,MIN(Analysis!$C$80*12,SUM(BJ9:BN9)))</f>
        <v>-3960</v>
      </c>
      <c r="BJ9" s="1">
        <f>IF($B9&lt;Analysis!$C$66,0,Analysis!$C$81*12)</f>
        <v>-900</v>
      </c>
      <c r="BK9" s="1">
        <f>IF($B9&lt;Analysis!$C$66,0,Analysis!$C$82*12)</f>
        <v>-1500</v>
      </c>
      <c r="BL9" s="1">
        <f>IF($B9&lt;Analysis!$C$66,0,Analysis!$C$83*12)</f>
        <v>-480</v>
      </c>
      <c r="BM9" s="1">
        <f>IF($B9&lt;Analysis!$C$66,0,Analysis!$C$84*12)</f>
        <v>-480</v>
      </c>
      <c r="BN9" s="1">
        <f>IF($B9&lt;Analysis!$C$66,0,Analysis!$C$85*12)</f>
        <v>-600</v>
      </c>
      <c r="BO9" s="1">
        <v>0</v>
      </c>
      <c r="BP9" s="1">
        <f>-BO9*Analysis!$C$28</f>
        <v>0</v>
      </c>
      <c r="BQ9" s="42"/>
      <c r="BR9" s="1">
        <f t="shared" si="22"/>
        <v>-139002.97092386914</v>
      </c>
      <c r="BS9" s="64">
        <f>IF($B9&lt;Analysis!C$66,0,Analysis!C$31)</f>
        <v>0.1275</v>
      </c>
      <c r="BT9" s="1">
        <f>IF($B9&lt;Analysis!$C$66,0,AN9+BR9)</f>
        <v>951216.40887118294</v>
      </c>
      <c r="BU9" s="1">
        <f>IF($B9-Analysis!$C$66&gt;3,0,IF($AN9&gt;LOOKUP(Analysis!$C$66,$B:$B, AN:AN),$V9*(LOOKUP(Analysis!$C$66,$B:$B, AN:AN)-AN9),0))</f>
        <v>0</v>
      </c>
      <c r="BV9" s="1">
        <f>BT9+BU9</f>
        <v>951216.40887118294</v>
      </c>
      <c r="BW9" s="42"/>
      <c r="BX9" s="1">
        <f>IF($B9&lt;Analysis!$C$66,$P9+$N9+$X9+$Z9,$P9+$N9+AS9+AV9+BB9+BE9+BG9+MAX(BI9,SUM(BJ9:BN9))+BP9)</f>
        <v>-132147.59326655546</v>
      </c>
      <c r="BY9" s="1">
        <f t="shared" si="24"/>
        <v>110889.05426342982</v>
      </c>
      <c r="BZ9" s="1">
        <f t="shared" si="46"/>
        <v>-21258.539003125639</v>
      </c>
      <c r="CA9" s="1">
        <f>IF(BZ9 &lt; 0,
    IF(CA8 + BZ9 &gt; 0,
        CA8 + BZ9, IF(CF8-ABS(CA8 + BZ9)*(1+$V9) &gt;= CA8 + BZ9,
        0, CA8 + BZ9)),
    MIN(CA8 + BZ9, Analysis!$C$7))+IF(CA8&lt;0, CA8*Analysis!$C$9,0)</f>
        <v>-302155.29304139345</v>
      </c>
      <c r="CB9" s="42"/>
      <c r="CC9" s="1">
        <f t="shared" si="47"/>
        <v>0</v>
      </c>
      <c r="CD9" s="1">
        <f>IF(BZ9 &gt;= 0,
    MAX(0, CA8 + BZ9 - Analysis!$C$7),
    0)</f>
        <v>0</v>
      </c>
      <c r="CE9" s="1">
        <f>IF($B9=Analysis!$C$66,0,MAX(0, CE8 + CD9 - IF(BZ9 &lt; 0, MIN(ABS(BZ9), CE8 + CD9), 0)))</f>
        <v>0</v>
      </c>
      <c r="CF9" s="1">
        <f>IF($B9=Analysis!$C$66,0,IF(BZ9 &lt; 0,
    IF(BZ9 + CA8 &lt; 0,
        MAX(0, CF8 - (ABS(BZ9 + CA8) * (1+$V8))),
        CF8 + CC9),
    CF8 + CD9 + CC9))</f>
        <v>0</v>
      </c>
      <c r="CG9" s="1">
        <f t="shared" si="25"/>
        <v>0</v>
      </c>
      <c r="CH9" s="36"/>
      <c r="CI9" s="1">
        <f>IF(OR($B9&lt;Analysis!$C$100, $B9&gt;=Analysis!$C$130),0,X9)</f>
        <v>-19403.455029161378</v>
      </c>
      <c r="CJ9" s="1">
        <f>IF(OR($B9&lt;Analysis!$C$100, $B9&gt;=Analysis!$C$130),0,Z9)</f>
        <v>-3960</v>
      </c>
      <c r="CK9" s="1">
        <f t="shared" si="26"/>
        <v>636492.12330506626</v>
      </c>
      <c r="CL9" s="64">
        <f t="shared" si="48"/>
        <v>2.941176470588247E-2</v>
      </c>
      <c r="CM9" s="1">
        <f>IF($B9=Analysis!$C$100,(CK9*(1+Analysis!$C$23+Analysis!$C$24+Analysis!$C$25))-IF($B9=$B$2,(Analysis!$C$6-Analysis!$C$7+Analysis!$C$105), (FU8-Analysis!$C$7+CV9)),0)</f>
        <v>0</v>
      </c>
      <c r="CN9" s="65">
        <f>IF($B9=Analysis!$C$100,NPER(CR9,-CU9,-CM9),0)</f>
        <v>0</v>
      </c>
      <c r="CO9" s="64">
        <f>IF($B9=Analysis!$C$100,Analysis!$C$103,0)</f>
        <v>0</v>
      </c>
      <c r="CP9" s="1">
        <f>IF(OR($B9&lt;Analysis!$C$100, $B9&gt;=Analysis!$C$101),0,IF($B9=Analysis!$C$100,-CM9*CO9,IF(CU9&gt;=0,0,CU9-CS9)))</f>
        <v>-12991.775859889698</v>
      </c>
      <c r="CQ9" s="1">
        <f>IF(OR($B9&lt;Analysis!$C$100, $B9&gt;=Analysis!$C$101),0,IF($B9=Analysis!$C$100,-CM9-CP9,MIN(0,CQ8-CP9)))</f>
        <v>-411876.71549444291</v>
      </c>
      <c r="CR9" s="64">
        <f>IF(OR($B9&lt;Analysis!$C$100, $B9&gt;=Analysis!$C$101),0,IF($B9=Analysis!$C$100,Analysis!$C$102,IF(($B9-Analysis!$C$100)&lt;LOOKUP(Analysis!$C$100,$B:$B,CN:CN),CR8,0)))</f>
        <v>3.6999999999999998E-2</v>
      </c>
      <c r="CS9" s="1">
        <f>IF(OR($B9&lt;Analysis!$C$100, $B9&gt;=Analysis!$C$101),0,IF($B9=Analysis!$C$100,-CR9*CM9,CR8*CQ8))</f>
        <v>-15720.134180110304</v>
      </c>
      <c r="CT9" s="1">
        <f>IF(OR($B9&lt;Analysis!$C$100, $B9&gt;=Analysis!$C$101),0,IF($B9=Analysis!$C$100,PMT(CR9,CN9,CM9)*CN9-CU9-CQ9,IF(($B9-Analysis!$C$100+1)&lt;LOOKUP(Analysis!$C$100,$B:$B,CN:CN),IF(CT8-CS9&lt;0, CT8-CS9,0),0)))</f>
        <v>-186089.22036296906</v>
      </c>
      <c r="CU9" s="1">
        <f>IF(OR($B9&lt;Analysis!$C$100, $B9&gt;=Analysis!$C$101),0,IF($B9=Analysis!$C$100,CP9+CS9,IF(CQ8&lt;0,IF(CQ8&gt;LOOKUP(Analysis!$C$100,$B:$B,CU:CU), CQ8*(1+CR8),CU8),0)))</f>
        <v>-28711.910040000002</v>
      </c>
      <c r="CV9" s="1">
        <f>IF($B9=Analysis!$C$100,Analysis!$C$105,0)</f>
        <v>0</v>
      </c>
      <c r="CW9" s="1">
        <f>IF($B9=Analysis!$C$100,PMT(CR9,CX9,CV9)*CX9,0)</f>
        <v>0</v>
      </c>
      <c r="CX9" s="7">
        <f>IF($B9=Analysis!$C$100,Analysis!$C$107,0)</f>
        <v>0</v>
      </c>
      <c r="CY9" s="1">
        <f>IF(OR($B9&lt;Analysis!$C$100, $B9&gt;=Analysis!$C$101),0,IF($B9=Analysis!$C$100,CW9/CX9,IF(($B9-Analysis!$C$100)&lt;LOOKUP(Analysis!$C$100,$B:$B,CX:CX),CY8,0)))</f>
        <v>-6072.8287787074187</v>
      </c>
      <c r="CZ9" s="1">
        <f>IF(OR($B9&lt;Analysis!$C$100, $B9&gt;=Analysis!$C$101),0,IF($B9=Analysis!$C$100,CX9*CY9-CY9,IF(($B9-Analysis!$C$100)&lt;Analysis!$C$107,CZ8-CY9,0)))</f>
        <v>-12145.65755741483</v>
      </c>
      <c r="DA9" s="53"/>
      <c r="DB9" s="1">
        <f>IF(OR($B9&lt;Analysis!$C$100, $B9&gt;=Analysis!$C$101),0,IF($B9=2025,(Analysis!$C$109*12),IF($B9=Analysis!$C$100,(Analysis!$C$109*12)*(1+DC9)^($B9-$B$2),DB8*(1+DC9))))</f>
        <v>16978.023150516205</v>
      </c>
      <c r="DC9" s="64">
        <f>IF(OR($B9&lt;Analysis!$C$100, $B9&gt;=Analysis!$C$101),0,((1+Analysis!$C$114)/(1+$S9))-1)</f>
        <v>2.941176470588247E-2</v>
      </c>
      <c r="DD9" s="1">
        <f t="shared" si="6"/>
        <v>22847.499520431404</v>
      </c>
      <c r="DE9" s="1">
        <f t="shared" si="27"/>
        <v>-1909.4763699151988</v>
      </c>
      <c r="DF9" s="64">
        <f>IF(OR($B9&lt;Analysis!$C$100, $B9&gt;=Analysis!$C$101),0,Analysis!$C$118)</f>
        <v>3.0000000000000001E-3</v>
      </c>
      <c r="DG9" s="1">
        <f t="shared" si="28"/>
        <v>-4773.6909247879967</v>
      </c>
      <c r="DH9" s="64">
        <f>IF(OR($B9&lt;Analysis!$C$100, $B9&gt;=Analysis!$C$101),0,Analysis!$C$119)</f>
        <v>7.4999999999999997E-3</v>
      </c>
      <c r="DI9" s="1">
        <f>IF(OR($B9&lt;Analysis!$C$100, $B9&gt;=Analysis!$C$101),0,MIN(Analysis!$C$120*12,SUM(DJ9:DN9)))</f>
        <v>-3960</v>
      </c>
      <c r="DJ9" s="1">
        <f>IF(OR($B9&lt;Analysis!$C$100, $B9&gt;=Analysis!$C$101),0,Analysis!$C$121*12)</f>
        <v>-900</v>
      </c>
      <c r="DK9" s="1">
        <f>IF(OR($B9&lt;Analysis!$C$100, $B9&gt;=Analysis!$C$101),0,Analysis!$C$122*12)</f>
        <v>-1500</v>
      </c>
      <c r="DL9" s="1">
        <f>IF(OR($B9&lt;Analysis!$C$100, $B9&gt;=Analysis!$C$101),0,Analysis!$C$123*12)</f>
        <v>-480</v>
      </c>
      <c r="DM9" s="1">
        <f>IF(OR($B9&lt;Analysis!$C$100, $B9&gt;=Analysis!$C$101),0,Analysis!$C$124*12)</f>
        <v>-480</v>
      </c>
      <c r="DN9" s="1">
        <f>IF(OR($B9&lt;Analysis!$C$100, $B9&gt;=Analysis!$C$101),0,Analysis!$C$125*12)</f>
        <v>-600</v>
      </c>
      <c r="DO9" s="64">
        <f>IF(OR($B9&lt;Analysis!$C$100, $B9&gt;=Analysis!$C$101),0,Analysis!$C$113)</f>
        <v>0.02</v>
      </c>
      <c r="DP9" s="1">
        <f>-DO9*LOOKUP(Analysis!$C$100,$B:$B,CK:CK)</f>
        <v>-10392</v>
      </c>
      <c r="DQ9" s="1">
        <f>-Analysis!$C$117*DB9</f>
        <v>-1273.3517362887153</v>
      </c>
      <c r="DR9" s="1">
        <f t="shared" si="29"/>
        <v>-22308.519030991909</v>
      </c>
      <c r="DS9" s="1">
        <f>MIN(0,-(DB9+DR9)*Analysis!$C$28)-CS9*Analysis!$C$28</f>
        <v>6965.5914552068753</v>
      </c>
      <c r="DT9" s="1">
        <f>-Analysis!$C$116*DD9/12</f>
        <v>-1903.9582933692836</v>
      </c>
      <c r="DU9" s="53"/>
      <c r="DV9" s="1">
        <f t="shared" si="30"/>
        <v>-81152.745721395942</v>
      </c>
      <c r="DW9" s="64">
        <f>IF(OR($B9&lt;Analysis!$C$100, $B9&gt;=Analysis!$C$101),0,IF($B9=Analysis!$C$100,Analysis!$C$31,DW8))</f>
        <v>0.1275</v>
      </c>
      <c r="DX9" s="1">
        <f>IF(OR($B9&lt;Analysis!$C$100, $B9&gt;=Analysis!$C$101),0,CK9+DV9)</f>
        <v>555339.37758367031</v>
      </c>
      <c r="DY9" s="1">
        <f>IF(OR($B9&lt;Analysis!$C$100, $B9&gt;=Analysis!$C$101),0,IF($B9-Analysis!$C$100&gt;3,0,IF(CK9&gt;LOOKUP(Analysis!$C$100,$B:$B, CK:CK),$V9*(LOOKUP(Analysis!$C$100,$B:$B, CK:CK)-CK9),0)))</f>
        <v>0</v>
      </c>
      <c r="DZ9" s="1">
        <f t="shared" si="49"/>
        <v>555339.37758367031</v>
      </c>
      <c r="EA9" s="53"/>
      <c r="EB9" s="1">
        <f t="shared" si="31"/>
        <v>845226.26073998434</v>
      </c>
      <c r="EC9" s="64">
        <f t="shared" si="50"/>
        <v>2.941176470588247E-2</v>
      </c>
      <c r="ED9" s="1">
        <f>MAX(0,IF($B9=Analysis!$C$130,(EB9*(1+Analysis!$C$23+Analysis!$C$24+Analysis!$C$25))-(IF($B9=$B$2,(Analysis!$C$6-Analysis!$C$7+Analysis!$C$132), (FU8-Analysis!$C$7+EM9)) + IF($B9=Analysis!$C$101,DZ8+CQ8+CT8+CZ8,0)),0))</f>
        <v>0</v>
      </c>
      <c r="EE9" s="65">
        <f>IF($B9=Analysis!$C$130,IF(ED9&gt;0,NPER(EI9,-EL9,-ED9),0),0)</f>
        <v>0</v>
      </c>
      <c r="EF9" s="64">
        <f>IF($B9=Analysis!$C$130,Analysis!$C$137,0)</f>
        <v>0</v>
      </c>
      <c r="EG9" s="1">
        <f>IF($B9&lt;Analysis!$C$130,0,IF($B9=Analysis!$C$130,-ED9*EF9,IF(EL9&gt;=0,0,EL9-EJ9)))</f>
        <v>0</v>
      </c>
      <c r="EH9" s="1">
        <f>IF($B9&lt;Analysis!$C$130,0,IF($B9=Analysis!$C$130,-ED9-EG9,MIN(0,EH8-EG9)))</f>
        <v>0</v>
      </c>
      <c r="EI9" s="64">
        <f>IF($B9&lt;Analysis!$C$130,0,IF($B9=Analysis!$C$130,Analysis!$C$136,IF(($B9-Analysis!$C$130)&lt;LOOKUP(Analysis!$C$130,$B:$B,EE:EE),EI8,0)))</f>
        <v>0</v>
      </c>
      <c r="EJ9" s="1">
        <f>IF($B9&lt;Analysis!$C$130,0,IF($B9=Analysis!$C$130,-EI9*ED9,EI8*EH8))</f>
        <v>0</v>
      </c>
      <c r="EK9" s="1">
        <f>IF(OR($B9&lt;Analysis!$C$130, ED9=0),0,IF($B9=Analysis!$C$130,PMT(EI9,EE9,ED9)*EE9-EL9-EH9,IF(($B9-Analysis!$C$130+1)&lt;LOOKUP(Analysis!$C$130,$B:$B,EE:EE),IF(EK8-EJ9&lt;0, EK8-EJ9,0),0)))</f>
        <v>0</v>
      </c>
      <c r="EL9" s="1">
        <f>IF($B9&lt;Analysis!$C$130,0,IF($B9=Analysis!$C$130,EG9+EJ9,IF(EH8&lt;0,IF(EH8&gt;LOOKUP(Analysis!$C$130,$B:$B,EL:EL), EH8*(1+EI8),EL8),0)))</f>
        <v>0</v>
      </c>
      <c r="EM9" s="1">
        <f>IF($B9=Analysis!$C$130,Analysis!$C$132,0)</f>
        <v>0</v>
      </c>
      <c r="EN9" s="1">
        <f>IF($B9=Analysis!$C$130,PMT(EI9,EO9,EM9)*EO9,0)</f>
        <v>0</v>
      </c>
      <c r="EO9" s="7">
        <f>IF($B9=Analysis!$C$130,Analysis!$C$134,0)</f>
        <v>0</v>
      </c>
      <c r="EP9" s="1">
        <f>IF($B9&lt;Analysis!$C$130,0,IF($B9=Analysis!$C$130,EN9/EO9,IF(($B9-Analysis!$C$130)&lt;LOOKUP(Analysis!$C$130,$B:$B,EO:EO),EP8,0)))</f>
        <v>0</v>
      </c>
      <c r="EQ9" s="1">
        <f>IF($B9&lt;Analysis!$C$130,0,IF($B9=Analysis!$C$130,EO9*EP9-EP9,IF(($B9-Analysis!$C$130)&lt;Analysis!$C$134,EQ8-EP9,0)))</f>
        <v>0</v>
      </c>
      <c r="ER9" s="53"/>
      <c r="ES9" s="1">
        <f>IF($B9&lt;Analysis!$C$130,0,-ET9*EB9)</f>
        <v>0</v>
      </c>
      <c r="ET9" s="64">
        <f>IF($B9&lt;Analysis!$C$130,0,Analysis!$C$142)</f>
        <v>0</v>
      </c>
      <c r="EU9" s="1">
        <f>IF($B9&lt;Analysis!$C$130,0,-EV9*EB9)</f>
        <v>0</v>
      </c>
      <c r="EV9" s="64">
        <f>IF($B9&lt;Analysis!$C$130,0,Analysis!$C$143)</f>
        <v>0</v>
      </c>
      <c r="EW9" s="1">
        <f>IF($B9&lt;Analysis!$C$130,0,MIN(Analysis!$C$144*12,SUM(EX9:FB9)))</f>
        <v>0</v>
      </c>
      <c r="EX9" s="1">
        <f>IF($B9&lt;Analysis!$C$130,0,Analysis!$C$145*12)</f>
        <v>0</v>
      </c>
      <c r="EY9" s="1">
        <f>IF($B9&lt;Analysis!$C$130,0,Analysis!$C$146*12)</f>
        <v>0</v>
      </c>
      <c r="EZ9" s="1">
        <f>IF($B9&lt;Analysis!$C$130,0,Analysis!$C$147*12)</f>
        <v>0</v>
      </c>
      <c r="FA9" s="1">
        <f>IF($B9&lt;Analysis!$C$130,0,Analysis!$C$148*12)</f>
        <v>0</v>
      </c>
      <c r="FB9" s="1">
        <f>IF($B9&lt;Analysis!$C$130,0,Analysis!$C$149*12)</f>
        <v>0</v>
      </c>
      <c r="FC9" s="1">
        <v>0</v>
      </c>
      <c r="FD9" s="1">
        <f>-FC9*Analysis!$C$28</f>
        <v>0</v>
      </c>
      <c r="FE9" s="53"/>
      <c r="FF9" s="1">
        <f t="shared" si="32"/>
        <v>0</v>
      </c>
      <c r="FG9" s="64">
        <f>IF($B9&lt;Analysis!$C$130,0,Analysis!$C$31)</f>
        <v>0</v>
      </c>
      <c r="FH9" s="1">
        <f>IF($B9&lt;Analysis!$C$130,0,EB9+FF9)</f>
        <v>0</v>
      </c>
      <c r="FI9" s="1">
        <f>IF($B9-Analysis!$C$130&gt;3,0,IF(EB9&gt;LOOKUP(Analysis!$C$130,$B:$B, EB:EB),$V9*(LOOKUP(Analysis!$C$130,$B:$B, EB:EB)-EB9),0))</f>
        <v>0</v>
      </c>
      <c r="FJ9" s="1">
        <f t="shared" si="33"/>
        <v>0</v>
      </c>
      <c r="FK9" s="53"/>
      <c r="FL9" s="1">
        <f>$P9+$N9+IF($B9&lt;Analysis!$C$130,$X9+$Z9,0)+CP9+CS9+CY9+DE9+DG9+MIN(DI9,SUM(DJ9:DN9))+DQ9+DS9+DT9+EG9+EJ9+EP9+ES9+EU9+MIN(EW9,SUM(EX9:FB9))+FD9</f>
        <v>-123403.07971702312</v>
      </c>
      <c r="FM9" s="1">
        <f>$M9+$R9+DD9+IF(AND($B9&lt;&gt;Analysis!$C$130,$B9=Analysis!$C$101),DZ8+CQ8+CT8+CZ8,0)</f>
        <v>133736.55378386122</v>
      </c>
      <c r="FN9" s="1">
        <f t="shared" si="34"/>
        <v>10333.474066838098</v>
      </c>
      <c r="FO9" s="1">
        <f>IF(FN9 &lt; 0,
    IF(FO8 + FN9 &gt; 0,
        FO8 + FN9, IF(FT8-ABS(FO8 + FN9)*(1+$V9) &gt;= FO8 + FN9,
        0, FO8 + FN9)),
    MIN(FO8 + FN9, Analysis!$C$7))+IF(FO8&lt;0, FO8*Analysis!$C$9,0)</f>
        <v>24000</v>
      </c>
      <c r="FP9" s="53"/>
      <c r="FQ9" s="1">
        <f t="shared" si="51"/>
        <v>0</v>
      </c>
      <c r="FR9" s="1">
        <f>IF(OR($B9=Analysis!$C$100, $B9=Analysis!$C$130),0,IF(FN9 &gt;= 0,
    MAX(0, FO8 + FN9 - Analysis!$C$7),
    0))</f>
        <v>10208.22619761611</v>
      </c>
      <c r="FS9" s="1">
        <f>IF(OR($B9=Analysis!$C$100, $B9=Analysis!$C$130),0,MAX(0, FS8 + FR9 - IF(FN9 &lt; 0, MIN(ABS(FN9), FS8 + FR9), 0)))</f>
        <v>10208.22619761611</v>
      </c>
      <c r="FT9" s="1">
        <f>IF(OR($B9=Analysis!$C$100, $B9=Analysis!$C$130),0,IF(FN9 &lt; 0,
    IF(FN9 + FO8 &lt; 0,
        MAX(0, FT8 - (ABS(FN9 + FO8) * (1+$V8))),
        FT8 + FQ9),
    FT8 + FR9 + FQ9))</f>
        <v>10208.22619761611</v>
      </c>
      <c r="FU9" s="1">
        <f t="shared" si="35"/>
        <v>10208.22619761611</v>
      </c>
      <c r="FV9" s="36"/>
      <c r="FW9" s="1">
        <f t="shared" si="52"/>
        <v>636492.12330506626</v>
      </c>
      <c r="FX9" s="64">
        <f t="shared" si="53"/>
        <v>2.941176470588247E-2</v>
      </c>
      <c r="FY9" s="1">
        <f>IF($B9=Analysis!$C$159,(FW9*(1+Analysis!$C$23+Analysis!$C$24+Analysis!$C$25))-IF($B9=$B$2,(Analysis!$C$6-Analysis!$C$7+Analysis!$C$165), (HW8-Analysis!$C$7+GH9)),0)</f>
        <v>0</v>
      </c>
      <c r="FZ9" s="65">
        <f>IF($B9=Analysis!$C$159,NPER(GD9,-GG9,-FY9),0)</f>
        <v>0</v>
      </c>
      <c r="GA9" s="64">
        <f>IF($B9=Analysis!$C$159,Analysis!$C$161,0)</f>
        <v>0</v>
      </c>
      <c r="GB9" s="1">
        <f>IF($B9&lt;Analysis!$C$159,0,IF($B9=Analysis!$C$159,-FY9*GA9,IF(GG9&gt;=0,0,GG9-GE9)))</f>
        <v>-12991.775859889698</v>
      </c>
      <c r="GC9" s="1">
        <f>IF($B9&lt;Analysis!$C$159,0,IF($B9=Analysis!$C$159,-FY9-GB9,MIN(0,GC8-GB9)))</f>
        <v>-411876.71549444291</v>
      </c>
      <c r="GD9" s="64">
        <f>IF($B9&lt;Analysis!$C$159,0,IF($B9=Analysis!$C$159,Analysis!$C$160,IF(($B9-Analysis!$C$159)&lt;LOOKUP(Analysis!$C$159,$B:$B,FZ:FZ),GD8,0)))</f>
        <v>3.6999999999999998E-2</v>
      </c>
      <c r="GE9" s="1">
        <f>IF($B9&lt;Analysis!$C$159,0,IF($B9=Analysis!$C$159,-GD9*FY9,GD8*GC8))</f>
        <v>-15720.134180110304</v>
      </c>
      <c r="GF9" s="1">
        <f>IF($B9&lt;Analysis!$C$159,0,IF($B9=Analysis!$C$159,PMT(GD9,FZ9,FY9)*FZ9-GG9-GC9,IF(($B9-Analysis!$C$159+1)&lt;LOOKUP(Analysis!$C$159,$B:$B,FZ:FZ),IF(GF8-GE9&lt;0, GF8-GE9,0),0)))</f>
        <v>-186089.22036296906</v>
      </c>
      <c r="GG9" s="1">
        <f>IF($B9&lt;Analysis!$C$159,0,IF($B9=Analysis!$C$159,GB9+GE9,IF(GC8&lt;0,IF(GC8&gt;LOOKUP(Analysis!$C$159,$B:$B,GG:GG), GC8*(1+GD8),GG8),0)))</f>
        <v>-28711.910040000002</v>
      </c>
      <c r="GH9" s="1">
        <f>IF($B9=Analysis!$C$159,Analysis!$C$165,0)</f>
        <v>0</v>
      </c>
      <c r="GI9" s="1">
        <f>IF($B9=Analysis!$C$159,PMT(GD9,GJ9,GH9)*GJ9,0)</f>
        <v>0</v>
      </c>
      <c r="GJ9" s="7">
        <f>IF($B9=Analysis!$C$159,Analysis!$C$167,0)</f>
        <v>0</v>
      </c>
      <c r="GK9" s="1">
        <f>IF($B9&lt;Analysis!$C$159,0,IF($B9=Analysis!$C$159,GI9/GJ9,IF(($B9-Analysis!$C$159)&lt;LOOKUP(Analysis!$C$159,$B:$B,GJ:GJ),GK8,0)))</f>
        <v>-6072.8287787074187</v>
      </c>
      <c r="GL9" s="1">
        <f>IF($B9&lt;Analysis!$C$159,0,IF($B9=Analysis!$C$159,GJ9*GK9-GK9,IF(($B9-Analysis!$C$159)&lt;Analysis!$C$167,GL8-GK9,0)))</f>
        <v>-12145.65755741483</v>
      </c>
      <c r="GM9" s="38"/>
      <c r="GN9" s="1">
        <f>IF($B9&lt;Analysis!$C$159,0,IF($B9=2025,(Analysis!$C$109*12),IF($B9=Analysis!$C$159,(Analysis!$C$109*12)*(1+GO9)^($B9-$B$2),GN8*(1+GO9))))</f>
        <v>16978.023150516205</v>
      </c>
      <c r="GO9" s="64">
        <f>IF($B9&lt;Analysis!$C$159,0,((1+Analysis!$C$174)/(1+$S9))-1)</f>
        <v>2.941176470588247E-2</v>
      </c>
      <c r="GP9" s="1">
        <f t="shared" si="7"/>
        <v>22847.499520431404</v>
      </c>
      <c r="GQ9" s="1">
        <f t="shared" si="36"/>
        <v>-1909.4763699151988</v>
      </c>
      <c r="GR9" s="64">
        <f>IF($B9&lt;Analysis!$C$159,0,Analysis!$C$178)</f>
        <v>3.0000000000000001E-3</v>
      </c>
      <c r="GS9" s="1">
        <f t="shared" si="37"/>
        <v>-4773.6909247879967</v>
      </c>
      <c r="GT9" s="64">
        <f>IF($B9&lt;Analysis!$C$159,0,Analysis!$C$179)</f>
        <v>7.4999999999999997E-3</v>
      </c>
      <c r="GU9" s="1">
        <f>IF($B9&lt;Analysis!$C$159,0,MIN(Analysis!$C$180*12,SUM(GV9:GZ9)))</f>
        <v>-3960</v>
      </c>
      <c r="GV9" s="1">
        <f>IF($B9&lt;Analysis!$C$159,0,Analysis!$C$181*12)</f>
        <v>-900</v>
      </c>
      <c r="GW9" s="1">
        <f>IF($B9&lt;Analysis!$C$159,0,Analysis!$C$182*12)</f>
        <v>-1500</v>
      </c>
      <c r="GX9" s="1">
        <f>IF($B9&lt;Analysis!$C$159,0,Analysis!$C$183*12)</f>
        <v>-480</v>
      </c>
      <c r="GY9" s="1">
        <f>IF($B9&lt;Analysis!$C$159,0,Analysis!$C$184*12)</f>
        <v>-480</v>
      </c>
      <c r="GZ9" s="1">
        <f>IF($B9&lt;Analysis!$C$159,0,Analysis!$C$185*12)</f>
        <v>-600</v>
      </c>
      <c r="HA9" s="64">
        <f>IF($B9&lt;Analysis!$C$159,0,Analysis!$C$173)</f>
        <v>0.02</v>
      </c>
      <c r="HB9" s="1">
        <f>-HA9*LOOKUP(Analysis!$C$159,$B:$B,FW:FW)</f>
        <v>-10392</v>
      </c>
      <c r="HC9" s="1">
        <f>-Analysis!$C$177*GN9</f>
        <v>-1273.3517362887153</v>
      </c>
      <c r="HD9" s="1">
        <f t="shared" si="38"/>
        <v>-22308.519030991909</v>
      </c>
      <c r="HE9" s="1">
        <f>MIN(0,-(GN9+HD9)*Analysis!$C$28)-GE9*Analysis!$C$28</f>
        <v>6965.5914552068753</v>
      </c>
      <c r="HF9" s="1">
        <f>-Analysis!$C$176*GP9/12</f>
        <v>-1903.9582933692836</v>
      </c>
      <c r="HG9" s="38"/>
      <c r="HH9" s="1">
        <f>IF($B9&lt;Analysis!$C$159,0,-$HI9*$FW9)</f>
        <v>-81152.745721395942</v>
      </c>
      <c r="HI9" s="64">
        <f>IF($B9&lt;Analysis!$C$159,0,IF($B9=Analysis!$C$159,Analysis!$C$31,HI8))</f>
        <v>0.1275</v>
      </c>
      <c r="HJ9" s="1">
        <f>IF($B9&lt;Analysis!$C$159,0,$FW9+HH9)</f>
        <v>555339.37758367031</v>
      </c>
      <c r="HK9" s="1">
        <f>IF($B9-Analysis!$C$159&gt;10,0,IF($FW9&gt;LOOKUP(Analysis!$C$159,$B:$B, FW:FW),$V9*(LOOKUP(Analysis!$C$159,$B:$B, FW:FW)-FW9),0))</f>
        <v>-30830.297521711222</v>
      </c>
      <c r="HL9" s="1">
        <f t="shared" si="39"/>
        <v>524509.0800619591</v>
      </c>
      <c r="HM9" s="38"/>
      <c r="HN9" s="1">
        <f t="shared" si="40"/>
        <v>-123403.07971702312</v>
      </c>
      <c r="HO9" s="1">
        <f t="shared" si="8"/>
        <v>133736.55378386122</v>
      </c>
      <c r="HP9" s="1">
        <f t="shared" si="41"/>
        <v>10333.474066838098</v>
      </c>
      <c r="HQ9" s="1">
        <f>IF(HP9 &lt; 0,
    IF(HQ8 + HP9 &gt; 0,
        HQ8 + HP9, IF(HV8-ABS(HQ8 + HP9)*(1+$V9) &gt;= HQ8 + HP9,
        0, HQ8 + HP9)),
    MIN(HQ8 + HP9, Analysis!$C$7))+IF(HQ8&lt;0, HQ8*Analysis!$C$9,0)</f>
        <v>24000</v>
      </c>
      <c r="HR9" s="38"/>
      <c r="HS9" s="1">
        <f t="shared" si="54"/>
        <v>0</v>
      </c>
      <c r="HT9" s="1">
        <f>IF($B9=Analysis!$C$159,0,IF(HP9 &gt;= 0,
    MAX(0, HQ8 + HP9 - Analysis!$C$7),
    0))</f>
        <v>10208.22619761611</v>
      </c>
      <c r="HU9" s="1">
        <f>IF($B9=Analysis!$C$159,0,MAX(0, HU8 + HT9 - IF(HP9 &lt; 0, MIN(ABS(HP9), HU8 + HT9), 0)))</f>
        <v>10208.22619761611</v>
      </c>
      <c r="HV9" s="1">
        <f>IF($B9=Analysis!$C$159,0,IF(HP9 &lt; 0,
    IF(HP9 + HQ8 &lt; 0,
        MAX(0, HV8 - (ABS(HP9 + HQ8) * (1+$V8))),
        HV8 + HS9),
    HV8 + HT9 + HS9))</f>
        <v>10208.22619761611</v>
      </c>
      <c r="HW9" s="1">
        <f t="shared" si="42"/>
        <v>10208.22619761611</v>
      </c>
      <c r="HX9" s="36"/>
    </row>
    <row r="10" spans="1:232" x14ac:dyDescent="0.35">
      <c r="A10">
        <f t="shared" si="0"/>
        <v>43</v>
      </c>
      <c r="B10">
        <v>2033</v>
      </c>
      <c r="C10" s="1">
        <f>IF($B10&lt;Analysis!C$66,0,$AN10)+$AT10+$AW10+$BC10+$CF10+$CA10</f>
        <v>-265269.22080512613</v>
      </c>
      <c r="D10" s="1">
        <f>IF($B10&lt;Analysis!C$66, 0, BV10)+AT10+AW10+BC10+CG10+CA10</f>
        <v>-408360.51440322667</v>
      </c>
      <c r="E10" s="1">
        <f t="shared" si="1"/>
        <v>312243.52769868047</v>
      </c>
      <c r="F10" s="1">
        <f t="shared" si="9"/>
        <v>294038.17859475757</v>
      </c>
      <c r="G10" s="1">
        <f>IF(AND($B10&gt;=Analysis!$C$100, $B10&lt;Analysis!$C$101),$CK10,0)+IF($B10&gt;=Analysis!$C$130,EB10,0)+CQ10+CT10+CZ10+EH10+EK10+EQ10+$FO10+$FT10</f>
        <v>127297.36159319129</v>
      </c>
      <c r="H10" s="1">
        <f t="shared" si="10"/>
        <v>43583.524852494033</v>
      </c>
      <c r="I10" s="1">
        <f>IF($B10&lt;Analysis!$C$159,0,$FW10)+$GC10+$GF10+$GL10+$HQ10+$HV10</f>
        <v>127297.36159319129</v>
      </c>
      <c r="J10" s="1">
        <f t="shared" si="2"/>
        <v>7815.7332860265415</v>
      </c>
      <c r="K10" s="36"/>
      <c r="L10" s="1">
        <f t="shared" si="11"/>
        <v>113606.92324047466</v>
      </c>
      <c r="M10" s="1">
        <f>IF($B10=Analysis!$C$47, M9 * (1 - Analysis!$C$48),
    IF($B10=Analysis!$C$52, M9 * (1 - Analysis!$C$53),
    IF($B10=Analysis!$C$58, M9 * (1 - Analysis!$C$60),
    L10)))</f>
        <v>113606.92324047466</v>
      </c>
      <c r="N10" s="1">
        <f>Analysis!$C$3*12*(1+O10)+P10</f>
        <v>-53200</v>
      </c>
      <c r="O10" s="64">
        <f>IF(OR($B10=Analysis!$C$47,$B10=Analysis!$C$52,$B10=Analysis!$C$58),-Analysis!$C$49,0)</f>
        <v>0</v>
      </c>
      <c r="P10" s="1">
        <f>IF($B10&lt;Analysis!$C$47,0,IF($B10-Analysis!$C$47&lt;=3,Analysis!$C$40+Analysis!$C$44,IF($B10-Analysis!$C$47&lt;=10,Analysis!$C$41+Analysis!$C$44,IF($B10-Analysis!$C$47&lt;=18,Analysis!$C$42+Analysis!$C$44,IF($B10-Analysis!$C$47&lt;=25,Analysis!$C$43+Analysis!$C$44,0)))) + IF(AND($B10&gt;=Analysis!$C$52, $B10-Analysis!$C$52&lt;=3),Analysis!$C$40+Analysis!$C$44,IF(AND($B10&gt;=Analysis!$C$52, $B10-Analysis!$C$52&lt;=10),Analysis!$C$41+Analysis!$C$44,IF(AND($B10&gt;=Analysis!$C$52, $B10-Analysis!$C$52&lt;=18),Analysis!$C$42+Analysis!$C$44,IF(AND($B10&gt;=Analysis!$C$52, $B10-Analysis!$C$52&lt;=25),Analysis!$C$43+Analysis!$C$44,0)))) + Analysis!$C$57*IF(AND($B10&gt;=Analysis!$C$58, $B10-Analysis!$C$58&lt;=3),Analysis!$C$40+Analysis!$C$44,IF(AND($B10&gt;=Analysis!$C$58, $B10-Analysis!$C$58&lt;=10),Analysis!$C$41+Analysis!$C$44,IF(AND($B10&gt;=Analysis!$C$58, $B10-Analysis!$C$58&lt;=18),Analysis!$C$42+Analysis!$C$44,IF(AND($B10&gt;=Analysis!$C$58, $B10-Analysis!$C$58&lt;=25),Analysis!$C$43+Analysis!$C$44,0)))))</f>
        <v>-5200</v>
      </c>
      <c r="Q10" s="1">
        <f t="shared" si="43"/>
        <v>0</v>
      </c>
      <c r="R10" s="1">
        <f>IF(AND(AND(B10=Analysis!C$35,Analysis!C$34&lt;&gt;0),AND(B10=Analysis!C$37,Analysis!C$36&lt;&gt;0)),Analysis!C$34+Analysis!C$36,IF(AND(B10=Analysis!C$35,Analysis!C$34&lt;&gt;0),Analysis!C$34,IF(AND(B10=Analysis!C$37,Analysis!C$36&lt;&gt;0),Analysis!C$36,0)))</f>
        <v>0</v>
      </c>
      <c r="S10" s="64">
        <f t="shared" si="12"/>
        <v>0.02</v>
      </c>
      <c r="T10" s="64">
        <f>IF($B10&lt;Analysis!$C$13, ((1+IF($B10-$B$2&lt;10,Analysis!$C$11,IF($B10-$B$2&lt;20,(Analysis!$C$11+Analysis!$C$12)/2,Analysis!$C$12)))/(1+$S10)-1),IF($B10=Analysis!$C$13,-Analysis!$C$14,-$S10))</f>
        <v>2.450980392156854E-2</v>
      </c>
      <c r="U10" s="64">
        <f>IF($B10=$B$2,((1+Analysis!$C$16)/(1+$S10))-1,IF(B10&lt;Analysis!$C$13,U9-((Analysis!$C$16-Analysis!$C$17)/(Analysis!$C$13-$B$2)),((1+Analysis!$C$17)/(1+$S9))-1))</f>
        <v>6.4717086834734094E-2</v>
      </c>
      <c r="V10" s="64">
        <f t="shared" si="13"/>
        <v>0.26374999999999998</v>
      </c>
      <c r="W10" s="36"/>
      <c r="X10" s="1">
        <f t="shared" si="14"/>
        <v>-19974.144882960245</v>
      </c>
      <c r="Y10" s="64">
        <f t="shared" si="15"/>
        <v>2.941176470588247E-2</v>
      </c>
      <c r="Z10" s="1">
        <f t="shared" si="16"/>
        <v>-3960</v>
      </c>
      <c r="AA10" s="64">
        <f t="shared" si="17"/>
        <v>0</v>
      </c>
      <c r="AB10" s="40"/>
      <c r="AC10" s="1">
        <f t="shared" si="3"/>
        <v>-82334.144882960245</v>
      </c>
      <c r="AD10" s="1">
        <f t="shared" si="4"/>
        <v>113606.92324047466</v>
      </c>
      <c r="AE10" s="1">
        <f t="shared" si="18"/>
        <v>31272.778357514413</v>
      </c>
      <c r="AF10" s="1">
        <f>IF(AE10 &lt; 0,
    IF(AF9 + AE10 &gt; 0,
        AF9 + AE10, IF(AK9-ABS(AF9 + AE10)*(1+$V10) &gt;= AF9 + AE10,
        0, AF9 + AE10)),
    MIN(AF9 + AE10, Analysis!$C$7))+IF(AF9&lt;0, AF9*Analysis!$C$9,0)</f>
        <v>24000</v>
      </c>
      <c r="AG10" s="40"/>
      <c r="AH10" s="1">
        <f t="shared" si="19"/>
        <v>15619.546736625547</v>
      </c>
      <c r="AI10" s="1">
        <f>IF(AE10 &gt;= 0,
    MAX(0, AF9 + AE10 - Analysis!$C$7),
    0)</f>
        <v>31272.778357514413</v>
      </c>
      <c r="AJ10" s="1">
        <f t="shared" si="44"/>
        <v>219218.50739944674</v>
      </c>
      <c r="AK10" s="1">
        <f t="shared" si="20"/>
        <v>288243.52769868047</v>
      </c>
      <c r="AL10" s="1">
        <f t="shared" si="5"/>
        <v>270038.17859475757</v>
      </c>
      <c r="AM10" s="36"/>
      <c r="AN10" s="1">
        <f t="shared" si="45"/>
        <v>1122284.6556713772</v>
      </c>
      <c r="AO10" s="64">
        <f t="shared" si="21"/>
        <v>2.941176470588247E-2</v>
      </c>
      <c r="AP10" s="1">
        <f>IF($B10=Analysis!$C$66,(AN10*(1+Analysis!$C$23+Analysis!$C$24+Analysis!$C$25))-IF($B10=$B$2,(Analysis!$C$6-Analysis!$C$7+Analysis!$C$68), ($CG9-Analysis!$C$7+AY10)),0)</f>
        <v>0</v>
      </c>
      <c r="AQ10" s="65">
        <f>IF($B10=Analysis!$C$66,NPER(AU10,-AX10,-AP10),0)</f>
        <v>0</v>
      </c>
      <c r="AR10" s="64">
        <f>IF($B10=Analysis!$C$66,Analysis!$C$73,0)</f>
        <v>0</v>
      </c>
      <c r="AS10" s="1">
        <f>IF($B10&lt;Analysis!$C$66,0,IF($B10=Analysis!$C$66,-AP10*AR10,IF(AX10&gt;=0,0,AX10-AV10)))</f>
        <v>-24525.427991567885</v>
      </c>
      <c r="AT10" s="1">
        <f>IF($B10&lt;Analysis!$C$66,0,IF($B10=Analysis!$C$66,-AP10-AS10,MIN(0,AT9-AS10)))</f>
        <v>-725259.24791200308</v>
      </c>
      <c r="AU10" s="64">
        <f>IF($B10&lt;Analysis!$C$66,0,IF($B10=Analysis!$C$66,Analysis!$C$72,IF(($B10-Analysis!$C$66)&lt;LOOKUP(Analysis!$C$66,$B:$B,AQ:AQ),AU9,0)))</f>
        <v>3.6999999999999998E-2</v>
      </c>
      <c r="AV10" s="1">
        <f>IF($B10&lt;Analysis!$C$66,0,IF($B10=Analysis!$C$66,-AU10*AP10,AU9*AT9))</f>
        <v>-27742.033008432125</v>
      </c>
      <c r="AW10" s="1">
        <f>IF($B10&lt;Analysis!$C$66,0,IF($B10=Analysis!$C$66,PMT(AU10,AQ10,AP10)*AQ10-AX10-AT10,IF(($B10-Analysis!$C$66+1)&lt;LOOKUP(Analysis!$C$66,$B:$B,AQ:AQ),IF(AW9-AV10&lt;0, AW9-AV10,0),0)))</f>
        <v>-311016.72787830565</v>
      </c>
      <c r="AX10" s="1">
        <f>IF($B10&lt;Analysis!$C$66,0,IF($B10=Analysis!$C$66,AS10+AV10,IF(AT9&lt;0,IF(AT9&gt;LOOKUP(Analysis!$C$66,$B:$B,AX:AX), AT9*(1+AU9),AX9),0)))</f>
        <v>-52267.46100000001</v>
      </c>
      <c r="AY10" s="1">
        <f>IF($B10=Analysis!$C$66,Analysis!$C$68,0)</f>
        <v>0</v>
      </c>
      <c r="AZ10" s="1">
        <f>IF($B10=Analysis!$C$66,PMT(AU10,BA10,AY10)*BA10,0)</f>
        <v>0</v>
      </c>
      <c r="BA10" s="7">
        <f>IF($B10=Analysis!$C$66,Analysis!$C$70,0)</f>
        <v>0</v>
      </c>
      <c r="BB10" s="1">
        <f>IF($B10&lt;Analysis!$C$66,0,IF($B10=Analysis!$C$66,AZ10/BA10,IF(($B10-Analysis!$C$66)&lt;LOOKUP(Analysis!$C$66,$B:$B,BA:BA),BB9,0)))</f>
        <v>-6072.8287787074187</v>
      </c>
      <c r="BC10" s="1">
        <f>IF($B10&lt;Analysis!$C$66,0,IF($B10=Analysis!$C$66,BA10*BB10-BB10,IF(($B10-Analysis!$C$66)&lt;Analysis!$C$70,BC9-BB10,0)))</f>
        <v>-6072.8287787074114</v>
      </c>
      <c r="BD10" s="42"/>
      <c r="BE10" s="1">
        <f>IF($B10&lt;Analysis!$C$66,0,-BF10*AN10)</f>
        <v>-3366.8539670141317</v>
      </c>
      <c r="BF10" s="64">
        <f>IF($B10&lt;Analysis!$C$66,0,Analysis!$C$78)</f>
        <v>3.0000000000000001E-3</v>
      </c>
      <c r="BG10" s="1">
        <f>IF($B10&lt;Analysis!$C$66,0,-BH10*AN10)</f>
        <v>-8417.134917535328</v>
      </c>
      <c r="BH10" s="64">
        <f>IF($B10&lt;Analysis!$C$66,0,Analysis!$C$79)</f>
        <v>7.4999999999999997E-3</v>
      </c>
      <c r="BI10" s="1">
        <f>IF($B10&lt;Analysis!$C$66,0,MIN(Analysis!$C$80*12,SUM(BJ10:BN10)))</f>
        <v>-3960</v>
      </c>
      <c r="BJ10" s="1">
        <f>IF($B10&lt;Analysis!$C$66,0,Analysis!$C$81*12)</f>
        <v>-900</v>
      </c>
      <c r="BK10" s="1">
        <f>IF($B10&lt;Analysis!$C$66,0,Analysis!$C$82*12)</f>
        <v>-1500</v>
      </c>
      <c r="BL10" s="1">
        <f>IF($B10&lt;Analysis!$C$66,0,Analysis!$C$83*12)</f>
        <v>-480</v>
      </c>
      <c r="BM10" s="1">
        <f>IF($B10&lt;Analysis!$C$66,0,Analysis!$C$84*12)</f>
        <v>-480</v>
      </c>
      <c r="BN10" s="1">
        <f>IF($B10&lt;Analysis!$C$66,0,Analysis!$C$85*12)</f>
        <v>-600</v>
      </c>
      <c r="BO10" s="1">
        <v>0</v>
      </c>
      <c r="BP10" s="1">
        <f>-BO10*Analysis!$C$28</f>
        <v>0</v>
      </c>
      <c r="BQ10" s="42"/>
      <c r="BR10" s="1">
        <f t="shared" si="22"/>
        <v>-143091.2935981006</v>
      </c>
      <c r="BS10" s="64">
        <f>IF($B10&lt;Analysis!C$66,0,Analysis!C$31)</f>
        <v>0.1275</v>
      </c>
      <c r="BT10" s="1">
        <f>IF($B10&lt;Analysis!$C$66,0,AN10+BR10)</f>
        <v>979193.36207327666</v>
      </c>
      <c r="BU10" s="1">
        <f>IF($B10-Analysis!$C$66&gt;3,0,IF($AN10&gt;LOOKUP(Analysis!$C$66,$B:$B, AN:AN),$V10*(LOOKUP(Analysis!$C$66,$B:$B, AN:AN)-AN10),0))</f>
        <v>0</v>
      </c>
      <c r="BV10" s="1">
        <f t="shared" si="23"/>
        <v>979193.36207327666</v>
      </c>
      <c r="BW10" s="42"/>
      <c r="BX10" s="1">
        <f>IF($B10&lt;Analysis!$C$66,$P10+$N10+$X10+$Z10,$P10+$N10+AS10+AV10+BB10+BE10+BG10+MAX(BI10,SUM(BJ10:BN10))+BP10)</f>
        <v>-132484.2786632569</v>
      </c>
      <c r="BY10" s="1">
        <f t="shared" si="24"/>
        <v>113606.92324047466</v>
      </c>
      <c r="BZ10" s="1">
        <f t="shared" si="46"/>
        <v>-18877.355422782246</v>
      </c>
      <c r="CA10" s="1">
        <f>IF(BZ10 &lt; 0,
    IF(CA9 + BZ10 &gt; 0,
        CA9 + BZ10, IF(CF9-ABS(CA9 + BZ10)*(1+$V10) &gt;= CA9 + BZ10,
        0, CA9 + BZ10)),
    MIN(CA9 + BZ10, Analysis!$C$7))+IF(CA9&lt;0, CA9*Analysis!$C$9,0)</f>
        <v>-345205.07190748717</v>
      </c>
      <c r="CB10" s="42"/>
      <c r="CC10" s="1">
        <f t="shared" si="47"/>
        <v>0</v>
      </c>
      <c r="CD10" s="1">
        <f>IF(BZ10 &gt;= 0,
    MAX(0, CA9 + BZ10 - Analysis!$C$7),
    0)</f>
        <v>0</v>
      </c>
      <c r="CE10" s="1">
        <f>IF($B10=Analysis!$C$66,0,MAX(0, CE9 + CD10 - IF(BZ10 &lt; 0, MIN(ABS(BZ10), CE9 + CD10), 0)))</f>
        <v>0</v>
      </c>
      <c r="CF10" s="1">
        <f>IF($B10=Analysis!$C$66,0,IF(BZ10 &lt; 0,
    IF(BZ10 + CA9 &lt; 0,
        MAX(0, CF9 - (ABS(BZ10 + CA9) * (1+$V9))),
        CF9 + CC10),
    CF9 + CD10 + CC10))</f>
        <v>0</v>
      </c>
      <c r="CG10" s="1">
        <f t="shared" si="25"/>
        <v>0</v>
      </c>
      <c r="CH10" s="36"/>
      <c r="CI10" s="1">
        <f>IF(OR($B10&lt;Analysis!$C$100, $B10&gt;=Analysis!$C$130),0,X10)</f>
        <v>-19974.144882960245</v>
      </c>
      <c r="CJ10" s="1">
        <f>IF(OR($B10&lt;Analysis!$C$100, $B10&gt;=Analysis!$C$130),0,Z10)</f>
        <v>-3960</v>
      </c>
      <c r="CK10" s="1">
        <f t="shared" si="26"/>
        <v>655212.47987286234</v>
      </c>
      <c r="CL10" s="64">
        <f t="shared" si="48"/>
        <v>2.941176470588247E-2</v>
      </c>
      <c r="CM10" s="1">
        <f>IF($B10=Analysis!$C$100,(CK10*(1+Analysis!$C$23+Analysis!$C$24+Analysis!$C$25))-IF($B10=$B$2,(Analysis!$C$6-Analysis!$C$7+Analysis!$C$105), (FU9-Analysis!$C$7+CV10)),0)</f>
        <v>0</v>
      </c>
      <c r="CN10" s="65">
        <f>IF($B10=Analysis!$C$100,NPER(CR10,-CU10,-CM10),0)</f>
        <v>0</v>
      </c>
      <c r="CO10" s="64">
        <f>IF($B10=Analysis!$C$100,Analysis!$C$103,0)</f>
        <v>0</v>
      </c>
      <c r="CP10" s="1">
        <f>IF(OR($B10&lt;Analysis!$C$100, $B10&gt;=Analysis!$C$101),0,IF($B10=Analysis!$C$100,-CM10*CO10,IF(CU10&gt;=0,0,CU10-CS10)))</f>
        <v>-13472.471566705615</v>
      </c>
      <c r="CQ10" s="1">
        <f>IF(OR($B10&lt;Analysis!$C$100, $B10&gt;=Analysis!$C$101),0,IF($B10=Analysis!$C$100,-CM10-CP10,MIN(0,CQ9-CP10)))</f>
        <v>-398404.24392773729</v>
      </c>
      <c r="CR10" s="64">
        <f>IF(OR($B10&lt;Analysis!$C$100, $B10&gt;=Analysis!$C$101),0,IF($B10=Analysis!$C$100,Analysis!$C$102,IF(($B10-Analysis!$C$100)&lt;LOOKUP(Analysis!$C$100,$B:$B,CN:CN),CR9,0)))</f>
        <v>3.6999999999999998E-2</v>
      </c>
      <c r="CS10" s="1">
        <f>IF(OR($B10&lt;Analysis!$C$100, $B10&gt;=Analysis!$C$101),0,IF($B10=Analysis!$C$100,-CR10*CM10,CR9*CQ9))</f>
        <v>-15239.438473294387</v>
      </c>
      <c r="CT10" s="1">
        <f>IF(OR($B10&lt;Analysis!$C$100, $B10&gt;=Analysis!$C$101),0,IF($B10=Analysis!$C$100,PMT(CR10,CN10,CM10)*CN10-CU10-CQ10,IF(($B10-Analysis!$C$100+1)&lt;LOOKUP(Analysis!$C$100,$B:$B,CN:CN),IF(CT9-CS10&lt;0, CT9-CS10,0),0)))</f>
        <v>-170849.78188967466</v>
      </c>
      <c r="CU10" s="1">
        <f>IF(OR($B10&lt;Analysis!$C$100, $B10&gt;=Analysis!$C$101),0,IF($B10=Analysis!$C$100,CP10+CS10,IF(CQ9&lt;0,IF(CQ9&gt;LOOKUP(Analysis!$C$100,$B:$B,CU:CU), CQ9*(1+CR9),CU9),0)))</f>
        <v>-28711.910040000002</v>
      </c>
      <c r="CV10" s="1">
        <f>IF($B10=Analysis!$C$100,Analysis!$C$105,0)</f>
        <v>0</v>
      </c>
      <c r="CW10" s="1">
        <f>IF($B10=Analysis!$C$100,PMT(CR10,CX10,CV10)*CX10,0)</f>
        <v>0</v>
      </c>
      <c r="CX10" s="7">
        <f>IF($B10=Analysis!$C$100,Analysis!$C$107,0)</f>
        <v>0</v>
      </c>
      <c r="CY10" s="1">
        <f>IF(OR($B10&lt;Analysis!$C$100, $B10&gt;=Analysis!$C$101),0,IF($B10=Analysis!$C$100,CW10/CX10,IF(($B10-Analysis!$C$100)&lt;LOOKUP(Analysis!$C$100,$B:$B,CX:CX),CY9,0)))</f>
        <v>-6072.8287787074187</v>
      </c>
      <c r="CZ10" s="1">
        <f>IF(OR($B10&lt;Analysis!$C$100, $B10&gt;=Analysis!$C$101),0,IF($B10=Analysis!$C$100,CX10*CY10-CY10,IF(($B10-Analysis!$C$100)&lt;Analysis!$C$107,CZ9-CY10,0)))</f>
        <v>-6072.8287787074114</v>
      </c>
      <c r="DA10" s="53"/>
      <c r="DB10" s="1">
        <f>IF(OR($B10&lt;Analysis!$C$100, $B10&gt;=Analysis!$C$101),0,IF($B10=2025,(Analysis!$C$109*12),IF($B10=Analysis!$C$100,(Analysis!$C$109*12)*(1+DC10)^($B10-$B$2),DB9*(1+DC10))))</f>
        <v>17477.376772590214</v>
      </c>
      <c r="DC10" s="64">
        <f>IF(OR($B10&lt;Analysis!$C$100, $B10&gt;=Analysis!$C$101),0,((1+Analysis!$C$114)/(1+$S10))-1)</f>
        <v>2.941176470588247E-2</v>
      </c>
      <c r="DD10" s="1">
        <f t="shared" si="6"/>
        <v>23403.0142122088</v>
      </c>
      <c r="DE10" s="1">
        <f t="shared" si="27"/>
        <v>-1965.637439618587</v>
      </c>
      <c r="DF10" s="64">
        <f>IF(OR($B10&lt;Analysis!$C$100, $B10&gt;=Analysis!$C$101),0,Analysis!$C$118)</f>
        <v>3.0000000000000001E-3</v>
      </c>
      <c r="DG10" s="1">
        <f t="shared" si="28"/>
        <v>-4914.0935990464677</v>
      </c>
      <c r="DH10" s="64">
        <f>IF(OR($B10&lt;Analysis!$C$100, $B10&gt;=Analysis!$C$101),0,Analysis!$C$119)</f>
        <v>7.4999999999999997E-3</v>
      </c>
      <c r="DI10" s="1">
        <f>IF(OR($B10&lt;Analysis!$C$100, $B10&gt;=Analysis!$C$101),0,MIN(Analysis!$C$120*12,SUM(DJ10:DN10)))</f>
        <v>-3960</v>
      </c>
      <c r="DJ10" s="1">
        <f>IF(OR($B10&lt;Analysis!$C$100, $B10&gt;=Analysis!$C$101),0,Analysis!$C$121*12)</f>
        <v>-900</v>
      </c>
      <c r="DK10" s="1">
        <f>IF(OR($B10&lt;Analysis!$C$100, $B10&gt;=Analysis!$C$101),0,Analysis!$C$122*12)</f>
        <v>-1500</v>
      </c>
      <c r="DL10" s="1">
        <f>IF(OR($B10&lt;Analysis!$C$100, $B10&gt;=Analysis!$C$101),0,Analysis!$C$123*12)</f>
        <v>-480</v>
      </c>
      <c r="DM10" s="1">
        <f>IF(OR($B10&lt;Analysis!$C$100, $B10&gt;=Analysis!$C$101),0,Analysis!$C$124*12)</f>
        <v>-480</v>
      </c>
      <c r="DN10" s="1">
        <f>IF(OR($B10&lt;Analysis!$C$100, $B10&gt;=Analysis!$C$101),0,Analysis!$C$125*12)</f>
        <v>-600</v>
      </c>
      <c r="DO10" s="64">
        <f>IF(OR($B10&lt;Analysis!$C$100, $B10&gt;=Analysis!$C$101),0,Analysis!$C$113)</f>
        <v>0.02</v>
      </c>
      <c r="DP10" s="1">
        <f>-DO10*LOOKUP(Analysis!$C$100,$B:$B,CK:CK)</f>
        <v>-10392</v>
      </c>
      <c r="DQ10" s="1">
        <f>-Analysis!$C$117*DB10</f>
        <v>-1310.8032579442661</v>
      </c>
      <c r="DR10" s="1">
        <f t="shared" si="29"/>
        <v>-22542.534296609323</v>
      </c>
      <c r="DS10" s="1">
        <f>MIN(0,-(DB10+DR10)*Analysis!$C$28)-CS10*Analysis!$C$28</f>
        <v>6752.595187516742</v>
      </c>
      <c r="DT10" s="1">
        <f>-Analysis!$C$116*DD10/12</f>
        <v>-1950.2511843507334</v>
      </c>
      <c r="DU10" s="53"/>
      <c r="DV10" s="1">
        <f t="shared" si="30"/>
        <v>-83539.591183789948</v>
      </c>
      <c r="DW10" s="64">
        <f>IF(OR($B10&lt;Analysis!$C$100, $B10&gt;=Analysis!$C$101),0,IF($B10=Analysis!$C$100,Analysis!$C$31,DW9))</f>
        <v>0.1275</v>
      </c>
      <c r="DX10" s="1">
        <f>IF(OR($B10&lt;Analysis!$C$100, $B10&gt;=Analysis!$C$101),0,CK10+DV10)</f>
        <v>571672.88868907234</v>
      </c>
      <c r="DY10" s="1">
        <f>IF(OR($B10&lt;Analysis!$C$100, $B10&gt;=Analysis!$C$101),0,IF($B10-Analysis!$C$100&gt;3,0,IF(CK10&gt;LOOKUP(Analysis!$C$100,$B:$B, CK:CK),$V10*(LOOKUP(Analysis!$C$100,$B:$B, CK:CK)-CK10),0)))</f>
        <v>0</v>
      </c>
      <c r="DZ10" s="1">
        <f t="shared" si="49"/>
        <v>571672.88868907234</v>
      </c>
      <c r="EA10" s="53"/>
      <c r="EB10" s="1">
        <f t="shared" si="31"/>
        <v>870085.85664410167</v>
      </c>
      <c r="EC10" s="64">
        <f t="shared" si="50"/>
        <v>2.941176470588247E-2</v>
      </c>
      <c r="ED10" s="1">
        <f>MAX(0,IF($B10=Analysis!$C$130,(EB10*(1+Analysis!$C$23+Analysis!$C$24+Analysis!$C$25))-(IF($B10=$B$2,(Analysis!$C$6-Analysis!$C$7+Analysis!$C$132), (FU9-Analysis!$C$7+EM10)) + IF($B10=Analysis!$C$101,DZ9+CQ9+CT9+CZ9,0)),0))</f>
        <v>0</v>
      </c>
      <c r="EE10" s="65">
        <f>IF($B10=Analysis!$C$130,IF(ED10&gt;0,NPER(EI10,-EL10,-ED10),0),0)</f>
        <v>0</v>
      </c>
      <c r="EF10" s="64">
        <f>IF($B10=Analysis!$C$130,Analysis!$C$137,0)</f>
        <v>0</v>
      </c>
      <c r="EG10" s="1">
        <f>IF($B10&lt;Analysis!$C$130,0,IF($B10=Analysis!$C$130,-ED10*EF10,IF(EL10&gt;=0,0,EL10-EJ10)))</f>
        <v>0</v>
      </c>
      <c r="EH10" s="1">
        <f>IF($B10&lt;Analysis!$C$130,0,IF($B10=Analysis!$C$130,-ED10-EG10,MIN(0,EH9-EG10)))</f>
        <v>0</v>
      </c>
      <c r="EI10" s="64">
        <f>IF($B10&lt;Analysis!$C$130,0,IF($B10=Analysis!$C$130,Analysis!$C$136,IF(($B10-Analysis!$C$130)&lt;LOOKUP(Analysis!$C$130,$B:$B,EE:EE),EI9,0)))</f>
        <v>0</v>
      </c>
      <c r="EJ10" s="1">
        <f>IF($B10&lt;Analysis!$C$130,0,IF($B10=Analysis!$C$130,-EI10*ED10,EI9*EH9))</f>
        <v>0</v>
      </c>
      <c r="EK10" s="1">
        <f>IF(OR($B10&lt;Analysis!$C$130, ED10=0),0,IF($B10=Analysis!$C$130,PMT(EI10,EE10,ED10)*EE10-EL10-EH10,IF(($B10-Analysis!$C$130+1)&lt;LOOKUP(Analysis!$C$130,$B:$B,EE:EE),IF(EK9-EJ10&lt;0, EK9-EJ10,0),0)))</f>
        <v>0</v>
      </c>
      <c r="EL10" s="1">
        <f>IF($B10&lt;Analysis!$C$130,0,IF($B10=Analysis!$C$130,EG10+EJ10,IF(EH9&lt;0,IF(EH9&gt;LOOKUP(Analysis!$C$130,$B:$B,EL:EL), EH9*(1+EI9),EL9),0)))</f>
        <v>0</v>
      </c>
      <c r="EM10" s="1">
        <f>IF($B10=Analysis!$C$130,Analysis!$C$132,0)</f>
        <v>0</v>
      </c>
      <c r="EN10" s="1">
        <f>IF($B10=Analysis!$C$130,PMT(EI10,EO10,EM10)*EO10,0)</f>
        <v>0</v>
      </c>
      <c r="EO10" s="7">
        <f>IF($B10=Analysis!$C$130,Analysis!$C$134,0)</f>
        <v>0</v>
      </c>
      <c r="EP10" s="1">
        <f>IF($B10&lt;Analysis!$C$130,0,IF($B10=Analysis!$C$130,EN10/EO10,IF(($B10-Analysis!$C$130)&lt;LOOKUP(Analysis!$C$130,$B:$B,EO:EO),EP9,0)))</f>
        <v>0</v>
      </c>
      <c r="EQ10" s="1">
        <f>IF($B10&lt;Analysis!$C$130,0,IF($B10=Analysis!$C$130,EO10*EP10-EP10,IF(($B10-Analysis!$C$130)&lt;Analysis!$C$134,EQ9-EP10,0)))</f>
        <v>0</v>
      </c>
      <c r="ER10" s="53"/>
      <c r="ES10" s="1">
        <f>IF($B10&lt;Analysis!$C$130,0,-ET10*EB10)</f>
        <v>0</v>
      </c>
      <c r="ET10" s="64">
        <f>IF($B10&lt;Analysis!$C$130,0,Analysis!$C$142)</f>
        <v>0</v>
      </c>
      <c r="EU10" s="1">
        <f>IF($B10&lt;Analysis!$C$130,0,-EV10*EB10)</f>
        <v>0</v>
      </c>
      <c r="EV10" s="64">
        <f>IF($B10&lt;Analysis!$C$130,0,Analysis!$C$143)</f>
        <v>0</v>
      </c>
      <c r="EW10" s="1">
        <f>IF($B10&lt;Analysis!$C$130,0,MIN(Analysis!$C$144*12,SUM(EX10:FB10)))</f>
        <v>0</v>
      </c>
      <c r="EX10" s="1">
        <f>IF($B10&lt;Analysis!$C$130,0,Analysis!$C$145*12)</f>
        <v>0</v>
      </c>
      <c r="EY10" s="1">
        <f>IF($B10&lt;Analysis!$C$130,0,Analysis!$C$146*12)</f>
        <v>0</v>
      </c>
      <c r="EZ10" s="1">
        <f>IF($B10&lt;Analysis!$C$130,0,Analysis!$C$147*12)</f>
        <v>0</v>
      </c>
      <c r="FA10" s="1">
        <f>IF($B10&lt;Analysis!$C$130,0,Analysis!$C$148*12)</f>
        <v>0</v>
      </c>
      <c r="FB10" s="1">
        <f>IF($B10&lt;Analysis!$C$130,0,Analysis!$C$149*12)</f>
        <v>0</v>
      </c>
      <c r="FC10" s="1">
        <v>0</v>
      </c>
      <c r="FD10" s="1">
        <f>-FC10*Analysis!$C$28</f>
        <v>0</v>
      </c>
      <c r="FE10" s="53"/>
      <c r="FF10" s="1">
        <f t="shared" si="32"/>
        <v>0</v>
      </c>
      <c r="FG10" s="64">
        <f>IF($B10&lt;Analysis!$C$130,0,Analysis!$C$31)</f>
        <v>0</v>
      </c>
      <c r="FH10" s="1">
        <f>IF($B10&lt;Analysis!$C$130,0,EB10+FF10)</f>
        <v>0</v>
      </c>
      <c r="FI10" s="1">
        <f>IF($B10-Analysis!$C$130&gt;3,0,IF(EB10&gt;LOOKUP(Analysis!$C$130,$B:$B, EB:EB),$V10*(LOOKUP(Analysis!$C$130,$B:$B, EB:EB)-EB10),0))</f>
        <v>0</v>
      </c>
      <c r="FJ10" s="1">
        <f t="shared" si="33"/>
        <v>0</v>
      </c>
      <c r="FK10" s="53"/>
      <c r="FL10" s="1">
        <f>$P10+$N10+IF($B10&lt;Analysis!$C$130,$X10+$Z10,0)+CP10+CS10+CY10+DE10+DG10+MIN(DI10,SUM(DJ10:DN10))+DQ10+DS10+DT10+EG10+EJ10+EP10+ES10+EU10+MIN(EW10,SUM(EX10:FB10))+FD10</f>
        <v>-124467.07399511099</v>
      </c>
      <c r="FM10" s="1">
        <f>$M10+$R10+DD10+IF(AND($B10&lt;&gt;Analysis!$C$130,$B10=Analysis!$C$101),DZ9+CQ9+CT9+CZ9,0)</f>
        <v>137009.93745268346</v>
      </c>
      <c r="FN10" s="1">
        <f t="shared" si="34"/>
        <v>12542.863457572472</v>
      </c>
      <c r="FO10" s="1">
        <f>IF(FN10 &lt; 0,
    IF(FO9 + FN10 &gt; 0,
        FO9 + FN10, IF(FT9-ABS(FO9 + FN10)*(1+$V10) &gt;= FO9 + FN10,
        0, FO9 + FN10)),
    MIN(FO9 + FN10, Analysis!$C$7))+IF(FO9&lt;0, FO9*Analysis!$C$9,0)</f>
        <v>24000</v>
      </c>
      <c r="FP10" s="53"/>
      <c r="FQ10" s="1">
        <f t="shared" si="51"/>
        <v>660.64666125972917</v>
      </c>
      <c r="FR10" s="1">
        <f>IF(OR($B10=Analysis!$C$100, $B10=Analysis!$C$130),0,IF(FN10 &gt;= 0,
    MAX(0, FO9 + FN10 - Analysis!$C$7),
    0))</f>
        <v>12542.863457572472</v>
      </c>
      <c r="FS10" s="1">
        <f>IF(OR($B10=Analysis!$C$100, $B10=Analysis!$C$130),0,MAX(0, FS9 + FR10 - IF(FN10 &lt; 0, MIN(ABS(FN10), FS9 + FR10), 0)))</f>
        <v>22751.089655188582</v>
      </c>
      <c r="FT10" s="1">
        <f>IF(OR($B10=Analysis!$C$100, $B10=Analysis!$C$130),0,IF(FN10 &lt; 0,
    IF(FN10 + FO9 &lt; 0,
        MAX(0, FT9 - (ABS(FN10 + FO9) * (1+$V9))),
        FT9 + FQ10),
    FT9 + FR10 + FQ10))</f>
        <v>23411.73631644831</v>
      </c>
      <c r="FU10" s="1">
        <f t="shared" si="35"/>
        <v>23237.490759541059</v>
      </c>
      <c r="FV10" s="36"/>
      <c r="FW10" s="1">
        <f t="shared" si="52"/>
        <v>655212.47987286234</v>
      </c>
      <c r="FX10" s="64">
        <f t="shared" si="53"/>
        <v>2.941176470588247E-2</v>
      </c>
      <c r="FY10" s="1">
        <f>IF($B10=Analysis!$C$159,(FW10*(1+Analysis!$C$23+Analysis!$C$24+Analysis!$C$25))-IF($B10=$B$2,(Analysis!$C$6-Analysis!$C$7+Analysis!$C$165), (HW9-Analysis!$C$7+GH10)),0)</f>
        <v>0</v>
      </c>
      <c r="FZ10" s="65">
        <f>IF($B10=Analysis!$C$159,NPER(GD10,-GG10,-FY10),0)</f>
        <v>0</v>
      </c>
      <c r="GA10" s="64">
        <f>IF($B10=Analysis!$C$159,Analysis!$C$161,0)</f>
        <v>0</v>
      </c>
      <c r="GB10" s="1">
        <f>IF($B10&lt;Analysis!$C$159,0,IF($B10=Analysis!$C$159,-FY10*GA10,IF(GG10&gt;=0,0,GG10-GE10)))</f>
        <v>-13472.471566705615</v>
      </c>
      <c r="GC10" s="1">
        <f>IF($B10&lt;Analysis!$C$159,0,IF($B10=Analysis!$C$159,-FY10-GB10,MIN(0,GC9-GB10)))</f>
        <v>-398404.24392773729</v>
      </c>
      <c r="GD10" s="64">
        <f>IF($B10&lt;Analysis!$C$159,0,IF($B10=Analysis!$C$159,Analysis!$C$160,IF(($B10-Analysis!$C$159)&lt;LOOKUP(Analysis!$C$159,$B:$B,FZ:FZ),GD9,0)))</f>
        <v>3.6999999999999998E-2</v>
      </c>
      <c r="GE10" s="1">
        <f>IF($B10&lt;Analysis!$C$159,0,IF($B10=Analysis!$C$159,-GD10*FY10,GD9*GC9))</f>
        <v>-15239.438473294387</v>
      </c>
      <c r="GF10" s="1">
        <f>IF($B10&lt;Analysis!$C$159,0,IF($B10=Analysis!$C$159,PMT(GD10,FZ10,FY10)*FZ10-GG10-GC10,IF(($B10-Analysis!$C$159+1)&lt;LOOKUP(Analysis!$C$159,$B:$B,FZ:FZ),IF(GF9-GE10&lt;0, GF9-GE10,0),0)))</f>
        <v>-170849.78188967466</v>
      </c>
      <c r="GG10" s="1">
        <f>IF($B10&lt;Analysis!$C$159,0,IF($B10=Analysis!$C$159,GB10+GE10,IF(GC9&lt;0,IF(GC9&gt;LOOKUP(Analysis!$C$159,$B:$B,GG:GG), GC9*(1+GD9),GG9),0)))</f>
        <v>-28711.910040000002</v>
      </c>
      <c r="GH10" s="1">
        <f>IF($B10=Analysis!$C$159,Analysis!$C$165,0)</f>
        <v>0</v>
      </c>
      <c r="GI10" s="1">
        <f>IF($B10=Analysis!$C$159,PMT(GD10,GJ10,GH10)*GJ10,0)</f>
        <v>0</v>
      </c>
      <c r="GJ10" s="7">
        <f>IF($B10=Analysis!$C$159,Analysis!$C$167,0)</f>
        <v>0</v>
      </c>
      <c r="GK10" s="1">
        <f>IF($B10&lt;Analysis!$C$159,0,IF($B10=Analysis!$C$159,GI10/GJ10,IF(($B10-Analysis!$C$159)&lt;LOOKUP(Analysis!$C$159,$B:$B,GJ:GJ),GK9,0)))</f>
        <v>-6072.8287787074187</v>
      </c>
      <c r="GL10" s="1">
        <f>IF($B10&lt;Analysis!$C$159,0,IF($B10=Analysis!$C$159,GJ10*GK10-GK10,IF(($B10-Analysis!$C$159)&lt;Analysis!$C$167,GL9-GK10,0)))</f>
        <v>-6072.8287787074114</v>
      </c>
      <c r="GM10" s="38"/>
      <c r="GN10" s="1">
        <f>IF($B10&lt;Analysis!$C$159,0,IF($B10=2025,(Analysis!$C$109*12),IF($B10=Analysis!$C$159,(Analysis!$C$109*12)*(1+GO10)^($B10-$B$2),GN9*(1+GO10))))</f>
        <v>17477.376772590214</v>
      </c>
      <c r="GO10" s="64">
        <f>IF($B10&lt;Analysis!$C$159,0,((1+Analysis!$C$174)/(1+$S10))-1)</f>
        <v>2.941176470588247E-2</v>
      </c>
      <c r="GP10" s="1">
        <f t="shared" si="7"/>
        <v>23403.0142122088</v>
      </c>
      <c r="GQ10" s="1">
        <f t="shared" si="36"/>
        <v>-1965.637439618587</v>
      </c>
      <c r="GR10" s="64">
        <f>IF($B10&lt;Analysis!$C$159,0,Analysis!$C$178)</f>
        <v>3.0000000000000001E-3</v>
      </c>
      <c r="GS10" s="1">
        <f t="shared" si="37"/>
        <v>-4914.0935990464677</v>
      </c>
      <c r="GT10" s="64">
        <f>IF($B10&lt;Analysis!$C$159,0,Analysis!$C$179)</f>
        <v>7.4999999999999997E-3</v>
      </c>
      <c r="GU10" s="1">
        <f>IF($B10&lt;Analysis!$C$159,0,MIN(Analysis!$C$180*12,SUM(GV10:GZ10)))</f>
        <v>-3960</v>
      </c>
      <c r="GV10" s="1">
        <f>IF($B10&lt;Analysis!$C$159,0,Analysis!$C$181*12)</f>
        <v>-900</v>
      </c>
      <c r="GW10" s="1">
        <f>IF($B10&lt;Analysis!$C$159,0,Analysis!$C$182*12)</f>
        <v>-1500</v>
      </c>
      <c r="GX10" s="1">
        <f>IF($B10&lt;Analysis!$C$159,0,Analysis!$C$183*12)</f>
        <v>-480</v>
      </c>
      <c r="GY10" s="1">
        <f>IF($B10&lt;Analysis!$C$159,0,Analysis!$C$184*12)</f>
        <v>-480</v>
      </c>
      <c r="GZ10" s="1">
        <f>IF($B10&lt;Analysis!$C$159,0,Analysis!$C$185*12)</f>
        <v>-600</v>
      </c>
      <c r="HA10" s="64">
        <f>IF($B10&lt;Analysis!$C$159,0,Analysis!$C$173)</f>
        <v>0.02</v>
      </c>
      <c r="HB10" s="1">
        <f>-HA10*LOOKUP(Analysis!$C$159,$B:$B,FW:FW)</f>
        <v>-10392</v>
      </c>
      <c r="HC10" s="1">
        <f>-Analysis!$C$177*GN10</f>
        <v>-1310.8032579442661</v>
      </c>
      <c r="HD10" s="1">
        <f t="shared" si="38"/>
        <v>-22542.534296609323</v>
      </c>
      <c r="HE10" s="1">
        <f>MIN(0,-(GN10+HD10)*Analysis!$C$28)-GE10*Analysis!$C$28</f>
        <v>6752.595187516742</v>
      </c>
      <c r="HF10" s="1">
        <f>-Analysis!$C$176*GP10/12</f>
        <v>-1950.2511843507334</v>
      </c>
      <c r="HG10" s="38"/>
      <c r="HH10" s="1">
        <f>IF($B10&lt;Analysis!$C$159,0,-$HI10*$FW10)</f>
        <v>-83539.591183789948</v>
      </c>
      <c r="HI10" s="64">
        <f>IF($B10&lt;Analysis!$C$159,0,IF($B10=Analysis!$C$159,Analysis!$C$31,HI9))</f>
        <v>0.1275</v>
      </c>
      <c r="HJ10" s="1">
        <f>IF($B10&lt;Analysis!$C$159,0,$FW10+HH10)</f>
        <v>571672.88868907234</v>
      </c>
      <c r="HK10" s="1">
        <f>IF($B10-Analysis!$C$159&gt;10,0,IF($FW10&gt;LOOKUP(Analysis!$C$159,$B:$B, FW:FW),$V10*(LOOKUP(Analysis!$C$159,$B:$B, FW:FW)-FW10),0))</f>
        <v>-35767.791566467444</v>
      </c>
      <c r="HL10" s="1">
        <f t="shared" si="39"/>
        <v>535905.09712260484</v>
      </c>
      <c r="HM10" s="38"/>
      <c r="HN10" s="1">
        <f t="shared" si="40"/>
        <v>-124467.07399511099</v>
      </c>
      <c r="HO10" s="1">
        <f t="shared" si="8"/>
        <v>137009.93745268346</v>
      </c>
      <c r="HP10" s="1">
        <f t="shared" si="41"/>
        <v>12542.863457572472</v>
      </c>
      <c r="HQ10" s="1">
        <f>IF(HP10 &lt; 0,
    IF(HQ9 + HP10 &gt; 0,
        HQ9 + HP10, IF(HV9-ABS(HQ9 + HP10)*(1+$V10) &gt;= HQ9 + HP10,
        0, HQ9 + HP10)),
    MIN(HQ9 + HP10, Analysis!$C$7))+IF(HQ9&lt;0, HQ9*Analysis!$C$9,0)</f>
        <v>24000</v>
      </c>
      <c r="HR10" s="38"/>
      <c r="HS10" s="1">
        <f t="shared" si="54"/>
        <v>660.64666125972917</v>
      </c>
      <c r="HT10" s="1">
        <f>IF($B10=Analysis!$C$159,0,IF(HP10 &gt;= 0,
    MAX(0, HQ9 + HP10 - Analysis!$C$7),
    0))</f>
        <v>12542.863457572472</v>
      </c>
      <c r="HU10" s="1">
        <f>IF($B10=Analysis!$C$159,0,MAX(0, HU9 + HT10 - IF(HP10 &lt; 0, MIN(ABS(HP10), HU9 + HT10), 0)))</f>
        <v>22751.089655188582</v>
      </c>
      <c r="HV10" s="1">
        <f>IF($B10=Analysis!$C$159,0,IF(HP10 &lt; 0,
    IF(HP10 + HQ9 &lt; 0,
        MAX(0, HV9 - (ABS(HP10 + HQ9) * (1+$V9))),
        HV9 + HS10),
    HV9 + HT10 + HS10))</f>
        <v>23411.73631644831</v>
      </c>
      <c r="HW10" s="1">
        <f t="shared" si="42"/>
        <v>23237.490759541059</v>
      </c>
      <c r="HX10" s="36"/>
    </row>
    <row r="11" spans="1:232" x14ac:dyDescent="0.35">
      <c r="A11">
        <f t="shared" si="0"/>
        <v>44</v>
      </c>
      <c r="B11">
        <v>2034</v>
      </c>
      <c r="C11" s="1">
        <f>IF($B11&lt;Analysis!C$66,0,$AN11)+$AT11+$AW11+$BC11+$CF11+$CA11</f>
        <v>-217976.42447178334</v>
      </c>
      <c r="D11" s="1">
        <f>IF($B11&lt;Analysis!C$66, 0, BV11)+AT11+AW11+BC11+CG11+CA11</f>
        <v>-365276.28552865156</v>
      </c>
      <c r="E11" s="1">
        <f t="shared" si="1"/>
        <v>363873.46426930919</v>
      </c>
      <c r="F11" s="1">
        <f t="shared" si="9"/>
        <v>340878.37569523667</v>
      </c>
      <c r="G11" s="1">
        <f>IF(AND($B11&gt;=Analysis!$C$100, $B11&lt;Analysis!$C$101),$CK11,0)+IF($B11&gt;=Analysis!$C$130,EB11,0)+CQ11+CT11+CZ11+EH11+EK11+EQ11+$FO11+$FT11</f>
        <v>197630.35640557908</v>
      </c>
      <c r="H11" s="1">
        <f t="shared" si="10"/>
        <v>111070.44030530461</v>
      </c>
      <c r="I11" s="1">
        <f>IF($B11&lt;Analysis!$C$159,0,$FW11)+$GC11+$GF11+$GL11+$HQ11+$HV11</f>
        <v>197630.35640557908</v>
      </c>
      <c r="J11" s="1">
        <f t="shared" si="2"/>
        <v>70219.934280999849</v>
      </c>
      <c r="K11" s="36"/>
      <c r="L11" s="1">
        <f t="shared" si="11"/>
        <v>116391.40665323137</v>
      </c>
      <c r="M11" s="1">
        <f>IF($B11=Analysis!$C$47, M10 * (1 - Analysis!$C$48),
    IF($B11=Analysis!$C$52, M10 * (1 - Analysis!$C$53),
    IF($B11=Analysis!$C$58, M10 * (1 - Analysis!$C$60),
    L11)))</f>
        <v>116391.40665323137</v>
      </c>
      <c r="N11" s="1">
        <f>Analysis!$C$3*12*(1+O11)+P11</f>
        <v>-53200</v>
      </c>
      <c r="O11" s="64">
        <f>IF(OR($B11=Analysis!$C$47,$B11=Analysis!$C$52,$B11=Analysis!$C$58),-Analysis!$C$49,0)</f>
        <v>0</v>
      </c>
      <c r="P11" s="1">
        <f>IF($B11&lt;Analysis!$C$47,0,IF($B11-Analysis!$C$47&lt;=3,Analysis!$C$40+Analysis!$C$44,IF($B11-Analysis!$C$47&lt;=10,Analysis!$C$41+Analysis!$C$44,IF($B11-Analysis!$C$47&lt;=18,Analysis!$C$42+Analysis!$C$44,IF($B11-Analysis!$C$47&lt;=25,Analysis!$C$43+Analysis!$C$44,0)))) + IF(AND($B11&gt;=Analysis!$C$52, $B11-Analysis!$C$52&lt;=3),Analysis!$C$40+Analysis!$C$44,IF(AND($B11&gt;=Analysis!$C$52, $B11-Analysis!$C$52&lt;=10),Analysis!$C$41+Analysis!$C$44,IF(AND($B11&gt;=Analysis!$C$52, $B11-Analysis!$C$52&lt;=18),Analysis!$C$42+Analysis!$C$44,IF(AND($B11&gt;=Analysis!$C$52, $B11-Analysis!$C$52&lt;=25),Analysis!$C$43+Analysis!$C$44,0)))) + Analysis!$C$57*IF(AND($B11&gt;=Analysis!$C$58, $B11-Analysis!$C$58&lt;=3),Analysis!$C$40+Analysis!$C$44,IF(AND($B11&gt;=Analysis!$C$58, $B11-Analysis!$C$58&lt;=10),Analysis!$C$41+Analysis!$C$44,IF(AND($B11&gt;=Analysis!$C$58, $B11-Analysis!$C$58&lt;=18),Analysis!$C$42+Analysis!$C$44,IF(AND($B11&gt;=Analysis!$C$58, $B11-Analysis!$C$58&lt;=25),Analysis!$C$43+Analysis!$C$44,0)))))</f>
        <v>-5200</v>
      </c>
      <c r="Q11" s="1">
        <f t="shared" si="43"/>
        <v>0</v>
      </c>
      <c r="R11" s="1">
        <f>IF(AND(AND(B11=Analysis!C$35,Analysis!C$34&lt;&gt;0),AND(B11=Analysis!C$37,Analysis!C$36&lt;&gt;0)),Analysis!C$34+Analysis!C$36,IF(AND(B11=Analysis!C$35,Analysis!C$34&lt;&gt;0),Analysis!C$34,IF(AND(B11=Analysis!C$37,Analysis!C$36&lt;&gt;0),Analysis!C$36,0)))</f>
        <v>0</v>
      </c>
      <c r="S11" s="64">
        <f t="shared" si="12"/>
        <v>0.02</v>
      </c>
      <c r="T11" s="64">
        <f>IF($B11&lt;Analysis!$C$13, ((1+IF($B11-$B$2&lt;10,Analysis!$C$11,IF($B11-$B$2&lt;20,(Analysis!$C$11+Analysis!$C$12)/2,Analysis!$C$12)))/(1+$S11)-1),IF($B11=Analysis!$C$13,-Analysis!$C$14,-$S11))</f>
        <v>2.450980392156854E-2</v>
      </c>
      <c r="U11" s="64">
        <f>IF($B11=$B$2,((1+Analysis!$C$16)/(1+$S11))-1,IF(B11&lt;Analysis!$C$13,U10-((Analysis!$C$16-Analysis!$C$17)/(Analysis!$C$13-$B$2)),((1+Analysis!$C$17)/(1+$S10))-1))</f>
        <v>6.3002801120448385E-2</v>
      </c>
      <c r="V11" s="64">
        <f t="shared" si="13"/>
        <v>0.26374999999999998</v>
      </c>
      <c r="W11" s="36"/>
      <c r="X11" s="1">
        <f t="shared" si="14"/>
        <v>-20561.619732459079</v>
      </c>
      <c r="Y11" s="64">
        <f t="shared" si="15"/>
        <v>2.941176470588247E-2</v>
      </c>
      <c r="Z11" s="1">
        <f t="shared" si="16"/>
        <v>-3960</v>
      </c>
      <c r="AA11" s="64">
        <f t="shared" si="17"/>
        <v>0</v>
      </c>
      <c r="AB11" s="40"/>
      <c r="AC11" s="1">
        <f t="shared" si="3"/>
        <v>-82921.619732459076</v>
      </c>
      <c r="AD11" s="1">
        <f t="shared" si="4"/>
        <v>116391.40665323137</v>
      </c>
      <c r="AE11" s="1">
        <f t="shared" si="18"/>
        <v>33469.786920772298</v>
      </c>
      <c r="AF11" s="1">
        <f>IF(AE11 &lt; 0,
    IF(AF10 + AE11 &gt; 0,
        AF10 + AE11, IF(AK10-ABS(AF10 + AE11)*(1+$V11) &gt;= AF10 + AE11,
        0, AF10 + AE11)),
    MIN(AF10 + AE11, Analysis!$C$7))+IF(AF10&lt;0, AF10*Analysis!$C$9,0)</f>
        <v>24000</v>
      </c>
      <c r="AG11" s="40"/>
      <c r="AH11" s="1">
        <f t="shared" si="19"/>
        <v>18160.149649856419</v>
      </c>
      <c r="AI11" s="1">
        <f>IF(AE11 &gt;= 0,
    MAX(0, AF10 + AE11 - Analysis!$C$7),
    0)</f>
        <v>33469.786920772298</v>
      </c>
      <c r="AJ11" s="1">
        <f t="shared" si="44"/>
        <v>252688.29432021902</v>
      </c>
      <c r="AK11" s="1">
        <f t="shared" si="20"/>
        <v>339873.46426930919</v>
      </c>
      <c r="AL11" s="1">
        <f t="shared" si="5"/>
        <v>316878.37569523667</v>
      </c>
      <c r="AM11" s="36"/>
      <c r="AN11" s="1">
        <f t="shared" si="45"/>
        <v>1155293.0278970061</v>
      </c>
      <c r="AO11" s="64">
        <f t="shared" si="21"/>
        <v>2.941176470588247E-2</v>
      </c>
      <c r="AP11" s="1">
        <f>IF($B11=Analysis!$C$66,(AN11*(1+Analysis!$C$23+Analysis!$C$24+Analysis!$C$25))-IF($B11=$B$2,(Analysis!$C$6-Analysis!$C$7+Analysis!$C$68), ($CG10-Analysis!$C$7+AY11)),0)</f>
        <v>0</v>
      </c>
      <c r="AQ11" s="65">
        <f>IF($B11=Analysis!$C$66,NPER(AU11,-AX11,-AP11),0)</f>
        <v>0</v>
      </c>
      <c r="AR11" s="64">
        <f>IF($B11=Analysis!$C$66,Analysis!$C$73,0)</f>
        <v>0</v>
      </c>
      <c r="AS11" s="1">
        <f>IF($B11&lt;Analysis!$C$66,0,IF($B11=Analysis!$C$66,-AP11*AR11,IF(AX11&gt;=0,0,AX11-AV11)))</f>
        <v>-25432.868827255897</v>
      </c>
      <c r="AT11" s="1">
        <f>IF($B11&lt;Analysis!$C$66,0,IF($B11=Analysis!$C$66,-AP11-AS11,MIN(0,AT10-AS11)))</f>
        <v>-699826.37908474717</v>
      </c>
      <c r="AU11" s="64">
        <f>IF($B11&lt;Analysis!$C$66,0,IF($B11=Analysis!$C$66,Analysis!$C$72,IF(($B11-Analysis!$C$66)&lt;LOOKUP(Analysis!$C$66,$B:$B,AQ:AQ),AU10,0)))</f>
        <v>3.6999999999999998E-2</v>
      </c>
      <c r="AV11" s="1">
        <f>IF($B11&lt;Analysis!$C$66,0,IF($B11=Analysis!$C$66,-AU11*AP11,AU10*AT10))</f>
        <v>-26834.592172744113</v>
      </c>
      <c r="AW11" s="1">
        <f>IF($B11&lt;Analysis!$C$66,0,IF($B11=Analysis!$C$66,PMT(AU11,AQ11,AP11)*AQ11-AX11-AT11,IF(($B11-Analysis!$C$66+1)&lt;LOOKUP(Analysis!$C$66,$B:$B,AQ:AQ),IF(AW10-AV11&lt;0, AW10-AV11,0),0)))</f>
        <v>-284182.13570556155</v>
      </c>
      <c r="AX11" s="1">
        <f>IF($B11&lt;Analysis!$C$66,0,IF($B11=Analysis!$C$66,AS11+AV11,IF(AT10&lt;0,IF(AT10&gt;LOOKUP(Analysis!$C$66,$B:$B,AX:AX), AT10*(1+AU10),AX10),0)))</f>
        <v>-52267.46100000001</v>
      </c>
      <c r="AY11" s="1">
        <f>IF($B11=Analysis!$C$66,Analysis!$C$68,0)</f>
        <v>0</v>
      </c>
      <c r="AZ11" s="1">
        <f>IF($B11=Analysis!$C$66,PMT(AU11,BA11,AY11)*BA11,0)</f>
        <v>0</v>
      </c>
      <c r="BA11" s="7">
        <f>IF($B11=Analysis!$C$66,Analysis!$C$70,0)</f>
        <v>0</v>
      </c>
      <c r="BB11" s="1">
        <f>IF($B11&lt;Analysis!$C$66,0,IF($B11=Analysis!$C$66,AZ11/BA11,IF(($B11-Analysis!$C$66)&lt;LOOKUP(Analysis!$C$66,$B:$B,BA:BA),BB10,0)))</f>
        <v>-6072.8287787074187</v>
      </c>
      <c r="BC11" s="1">
        <f>IF($B11&lt;Analysis!$C$66,0,IF($B11=Analysis!$C$66,BA11*BB11-BB11,IF(($B11-Analysis!$C$66)&lt;Analysis!$C$70,BC10-BB11,0)))</f>
        <v>7.2759576141834259E-12</v>
      </c>
      <c r="BD11" s="42"/>
      <c r="BE11" s="1">
        <f>IF($B11&lt;Analysis!$C$66,0,-BF11*AN11)</f>
        <v>-3465.8790836910184</v>
      </c>
      <c r="BF11" s="64">
        <f>IF($B11&lt;Analysis!$C$66,0,Analysis!$C$78)</f>
        <v>3.0000000000000001E-3</v>
      </c>
      <c r="BG11" s="1">
        <f>IF($B11&lt;Analysis!$C$66,0,-BH11*AN11)</f>
        <v>-8664.6977092275465</v>
      </c>
      <c r="BH11" s="64">
        <f>IF($B11&lt;Analysis!$C$66,0,Analysis!$C$79)</f>
        <v>7.4999999999999997E-3</v>
      </c>
      <c r="BI11" s="1">
        <f>IF($B11&lt;Analysis!$C$66,0,MIN(Analysis!$C$80*12,SUM(BJ11:BN11)))</f>
        <v>-3960</v>
      </c>
      <c r="BJ11" s="1">
        <f>IF($B11&lt;Analysis!$C$66,0,Analysis!$C$81*12)</f>
        <v>-900</v>
      </c>
      <c r="BK11" s="1">
        <f>IF($B11&lt;Analysis!$C$66,0,Analysis!$C$82*12)</f>
        <v>-1500</v>
      </c>
      <c r="BL11" s="1">
        <f>IF($B11&lt;Analysis!$C$66,0,Analysis!$C$83*12)</f>
        <v>-480</v>
      </c>
      <c r="BM11" s="1">
        <f>IF($B11&lt;Analysis!$C$66,0,Analysis!$C$84*12)</f>
        <v>-480</v>
      </c>
      <c r="BN11" s="1">
        <f>IF($B11&lt;Analysis!$C$66,0,Analysis!$C$85*12)</f>
        <v>-600</v>
      </c>
      <c r="BO11" s="1">
        <v>0</v>
      </c>
      <c r="BP11" s="1">
        <f>-BO11*Analysis!$C$28</f>
        <v>0</v>
      </c>
      <c r="BQ11" s="42"/>
      <c r="BR11" s="1">
        <f t="shared" si="22"/>
        <v>-147299.86105686828</v>
      </c>
      <c r="BS11" s="64">
        <f>IF($B11&lt;Analysis!C$66,0,Analysis!C$31)</f>
        <v>0.1275</v>
      </c>
      <c r="BT11" s="1">
        <f>IF($B11&lt;Analysis!$C$66,0,AN11+BR11)</f>
        <v>1007993.1668401379</v>
      </c>
      <c r="BU11" s="1">
        <f>IF($B11-Analysis!$C$66&gt;3,0,IF($AN11&gt;LOOKUP(Analysis!$C$66,$B:$B, AN:AN),$V11*(LOOKUP(Analysis!$C$66,$B:$B, AN:AN)-AN11),0))</f>
        <v>0</v>
      </c>
      <c r="BV11" s="1">
        <f t="shared" si="23"/>
        <v>1007993.1668401379</v>
      </c>
      <c r="BW11" s="42"/>
      <c r="BX11" s="1">
        <f>IF($B11&lt;Analysis!$C$66,$P11+$N11+$X11+$Z11,$P11+$N11+AS11+AV11+BB11+BE11+BG11+MAX(BI11,SUM(BJ11:BN11))+BP11)</f>
        <v>-132830.86657162599</v>
      </c>
      <c r="BY11" s="1">
        <f t="shared" si="24"/>
        <v>116391.40665323137</v>
      </c>
      <c r="BZ11" s="1">
        <f t="shared" si="46"/>
        <v>-16439.459918394612</v>
      </c>
      <c r="CA11" s="1">
        <f>IF(BZ11 &lt; 0,
    IF(CA10 + BZ11 &gt; 0,
        CA10 + BZ11, IF(CF10-ABS(CA10 + BZ11)*(1+$V11) &gt;= CA10 + BZ11,
        0, CA10 + BZ11)),
    MIN(CA10 + BZ11, Analysis!$C$7))+IF(CA10&lt;0, CA10*Analysis!$C$9,0)</f>
        <v>-389260.93757848075</v>
      </c>
      <c r="CB11" s="42"/>
      <c r="CC11" s="1">
        <f t="shared" si="47"/>
        <v>0</v>
      </c>
      <c r="CD11" s="1">
        <f>IF(BZ11 &gt;= 0,
    MAX(0, CA10 + BZ11 - Analysis!$C$7),
    0)</f>
        <v>0</v>
      </c>
      <c r="CE11" s="1">
        <f>IF($B11=Analysis!$C$66,0,MAX(0, CE10 + CD11 - IF(BZ11 &lt; 0, MIN(ABS(BZ11), CE10 + CD11), 0)))</f>
        <v>0</v>
      </c>
      <c r="CF11" s="1">
        <f>IF($B11=Analysis!$C$66,0,IF(BZ11 &lt; 0,
    IF(BZ11 + CA10 &lt; 0,
        MAX(0, CF10 - (ABS(BZ11 + CA10) * (1+$V10))),
        CF10 + CC11),
    CF10 + CD11 + CC11))</f>
        <v>0</v>
      </c>
      <c r="CG11" s="1">
        <f t="shared" si="25"/>
        <v>0</v>
      </c>
      <c r="CH11" s="36"/>
      <c r="CI11" s="1">
        <f>IF(OR($B11&lt;Analysis!$C$100, $B11&gt;=Analysis!$C$130),0,X11)</f>
        <v>-20561.619732459079</v>
      </c>
      <c r="CJ11" s="1">
        <f>IF(OR($B11&lt;Analysis!$C$100, $B11&gt;=Analysis!$C$130),0,Z11)</f>
        <v>-3960</v>
      </c>
      <c r="CK11" s="1">
        <f t="shared" si="26"/>
        <v>674483.43516324076</v>
      </c>
      <c r="CL11" s="64">
        <f t="shared" si="48"/>
        <v>2.941176470588247E-2</v>
      </c>
      <c r="CM11" s="1">
        <f>IF($B11=Analysis!$C$100,(CK11*(1+Analysis!$C$23+Analysis!$C$24+Analysis!$C$25))-IF($B11=$B$2,(Analysis!$C$6-Analysis!$C$7+Analysis!$C$105), (FU10-Analysis!$C$7+CV11)),0)</f>
        <v>0</v>
      </c>
      <c r="CN11" s="65">
        <f>IF($B11=Analysis!$C$100,NPER(CR11,-CU11,-CM11),0)</f>
        <v>0</v>
      </c>
      <c r="CO11" s="64">
        <f>IF($B11=Analysis!$C$100,Analysis!$C$103,0)</f>
        <v>0</v>
      </c>
      <c r="CP11" s="1">
        <f>IF(OR($B11&lt;Analysis!$C$100, $B11&gt;=Analysis!$C$101),0,IF($B11=Analysis!$C$100,-CM11*CO11,IF(CU11&gt;=0,0,CU11-CS11)))</f>
        <v>-13970.953014673723</v>
      </c>
      <c r="CQ11" s="1">
        <f>IF(OR($B11&lt;Analysis!$C$100, $B11&gt;=Analysis!$C$101),0,IF($B11=Analysis!$C$100,-CM11-CP11,MIN(0,CQ10-CP11)))</f>
        <v>-384433.29091306357</v>
      </c>
      <c r="CR11" s="64">
        <f>IF(OR($B11&lt;Analysis!$C$100, $B11&gt;=Analysis!$C$101),0,IF($B11=Analysis!$C$100,Analysis!$C$102,IF(($B11-Analysis!$C$100)&lt;LOOKUP(Analysis!$C$100,$B:$B,CN:CN),CR10,0)))</f>
        <v>3.6999999999999998E-2</v>
      </c>
      <c r="CS11" s="1">
        <f>IF(OR($B11&lt;Analysis!$C$100, $B11&gt;=Analysis!$C$101),0,IF($B11=Analysis!$C$100,-CR11*CM11,CR10*CQ10))</f>
        <v>-14740.957025326279</v>
      </c>
      <c r="CT11" s="1">
        <f>IF(OR($B11&lt;Analysis!$C$100, $B11&gt;=Analysis!$C$101),0,IF($B11=Analysis!$C$100,PMT(CR11,CN11,CM11)*CN11-CU11-CQ11,IF(($B11-Analysis!$C$100+1)&lt;LOOKUP(Analysis!$C$100,$B:$B,CN:CN),IF(CT10-CS11&lt;0, CT10-CS11,0),0)))</f>
        <v>-156108.8248643484</v>
      </c>
      <c r="CU11" s="1">
        <f>IF(OR($B11&lt;Analysis!$C$100, $B11&gt;=Analysis!$C$101),0,IF($B11=Analysis!$C$100,CP11+CS11,IF(CQ10&lt;0,IF(CQ10&gt;LOOKUP(Analysis!$C$100,$B:$B,CU:CU), CQ10*(1+CR10),CU10),0)))</f>
        <v>-28711.910040000002</v>
      </c>
      <c r="CV11" s="1">
        <f>IF($B11=Analysis!$C$100,Analysis!$C$105,0)</f>
        <v>0</v>
      </c>
      <c r="CW11" s="1">
        <f>IF($B11=Analysis!$C$100,PMT(CR11,CX11,CV11)*CX11,0)</f>
        <v>0</v>
      </c>
      <c r="CX11" s="7">
        <f>IF($B11=Analysis!$C$100,Analysis!$C$107,0)</f>
        <v>0</v>
      </c>
      <c r="CY11" s="1">
        <f>IF(OR($B11&lt;Analysis!$C$100, $B11&gt;=Analysis!$C$101),0,IF($B11=Analysis!$C$100,CW11/CX11,IF(($B11-Analysis!$C$100)&lt;LOOKUP(Analysis!$C$100,$B:$B,CX:CX),CY10,0)))</f>
        <v>-6072.8287787074187</v>
      </c>
      <c r="CZ11" s="1">
        <f>IF(OR($B11&lt;Analysis!$C$100, $B11&gt;=Analysis!$C$101),0,IF($B11=Analysis!$C$100,CX11*CY11-CY11,IF(($B11-Analysis!$C$100)&lt;Analysis!$C$107,CZ10-CY11,0)))</f>
        <v>7.2759576141834259E-12</v>
      </c>
      <c r="DA11" s="53"/>
      <c r="DB11" s="1">
        <f>IF(OR($B11&lt;Analysis!$C$100, $B11&gt;=Analysis!$C$101),0,IF($B11=2025,(Analysis!$C$109*12),IF($B11=Analysis!$C$100,(Analysis!$C$109*12)*(1+DC11)^($B11-$B$2),DB10*(1+DC11))))</f>
        <v>17991.417265901695</v>
      </c>
      <c r="DC11" s="64">
        <f>IF(OR($B11&lt;Analysis!$C$100, $B11&gt;=Analysis!$C$101),0,((1+Analysis!$C$114)/(1+$S11))-1)</f>
        <v>2.941176470588247E-2</v>
      </c>
      <c r="DD11" s="1">
        <f t="shared" si="6"/>
        <v>23974.867571391416</v>
      </c>
      <c r="DE11" s="1">
        <f t="shared" si="27"/>
        <v>-2023.4503054897223</v>
      </c>
      <c r="DF11" s="64">
        <f>IF(OR($B11&lt;Analysis!$C$100, $B11&gt;=Analysis!$C$101),0,Analysis!$C$118)</f>
        <v>3.0000000000000001E-3</v>
      </c>
      <c r="DG11" s="1">
        <f t="shared" si="28"/>
        <v>-5058.6257637243052</v>
      </c>
      <c r="DH11" s="64">
        <f>IF(OR($B11&lt;Analysis!$C$100, $B11&gt;=Analysis!$C$101),0,Analysis!$C$119)</f>
        <v>7.4999999999999997E-3</v>
      </c>
      <c r="DI11" s="1">
        <f>IF(OR($B11&lt;Analysis!$C$100, $B11&gt;=Analysis!$C$101),0,MIN(Analysis!$C$120*12,SUM(DJ11:DN11)))</f>
        <v>-3960</v>
      </c>
      <c r="DJ11" s="1">
        <f>IF(OR($B11&lt;Analysis!$C$100, $B11&gt;=Analysis!$C$101),0,Analysis!$C$121*12)</f>
        <v>-900</v>
      </c>
      <c r="DK11" s="1">
        <f>IF(OR($B11&lt;Analysis!$C$100, $B11&gt;=Analysis!$C$101),0,Analysis!$C$122*12)</f>
        <v>-1500</v>
      </c>
      <c r="DL11" s="1">
        <f>IF(OR($B11&lt;Analysis!$C$100, $B11&gt;=Analysis!$C$101),0,Analysis!$C$123*12)</f>
        <v>-480</v>
      </c>
      <c r="DM11" s="1">
        <f>IF(OR($B11&lt;Analysis!$C$100, $B11&gt;=Analysis!$C$101),0,Analysis!$C$124*12)</f>
        <v>-480</v>
      </c>
      <c r="DN11" s="1">
        <f>IF(OR($B11&lt;Analysis!$C$100, $B11&gt;=Analysis!$C$101),0,Analysis!$C$125*12)</f>
        <v>-600</v>
      </c>
      <c r="DO11" s="64">
        <f>IF(OR($B11&lt;Analysis!$C$100, $B11&gt;=Analysis!$C$101),0,Analysis!$C$113)</f>
        <v>0.02</v>
      </c>
      <c r="DP11" s="1">
        <f>-DO11*LOOKUP(Analysis!$C$100,$B:$B,CK:CK)</f>
        <v>-10392</v>
      </c>
      <c r="DQ11" s="1">
        <f>-Analysis!$C$117*DB11</f>
        <v>-1349.3562949426271</v>
      </c>
      <c r="DR11" s="1">
        <f t="shared" si="29"/>
        <v>-22783.432364156655</v>
      </c>
      <c r="DS11" s="1">
        <f>MIN(0,-(DB11+DR11)*Analysis!$C$28)-CS11*Analysis!$C$28</f>
        <v>6531.7180579220731</v>
      </c>
      <c r="DT11" s="1">
        <f>-Analysis!$C$116*DD11/12</f>
        <v>-1997.9056309492846</v>
      </c>
      <c r="DU11" s="53"/>
      <c r="DV11" s="1">
        <f t="shared" si="30"/>
        <v>-85996.637983313194</v>
      </c>
      <c r="DW11" s="64">
        <f>IF(OR($B11&lt;Analysis!$C$100, $B11&gt;=Analysis!$C$101),0,IF($B11=Analysis!$C$100,Analysis!$C$31,DW10))</f>
        <v>0.1275</v>
      </c>
      <c r="DX11" s="1">
        <f>IF(OR($B11&lt;Analysis!$C$100, $B11&gt;=Analysis!$C$101),0,CK11+DV11)</f>
        <v>588486.79717992758</v>
      </c>
      <c r="DY11" s="1">
        <f>IF(OR($B11&lt;Analysis!$C$100, $B11&gt;=Analysis!$C$101),0,IF($B11-Analysis!$C$100&gt;3,0,IF(CK11&gt;LOOKUP(Analysis!$C$100,$B:$B, CK:CK),$V11*(LOOKUP(Analysis!$C$100,$B:$B, CK:CK)-CK11),0)))</f>
        <v>0</v>
      </c>
      <c r="DZ11" s="1">
        <f t="shared" si="49"/>
        <v>588486.79717992758</v>
      </c>
      <c r="EA11" s="53"/>
      <c r="EB11" s="1">
        <f t="shared" si="31"/>
        <v>895676.61713363416</v>
      </c>
      <c r="EC11" s="64">
        <f t="shared" si="50"/>
        <v>2.941176470588247E-2</v>
      </c>
      <c r="ED11" s="1">
        <f>MAX(0,IF($B11=Analysis!$C$130,(EB11*(1+Analysis!$C$23+Analysis!$C$24+Analysis!$C$25))-(IF($B11=$B$2,(Analysis!$C$6-Analysis!$C$7+Analysis!$C$132), (FU10-Analysis!$C$7+EM11)) + IF($B11=Analysis!$C$101,DZ10+CQ10+CT10+CZ10,0)),0))</f>
        <v>0</v>
      </c>
      <c r="EE11" s="65">
        <f>IF($B11=Analysis!$C$130,IF(ED11&gt;0,NPER(EI11,-EL11,-ED11),0),0)</f>
        <v>0</v>
      </c>
      <c r="EF11" s="64">
        <f>IF($B11=Analysis!$C$130,Analysis!$C$137,0)</f>
        <v>0</v>
      </c>
      <c r="EG11" s="1">
        <f>IF($B11&lt;Analysis!$C$130,0,IF($B11=Analysis!$C$130,-ED11*EF11,IF(EL11&gt;=0,0,EL11-EJ11)))</f>
        <v>0</v>
      </c>
      <c r="EH11" s="1">
        <f>IF($B11&lt;Analysis!$C$130,0,IF($B11=Analysis!$C$130,-ED11-EG11,MIN(0,EH10-EG11)))</f>
        <v>0</v>
      </c>
      <c r="EI11" s="64">
        <f>IF($B11&lt;Analysis!$C$130,0,IF($B11=Analysis!$C$130,Analysis!$C$136,IF(($B11-Analysis!$C$130)&lt;LOOKUP(Analysis!$C$130,$B:$B,EE:EE),EI10,0)))</f>
        <v>0</v>
      </c>
      <c r="EJ11" s="1">
        <f>IF($B11&lt;Analysis!$C$130,0,IF($B11=Analysis!$C$130,-EI11*ED11,EI10*EH10))</f>
        <v>0</v>
      </c>
      <c r="EK11" s="1">
        <f>IF(OR($B11&lt;Analysis!$C$130, ED11=0),0,IF($B11=Analysis!$C$130,PMT(EI11,EE11,ED11)*EE11-EL11-EH11,IF(($B11-Analysis!$C$130+1)&lt;LOOKUP(Analysis!$C$130,$B:$B,EE:EE),IF(EK10-EJ11&lt;0, EK10-EJ11,0),0)))</f>
        <v>0</v>
      </c>
      <c r="EL11" s="1">
        <f>IF($B11&lt;Analysis!$C$130,0,IF($B11=Analysis!$C$130,EG11+EJ11,IF(EH10&lt;0,IF(EH10&gt;LOOKUP(Analysis!$C$130,$B:$B,EL:EL), EH10*(1+EI10),EL10),0)))</f>
        <v>0</v>
      </c>
      <c r="EM11" s="1">
        <f>IF($B11=Analysis!$C$130,Analysis!$C$132,0)</f>
        <v>0</v>
      </c>
      <c r="EN11" s="1">
        <f>IF($B11=Analysis!$C$130,PMT(EI11,EO11,EM11)*EO11,0)</f>
        <v>0</v>
      </c>
      <c r="EO11" s="7">
        <f>IF($B11=Analysis!$C$130,Analysis!$C$134,0)</f>
        <v>0</v>
      </c>
      <c r="EP11" s="1">
        <f>IF($B11&lt;Analysis!$C$130,0,IF($B11=Analysis!$C$130,EN11/EO11,IF(($B11-Analysis!$C$130)&lt;LOOKUP(Analysis!$C$130,$B:$B,EO:EO),EP10,0)))</f>
        <v>0</v>
      </c>
      <c r="EQ11" s="1">
        <f>IF($B11&lt;Analysis!$C$130,0,IF($B11=Analysis!$C$130,EO11*EP11-EP11,IF(($B11-Analysis!$C$130)&lt;Analysis!$C$134,EQ10-EP11,0)))</f>
        <v>0</v>
      </c>
      <c r="ER11" s="53"/>
      <c r="ES11" s="1">
        <f>IF($B11&lt;Analysis!$C$130,0,-ET11*EB11)</f>
        <v>0</v>
      </c>
      <c r="ET11" s="64">
        <f>IF($B11&lt;Analysis!$C$130,0,Analysis!$C$142)</f>
        <v>0</v>
      </c>
      <c r="EU11" s="1">
        <f>IF($B11&lt;Analysis!$C$130,0,-EV11*EB11)</f>
        <v>0</v>
      </c>
      <c r="EV11" s="64">
        <f>IF($B11&lt;Analysis!$C$130,0,Analysis!$C$143)</f>
        <v>0</v>
      </c>
      <c r="EW11" s="1">
        <f>IF($B11&lt;Analysis!$C$130,0,MIN(Analysis!$C$144*12,SUM(EX11:FB11)))</f>
        <v>0</v>
      </c>
      <c r="EX11" s="1">
        <f>IF($B11&lt;Analysis!$C$130,0,Analysis!$C$145*12)</f>
        <v>0</v>
      </c>
      <c r="EY11" s="1">
        <f>IF($B11&lt;Analysis!$C$130,0,Analysis!$C$146*12)</f>
        <v>0</v>
      </c>
      <c r="EZ11" s="1">
        <f>IF($B11&lt;Analysis!$C$130,0,Analysis!$C$147*12)</f>
        <v>0</v>
      </c>
      <c r="FA11" s="1">
        <f>IF($B11&lt;Analysis!$C$130,0,Analysis!$C$148*12)</f>
        <v>0</v>
      </c>
      <c r="FB11" s="1">
        <f>IF($B11&lt;Analysis!$C$130,0,Analysis!$C$149*12)</f>
        <v>0</v>
      </c>
      <c r="FC11" s="1">
        <v>0</v>
      </c>
      <c r="FD11" s="1">
        <f>-FC11*Analysis!$C$28</f>
        <v>0</v>
      </c>
      <c r="FE11" s="53"/>
      <c r="FF11" s="1">
        <f t="shared" si="32"/>
        <v>0</v>
      </c>
      <c r="FG11" s="64">
        <f>IF($B11&lt;Analysis!$C$130,0,Analysis!$C$31)</f>
        <v>0</v>
      </c>
      <c r="FH11" s="1">
        <f>IF($B11&lt;Analysis!$C$130,0,EB11+FF11)</f>
        <v>0</v>
      </c>
      <c r="FI11" s="1">
        <f>IF($B11-Analysis!$C$130&gt;3,0,IF(EB11&gt;LOOKUP(Analysis!$C$130,$B:$B, EB:EB),$V11*(LOOKUP(Analysis!$C$130,$B:$B, EB:EB)-EB11),0))</f>
        <v>0</v>
      </c>
      <c r="FJ11" s="1">
        <f t="shared" si="33"/>
        <v>0</v>
      </c>
      <c r="FK11" s="53"/>
      <c r="FL11" s="1">
        <f>$P11+$N11+IF($B11&lt;Analysis!$C$130,$X11+$Z11,0)+CP11+CS11+CY11+DE11+DG11+MIN(DI11,SUM(DJ11:DN11))+DQ11+DS11+DT11+EG11+EJ11+EP11+ES11+EU11+MIN(EW11,SUM(EX11:FB11))+FD11</f>
        <v>-125563.97848835037</v>
      </c>
      <c r="FM11" s="1">
        <f>$M11+$R11+DD11+IF(AND($B11&lt;&gt;Analysis!$C$130,$B11=Analysis!$C$101),DZ10+CQ10+CT10+CZ10,0)</f>
        <v>140366.27422462279</v>
      </c>
      <c r="FN11" s="1">
        <f t="shared" si="34"/>
        <v>14802.295736272412</v>
      </c>
      <c r="FO11" s="1">
        <f>IF(FN11 &lt; 0,
    IF(FO10 + FN11 &gt; 0,
        FO10 + FN11, IF(FT10-ABS(FO10 + FN11)*(1+$V11) &gt;= FO10 + FN11,
        0, FO10 + FN11)),
    MIN(FO10 + FN11, Analysis!$C$7))+IF(FO10&lt;0, FO10*Analysis!$C$9,0)</f>
        <v>24000</v>
      </c>
      <c r="FP11" s="53"/>
      <c r="FQ11" s="1">
        <f t="shared" si="51"/>
        <v>1475.0049670295718</v>
      </c>
      <c r="FR11" s="1">
        <f>IF(OR($B11=Analysis!$C$100, $B11=Analysis!$C$130),0,IF(FN11 &gt;= 0,
    MAX(0, FO10 + FN11 - Analysis!$C$7),
    0))</f>
        <v>14802.295736272412</v>
      </c>
      <c r="FS11" s="1">
        <f>IF(OR($B11=Analysis!$C$100, $B11=Analysis!$C$130),0,MAX(0, FS10 + FR11 - IF(FN11 &lt; 0, MIN(ABS(FN11), FS10 + FR11), 0)))</f>
        <v>37553.385391460994</v>
      </c>
      <c r="FT11" s="1">
        <f>IF(OR($B11=Analysis!$C$100, $B11=Analysis!$C$130),0,IF(FN11 &lt; 0,
    IF(FN11 + FO10 &lt; 0,
        MAX(0, FT10 - (ABS(FN11 + FO10) * (1+$V10))),
        FT10 + FQ11),
    FT10 + FR11 + FQ11))</f>
        <v>39689.037019750293</v>
      </c>
      <c r="FU11" s="1">
        <f t="shared" si="35"/>
        <v>39125.758902788992</v>
      </c>
      <c r="FV11" s="36"/>
      <c r="FW11" s="1">
        <f t="shared" si="52"/>
        <v>674483.43516324076</v>
      </c>
      <c r="FX11" s="64">
        <f t="shared" si="53"/>
        <v>2.941176470588247E-2</v>
      </c>
      <c r="FY11" s="1">
        <f>IF($B11=Analysis!$C$159,(FW11*(1+Analysis!$C$23+Analysis!$C$24+Analysis!$C$25))-IF($B11=$B$2,(Analysis!$C$6-Analysis!$C$7+Analysis!$C$165), (HW10-Analysis!$C$7+GH11)),0)</f>
        <v>0</v>
      </c>
      <c r="FZ11" s="65">
        <f>IF($B11=Analysis!$C$159,NPER(GD11,-GG11,-FY11),0)</f>
        <v>0</v>
      </c>
      <c r="GA11" s="64">
        <f>IF($B11=Analysis!$C$159,Analysis!$C$161,0)</f>
        <v>0</v>
      </c>
      <c r="GB11" s="1">
        <f>IF($B11&lt;Analysis!$C$159,0,IF($B11=Analysis!$C$159,-FY11*GA11,IF(GG11&gt;=0,0,GG11-GE11)))</f>
        <v>-13970.953014673723</v>
      </c>
      <c r="GC11" s="1">
        <f>IF($B11&lt;Analysis!$C$159,0,IF($B11=Analysis!$C$159,-FY11-GB11,MIN(0,GC10-GB11)))</f>
        <v>-384433.29091306357</v>
      </c>
      <c r="GD11" s="64">
        <f>IF($B11&lt;Analysis!$C$159,0,IF($B11=Analysis!$C$159,Analysis!$C$160,IF(($B11-Analysis!$C$159)&lt;LOOKUP(Analysis!$C$159,$B:$B,FZ:FZ),GD10,0)))</f>
        <v>3.6999999999999998E-2</v>
      </c>
      <c r="GE11" s="1">
        <f>IF($B11&lt;Analysis!$C$159,0,IF($B11=Analysis!$C$159,-GD11*FY11,GD10*GC10))</f>
        <v>-14740.957025326279</v>
      </c>
      <c r="GF11" s="1">
        <f>IF($B11&lt;Analysis!$C$159,0,IF($B11=Analysis!$C$159,PMT(GD11,FZ11,FY11)*FZ11-GG11-GC11,IF(($B11-Analysis!$C$159+1)&lt;LOOKUP(Analysis!$C$159,$B:$B,FZ:FZ),IF(GF10-GE11&lt;0, GF10-GE11,0),0)))</f>
        <v>-156108.8248643484</v>
      </c>
      <c r="GG11" s="1">
        <f>IF($B11&lt;Analysis!$C$159,0,IF($B11=Analysis!$C$159,GB11+GE11,IF(GC10&lt;0,IF(GC10&gt;LOOKUP(Analysis!$C$159,$B:$B,GG:GG), GC10*(1+GD10),GG10),0)))</f>
        <v>-28711.910040000002</v>
      </c>
      <c r="GH11" s="1">
        <f>IF($B11=Analysis!$C$159,Analysis!$C$165,0)</f>
        <v>0</v>
      </c>
      <c r="GI11" s="1">
        <f>IF($B11=Analysis!$C$159,PMT(GD11,GJ11,GH11)*GJ11,0)</f>
        <v>0</v>
      </c>
      <c r="GJ11" s="7">
        <f>IF($B11=Analysis!$C$159,Analysis!$C$167,0)</f>
        <v>0</v>
      </c>
      <c r="GK11" s="1">
        <f>IF($B11&lt;Analysis!$C$159,0,IF($B11=Analysis!$C$159,GI11/GJ11,IF(($B11-Analysis!$C$159)&lt;LOOKUP(Analysis!$C$159,$B:$B,GJ:GJ),GK10,0)))</f>
        <v>-6072.8287787074187</v>
      </c>
      <c r="GL11" s="1">
        <f>IF($B11&lt;Analysis!$C$159,0,IF($B11=Analysis!$C$159,GJ11*GK11-GK11,IF(($B11-Analysis!$C$159)&lt;Analysis!$C$167,GL10-GK11,0)))</f>
        <v>7.2759576141834259E-12</v>
      </c>
      <c r="GM11" s="38"/>
      <c r="GN11" s="1">
        <f>IF($B11&lt;Analysis!$C$159,0,IF($B11=2025,(Analysis!$C$109*12),IF($B11=Analysis!$C$159,(Analysis!$C$109*12)*(1+GO11)^($B11-$B$2),GN10*(1+GO11))))</f>
        <v>17991.417265901695</v>
      </c>
      <c r="GO11" s="64">
        <f>IF($B11&lt;Analysis!$C$159,0,((1+Analysis!$C$174)/(1+$S11))-1)</f>
        <v>2.941176470588247E-2</v>
      </c>
      <c r="GP11" s="1">
        <f t="shared" si="7"/>
        <v>23974.867571391416</v>
      </c>
      <c r="GQ11" s="1">
        <f t="shared" si="36"/>
        <v>-2023.4503054897223</v>
      </c>
      <c r="GR11" s="64">
        <f>IF($B11&lt;Analysis!$C$159,0,Analysis!$C$178)</f>
        <v>3.0000000000000001E-3</v>
      </c>
      <c r="GS11" s="1">
        <f t="shared" si="37"/>
        <v>-5058.6257637243052</v>
      </c>
      <c r="GT11" s="64">
        <f>IF($B11&lt;Analysis!$C$159,0,Analysis!$C$179)</f>
        <v>7.4999999999999997E-3</v>
      </c>
      <c r="GU11" s="1">
        <f>IF($B11&lt;Analysis!$C$159,0,MIN(Analysis!$C$180*12,SUM(GV11:GZ11)))</f>
        <v>-3960</v>
      </c>
      <c r="GV11" s="1">
        <f>IF($B11&lt;Analysis!$C$159,0,Analysis!$C$181*12)</f>
        <v>-900</v>
      </c>
      <c r="GW11" s="1">
        <f>IF($B11&lt;Analysis!$C$159,0,Analysis!$C$182*12)</f>
        <v>-1500</v>
      </c>
      <c r="GX11" s="1">
        <f>IF($B11&lt;Analysis!$C$159,0,Analysis!$C$183*12)</f>
        <v>-480</v>
      </c>
      <c r="GY11" s="1">
        <f>IF($B11&lt;Analysis!$C$159,0,Analysis!$C$184*12)</f>
        <v>-480</v>
      </c>
      <c r="GZ11" s="1">
        <f>IF($B11&lt;Analysis!$C$159,0,Analysis!$C$185*12)</f>
        <v>-600</v>
      </c>
      <c r="HA11" s="64">
        <f>IF($B11&lt;Analysis!$C$159,0,Analysis!$C$173)</f>
        <v>0.02</v>
      </c>
      <c r="HB11" s="1">
        <f>-HA11*LOOKUP(Analysis!$C$159,$B:$B,FW:FW)</f>
        <v>-10392</v>
      </c>
      <c r="HC11" s="1">
        <f>-Analysis!$C$177*GN11</f>
        <v>-1349.3562949426271</v>
      </c>
      <c r="HD11" s="1">
        <f t="shared" si="38"/>
        <v>-22783.432364156655</v>
      </c>
      <c r="HE11" s="1">
        <f>MIN(0,-(GN11+HD11)*Analysis!$C$28)-GE11*Analysis!$C$28</f>
        <v>6531.7180579220731</v>
      </c>
      <c r="HF11" s="1">
        <f>-Analysis!$C$176*GP11/12</f>
        <v>-1997.9056309492846</v>
      </c>
      <c r="HG11" s="38"/>
      <c r="HH11" s="1">
        <f>IF($B11&lt;Analysis!$C$159,0,-$HI11*$FW11)</f>
        <v>-85996.637983313194</v>
      </c>
      <c r="HI11" s="64">
        <f>IF($B11&lt;Analysis!$C$159,0,IF($B11=Analysis!$C$159,Analysis!$C$31,HI10))</f>
        <v>0.1275</v>
      </c>
      <c r="HJ11" s="1">
        <f>IF($B11&lt;Analysis!$C$159,0,$FW11+HH11)</f>
        <v>588486.79717992758</v>
      </c>
      <c r="HK11" s="1">
        <f>IF($B11-Analysis!$C$159&gt;10,0,IF($FW11&gt;LOOKUP(Analysis!$C$159,$B:$B, FW:FW),$V11*(LOOKUP(Analysis!$C$159,$B:$B, FW:FW)-FW11),0))</f>
        <v>-40850.506024304748</v>
      </c>
      <c r="HL11" s="1">
        <f t="shared" si="39"/>
        <v>547636.29115562281</v>
      </c>
      <c r="HM11" s="38"/>
      <c r="HN11" s="1">
        <f t="shared" si="40"/>
        <v>-125563.97848835037</v>
      </c>
      <c r="HO11" s="1">
        <f t="shared" si="8"/>
        <v>140366.27422462279</v>
      </c>
      <c r="HP11" s="1">
        <f t="shared" si="41"/>
        <v>14802.295736272412</v>
      </c>
      <c r="HQ11" s="1">
        <f>IF(HP11 &lt; 0,
    IF(HQ10 + HP11 &gt; 0,
        HQ10 + HP11, IF(HV10-ABS(HQ10 + HP11)*(1+$V11) &gt;= HQ10 + HP11,
        0, HQ10 + HP11)),
    MIN(HQ10 + HP11, Analysis!$C$7))+IF(HQ10&lt;0, HQ10*Analysis!$C$9,0)</f>
        <v>24000</v>
      </c>
      <c r="HR11" s="38"/>
      <c r="HS11" s="1">
        <f t="shared" si="54"/>
        <v>1475.0049670295718</v>
      </c>
      <c r="HT11" s="1">
        <f>IF($B11=Analysis!$C$159,0,IF(HP11 &gt;= 0,
    MAX(0, HQ10 + HP11 - Analysis!$C$7),
    0))</f>
        <v>14802.295736272412</v>
      </c>
      <c r="HU11" s="1">
        <f>IF($B11=Analysis!$C$159,0,MAX(0, HU10 + HT11 - IF(HP11 &lt; 0, MIN(ABS(HP11), HU10 + HT11), 0)))</f>
        <v>37553.385391460994</v>
      </c>
      <c r="HV11" s="1">
        <f>IF($B11=Analysis!$C$159,0,IF(HP11 &lt; 0,
    IF(HP11 + HQ10 &lt; 0,
        MAX(0, HV10 - (ABS(HP11 + HQ10) * (1+$V10))),
        HV10 + HS11),
    HV10 + HT11 + HS11))</f>
        <v>39689.037019750293</v>
      </c>
      <c r="HW11" s="1">
        <f t="shared" si="42"/>
        <v>39125.758902788992</v>
      </c>
      <c r="HX11" s="36"/>
    </row>
    <row r="12" spans="1:232" x14ac:dyDescent="0.35">
      <c r="A12">
        <f t="shared" si="0"/>
        <v>45</v>
      </c>
      <c r="B12">
        <v>2035</v>
      </c>
      <c r="C12" s="1">
        <f>IF($B12&lt;Analysis!C$66,0,$AN12)+$AT12+$AW12+$BC12+$CF12+$CA12</f>
        <v>-172167.67930766242</v>
      </c>
      <c r="D12" s="1">
        <f>IF($B12&lt;Analysis!C$66, 0, BV12)+AT12+AW12+BC12+CG12+CA12</f>
        <v>-323799.88921914448</v>
      </c>
      <c r="E12" s="1">
        <f t="shared" si="1"/>
        <v>418995.20299716713</v>
      </c>
      <c r="F12" s="1">
        <f t="shared" si="9"/>
        <v>390506.11223463929</v>
      </c>
      <c r="G12" s="1">
        <f>IF(AND($B12&gt;=Analysis!$C$100, $B12&lt;Analysis!$C$101),$CK12,0)+IF($B12&gt;=Analysis!$C$130,EB12,0)+CQ12+CT12+CZ12+EH12+EK12+EQ12+$FO12+$FT12</f>
        <v>270371.81660594873</v>
      </c>
      <c r="H12" s="1">
        <f t="shared" si="10"/>
        <v>180641.02045494536</v>
      </c>
      <c r="I12" s="1">
        <f>IF($B12&lt;Analysis!$C$159,0,$FW12)+$GC12+$GF12+$GL12+$HQ12+$HV12</f>
        <v>270371.81660594873</v>
      </c>
      <c r="J12" s="1">
        <f t="shared" si="2"/>
        <v>134558.30837110218</v>
      </c>
      <c r="K12" s="36"/>
      <c r="L12" s="1">
        <f t="shared" si="11"/>
        <v>117817.77193084449</v>
      </c>
      <c r="M12" s="1">
        <f>IF($B12=Analysis!$C$47, M11 * (1 - Analysis!$C$48),
    IF($B12=Analysis!$C$52, M11 * (1 - Analysis!$C$53),
    IF($B12=Analysis!$C$58, M11 * (1 - Analysis!$C$60),
    L12)))</f>
        <v>117817.77193084449</v>
      </c>
      <c r="N12" s="1">
        <f>Analysis!$C$3*12*(1+O12)+P12</f>
        <v>-53200</v>
      </c>
      <c r="O12" s="64">
        <f>IF(OR($B12=Analysis!$C$47,$B12=Analysis!$C$52,$B12=Analysis!$C$58),-Analysis!$C$49,0)</f>
        <v>0</v>
      </c>
      <c r="P12" s="1">
        <f>IF($B12&lt;Analysis!$C$47,0,IF($B12-Analysis!$C$47&lt;=3,Analysis!$C$40+Analysis!$C$44,IF($B12-Analysis!$C$47&lt;=10,Analysis!$C$41+Analysis!$C$44,IF($B12-Analysis!$C$47&lt;=18,Analysis!$C$42+Analysis!$C$44,IF($B12-Analysis!$C$47&lt;=25,Analysis!$C$43+Analysis!$C$44,0)))) + IF(AND($B12&gt;=Analysis!$C$52, $B12-Analysis!$C$52&lt;=3),Analysis!$C$40+Analysis!$C$44,IF(AND($B12&gt;=Analysis!$C$52, $B12-Analysis!$C$52&lt;=10),Analysis!$C$41+Analysis!$C$44,IF(AND($B12&gt;=Analysis!$C$52, $B12-Analysis!$C$52&lt;=18),Analysis!$C$42+Analysis!$C$44,IF(AND($B12&gt;=Analysis!$C$52, $B12-Analysis!$C$52&lt;=25),Analysis!$C$43+Analysis!$C$44,0)))) + Analysis!$C$57*IF(AND($B12&gt;=Analysis!$C$58, $B12-Analysis!$C$58&lt;=3),Analysis!$C$40+Analysis!$C$44,IF(AND($B12&gt;=Analysis!$C$58, $B12-Analysis!$C$58&lt;=10),Analysis!$C$41+Analysis!$C$44,IF(AND($B12&gt;=Analysis!$C$58, $B12-Analysis!$C$58&lt;=18),Analysis!$C$42+Analysis!$C$44,IF(AND($B12&gt;=Analysis!$C$58, $B12-Analysis!$C$58&lt;=25),Analysis!$C$43+Analysis!$C$44,0)))))</f>
        <v>-5200</v>
      </c>
      <c r="Q12" s="1">
        <f t="shared" si="43"/>
        <v>0</v>
      </c>
      <c r="R12" s="1">
        <f>IF(AND(AND(B12=Analysis!C$35,Analysis!C$34&lt;&gt;0),AND(B12=Analysis!C$37,Analysis!C$36&lt;&gt;0)),Analysis!C$34+Analysis!C$36,IF(AND(B12=Analysis!C$35,Analysis!C$34&lt;&gt;0),Analysis!C$34,IF(AND(B12=Analysis!C$37,Analysis!C$36&lt;&gt;0),Analysis!C$36,0)))</f>
        <v>0</v>
      </c>
      <c r="S12" s="64">
        <f t="shared" si="12"/>
        <v>0.02</v>
      </c>
      <c r="T12" s="64">
        <f>IF($B12&lt;Analysis!$C$13, ((1+IF($B12-$B$2&lt;10,Analysis!$C$11,IF($B12-$B$2&lt;20,(Analysis!$C$11+Analysis!$C$12)/2,Analysis!$C$12)))/(1+$S12)-1),IF($B12=Analysis!$C$13,-Analysis!$C$14,-$S12))</f>
        <v>1.225490196078427E-2</v>
      </c>
      <c r="U12" s="64">
        <f>IF($B12=$B$2,((1+Analysis!$C$16)/(1+$S12))-1,IF(B12&lt;Analysis!$C$13,U11-((Analysis!$C$16-Analysis!$C$17)/(Analysis!$C$13-$B$2)),((1+Analysis!$C$17)/(1+$S11))-1))</f>
        <v>6.1288515406162668E-2</v>
      </c>
      <c r="V12" s="64">
        <f t="shared" si="13"/>
        <v>0.26374999999999998</v>
      </c>
      <c r="W12" s="36"/>
      <c r="X12" s="1">
        <f t="shared" si="14"/>
        <v>-21166.373254001996</v>
      </c>
      <c r="Y12" s="64">
        <f t="shared" si="15"/>
        <v>2.941176470588247E-2</v>
      </c>
      <c r="Z12" s="1">
        <f t="shared" si="16"/>
        <v>-3960</v>
      </c>
      <c r="AA12" s="64">
        <f t="shared" si="17"/>
        <v>0</v>
      </c>
      <c r="AB12" s="40"/>
      <c r="AC12" s="1">
        <f t="shared" si="3"/>
        <v>-83526.373254001999</v>
      </c>
      <c r="AD12" s="1">
        <f t="shared" si="4"/>
        <v>117817.77193084449</v>
      </c>
      <c r="AE12" s="1">
        <f t="shared" si="18"/>
        <v>34291.398676842495</v>
      </c>
      <c r="AF12" s="1">
        <f>IF(AE12 &lt; 0,
    IF(AF11 + AE12 &gt; 0,
        AF11 + AE12, IF(AK11-ABS(AF11 + AE12)*(1+$V12) &gt;= AF11 + AE12,
        0, AF11 + AE12)),
    MIN(AF11 + AE12, Analysis!$C$7))+IF(AF11&lt;0, AF11*Analysis!$C$9,0)</f>
        <v>24000</v>
      </c>
      <c r="AG12" s="40"/>
      <c r="AH12" s="1">
        <f t="shared" si="19"/>
        <v>20830.340051015432</v>
      </c>
      <c r="AI12" s="1">
        <f>IF(AE12 &gt;= 0,
    MAX(0, AF11 + AE12 - Analysis!$C$7),
    0)</f>
        <v>34291.398676842495</v>
      </c>
      <c r="AJ12" s="1">
        <f t="shared" si="44"/>
        <v>286979.69299706153</v>
      </c>
      <c r="AK12" s="1">
        <f t="shared" si="20"/>
        <v>394995.20299716713</v>
      </c>
      <c r="AL12" s="1">
        <f t="shared" si="5"/>
        <v>366506.11223463929</v>
      </c>
      <c r="AM12" s="36"/>
      <c r="AN12" s="1">
        <f t="shared" si="45"/>
        <v>1189272.2345998595</v>
      </c>
      <c r="AO12" s="64">
        <f t="shared" si="21"/>
        <v>2.941176470588247E-2</v>
      </c>
      <c r="AP12" s="1">
        <f>IF($B12=Analysis!$C$66,(AN12*(1+Analysis!$C$23+Analysis!$C$24+Analysis!$C$25))-IF($B12=$B$2,(Analysis!$C$6-Analysis!$C$7+Analysis!$C$68), ($CG11-Analysis!$C$7+AY12)),0)</f>
        <v>0</v>
      </c>
      <c r="AQ12" s="65">
        <f>IF($B12=Analysis!$C$66,NPER(AU12,-AX12,-AP12),0)</f>
        <v>0</v>
      </c>
      <c r="AR12" s="64">
        <f>IF($B12=Analysis!$C$66,Analysis!$C$73,0)</f>
        <v>0</v>
      </c>
      <c r="AS12" s="1">
        <f>IF($B12&lt;Analysis!$C$66,0,IF($B12=Analysis!$C$66,-AP12*AR12,IF(AX12&gt;=0,0,AX12-AV12)))</f>
        <v>-26373.884973864366</v>
      </c>
      <c r="AT12" s="1">
        <f>IF($B12&lt;Analysis!$C$66,0,IF($B12=Analysis!$C$66,-AP12-AS12,MIN(0,AT11-AS12)))</f>
        <v>-673452.49411088275</v>
      </c>
      <c r="AU12" s="64">
        <f>IF($B12&lt;Analysis!$C$66,0,IF($B12=Analysis!$C$66,Analysis!$C$72,IF(($B12-Analysis!$C$66)&lt;LOOKUP(Analysis!$C$66,$B:$B,AQ:AQ),AU11,0)))</f>
        <v>3.6999999999999998E-2</v>
      </c>
      <c r="AV12" s="1">
        <f>IF($B12&lt;Analysis!$C$66,0,IF($B12=Analysis!$C$66,-AU12*AP12,AU11*AT11))</f>
        <v>-25893.576026135644</v>
      </c>
      <c r="AW12" s="1">
        <f>IF($B12&lt;Analysis!$C$66,0,IF($B12=Analysis!$C$66,PMT(AU12,AQ12,AP12)*AQ12-AX12-AT12,IF(($B12-Analysis!$C$66+1)&lt;LOOKUP(Analysis!$C$66,$B:$B,AQ:AQ),IF(AW11-AV12&lt;0, AW11-AV12,0),0)))</f>
        <v>-258288.5596794259</v>
      </c>
      <c r="AX12" s="1">
        <f>IF($B12&lt;Analysis!$C$66,0,IF($B12=Analysis!$C$66,AS12+AV12,IF(AT11&lt;0,IF(AT11&gt;LOOKUP(Analysis!$C$66,$B:$B,AX:AX), AT11*(1+AU11),AX11),0)))</f>
        <v>-52267.46100000001</v>
      </c>
      <c r="AY12" s="1">
        <f>IF($B12=Analysis!$C$66,Analysis!$C$68,0)</f>
        <v>0</v>
      </c>
      <c r="AZ12" s="1">
        <f>IF($B12=Analysis!$C$66,PMT(AU12,BA12,AY12)*BA12,0)</f>
        <v>0</v>
      </c>
      <c r="BA12" s="7">
        <f>IF($B12=Analysis!$C$66,Analysis!$C$70,0)</f>
        <v>0</v>
      </c>
      <c r="BB12" s="1">
        <f>IF($B12&lt;Analysis!$C$66,0,IF($B12=Analysis!$C$66,AZ12/BA12,IF(($B12-Analysis!$C$66)&lt;LOOKUP(Analysis!$C$66,$B:$B,BA:BA),BB11,0)))</f>
        <v>0</v>
      </c>
      <c r="BC12" s="1">
        <f>IF($B12&lt;Analysis!$C$66,0,IF($B12=Analysis!$C$66,BA12*BB12-BB12,IF(($B12-Analysis!$C$66)&lt;Analysis!$C$70,BC11-BB12,0)))</f>
        <v>0</v>
      </c>
      <c r="BD12" s="42"/>
      <c r="BE12" s="1">
        <f>IF($B12&lt;Analysis!$C$66,0,-BF12*AN12)</f>
        <v>-3567.8167037995786</v>
      </c>
      <c r="BF12" s="64">
        <f>IF($B12&lt;Analysis!$C$66,0,Analysis!$C$78)</f>
        <v>3.0000000000000001E-3</v>
      </c>
      <c r="BG12" s="1">
        <f>IF($B12&lt;Analysis!$C$66,0,-BH12*AN12)</f>
        <v>-8919.5417594989449</v>
      </c>
      <c r="BH12" s="64">
        <f>IF($B12&lt;Analysis!$C$66,0,Analysis!$C$79)</f>
        <v>7.4999999999999997E-3</v>
      </c>
      <c r="BI12" s="1">
        <f>IF($B12&lt;Analysis!$C$66,0,MIN(Analysis!$C$80*12,SUM(BJ12:BN12)))</f>
        <v>-3960</v>
      </c>
      <c r="BJ12" s="1">
        <f>IF($B12&lt;Analysis!$C$66,0,Analysis!$C$81*12)</f>
        <v>-900</v>
      </c>
      <c r="BK12" s="1">
        <f>IF($B12&lt;Analysis!$C$66,0,Analysis!$C$82*12)</f>
        <v>-1500</v>
      </c>
      <c r="BL12" s="1">
        <f>IF($B12&lt;Analysis!$C$66,0,Analysis!$C$83*12)</f>
        <v>-480</v>
      </c>
      <c r="BM12" s="1">
        <f>IF($B12&lt;Analysis!$C$66,0,Analysis!$C$84*12)</f>
        <v>-480</v>
      </c>
      <c r="BN12" s="1">
        <f>IF($B12&lt;Analysis!$C$66,0,Analysis!$C$85*12)</f>
        <v>-600</v>
      </c>
      <c r="BO12" s="1">
        <v>0</v>
      </c>
      <c r="BP12" s="1">
        <f>-BO12*Analysis!$C$28</f>
        <v>0</v>
      </c>
      <c r="BQ12" s="42"/>
      <c r="BR12" s="1">
        <f t="shared" si="22"/>
        <v>-151632.20991148209</v>
      </c>
      <c r="BS12" s="64">
        <f>IF($B12&lt;Analysis!C$66,0,Analysis!C$31)</f>
        <v>0.1275</v>
      </c>
      <c r="BT12" s="1">
        <f>IF($B12&lt;Analysis!$C$66,0,AN12+BR12)</f>
        <v>1037640.0246883774</v>
      </c>
      <c r="BU12" s="1">
        <f>IF($B12-Analysis!$C$66&gt;3,0,IF($AN12&gt;LOOKUP(Analysis!$C$66,$B:$B, AN:AN),$V12*(LOOKUP(Analysis!$C$66,$B:$B, AN:AN)-AN12),0))</f>
        <v>0</v>
      </c>
      <c r="BV12" s="1">
        <f t="shared" si="23"/>
        <v>1037640.0246883774</v>
      </c>
      <c r="BW12" s="42"/>
      <c r="BX12" s="1">
        <f>IF($B12&lt;Analysis!$C$66,$P12+$N12+$X12+$Z12,$P12+$N12+AS12+AV12+BB12+BE12+BG12+MAX(BI12,SUM(BJ12:BN12))+BP12)</f>
        <v>-127114.81946329853</v>
      </c>
      <c r="BY12" s="1">
        <f t="shared" si="24"/>
        <v>117817.77193084449</v>
      </c>
      <c r="BZ12" s="1">
        <f t="shared" si="46"/>
        <v>-9297.0475324540312</v>
      </c>
      <c r="CA12" s="1">
        <f>IF(BZ12 &lt; 0,
    IF(CA11 + BZ12 &gt; 0,
        CA11 + BZ12, IF(CF11-ABS(CA11 + BZ12)*(1+$V12) &gt;= CA11 + BZ12,
        0, CA11 + BZ12)),
    MIN(CA11 + BZ12, Analysis!$C$7))+IF(CA11&lt;0, CA11*Analysis!$C$9,0)</f>
        <v>-429698.86011721322</v>
      </c>
      <c r="CB12" s="42"/>
      <c r="CC12" s="1">
        <f t="shared" si="47"/>
        <v>0</v>
      </c>
      <c r="CD12" s="1">
        <f>IF(BZ12 &gt;= 0,
    MAX(0, CA11 + BZ12 - Analysis!$C$7),
    0)</f>
        <v>0</v>
      </c>
      <c r="CE12" s="1">
        <f>IF($B12=Analysis!$C$66,0,MAX(0, CE11 + CD12 - IF(BZ12 &lt; 0, MIN(ABS(BZ12), CE11 + CD12), 0)))</f>
        <v>0</v>
      </c>
      <c r="CF12" s="1">
        <f>IF($B12=Analysis!$C$66,0,IF(BZ12 &lt; 0,
    IF(BZ12 + CA11 &lt; 0,
        MAX(0, CF11 - (ABS(BZ12 + CA11) * (1+$V11))),
        CF11 + CC12),
    CF11 + CD12 + CC12))</f>
        <v>0</v>
      </c>
      <c r="CG12" s="1">
        <f>IF(CF12-CE12&gt;0, CF12-$V12*(CF12-CE12),CF12)</f>
        <v>0</v>
      </c>
      <c r="CH12" s="36"/>
      <c r="CI12" s="1">
        <f>IF(OR($B12&lt;Analysis!$C$100, $B12&gt;=Analysis!$C$130),0,X12)</f>
        <v>-21166.373254001996</v>
      </c>
      <c r="CJ12" s="1">
        <f>IF(OR($B12&lt;Analysis!$C$100, $B12&gt;=Analysis!$C$130),0,Z12)</f>
        <v>-3960</v>
      </c>
      <c r="CK12" s="1">
        <f t="shared" si="26"/>
        <v>694321.18325627735</v>
      </c>
      <c r="CL12" s="64">
        <f t="shared" si="48"/>
        <v>2.941176470588247E-2</v>
      </c>
      <c r="CM12" s="1">
        <f>IF($B12=Analysis!$C$100,(CK12*(1+Analysis!$C$23+Analysis!$C$24+Analysis!$C$25))-IF($B12=$B$2,(Analysis!$C$6-Analysis!$C$7+Analysis!$C$105), (FU11-Analysis!$C$7+CV12)),0)</f>
        <v>0</v>
      </c>
      <c r="CN12" s="65">
        <f>IF($B12=Analysis!$C$100,NPER(CR12,-CU12,-CM12),0)</f>
        <v>0</v>
      </c>
      <c r="CO12" s="64">
        <f>IF($B12=Analysis!$C$100,Analysis!$C$103,0)</f>
        <v>0</v>
      </c>
      <c r="CP12" s="1">
        <f>IF(OR($B12&lt;Analysis!$C$100, $B12&gt;=Analysis!$C$101),0,IF($B12=Analysis!$C$100,-CM12*CO12,IF(CU12&gt;=0,0,CU12-CS12)))</f>
        <v>-14487.878276216652</v>
      </c>
      <c r="CQ12" s="1">
        <f>IF(OR($B12&lt;Analysis!$C$100, $B12&gt;=Analysis!$C$101),0,IF($B12=Analysis!$C$100,-CM12-CP12,MIN(0,CQ11-CP12)))</f>
        <v>-369945.41263684689</v>
      </c>
      <c r="CR12" s="64">
        <f>IF(OR($B12&lt;Analysis!$C$100, $B12&gt;=Analysis!$C$101),0,IF($B12=Analysis!$C$100,Analysis!$C$102,IF(($B12-Analysis!$C$100)&lt;LOOKUP(Analysis!$C$100,$B:$B,CN:CN),CR11,0)))</f>
        <v>3.6999999999999998E-2</v>
      </c>
      <c r="CS12" s="1">
        <f>IF(OR($B12&lt;Analysis!$C$100, $B12&gt;=Analysis!$C$101),0,IF($B12=Analysis!$C$100,-CR12*CM12,CR11*CQ11))</f>
        <v>-14224.03176378335</v>
      </c>
      <c r="CT12" s="1">
        <f>IF(OR($B12&lt;Analysis!$C$100, $B12&gt;=Analysis!$C$101),0,IF($B12=Analysis!$C$100,PMT(CR12,CN12,CM12)*CN12-CU12-CQ12,IF(($B12-Analysis!$C$100+1)&lt;LOOKUP(Analysis!$C$100,$B:$B,CN:CN),IF(CT11-CS12&lt;0, CT11-CS12,0),0)))</f>
        <v>-141884.79310056503</v>
      </c>
      <c r="CU12" s="1">
        <f>IF(OR($B12&lt;Analysis!$C$100, $B12&gt;=Analysis!$C$101),0,IF($B12=Analysis!$C$100,CP12+CS12,IF(CQ11&lt;0,IF(CQ11&gt;LOOKUP(Analysis!$C$100,$B:$B,CU:CU), CQ11*(1+CR11),CU11),0)))</f>
        <v>-28711.910040000002</v>
      </c>
      <c r="CV12" s="1">
        <f>IF($B12=Analysis!$C$100,Analysis!$C$105,0)</f>
        <v>0</v>
      </c>
      <c r="CW12" s="1">
        <f>IF($B12=Analysis!$C$100,PMT(CR12,CX12,CV12)*CX12,0)</f>
        <v>0</v>
      </c>
      <c r="CX12" s="7">
        <f>IF($B12=Analysis!$C$100,Analysis!$C$107,0)</f>
        <v>0</v>
      </c>
      <c r="CY12" s="1">
        <f>IF(OR($B12&lt;Analysis!$C$100, $B12&gt;=Analysis!$C$101),0,IF($B12=Analysis!$C$100,CW12/CX12,IF(($B12-Analysis!$C$100)&lt;LOOKUP(Analysis!$C$100,$B:$B,CX:CX),CY11,0)))</f>
        <v>0</v>
      </c>
      <c r="CZ12" s="1">
        <f>IF(OR($B12&lt;Analysis!$C$100, $B12&gt;=Analysis!$C$101),0,IF($B12=Analysis!$C$100,CX12*CY12-CY12,IF(($B12-Analysis!$C$100)&lt;Analysis!$C$107,CZ11-CY12,0)))</f>
        <v>0</v>
      </c>
      <c r="DA12" s="53"/>
      <c r="DB12" s="1">
        <f>IF(OR($B12&lt;Analysis!$C$100, $B12&gt;=Analysis!$C$101),0,IF($B12=2025,(Analysis!$C$109*12),IF($B12=Analysis!$C$100,(Analysis!$C$109*12)*(1+DC12)^($B12-$B$2),DB11*(1+DC12))))</f>
        <v>18520.576597251747</v>
      </c>
      <c r="DC12" s="64">
        <f>IF(OR($B12&lt;Analysis!$C$100, $B12&gt;=Analysis!$C$101),0,((1+Analysis!$C$114)/(1+$S12))-1)</f>
        <v>2.941176470588247E-2</v>
      </c>
      <c r="DD12" s="1">
        <f t="shared" si="6"/>
        <v>24563.54014702058</v>
      </c>
      <c r="DE12" s="1">
        <f t="shared" si="27"/>
        <v>-2082.9635497688323</v>
      </c>
      <c r="DF12" s="64">
        <f>IF(OR($B12&lt;Analysis!$C$100, $B12&gt;=Analysis!$C$101),0,Analysis!$C$118)</f>
        <v>3.0000000000000001E-3</v>
      </c>
      <c r="DG12" s="1">
        <f t="shared" si="28"/>
        <v>-5207.4088744220799</v>
      </c>
      <c r="DH12" s="64">
        <f>IF(OR($B12&lt;Analysis!$C$100, $B12&gt;=Analysis!$C$101),0,Analysis!$C$119)</f>
        <v>7.4999999999999997E-3</v>
      </c>
      <c r="DI12" s="1">
        <f>IF(OR($B12&lt;Analysis!$C$100, $B12&gt;=Analysis!$C$101),0,MIN(Analysis!$C$120*12,SUM(DJ12:DN12)))</f>
        <v>-3960</v>
      </c>
      <c r="DJ12" s="1">
        <f>IF(OR($B12&lt;Analysis!$C$100, $B12&gt;=Analysis!$C$101),0,Analysis!$C$121*12)</f>
        <v>-900</v>
      </c>
      <c r="DK12" s="1">
        <f>IF(OR($B12&lt;Analysis!$C$100, $B12&gt;=Analysis!$C$101),0,Analysis!$C$122*12)</f>
        <v>-1500</v>
      </c>
      <c r="DL12" s="1">
        <f>IF(OR($B12&lt;Analysis!$C$100, $B12&gt;=Analysis!$C$101),0,Analysis!$C$123*12)</f>
        <v>-480</v>
      </c>
      <c r="DM12" s="1">
        <f>IF(OR($B12&lt;Analysis!$C$100, $B12&gt;=Analysis!$C$101),0,Analysis!$C$124*12)</f>
        <v>-480</v>
      </c>
      <c r="DN12" s="1">
        <f>IF(OR($B12&lt;Analysis!$C$100, $B12&gt;=Analysis!$C$101),0,Analysis!$C$125*12)</f>
        <v>-600</v>
      </c>
      <c r="DO12" s="64">
        <f>IF(OR($B12&lt;Analysis!$C$100, $B12&gt;=Analysis!$C$101),0,Analysis!$C$113)</f>
        <v>0.02</v>
      </c>
      <c r="DP12" s="1">
        <f>-DO12*LOOKUP(Analysis!$C$100,$B:$B,CK:CK)</f>
        <v>-10392</v>
      </c>
      <c r="DQ12" s="1">
        <f>-Analysis!$C$117*DB12</f>
        <v>-1389.0432447938811</v>
      </c>
      <c r="DR12" s="1">
        <f t="shared" si="29"/>
        <v>-23031.415668984791</v>
      </c>
      <c r="DS12" s="1">
        <f>MIN(0,-(DB12+DR12)*Analysis!$C$28)-CS12*Analysis!$C$28</f>
        <v>6302.6684745324019</v>
      </c>
      <c r="DT12" s="1">
        <f>-Analysis!$C$116*DD12/12</f>
        <v>-2046.9616789183817</v>
      </c>
      <c r="DU12" s="53"/>
      <c r="DV12" s="1">
        <f t="shared" si="30"/>
        <v>-88525.950865175357</v>
      </c>
      <c r="DW12" s="64">
        <f>IF(OR($B12&lt;Analysis!$C$100, $B12&gt;=Analysis!$C$101),0,IF($B12=Analysis!$C$100,Analysis!$C$31,DW11))</f>
        <v>0.1275</v>
      </c>
      <c r="DX12" s="1">
        <f>IF(OR($B12&lt;Analysis!$C$100, $B12&gt;=Analysis!$C$101),0,CK12+DV12)</f>
        <v>605795.23239110201</v>
      </c>
      <c r="DY12" s="1">
        <f>IF(OR($B12&lt;Analysis!$C$100, $B12&gt;=Analysis!$C$101),0,IF($B12-Analysis!$C$100&gt;3,0,IF(CK12&gt;LOOKUP(Analysis!$C$100,$B:$B, CK:CK),$V12*(LOOKUP(Analysis!$C$100,$B:$B, CK:CK)-CK12),0)))</f>
        <v>0</v>
      </c>
      <c r="DZ12" s="1">
        <f t="shared" si="49"/>
        <v>605795.23239110201</v>
      </c>
      <c r="EA12" s="53"/>
      <c r="EB12" s="1">
        <f t="shared" si="31"/>
        <v>922020.04704932938</v>
      </c>
      <c r="EC12" s="64">
        <f t="shared" si="50"/>
        <v>2.941176470588247E-2</v>
      </c>
      <c r="ED12" s="1">
        <f>MAX(0,IF($B12=Analysis!$C$130,(EB12*(1+Analysis!$C$23+Analysis!$C$24+Analysis!$C$25))-(IF($B12=$B$2,(Analysis!$C$6-Analysis!$C$7+Analysis!$C$132), (FU11-Analysis!$C$7+EM12)) + IF($B12=Analysis!$C$101,DZ11+CQ11+CT11+CZ11,0)),0))</f>
        <v>0</v>
      </c>
      <c r="EE12" s="65">
        <f>IF($B12=Analysis!$C$130,IF(ED12&gt;0,NPER(EI12,-EL12,-ED12),0),0)</f>
        <v>0</v>
      </c>
      <c r="EF12" s="64">
        <f>IF($B12=Analysis!$C$130,Analysis!$C$137,0)</f>
        <v>0</v>
      </c>
      <c r="EG12" s="1">
        <f>IF($B12&lt;Analysis!$C$130,0,IF($B12=Analysis!$C$130,-ED12*EF12,IF(EL12&gt;=0,0,EL12-EJ12)))</f>
        <v>0</v>
      </c>
      <c r="EH12" s="1">
        <f>IF($B12&lt;Analysis!$C$130,0,IF($B12=Analysis!$C$130,-ED12-EG12,MIN(0,EH11-EG12)))</f>
        <v>0</v>
      </c>
      <c r="EI12" s="64">
        <f>IF($B12&lt;Analysis!$C$130,0,IF($B12=Analysis!$C$130,Analysis!$C$136,IF(($B12-Analysis!$C$130)&lt;LOOKUP(Analysis!$C$130,$B:$B,EE:EE),EI11,0)))</f>
        <v>0</v>
      </c>
      <c r="EJ12" s="1">
        <f>IF($B12&lt;Analysis!$C$130,0,IF($B12=Analysis!$C$130,-EI12*ED12,EI11*EH11))</f>
        <v>0</v>
      </c>
      <c r="EK12" s="1">
        <f>IF(OR($B12&lt;Analysis!$C$130, ED12=0),0,IF($B12=Analysis!$C$130,PMT(EI12,EE12,ED12)*EE12-EL12-EH12,IF(($B12-Analysis!$C$130+1)&lt;LOOKUP(Analysis!$C$130,$B:$B,EE:EE),IF(EK11-EJ12&lt;0, EK11-EJ12,0),0)))</f>
        <v>0</v>
      </c>
      <c r="EL12" s="1">
        <f>IF($B12&lt;Analysis!$C$130,0,IF($B12=Analysis!$C$130,EG12+EJ12,IF(EH11&lt;0,IF(EH11&gt;LOOKUP(Analysis!$C$130,$B:$B,EL:EL), EH11*(1+EI11),EL11),0)))</f>
        <v>0</v>
      </c>
      <c r="EM12" s="1">
        <f>IF($B12=Analysis!$C$130,Analysis!$C$132,0)</f>
        <v>0</v>
      </c>
      <c r="EN12" s="1">
        <f>IF($B12=Analysis!$C$130,PMT(EI12,EO12,EM12)*EO12,0)</f>
        <v>0</v>
      </c>
      <c r="EO12" s="7">
        <f>IF($B12=Analysis!$C$130,Analysis!$C$134,0)</f>
        <v>0</v>
      </c>
      <c r="EP12" s="1">
        <f>IF($B12&lt;Analysis!$C$130,0,IF($B12=Analysis!$C$130,EN12/EO12,IF(($B12-Analysis!$C$130)&lt;LOOKUP(Analysis!$C$130,$B:$B,EO:EO),EP11,0)))</f>
        <v>0</v>
      </c>
      <c r="EQ12" s="1">
        <f>IF($B12&lt;Analysis!$C$130,0,IF($B12=Analysis!$C$130,EO12*EP12-EP12,IF(($B12-Analysis!$C$130)&lt;Analysis!$C$134,EQ11-EP12,0)))</f>
        <v>0</v>
      </c>
      <c r="ER12" s="53"/>
      <c r="ES12" s="1">
        <f>IF($B12&lt;Analysis!$C$130,0,-ET12*EB12)</f>
        <v>0</v>
      </c>
      <c r="ET12" s="64">
        <f>IF($B12&lt;Analysis!$C$130,0,Analysis!$C$142)</f>
        <v>0</v>
      </c>
      <c r="EU12" s="1">
        <f>IF($B12&lt;Analysis!$C$130,0,-EV12*EB12)</f>
        <v>0</v>
      </c>
      <c r="EV12" s="64">
        <f>IF($B12&lt;Analysis!$C$130,0,Analysis!$C$143)</f>
        <v>0</v>
      </c>
      <c r="EW12" s="1">
        <f>IF($B12&lt;Analysis!$C$130,0,MIN(Analysis!$C$144*12,SUM(EX12:FB12)))</f>
        <v>0</v>
      </c>
      <c r="EX12" s="1">
        <f>IF($B12&lt;Analysis!$C$130,0,Analysis!$C$145*12)</f>
        <v>0</v>
      </c>
      <c r="EY12" s="1">
        <f>IF($B12&lt;Analysis!$C$130,0,Analysis!$C$146*12)</f>
        <v>0</v>
      </c>
      <c r="EZ12" s="1">
        <f>IF($B12&lt;Analysis!$C$130,0,Analysis!$C$147*12)</f>
        <v>0</v>
      </c>
      <c r="FA12" s="1">
        <f>IF($B12&lt;Analysis!$C$130,0,Analysis!$C$148*12)</f>
        <v>0</v>
      </c>
      <c r="FB12" s="1">
        <f>IF($B12&lt;Analysis!$C$130,0,Analysis!$C$149*12)</f>
        <v>0</v>
      </c>
      <c r="FC12" s="1">
        <v>0</v>
      </c>
      <c r="FD12" s="1">
        <f>-FC12*Analysis!$C$28</f>
        <v>0</v>
      </c>
      <c r="FE12" s="53"/>
      <c r="FF12" s="1">
        <f t="shared" si="32"/>
        <v>0</v>
      </c>
      <c r="FG12" s="64">
        <f>IF($B12&lt;Analysis!$C$130,0,Analysis!$C$31)</f>
        <v>0</v>
      </c>
      <c r="FH12" s="1">
        <f>IF($B12&lt;Analysis!$C$130,0,EB12+FF12)</f>
        <v>0</v>
      </c>
      <c r="FI12" s="1">
        <f>IF($B12-Analysis!$C$130&gt;3,0,IF(EB12&gt;LOOKUP(Analysis!$C$130,$B:$B, EB:EB),$V12*(LOOKUP(Analysis!$C$130,$B:$B, EB:EB)-EB12),0))</f>
        <v>0</v>
      </c>
      <c r="FJ12" s="1">
        <f t="shared" si="33"/>
        <v>0</v>
      </c>
      <c r="FK12" s="53"/>
      <c r="FL12" s="1">
        <f>$P12+$N12+IF($B12&lt;Analysis!$C$130,$X12+$Z12,0)+CP12+CS12+CY12+DE12+DG12+MIN(DI12,SUM(DJ12:DN12))+DQ12+DS12+DT12+EG12+EJ12+EP12+ES12+EU12+MIN(EW12,SUM(EX12:FB12))+FD12</f>
        <v>-120621.99216737277</v>
      </c>
      <c r="FM12" s="1">
        <f>$M12+$R12+DD12+IF(AND($B12&lt;&gt;Analysis!$C$130,$B12=Analysis!$C$101),DZ11+CQ11+CT11+CZ11,0)</f>
        <v>142381.31207786506</v>
      </c>
      <c r="FN12" s="1">
        <f t="shared" si="34"/>
        <v>21759.319910492297</v>
      </c>
      <c r="FO12" s="1">
        <f>IF(FN12 &lt; 0,
    IF(FO11 + FN12 &gt; 0,
        FO11 + FN12, IF(FT11-ABS(FO11 + FN12)*(1+$V12) &gt;= FO11 + FN12,
        0, FO11 + FN12)),
    MIN(FO11 + FN12, Analysis!$C$7))+IF(FO11&lt;0, FO11*Analysis!$C$9,0)</f>
        <v>24000</v>
      </c>
      <c r="FP12" s="53"/>
      <c r="FQ12" s="1">
        <f t="shared" si="51"/>
        <v>2432.4821568407265</v>
      </c>
      <c r="FR12" s="1">
        <f>IF(OR($B12=Analysis!$C$100, $B12=Analysis!$C$130),0,IF(FN12 &gt;= 0,
    MAX(0, FO11 + FN12 - Analysis!$C$7),
    0))</f>
        <v>21759.319910492297</v>
      </c>
      <c r="FS12" s="1">
        <f>IF(OR($B12=Analysis!$C$100, $B12=Analysis!$C$130),0,MAX(0, FS11 + FR12 - IF(FN12 &lt; 0, MIN(ABS(FN12), FS11 + FR12), 0)))</f>
        <v>59312.70530195329</v>
      </c>
      <c r="FT12" s="1">
        <f>IF(OR($B12=Analysis!$C$100, $B12=Analysis!$C$130),0,IF(FN12 &lt; 0,
    IF(FN12 + FO11 &lt; 0,
        MAX(0, FT11 - (ABS(FN12 + FO11) * (1+$V11))),
        FT11 + FQ12),
    FT11 + FR12 + FQ12))</f>
        <v>63880.839087083317</v>
      </c>
      <c r="FU12" s="1">
        <f>IF(FT12-FS12&gt;0, FT12-$V12*(FT12-FS12),FT12)</f>
        <v>62675.993801255274</v>
      </c>
      <c r="FV12" s="36"/>
      <c r="FW12" s="1">
        <f t="shared" si="52"/>
        <v>694321.18325627735</v>
      </c>
      <c r="FX12" s="64">
        <f t="shared" si="53"/>
        <v>2.941176470588247E-2</v>
      </c>
      <c r="FY12" s="1">
        <f>IF($B12=Analysis!$C$159,(FW12*(1+Analysis!$C$23+Analysis!$C$24+Analysis!$C$25))-IF($B12=$B$2,(Analysis!$C$6-Analysis!$C$7+Analysis!$C$165), (HW11-Analysis!$C$7+GH12)),0)</f>
        <v>0</v>
      </c>
      <c r="FZ12" s="65">
        <f>IF($B12=Analysis!$C$159,NPER(GD12,-GG12,-FY12),0)</f>
        <v>0</v>
      </c>
      <c r="GA12" s="64">
        <f>IF($B12=Analysis!$C$159,Analysis!$C$161,0)</f>
        <v>0</v>
      </c>
      <c r="GB12" s="1">
        <f>IF($B12&lt;Analysis!$C$159,0,IF($B12=Analysis!$C$159,-FY12*GA12,IF(GG12&gt;=0,0,GG12-GE12)))</f>
        <v>-14487.878276216652</v>
      </c>
      <c r="GC12" s="1">
        <f>IF($B12&lt;Analysis!$C$159,0,IF($B12=Analysis!$C$159,-FY12-GB12,MIN(0,GC11-GB12)))</f>
        <v>-369945.41263684689</v>
      </c>
      <c r="GD12" s="64">
        <f>IF($B12&lt;Analysis!$C$159,0,IF($B12=Analysis!$C$159,Analysis!$C$160,IF(($B12-Analysis!$C$159)&lt;LOOKUP(Analysis!$C$159,$B:$B,FZ:FZ),GD11,0)))</f>
        <v>3.6999999999999998E-2</v>
      </c>
      <c r="GE12" s="1">
        <f>IF($B12&lt;Analysis!$C$159,0,IF($B12=Analysis!$C$159,-GD12*FY12,GD11*GC11))</f>
        <v>-14224.03176378335</v>
      </c>
      <c r="GF12" s="1">
        <f>IF($B12&lt;Analysis!$C$159,0,IF($B12=Analysis!$C$159,PMT(GD12,FZ12,FY12)*FZ12-GG12-GC12,IF(($B12-Analysis!$C$159+1)&lt;LOOKUP(Analysis!$C$159,$B:$B,FZ:FZ),IF(GF11-GE12&lt;0, GF11-GE12,0),0)))</f>
        <v>-141884.79310056503</v>
      </c>
      <c r="GG12" s="1">
        <f>IF($B12&lt;Analysis!$C$159,0,IF($B12=Analysis!$C$159,GB12+GE12,IF(GC11&lt;0,IF(GC11&gt;LOOKUP(Analysis!$C$159,$B:$B,GG:GG), GC11*(1+GD11),GG11),0)))</f>
        <v>-28711.910040000002</v>
      </c>
      <c r="GH12" s="1">
        <f>IF($B12=Analysis!$C$159,Analysis!$C$165,0)</f>
        <v>0</v>
      </c>
      <c r="GI12" s="1">
        <f>IF($B12=Analysis!$C$159,PMT(GD12,GJ12,GH12)*GJ12,0)</f>
        <v>0</v>
      </c>
      <c r="GJ12" s="7">
        <f>IF($B12=Analysis!$C$159,Analysis!$C$167,0)</f>
        <v>0</v>
      </c>
      <c r="GK12" s="1">
        <f>IF($B12&lt;Analysis!$C$159,0,IF($B12=Analysis!$C$159,GI12/GJ12,IF(($B12-Analysis!$C$159)&lt;LOOKUP(Analysis!$C$159,$B:$B,GJ:GJ),GK11,0)))</f>
        <v>0</v>
      </c>
      <c r="GL12" s="1">
        <f>IF($B12&lt;Analysis!$C$159,0,IF($B12=Analysis!$C$159,GJ12*GK12-GK12,IF(($B12-Analysis!$C$159)&lt;Analysis!$C$167,GL11-GK12,0)))</f>
        <v>0</v>
      </c>
      <c r="GM12" s="38"/>
      <c r="GN12" s="1">
        <f>IF($B12&lt;Analysis!$C$159,0,IF($B12=2025,(Analysis!$C$109*12),IF($B12=Analysis!$C$159,(Analysis!$C$109*12)*(1+GO12)^($B12-$B$2),GN11*(1+GO12))))</f>
        <v>18520.576597251747</v>
      </c>
      <c r="GO12" s="64">
        <f>IF($B12&lt;Analysis!$C$159,0,((1+Analysis!$C$174)/(1+$S12))-1)</f>
        <v>2.941176470588247E-2</v>
      </c>
      <c r="GP12" s="1">
        <f t="shared" si="7"/>
        <v>24563.54014702058</v>
      </c>
      <c r="GQ12" s="1">
        <f t="shared" si="36"/>
        <v>-2082.9635497688323</v>
      </c>
      <c r="GR12" s="64">
        <f>IF($B12&lt;Analysis!$C$159,0,Analysis!$C$178)</f>
        <v>3.0000000000000001E-3</v>
      </c>
      <c r="GS12" s="1">
        <f t="shared" si="37"/>
        <v>-5207.4088744220799</v>
      </c>
      <c r="GT12" s="64">
        <f>IF($B12&lt;Analysis!$C$159,0,Analysis!$C$179)</f>
        <v>7.4999999999999997E-3</v>
      </c>
      <c r="GU12" s="1">
        <f>IF($B12&lt;Analysis!$C$159,0,MIN(Analysis!$C$180*12,SUM(GV12:GZ12)))</f>
        <v>-3960</v>
      </c>
      <c r="GV12" s="1">
        <f>IF($B12&lt;Analysis!$C$159,0,Analysis!$C$181*12)</f>
        <v>-900</v>
      </c>
      <c r="GW12" s="1">
        <f>IF($B12&lt;Analysis!$C$159,0,Analysis!$C$182*12)</f>
        <v>-1500</v>
      </c>
      <c r="GX12" s="1">
        <f>IF($B12&lt;Analysis!$C$159,0,Analysis!$C$183*12)</f>
        <v>-480</v>
      </c>
      <c r="GY12" s="1">
        <f>IF($B12&lt;Analysis!$C$159,0,Analysis!$C$184*12)</f>
        <v>-480</v>
      </c>
      <c r="GZ12" s="1">
        <f>IF($B12&lt;Analysis!$C$159,0,Analysis!$C$185*12)</f>
        <v>-600</v>
      </c>
      <c r="HA12" s="64">
        <f>IF($B12&lt;Analysis!$C$159,0,Analysis!$C$173)</f>
        <v>0.02</v>
      </c>
      <c r="HB12" s="1">
        <f>-HA12*LOOKUP(Analysis!$C$159,$B:$B,FW:FW)</f>
        <v>-10392</v>
      </c>
      <c r="HC12" s="1">
        <f>-Analysis!$C$177*GN12</f>
        <v>-1389.0432447938811</v>
      </c>
      <c r="HD12" s="1">
        <f t="shared" si="38"/>
        <v>-23031.415668984791</v>
      </c>
      <c r="HE12" s="1">
        <f>MIN(0,-(GN12+HD12)*Analysis!$C$28)-GE12*Analysis!$C$28</f>
        <v>6302.6684745324019</v>
      </c>
      <c r="HF12" s="1">
        <f>-Analysis!$C$176*GP12/12</f>
        <v>-2046.9616789183817</v>
      </c>
      <c r="HG12" s="38"/>
      <c r="HH12" s="1">
        <f>IF($B12&lt;Analysis!$C$159,0,-$HI12*$FW12)</f>
        <v>-88525.950865175357</v>
      </c>
      <c r="HI12" s="64">
        <f>IF($B12&lt;Analysis!$C$159,0,IF($B12=Analysis!$C$159,Analysis!$C$31,HI11))</f>
        <v>0.1275</v>
      </c>
      <c r="HJ12" s="1">
        <f>IF($B12&lt;Analysis!$C$159,0,$FW12+HH12)</f>
        <v>605795.23239110201</v>
      </c>
      <c r="HK12" s="1">
        <f>IF($B12-Analysis!$C$159&gt;10,0,IF($FW12&gt;LOOKUP(Analysis!$C$159,$B:$B, FW:FW),$V12*(LOOKUP(Analysis!$C$159,$B:$B, FW:FW)-FW12),0))</f>
        <v>-46082.712083843151</v>
      </c>
      <c r="HL12" s="1">
        <f t="shared" si="39"/>
        <v>559712.52030725882</v>
      </c>
      <c r="HM12" s="38"/>
      <c r="HN12" s="1">
        <f t="shared" si="40"/>
        <v>-120621.99216737277</v>
      </c>
      <c r="HO12" s="1">
        <f t="shared" si="8"/>
        <v>142381.31207786506</v>
      </c>
      <c r="HP12" s="1">
        <f t="shared" si="41"/>
        <v>21759.319910492297</v>
      </c>
      <c r="HQ12" s="1">
        <f>IF(HP12 &lt; 0,
    IF(HQ11 + HP12 &gt; 0,
        HQ11 + HP12, IF(HV11-ABS(HQ11 + HP12)*(1+$V12) &gt;= HQ11 + HP12,
        0, HQ11 + HP12)),
    MIN(HQ11 + HP12, Analysis!$C$7))+IF(HQ11&lt;0, HQ11*Analysis!$C$9,0)</f>
        <v>24000</v>
      </c>
      <c r="HR12" s="38"/>
      <c r="HS12" s="1">
        <f t="shared" si="54"/>
        <v>2432.4821568407265</v>
      </c>
      <c r="HT12" s="1">
        <f>IF($B12=Analysis!$C$159,0,IF(HP12 &gt;= 0,
    MAX(0, HQ11 + HP12 - Analysis!$C$7),
    0))</f>
        <v>21759.319910492297</v>
      </c>
      <c r="HU12" s="1">
        <f>IF($B12=Analysis!$C$159,0,MAX(0, HU11 + HT12 - IF(HP12 &lt; 0, MIN(ABS(HP12), HU11 + HT12), 0)))</f>
        <v>59312.70530195329</v>
      </c>
      <c r="HV12" s="1">
        <f>IF($B12=Analysis!$C$159,0,IF(HP12 &lt; 0,
    IF(HP12 + HQ11 &lt; 0,
        MAX(0, HV11 - (ABS(HP12 + HQ11) * (1+$V11))),
        HV11 + HS12),
    HV11 + HT12 + HS12))</f>
        <v>63880.839087083317</v>
      </c>
      <c r="HW12" s="1">
        <f>IF(HV12-HU12&gt;0, HV12-$V12*(HV12-HU12),HV12)</f>
        <v>62675.993801255274</v>
      </c>
      <c r="HX12" s="36"/>
    </row>
    <row r="13" spans="1:232" x14ac:dyDescent="0.35">
      <c r="A13">
        <f t="shared" si="0"/>
        <v>46</v>
      </c>
      <c r="B13">
        <v>2036</v>
      </c>
      <c r="C13" s="1">
        <f>IF($B13&lt;Analysis!C$66,0,$AN13)+$AT13+$AW13+$BC13+$CF13+$CA13</f>
        <v>-131268.00951887335</v>
      </c>
      <c r="D13" s="1">
        <f>IF($B13&lt;Analysis!C$66, 0, BV13)+AT13+AW13+BC13+CG13+CA13</f>
        <v>-287359.99031010503</v>
      </c>
      <c r="E13" s="1">
        <f t="shared" si="1"/>
        <v>473889.44147897937</v>
      </c>
      <c r="F13" s="1">
        <f t="shared" si="9"/>
        <v>439193.90837324585</v>
      </c>
      <c r="G13" s="1">
        <f>IF(AND($B13&gt;=Analysis!$C$100, $B13&lt;Analysis!$C$101),$CK13,0)+IF($B13&gt;=Analysis!$C$130,EB13,0)+CQ13+CT13+CZ13+EH13+EK13+EQ13+$FO13+$FT13</f>
        <v>342203.90071638249</v>
      </c>
      <c r="H13" s="1">
        <f t="shared" si="10"/>
        <v>248865.65947101274</v>
      </c>
      <c r="I13" s="1">
        <f>IF($B13&lt;Analysis!$C$159,0,$FW13)+$GC13+$GF13+$GL13+$HQ13+$HV13</f>
        <v>342203.90071638249</v>
      </c>
      <c r="J13" s="1">
        <f t="shared" si="2"/>
        <v>248865.65947101274</v>
      </c>
      <c r="K13" s="36"/>
      <c r="L13" s="1">
        <f t="shared" si="11"/>
        <v>119261.61717509503</v>
      </c>
      <c r="M13" s="1">
        <f>IF($B13=Analysis!$C$47, M12 * (1 - Analysis!$C$48),
    IF($B13=Analysis!$C$52, M12 * (1 - Analysis!$C$53),
    IF($B13=Analysis!$C$58, M12 * (1 - Analysis!$C$60),
    L13)))</f>
        <v>119261.61717509503</v>
      </c>
      <c r="N13" s="1">
        <f>Analysis!$C$3*12*(1+O13)+P13</f>
        <v>-55075</v>
      </c>
      <c r="O13" s="64">
        <f>IF(OR($B13=Analysis!$C$47,$B13=Analysis!$C$52,$B13=Analysis!$C$58),-Analysis!$C$49,0)</f>
        <v>0</v>
      </c>
      <c r="P13" s="1">
        <f>IF($B13&lt;Analysis!$C$47,0,IF($B13-Analysis!$C$47&lt;=3,Analysis!$C$40+Analysis!$C$44,IF($B13-Analysis!$C$47&lt;=10,Analysis!$C$41+Analysis!$C$44,IF($B13-Analysis!$C$47&lt;=18,Analysis!$C$42+Analysis!$C$44,IF($B13-Analysis!$C$47&lt;=25,Analysis!$C$43+Analysis!$C$44,0)))) + IF(AND($B13&gt;=Analysis!$C$52, $B13-Analysis!$C$52&lt;=3),Analysis!$C$40+Analysis!$C$44,IF(AND($B13&gt;=Analysis!$C$52, $B13-Analysis!$C$52&lt;=10),Analysis!$C$41+Analysis!$C$44,IF(AND($B13&gt;=Analysis!$C$52, $B13-Analysis!$C$52&lt;=18),Analysis!$C$42+Analysis!$C$44,IF(AND($B13&gt;=Analysis!$C$52, $B13-Analysis!$C$52&lt;=25),Analysis!$C$43+Analysis!$C$44,0)))) + Analysis!$C$57*IF(AND($B13&gt;=Analysis!$C$58, $B13-Analysis!$C$58&lt;=3),Analysis!$C$40+Analysis!$C$44,IF(AND($B13&gt;=Analysis!$C$58, $B13-Analysis!$C$58&lt;=10),Analysis!$C$41+Analysis!$C$44,IF(AND($B13&gt;=Analysis!$C$58, $B13-Analysis!$C$58&lt;=18),Analysis!$C$42+Analysis!$C$44,IF(AND($B13&gt;=Analysis!$C$58, $B13-Analysis!$C$58&lt;=25),Analysis!$C$43+Analysis!$C$44,0)))))</f>
        <v>-7075</v>
      </c>
      <c r="Q13" s="1">
        <f t="shared" si="43"/>
        <v>0</v>
      </c>
      <c r="R13" s="1">
        <f>IF(AND(AND(B13=Analysis!C$35,Analysis!C$34&lt;&gt;0),AND(B13=Analysis!C$37,Analysis!C$36&lt;&gt;0)),Analysis!C$34+Analysis!C$36,IF(AND(B13=Analysis!C$35,Analysis!C$34&lt;&gt;0),Analysis!C$34,IF(AND(B13=Analysis!C$37,Analysis!C$36&lt;&gt;0),Analysis!C$36,0)))</f>
        <v>0</v>
      </c>
      <c r="S13" s="64">
        <f t="shared" si="12"/>
        <v>0.02</v>
      </c>
      <c r="T13" s="64">
        <f>IF($B13&lt;Analysis!$C$13, ((1+IF($B13-$B$2&lt;10,Analysis!$C$11,IF($B13-$B$2&lt;20,(Analysis!$C$11+Analysis!$C$12)/2,Analysis!$C$12)))/(1+$S13)-1),IF($B13=Analysis!$C$13,-Analysis!$C$14,-$S13))</f>
        <v>1.225490196078427E-2</v>
      </c>
      <c r="U13" s="64">
        <f>IF($B13=$B$2,((1+Analysis!$C$16)/(1+$S13))-1,IF(B13&lt;Analysis!$C$13,U12-((Analysis!$C$16-Analysis!$C$17)/(Analysis!$C$13-$B$2)),((1+Analysis!$C$17)/(1+$S12))-1))</f>
        <v>5.9574229691876951E-2</v>
      </c>
      <c r="V13" s="64">
        <f t="shared" si="13"/>
        <v>0.26374999999999998</v>
      </c>
      <c r="W13" s="36"/>
      <c r="X13" s="1">
        <f t="shared" si="14"/>
        <v>-21788.913643825585</v>
      </c>
      <c r="Y13" s="64">
        <f t="shared" si="15"/>
        <v>2.941176470588247E-2</v>
      </c>
      <c r="Z13" s="1">
        <f t="shared" si="16"/>
        <v>-3960</v>
      </c>
      <c r="AA13" s="64">
        <f t="shared" si="17"/>
        <v>0</v>
      </c>
      <c r="AB13" s="40"/>
      <c r="AC13" s="1">
        <f t="shared" si="3"/>
        <v>-87898.913643825581</v>
      </c>
      <c r="AD13" s="1">
        <f t="shared" si="4"/>
        <v>119261.61717509503</v>
      </c>
      <c r="AE13" s="1">
        <f t="shared" si="18"/>
        <v>31362.70353126945</v>
      </c>
      <c r="AF13" s="1">
        <f>IF(AE13 &lt; 0,
    IF(AF12 + AE13 &gt; 0,
        AF12 + AE13, IF(AK12-ABS(AF12 + AE13)*(1+$V13) &gt;= AF12 + AE13,
        0, AF12 + AE13)),
    MIN(AF12 + AE13, Analysis!$C$7))+IF(AF12&lt;0, AF12*Analysis!$C$9,0)</f>
        <v>24000</v>
      </c>
      <c r="AG13" s="40"/>
      <c r="AH13" s="1">
        <f t="shared" si="19"/>
        <v>23531.534950542798</v>
      </c>
      <c r="AI13" s="1">
        <f>IF(AE13 &gt;= 0,
    MAX(0, AF12 + AE13 - Analysis!$C$7),
    0)</f>
        <v>31362.70353126945</v>
      </c>
      <c r="AJ13" s="1">
        <f t="shared" si="44"/>
        <v>318342.39652833098</v>
      </c>
      <c r="AK13" s="1">
        <f t="shared" si="20"/>
        <v>449889.44147897937</v>
      </c>
      <c r="AL13" s="1">
        <f t="shared" si="5"/>
        <v>415193.90837324585</v>
      </c>
      <c r="AM13" s="36"/>
      <c r="AN13" s="1">
        <f t="shared" si="45"/>
        <v>1224250.8297351496</v>
      </c>
      <c r="AO13" s="64">
        <f t="shared" si="21"/>
        <v>2.941176470588247E-2</v>
      </c>
      <c r="AP13" s="1">
        <f>IF($B13=Analysis!$C$66,(AN13*(1+Analysis!$C$23+Analysis!$C$24+Analysis!$C$25))-IF($B13=$B$2,(Analysis!$C$6-Analysis!$C$7+Analysis!$C$68), ($CG12-Analysis!$C$7+AY13)),0)</f>
        <v>0</v>
      </c>
      <c r="AQ13" s="65">
        <f>IF($B13=Analysis!$C$66,NPER(AU13,-AX13,-AP13),0)</f>
        <v>0</v>
      </c>
      <c r="AR13" s="64">
        <f>IF($B13=Analysis!$C$66,Analysis!$C$73,0)</f>
        <v>0</v>
      </c>
      <c r="AS13" s="1">
        <f>IF($B13&lt;Analysis!$C$66,0,IF($B13=Analysis!$C$66,-AP13*AR13,IF(AX13&gt;=0,0,AX13-AV13)))</f>
        <v>-27349.718717897351</v>
      </c>
      <c r="AT13" s="1">
        <f>IF($B13&lt;Analysis!$C$66,0,IF($B13=Analysis!$C$66,-AP13-AS13,MIN(0,AT12-AS13)))</f>
        <v>-646102.77539298544</v>
      </c>
      <c r="AU13" s="64">
        <f>IF($B13&lt;Analysis!$C$66,0,IF($B13=Analysis!$C$66,Analysis!$C$72,IF(($B13-Analysis!$C$66)&lt;LOOKUP(Analysis!$C$66,$B:$B,AQ:AQ),AU12,0)))</f>
        <v>3.6999999999999998E-2</v>
      </c>
      <c r="AV13" s="1">
        <f>IF($B13&lt;Analysis!$C$66,0,IF($B13=Analysis!$C$66,-AU13*AP13,AU12*AT12))</f>
        <v>-24917.742282102659</v>
      </c>
      <c r="AW13" s="1">
        <f>IF($B13&lt;Analysis!$C$66,0,IF($B13=Analysis!$C$66,PMT(AU13,AQ13,AP13)*AQ13-AX13-AT13,IF(($B13-Analysis!$C$66+1)&lt;LOOKUP(Analysis!$C$66,$B:$B,AQ:AQ),IF(AW12-AV13&lt;0, AW12-AV13,0),0)))</f>
        <v>-233370.81739732323</v>
      </c>
      <c r="AX13" s="1">
        <f>IF($B13&lt;Analysis!$C$66,0,IF($B13=Analysis!$C$66,AS13+AV13,IF(AT12&lt;0,IF(AT12&gt;LOOKUP(Analysis!$C$66,$B:$B,AX:AX), AT12*(1+AU12),AX12),0)))</f>
        <v>-52267.46100000001</v>
      </c>
      <c r="AY13" s="1">
        <f>IF($B13=Analysis!$C$66,Analysis!$C$68,0)</f>
        <v>0</v>
      </c>
      <c r="AZ13" s="1">
        <f>IF($B13=Analysis!$C$66,PMT(AU13,BA13,AY13)*BA13,0)</f>
        <v>0</v>
      </c>
      <c r="BA13" s="7">
        <f>IF($B13=Analysis!$C$66,Analysis!$C$70,0)</f>
        <v>0</v>
      </c>
      <c r="BB13" s="1">
        <f>IF($B13&lt;Analysis!$C$66,0,IF($B13=Analysis!$C$66,AZ13/BA13,IF(($B13-Analysis!$C$66)&lt;LOOKUP(Analysis!$C$66,$B:$B,BA:BA),BB12,0)))</f>
        <v>0</v>
      </c>
      <c r="BC13" s="1">
        <f>IF($B13&lt;Analysis!$C$66,0,IF($B13=Analysis!$C$66,BA13*BB13-BB13,IF(($B13-Analysis!$C$66)&lt;Analysis!$C$70,BC12-BB13,0)))</f>
        <v>0</v>
      </c>
      <c r="BD13" s="42"/>
      <c r="BE13" s="1">
        <f>IF($B13&lt;Analysis!$C$66,0,-BF13*AN13)</f>
        <v>-3672.7524892054489</v>
      </c>
      <c r="BF13" s="64">
        <f>IF($B13&lt;Analysis!$C$66,0,Analysis!$C$78)</f>
        <v>3.0000000000000001E-3</v>
      </c>
      <c r="BG13" s="1">
        <f>IF($B13&lt;Analysis!$C$66,0,-BH13*AN13)</f>
        <v>-9181.8812230136227</v>
      </c>
      <c r="BH13" s="64">
        <f>IF($B13&lt;Analysis!$C$66,0,Analysis!$C$79)</f>
        <v>7.4999999999999997E-3</v>
      </c>
      <c r="BI13" s="1">
        <f>IF($B13&lt;Analysis!$C$66,0,MIN(Analysis!$C$80*12,SUM(BJ13:BN13)))</f>
        <v>-3960</v>
      </c>
      <c r="BJ13" s="1">
        <f>IF($B13&lt;Analysis!$C$66,0,Analysis!$C$81*12)</f>
        <v>-900</v>
      </c>
      <c r="BK13" s="1">
        <f>IF($B13&lt;Analysis!$C$66,0,Analysis!$C$82*12)</f>
        <v>-1500</v>
      </c>
      <c r="BL13" s="1">
        <f>IF($B13&lt;Analysis!$C$66,0,Analysis!$C$83*12)</f>
        <v>-480</v>
      </c>
      <c r="BM13" s="1">
        <f>IF($B13&lt;Analysis!$C$66,0,Analysis!$C$84*12)</f>
        <v>-480</v>
      </c>
      <c r="BN13" s="1">
        <f>IF($B13&lt;Analysis!$C$66,0,Analysis!$C$85*12)</f>
        <v>-600</v>
      </c>
      <c r="BO13" s="1">
        <v>0</v>
      </c>
      <c r="BP13" s="1">
        <f>-BO13*Analysis!$C$28</f>
        <v>0</v>
      </c>
      <c r="BQ13" s="42"/>
      <c r="BR13" s="1">
        <f t="shared" si="22"/>
        <v>-156091.98079123159</v>
      </c>
      <c r="BS13" s="64">
        <f>IF($B13&lt;Analysis!C$66,0,Analysis!C$31)</f>
        <v>0.1275</v>
      </c>
      <c r="BT13" s="1">
        <f>IF($B13&lt;Analysis!$C$66,0,AN13+BR13)</f>
        <v>1068158.848943918</v>
      </c>
      <c r="BU13" s="1">
        <f>IF($B13-Analysis!$C$66&gt;3,0,IF($AN13&gt;LOOKUP(Analysis!$C$66,$B:$B, AN:AN),$V13*(LOOKUP(Analysis!$C$66,$B:$B, AN:AN)-AN13),0))</f>
        <v>0</v>
      </c>
      <c r="BV13" s="1">
        <f t="shared" si="23"/>
        <v>1068158.848943918</v>
      </c>
      <c r="BW13" s="42"/>
      <c r="BX13" s="1">
        <f>IF($B13&lt;Analysis!$C$66,$P13+$N13+$X13+$Z13,$P13+$N13+AS13+AV13+BB13+BE13+BG13+MAX(BI13,SUM(BJ13:BN13))+BP13)</f>
        <v>-131232.09471221908</v>
      </c>
      <c r="BY13" s="1">
        <f t="shared" si="24"/>
        <v>119261.61717509503</v>
      </c>
      <c r="BZ13" s="1">
        <f t="shared" si="46"/>
        <v>-11970.477537124054</v>
      </c>
      <c r="CA13" s="1">
        <f>IF(BZ13 &lt; 0,
    IF(CA12 + BZ13 &gt; 0,
        CA12 + BZ13, IF(CF12-ABS(CA12 + BZ13)*(1+$V13) &gt;= CA12 + BZ13,
        0, CA12 + BZ13)),
    MIN(CA12 + BZ13, Analysis!$C$7))+IF(CA12&lt;0, CA12*Analysis!$C$9,0)</f>
        <v>-476045.24646371434</v>
      </c>
      <c r="CB13" s="42"/>
      <c r="CC13" s="1">
        <f t="shared" si="47"/>
        <v>0</v>
      </c>
      <c r="CD13" s="1">
        <f>IF(BZ13 &gt;= 0,
    MAX(0, CA12 + BZ13 - Analysis!$C$7),
    0)</f>
        <v>0</v>
      </c>
      <c r="CE13" s="1">
        <f>IF($B13=Analysis!$C$66,0,MAX(0, CE12 + CD13 - IF(BZ13 &lt; 0, MIN(ABS(BZ13), CE12 + CD13), 0)))</f>
        <v>0</v>
      </c>
      <c r="CF13" s="1">
        <f>IF($B13=Analysis!$C$66,0,IF(BZ13 &lt; 0,
    IF(BZ13 + CA12 &lt; 0,
        MAX(0, CF12 - (ABS(BZ13 + CA12) * (1+$V12))),
        CF12 + CC13),
    CF12 + CD13 + CC13))</f>
        <v>0</v>
      </c>
      <c r="CG13" s="1">
        <f t="shared" si="25"/>
        <v>0</v>
      </c>
      <c r="CH13" s="36"/>
      <c r="CI13" s="1">
        <f>IF(OR($B13&lt;Analysis!$C$100, $B13&gt;=Analysis!$C$130),0,X13)</f>
        <v>-21788.913643825585</v>
      </c>
      <c r="CJ13" s="1">
        <f>IF(OR($B13&lt;Analysis!$C$100, $B13&gt;=Analysis!$C$130),0,Z13)</f>
        <v>-3960</v>
      </c>
      <c r="CK13" s="1">
        <f t="shared" si="26"/>
        <v>714742.39452852088</v>
      </c>
      <c r="CL13" s="64">
        <f t="shared" si="48"/>
        <v>2.941176470588247E-2</v>
      </c>
      <c r="CM13" s="1">
        <f>IF($B13=Analysis!$C$100,(CK13*(1+Analysis!$C$23+Analysis!$C$24+Analysis!$C$25))-IF($B13=$B$2,(Analysis!$C$6-Analysis!$C$7+Analysis!$C$105), (FU12-Analysis!$C$7+CV13)),0)</f>
        <v>0</v>
      </c>
      <c r="CN13" s="65">
        <f>IF($B13=Analysis!$C$100,NPER(CR13,-CU13,-CM13),0)</f>
        <v>0</v>
      </c>
      <c r="CO13" s="64">
        <f>IF($B13=Analysis!$C$100,Analysis!$C$103,0)</f>
        <v>0</v>
      </c>
      <c r="CP13" s="1">
        <f>IF(OR($B13&lt;Analysis!$C$100, $B13&gt;=Analysis!$C$101),0,IF($B13=Analysis!$C$100,-CM13*CO13,IF(CU13&gt;=0,0,CU13-CS13)))</f>
        <v>-15023.929772436668</v>
      </c>
      <c r="CQ13" s="1">
        <f>IF(OR($B13&lt;Analysis!$C$100, $B13&gt;=Analysis!$C$101),0,IF($B13=Analysis!$C$100,-CM13-CP13,MIN(0,CQ12-CP13)))</f>
        <v>-354921.48286441021</v>
      </c>
      <c r="CR13" s="64">
        <f>IF(OR($B13&lt;Analysis!$C$100, $B13&gt;=Analysis!$C$101),0,IF($B13=Analysis!$C$100,Analysis!$C$102,IF(($B13-Analysis!$C$100)&lt;LOOKUP(Analysis!$C$100,$B:$B,CN:CN),CR12,0)))</f>
        <v>3.6999999999999998E-2</v>
      </c>
      <c r="CS13" s="1">
        <f>IF(OR($B13&lt;Analysis!$C$100, $B13&gt;=Analysis!$C$101),0,IF($B13=Analysis!$C$100,-CR13*CM13,CR12*CQ12))</f>
        <v>-13687.980267563335</v>
      </c>
      <c r="CT13" s="1">
        <f>IF(OR($B13&lt;Analysis!$C$100, $B13&gt;=Analysis!$C$101),0,IF($B13=Analysis!$C$100,PMT(CR13,CN13,CM13)*CN13-CU13-CQ13,IF(($B13-Analysis!$C$100+1)&lt;LOOKUP(Analysis!$C$100,$B:$B,CN:CN),IF(CT12-CS13&lt;0, CT12-CS13,0),0)))</f>
        <v>-128196.81283300169</v>
      </c>
      <c r="CU13" s="1">
        <f>IF(OR($B13&lt;Analysis!$C$100, $B13&gt;=Analysis!$C$101),0,IF($B13=Analysis!$C$100,CP13+CS13,IF(CQ12&lt;0,IF(CQ12&gt;LOOKUP(Analysis!$C$100,$B:$B,CU:CU), CQ12*(1+CR12),CU12),0)))</f>
        <v>-28711.910040000002</v>
      </c>
      <c r="CV13" s="1">
        <f>IF($B13=Analysis!$C$100,Analysis!$C$105,0)</f>
        <v>0</v>
      </c>
      <c r="CW13" s="1">
        <f>IF($B13=Analysis!$C$100,PMT(CR13,CX13,CV13)*CX13,0)</f>
        <v>0</v>
      </c>
      <c r="CX13" s="7">
        <f>IF($B13=Analysis!$C$100,Analysis!$C$107,0)</f>
        <v>0</v>
      </c>
      <c r="CY13" s="1">
        <f>IF(OR($B13&lt;Analysis!$C$100, $B13&gt;=Analysis!$C$101),0,IF($B13=Analysis!$C$100,CW13/CX13,IF(($B13-Analysis!$C$100)&lt;LOOKUP(Analysis!$C$100,$B:$B,CX:CX),CY12,0)))</f>
        <v>0</v>
      </c>
      <c r="CZ13" s="1">
        <f>IF(OR($B13&lt;Analysis!$C$100, $B13&gt;=Analysis!$C$101),0,IF($B13=Analysis!$C$100,CX13*CY13-CY13,IF(($B13-Analysis!$C$100)&lt;Analysis!$C$107,CZ12-CY13,0)))</f>
        <v>0</v>
      </c>
      <c r="DA13" s="53"/>
      <c r="DB13" s="1">
        <f>IF(OR($B13&lt;Analysis!$C$100, $B13&gt;=Analysis!$C$101),0,IF($B13=2025,(Analysis!$C$109*12),IF($B13=Analysis!$C$100,(Analysis!$C$109*12)*(1+DC13)^($B13-$B$2),DB12*(1+DC13))))</f>
        <v>19065.299438347389</v>
      </c>
      <c r="DC13" s="64">
        <f>IF(OR($B13&lt;Analysis!$C$100, $B13&gt;=Analysis!$C$101),0,((1+Analysis!$C$114)/(1+$S13))-1)</f>
        <v>2.941176470588247E-2</v>
      </c>
      <c r="DD13" s="1">
        <f t="shared" si="6"/>
        <v>25169.52662193295</v>
      </c>
      <c r="DE13" s="1">
        <f t="shared" si="27"/>
        <v>-2144.2271835855627</v>
      </c>
      <c r="DF13" s="64">
        <f>IF(OR($B13&lt;Analysis!$C$100, $B13&gt;=Analysis!$C$101),0,Analysis!$C$118)</f>
        <v>3.0000000000000001E-3</v>
      </c>
      <c r="DG13" s="1">
        <f t="shared" si="28"/>
        <v>-5360.5679589639067</v>
      </c>
      <c r="DH13" s="64">
        <f>IF(OR($B13&lt;Analysis!$C$100, $B13&gt;=Analysis!$C$101),0,Analysis!$C$119)</f>
        <v>7.4999999999999997E-3</v>
      </c>
      <c r="DI13" s="1">
        <f>IF(OR($B13&lt;Analysis!$C$100, $B13&gt;=Analysis!$C$101),0,MIN(Analysis!$C$120*12,SUM(DJ13:DN13)))</f>
        <v>-3960</v>
      </c>
      <c r="DJ13" s="1">
        <f>IF(OR($B13&lt;Analysis!$C$100, $B13&gt;=Analysis!$C$101),0,Analysis!$C$121*12)</f>
        <v>-900</v>
      </c>
      <c r="DK13" s="1">
        <f>IF(OR($B13&lt;Analysis!$C$100, $B13&gt;=Analysis!$C$101),0,Analysis!$C$122*12)</f>
        <v>-1500</v>
      </c>
      <c r="DL13" s="1">
        <f>IF(OR($B13&lt;Analysis!$C$100, $B13&gt;=Analysis!$C$101),0,Analysis!$C$123*12)</f>
        <v>-480</v>
      </c>
      <c r="DM13" s="1">
        <f>IF(OR($B13&lt;Analysis!$C$100, $B13&gt;=Analysis!$C$101),0,Analysis!$C$124*12)</f>
        <v>-480</v>
      </c>
      <c r="DN13" s="1">
        <f>IF(OR($B13&lt;Analysis!$C$100, $B13&gt;=Analysis!$C$101),0,Analysis!$C$125*12)</f>
        <v>-600</v>
      </c>
      <c r="DO13" s="64">
        <f>IF(OR($B13&lt;Analysis!$C$100, $B13&gt;=Analysis!$C$101),0,Analysis!$C$113)</f>
        <v>0.02</v>
      </c>
      <c r="DP13" s="1">
        <f>-DO13*LOOKUP(Analysis!$C$100,$B:$B,CK:CK)</f>
        <v>-10392</v>
      </c>
      <c r="DQ13" s="1">
        <f>-Analysis!$C$117*DB13</f>
        <v>-1429.8974578760542</v>
      </c>
      <c r="DR13" s="1">
        <f t="shared" si="29"/>
        <v>-23286.692600425522</v>
      </c>
      <c r="DS13" s="1">
        <f>MIN(0,-(DB13+DR13)*Analysis!$C$28)-CS13*Analysis!$C$28</f>
        <v>6065.144056557313</v>
      </c>
      <c r="DT13" s="1">
        <f>-Analysis!$C$116*DD13/12</f>
        <v>-2097.4605518277458</v>
      </c>
      <c r="DU13" s="53"/>
      <c r="DV13" s="1">
        <f t="shared" si="30"/>
        <v>-91129.655302386411</v>
      </c>
      <c r="DW13" s="64">
        <f>IF(OR($B13&lt;Analysis!$C$100, $B13&gt;=Analysis!$C$101),0,IF($B13=Analysis!$C$100,Analysis!$C$31,DW12))</f>
        <v>0.1275</v>
      </c>
      <c r="DX13" s="1">
        <f>IF(OR($B13&lt;Analysis!$C$100, $B13&gt;=Analysis!$C$101),0,CK13+DV13)</f>
        <v>623612.73922613449</v>
      </c>
      <c r="DY13" s="1">
        <f>IF(OR($B13&lt;Analysis!$C$100, $B13&gt;=Analysis!$C$101),0,IF($B13-Analysis!$C$100&gt;3,0,IF(CK13&gt;LOOKUP(Analysis!$C$100,$B:$B, CK:CK),$V13*(LOOKUP(Analysis!$C$100,$B:$B, CK:CK)-CK13),0)))</f>
        <v>0</v>
      </c>
      <c r="DZ13" s="1">
        <f t="shared" si="49"/>
        <v>623612.73922613449</v>
      </c>
      <c r="EA13" s="53"/>
      <c r="EB13" s="1">
        <f t="shared" si="31"/>
        <v>949138.28372725099</v>
      </c>
      <c r="EC13" s="64">
        <f t="shared" si="50"/>
        <v>2.941176470588247E-2</v>
      </c>
      <c r="ED13" s="1">
        <f>MAX(0,IF($B13=Analysis!$C$130,(EB13*(1+Analysis!$C$23+Analysis!$C$24+Analysis!$C$25))-(IF($B13=$B$2,(Analysis!$C$6-Analysis!$C$7+Analysis!$C$132), (FU12-Analysis!$C$7+EM13)) + IF($B13=Analysis!$C$101,DZ12+CQ12+CT12+CZ12,0)),0))</f>
        <v>0</v>
      </c>
      <c r="EE13" s="65">
        <f>IF($B13=Analysis!$C$130,IF(ED13&gt;0,NPER(EI13,-EL13,-ED13),0),0)</f>
        <v>0</v>
      </c>
      <c r="EF13" s="64">
        <f>IF($B13=Analysis!$C$130,Analysis!$C$137,0)</f>
        <v>0</v>
      </c>
      <c r="EG13" s="1">
        <f>IF($B13&lt;Analysis!$C$130,0,IF($B13=Analysis!$C$130,-ED13*EF13,IF(EL13&gt;=0,0,EL13-EJ13)))</f>
        <v>0</v>
      </c>
      <c r="EH13" s="1">
        <f>IF($B13&lt;Analysis!$C$130,0,IF($B13=Analysis!$C$130,-ED13-EG13,MIN(0,EH12-EG13)))</f>
        <v>0</v>
      </c>
      <c r="EI13" s="64">
        <f>IF($B13&lt;Analysis!$C$130,0,IF($B13=Analysis!$C$130,Analysis!$C$136,IF(($B13-Analysis!$C$130)&lt;LOOKUP(Analysis!$C$130,$B:$B,EE:EE),EI12,0)))</f>
        <v>0</v>
      </c>
      <c r="EJ13" s="1">
        <f>IF($B13&lt;Analysis!$C$130,0,IF($B13=Analysis!$C$130,-EI13*ED13,EI12*EH12))</f>
        <v>0</v>
      </c>
      <c r="EK13" s="1">
        <f>IF(OR($B13&lt;Analysis!$C$130, ED13=0),0,IF($B13=Analysis!$C$130,PMT(EI13,EE13,ED13)*EE13-EL13-EH13,IF(($B13-Analysis!$C$130+1)&lt;LOOKUP(Analysis!$C$130,$B:$B,EE:EE),IF(EK12-EJ13&lt;0, EK12-EJ13,0),0)))</f>
        <v>0</v>
      </c>
      <c r="EL13" s="1">
        <f>IF($B13&lt;Analysis!$C$130,0,IF($B13=Analysis!$C$130,EG13+EJ13,IF(EH12&lt;0,IF(EH12&gt;LOOKUP(Analysis!$C$130,$B:$B,EL:EL), EH12*(1+EI12),EL12),0)))</f>
        <v>0</v>
      </c>
      <c r="EM13" s="1">
        <f>IF($B13=Analysis!$C$130,Analysis!$C$132,0)</f>
        <v>0</v>
      </c>
      <c r="EN13" s="1">
        <f>IF($B13=Analysis!$C$130,PMT(EI13,EO13,EM13)*EO13,0)</f>
        <v>0</v>
      </c>
      <c r="EO13" s="7">
        <f>IF($B13=Analysis!$C$130,Analysis!$C$134,0)</f>
        <v>0</v>
      </c>
      <c r="EP13" s="1">
        <f>IF($B13&lt;Analysis!$C$130,0,IF($B13=Analysis!$C$130,EN13/EO13,IF(($B13-Analysis!$C$130)&lt;LOOKUP(Analysis!$C$130,$B:$B,EO:EO),EP12,0)))</f>
        <v>0</v>
      </c>
      <c r="EQ13" s="1">
        <f>IF($B13&lt;Analysis!$C$130,0,IF($B13=Analysis!$C$130,EO13*EP13-EP13,IF(($B13-Analysis!$C$130)&lt;Analysis!$C$134,EQ12-EP13,0)))</f>
        <v>0</v>
      </c>
      <c r="ER13" s="53"/>
      <c r="ES13" s="1">
        <f>IF($B13&lt;Analysis!$C$130,0,-ET13*EB13)</f>
        <v>0</v>
      </c>
      <c r="ET13" s="64">
        <f>IF($B13&lt;Analysis!$C$130,0,Analysis!$C$142)</f>
        <v>0</v>
      </c>
      <c r="EU13" s="1">
        <f>IF($B13&lt;Analysis!$C$130,0,-EV13*EB13)</f>
        <v>0</v>
      </c>
      <c r="EV13" s="64">
        <f>IF($B13&lt;Analysis!$C$130,0,Analysis!$C$143)</f>
        <v>0</v>
      </c>
      <c r="EW13" s="1">
        <f>IF($B13&lt;Analysis!$C$130,0,MIN(Analysis!$C$144*12,SUM(EX13:FB13)))</f>
        <v>0</v>
      </c>
      <c r="EX13" s="1">
        <f>IF($B13&lt;Analysis!$C$130,0,Analysis!$C$145*12)</f>
        <v>0</v>
      </c>
      <c r="EY13" s="1">
        <f>IF($B13&lt;Analysis!$C$130,0,Analysis!$C$146*12)</f>
        <v>0</v>
      </c>
      <c r="EZ13" s="1">
        <f>IF($B13&lt;Analysis!$C$130,0,Analysis!$C$147*12)</f>
        <v>0</v>
      </c>
      <c r="FA13" s="1">
        <f>IF($B13&lt;Analysis!$C$130,0,Analysis!$C$148*12)</f>
        <v>0</v>
      </c>
      <c r="FB13" s="1">
        <f>IF($B13&lt;Analysis!$C$130,0,Analysis!$C$149*12)</f>
        <v>0</v>
      </c>
      <c r="FC13" s="1">
        <v>0</v>
      </c>
      <c r="FD13" s="1">
        <f>-FC13*Analysis!$C$28</f>
        <v>0</v>
      </c>
      <c r="FE13" s="53"/>
      <c r="FF13" s="1">
        <f t="shared" si="32"/>
        <v>0</v>
      </c>
      <c r="FG13" s="64">
        <f>IF($B13&lt;Analysis!$C$130,0,Analysis!$C$31)</f>
        <v>0</v>
      </c>
      <c r="FH13" s="1">
        <f>IF($B13&lt;Analysis!$C$130,0,EB13+FF13)</f>
        <v>0</v>
      </c>
      <c r="FI13" s="1">
        <f>IF($B13-Analysis!$C$130&gt;3,0,IF(EB13&gt;LOOKUP(Analysis!$C$130,$B:$B, EB:EB),$V13*(LOOKUP(Analysis!$C$130,$B:$B, EB:EB)-EB13),0))</f>
        <v>0</v>
      </c>
      <c r="FJ13" s="1">
        <f t="shared" si="33"/>
        <v>0</v>
      </c>
      <c r="FK13" s="53"/>
      <c r="FL13" s="1">
        <f>$P13+$N13+IF($B13&lt;Analysis!$C$130,$X13+$Z13,0)+CP13+CS13+CY13+DE13+DG13+MIN(DI13,SUM(DJ13:DN13))+DQ13+DS13+DT13+EG13+EJ13+EP13+ES13+EU13+MIN(EW13,SUM(EX13:FB13))+FD13</f>
        <v>-125537.83277952153</v>
      </c>
      <c r="FM13" s="1">
        <f>$M13+$R13+DD13+IF(AND($B13&lt;&gt;Analysis!$C$130,$B13=Analysis!$C$101),DZ12+CQ12+CT12+CZ12,0)</f>
        <v>144431.14379702799</v>
      </c>
      <c r="FN13" s="1">
        <f t="shared" si="34"/>
        <v>18893.311017506465</v>
      </c>
      <c r="FO13" s="1">
        <f>IF(FN13 &lt; 0,
    IF(FO12 + FN13 &gt; 0,
        FO12 + FN13, IF(FT12-ABS(FO12 + FN13)*(1+$V13) &gt;= FO12 + FN13,
        0, FO12 + FN13)),
    MIN(FO12 + FN13, Analysis!$C$7))+IF(FO12&lt;0, FO12*Analysis!$C$9,0)</f>
        <v>24000</v>
      </c>
      <c r="FP13" s="53"/>
      <c r="FQ13" s="1">
        <f t="shared" si="51"/>
        <v>3805.6517806837328</v>
      </c>
      <c r="FR13" s="1">
        <f>IF(OR($B13=Analysis!$C$100, $B13=Analysis!$C$130),0,IF(FN13 &gt;= 0,
    MAX(0, FO12 + FN13 - Analysis!$C$7),
    0))</f>
        <v>18893.311017506465</v>
      </c>
      <c r="FS13" s="1">
        <f>IF(OR($B13=Analysis!$C$100, $B13=Analysis!$C$130),0,MAX(0, FS12 + FR13 - IF(FN13 &lt; 0, MIN(ABS(FN13), FS12 + FR13), 0)))</f>
        <v>78206.016319459755</v>
      </c>
      <c r="FT13" s="1">
        <f>IF(OR($B13=Analysis!$C$100, $B13=Analysis!$C$130),0,IF(FN13 &lt; 0,
    IF(FN13 + FO12 &lt; 0,
        MAX(0, FT12 - (ABS(FN13 + FO12) * (1+$V12))),
        FT12 + FQ13),
    FT12 + FR13 + FQ13))</f>
        <v>86579.801885273526</v>
      </c>
      <c r="FU13" s="1">
        <f t="shared" ref="FU13:FU16" si="55">IF(FT13-FS13&gt;0, FT13-$V13*(FT13-FS13),FT13)</f>
        <v>84371.215942290146</v>
      </c>
      <c r="FV13" s="36"/>
      <c r="FW13" s="1">
        <f t="shared" si="52"/>
        <v>714742.39452852088</v>
      </c>
      <c r="FX13" s="64">
        <f t="shared" si="53"/>
        <v>2.941176470588247E-2</v>
      </c>
      <c r="FY13" s="1">
        <f>IF($B13=Analysis!$C$159,(FW13*(1+Analysis!$C$23+Analysis!$C$24+Analysis!$C$25))-IF($B13=$B$2,(Analysis!$C$6-Analysis!$C$7+Analysis!$C$165), (HW12-Analysis!$C$7+GH13)),0)</f>
        <v>0</v>
      </c>
      <c r="FZ13" s="65">
        <f>IF($B13=Analysis!$C$159,NPER(GD13,-GG13,-FY13),0)</f>
        <v>0</v>
      </c>
      <c r="GA13" s="64">
        <f>IF($B13=Analysis!$C$159,Analysis!$C$161,0)</f>
        <v>0</v>
      </c>
      <c r="GB13" s="1">
        <f>IF($B13&lt;Analysis!$C$159,0,IF($B13=Analysis!$C$159,-FY13*GA13,IF(GG13&gt;=0,0,GG13-GE13)))</f>
        <v>-15023.929772436668</v>
      </c>
      <c r="GC13" s="1">
        <f>IF($B13&lt;Analysis!$C$159,0,IF($B13=Analysis!$C$159,-FY13-GB13,MIN(0,GC12-GB13)))</f>
        <v>-354921.48286441021</v>
      </c>
      <c r="GD13" s="64">
        <f>IF($B13&lt;Analysis!$C$159,0,IF($B13=Analysis!$C$159,Analysis!$C$160,IF(($B13-Analysis!$C$159)&lt;LOOKUP(Analysis!$C$159,$B:$B,FZ:FZ),GD12,0)))</f>
        <v>3.6999999999999998E-2</v>
      </c>
      <c r="GE13" s="1">
        <f>IF($B13&lt;Analysis!$C$159,0,IF($B13=Analysis!$C$159,-GD13*FY13,GD12*GC12))</f>
        <v>-13687.980267563335</v>
      </c>
      <c r="GF13" s="1">
        <f>IF($B13&lt;Analysis!$C$159,0,IF($B13=Analysis!$C$159,PMT(GD13,FZ13,FY13)*FZ13-GG13-GC13,IF(($B13-Analysis!$C$159+1)&lt;LOOKUP(Analysis!$C$159,$B:$B,FZ:FZ),IF(GF12-GE13&lt;0, GF12-GE13,0),0)))</f>
        <v>-128196.81283300169</v>
      </c>
      <c r="GG13" s="1">
        <f>IF($B13&lt;Analysis!$C$159,0,IF($B13=Analysis!$C$159,GB13+GE13,IF(GC12&lt;0,IF(GC12&gt;LOOKUP(Analysis!$C$159,$B:$B,GG:GG), GC12*(1+GD12),GG12),0)))</f>
        <v>-28711.910040000002</v>
      </c>
      <c r="GH13" s="1">
        <f>IF($B13=Analysis!$C$159,Analysis!$C$165,0)</f>
        <v>0</v>
      </c>
      <c r="GI13" s="1">
        <f>IF($B13=Analysis!$C$159,PMT(GD13,GJ13,GH13)*GJ13,0)</f>
        <v>0</v>
      </c>
      <c r="GJ13" s="7">
        <f>IF($B13=Analysis!$C$159,Analysis!$C$167,0)</f>
        <v>0</v>
      </c>
      <c r="GK13" s="1">
        <f>IF($B13&lt;Analysis!$C$159,0,IF($B13=Analysis!$C$159,GI13/GJ13,IF(($B13-Analysis!$C$159)&lt;LOOKUP(Analysis!$C$159,$B:$B,GJ:GJ),GK12,0)))</f>
        <v>0</v>
      </c>
      <c r="GL13" s="1">
        <f>IF($B13&lt;Analysis!$C$159,0,IF($B13=Analysis!$C$159,GJ13*GK13-GK13,IF(($B13-Analysis!$C$159)&lt;Analysis!$C$167,GL12-GK13,0)))</f>
        <v>0</v>
      </c>
      <c r="GM13" s="38"/>
      <c r="GN13" s="1">
        <f>IF($B13&lt;Analysis!$C$159,0,IF($B13=2025,(Analysis!$C$109*12),IF($B13=Analysis!$C$159,(Analysis!$C$109*12)*(1+GO13)^($B13-$B$2),GN12*(1+GO13))))</f>
        <v>19065.299438347389</v>
      </c>
      <c r="GO13" s="64">
        <f>IF($B13&lt;Analysis!$C$159,0,((1+Analysis!$C$174)/(1+$S13))-1)</f>
        <v>2.941176470588247E-2</v>
      </c>
      <c r="GP13" s="1">
        <f t="shared" si="7"/>
        <v>25169.52662193295</v>
      </c>
      <c r="GQ13" s="1">
        <f t="shared" si="36"/>
        <v>-2144.2271835855627</v>
      </c>
      <c r="GR13" s="64">
        <f>IF($B13&lt;Analysis!$C$159,0,Analysis!$C$178)</f>
        <v>3.0000000000000001E-3</v>
      </c>
      <c r="GS13" s="1">
        <f t="shared" si="37"/>
        <v>-5360.5679589639067</v>
      </c>
      <c r="GT13" s="64">
        <f>IF($B13&lt;Analysis!$C$159,0,Analysis!$C$179)</f>
        <v>7.4999999999999997E-3</v>
      </c>
      <c r="GU13" s="1">
        <f>IF($B13&lt;Analysis!$C$159,0,MIN(Analysis!$C$180*12,SUM(GV13:GZ13)))</f>
        <v>-3960</v>
      </c>
      <c r="GV13" s="1">
        <f>IF($B13&lt;Analysis!$C$159,0,Analysis!$C$181*12)</f>
        <v>-900</v>
      </c>
      <c r="GW13" s="1">
        <f>IF($B13&lt;Analysis!$C$159,0,Analysis!$C$182*12)</f>
        <v>-1500</v>
      </c>
      <c r="GX13" s="1">
        <f>IF($B13&lt;Analysis!$C$159,0,Analysis!$C$183*12)</f>
        <v>-480</v>
      </c>
      <c r="GY13" s="1">
        <f>IF($B13&lt;Analysis!$C$159,0,Analysis!$C$184*12)</f>
        <v>-480</v>
      </c>
      <c r="GZ13" s="1">
        <f>IF($B13&lt;Analysis!$C$159,0,Analysis!$C$185*12)</f>
        <v>-600</v>
      </c>
      <c r="HA13" s="64">
        <f>IF($B13&lt;Analysis!$C$159,0,Analysis!$C$173)</f>
        <v>0.02</v>
      </c>
      <c r="HB13" s="1">
        <f>-HA13*LOOKUP(Analysis!$C$159,$B:$B,FW:FW)</f>
        <v>-10392</v>
      </c>
      <c r="HC13" s="1">
        <f>-Analysis!$C$177*GN13</f>
        <v>-1429.8974578760542</v>
      </c>
      <c r="HD13" s="1">
        <f t="shared" si="38"/>
        <v>-23286.692600425522</v>
      </c>
      <c r="HE13" s="1">
        <f>MIN(0,-(GN13+HD13)*Analysis!$C$28)-GE13*Analysis!$C$28</f>
        <v>6065.144056557313</v>
      </c>
      <c r="HF13" s="1">
        <f>-Analysis!$C$176*GP13/12</f>
        <v>-2097.4605518277458</v>
      </c>
      <c r="HG13" s="38"/>
      <c r="HH13" s="1">
        <f>IF($B13&lt;Analysis!$C$159,0,-$HI13*$FW13)</f>
        <v>-91129.655302386411</v>
      </c>
      <c r="HI13" s="64">
        <f>IF($B13&lt;Analysis!$C$159,0,IF($B13=Analysis!$C$159,Analysis!$C$31,HI12))</f>
        <v>0.1275</v>
      </c>
      <c r="HJ13" s="1">
        <f>IF($B13&lt;Analysis!$C$159,0,$FW13+HH13)</f>
        <v>623612.73922613449</v>
      </c>
      <c r="HK13" s="1">
        <f>IF($B13-Analysis!$C$159&gt;10,0,IF($FW13&gt;LOOKUP(Analysis!$C$159,$B:$B, FW:FW),$V13*(LOOKUP(Analysis!$C$159,$B:$B, FW:FW)-FW13),0))</f>
        <v>0</v>
      </c>
      <c r="HL13" s="1">
        <f t="shared" si="39"/>
        <v>623612.73922613449</v>
      </c>
      <c r="HM13" s="38"/>
      <c r="HN13" s="1">
        <f t="shared" si="40"/>
        <v>-125537.83277952153</v>
      </c>
      <c r="HO13" s="1">
        <f t="shared" si="8"/>
        <v>144431.14379702799</v>
      </c>
      <c r="HP13" s="1">
        <f t="shared" si="41"/>
        <v>18893.311017506465</v>
      </c>
      <c r="HQ13" s="1">
        <f>IF(HP13 &lt; 0,
    IF(HQ12 + HP13 &gt; 0,
        HQ12 + HP13, IF(HV12-ABS(HQ12 + HP13)*(1+$V13) &gt;= HQ12 + HP13,
        0, HQ12 + HP13)),
    MIN(HQ12 + HP13, Analysis!$C$7))+IF(HQ12&lt;0, HQ12*Analysis!$C$9,0)</f>
        <v>24000</v>
      </c>
      <c r="HR13" s="38"/>
      <c r="HS13" s="1">
        <f t="shared" si="54"/>
        <v>3805.6517806837328</v>
      </c>
      <c r="HT13" s="1">
        <f>IF($B13=Analysis!$C$159,0,IF(HP13 &gt;= 0,
    MAX(0, HQ12 + HP13 - Analysis!$C$7),
    0))</f>
        <v>18893.311017506465</v>
      </c>
      <c r="HU13" s="1">
        <f>IF($B13=Analysis!$C$159,0,MAX(0, HU12 + HT13 - IF(HP13 &lt; 0, MIN(ABS(HP13), HU12 + HT13), 0)))</f>
        <v>78206.016319459755</v>
      </c>
      <c r="HV13" s="1">
        <f>IF($B13=Analysis!$C$159,0,IF(HP13 &lt; 0,
    IF(HP13 + HQ12 &lt; 0,
        MAX(0, HV12 - (ABS(HP13 + HQ12) * (1+$V12))),
        HV12 + HS13),
    HV12 + HT13 + HS13))</f>
        <v>86579.801885273526</v>
      </c>
      <c r="HW13" s="1">
        <f t="shared" ref="HW13:HW16" si="56">IF(HV13-HU13&gt;0, HV13-$V13*(HV13-HU13),HV13)</f>
        <v>84371.215942290146</v>
      </c>
      <c r="HX13" s="36"/>
    </row>
    <row r="14" spans="1:232" x14ac:dyDescent="0.35">
      <c r="A14">
        <f t="shared" si="0"/>
        <v>47</v>
      </c>
      <c r="B14">
        <v>2037</v>
      </c>
      <c r="C14" s="1">
        <f>IF($B14&lt;Analysis!C$66,0,$AN14)+$AT14+$AW14+$BC14+$CF14+$CA14</f>
        <v>-91963.806463901768</v>
      </c>
      <c r="D14" s="1">
        <f>IF($B14&lt;Analysis!C$66, 0, BV14)+AT14+AW14+BC14+CG14+CA14</f>
        <v>-252646.7278666402</v>
      </c>
      <c r="E14" s="1">
        <f t="shared" si="1"/>
        <v>532103.4119152088</v>
      </c>
      <c r="F14" s="1">
        <f t="shared" si="9"/>
        <v>490542.31389360322</v>
      </c>
      <c r="G14" s="1">
        <f>IF(AND($B14&gt;=Analysis!$C$100, $B14&lt;Analysis!$C$101),$CK14,0)+IF($B14&gt;=Analysis!$C$130,EB14,0)+CQ14+CT14+CZ14+EH14+EK14+EQ14+$FO14+$FT14</f>
        <v>416723.87599335698</v>
      </c>
      <c r="H14" s="1">
        <f t="shared" si="10"/>
        <v>319384.0944876452</v>
      </c>
      <c r="I14" s="1">
        <f>IF($B14&lt;Analysis!$C$159,0,$FW14)+$GC14+$GF14+$GL14+$HQ14+$HV14</f>
        <v>416723.87599335698</v>
      </c>
      <c r="J14" s="1">
        <f t="shared" si="2"/>
        <v>319384.0944876452</v>
      </c>
      <c r="K14" s="36"/>
      <c r="L14" s="1">
        <f t="shared" si="11"/>
        <v>120723.1566012604</v>
      </c>
      <c r="M14" s="1">
        <f>IF($B14=Analysis!$C$47, M13 * (1 - Analysis!$C$48),
    IF($B14=Analysis!$C$52, M13 * (1 - Analysis!$C$53),
    IF($B14=Analysis!$C$58, M13 * (1 - Analysis!$C$60),
    L14)))</f>
        <v>120723.1566012604</v>
      </c>
      <c r="N14" s="1">
        <f>Analysis!$C$3*12*(1+O14)+P14</f>
        <v>-55075</v>
      </c>
      <c r="O14" s="64">
        <f>IF(OR($B14=Analysis!$C$47,$B14=Analysis!$C$52,$B14=Analysis!$C$58),-Analysis!$C$49,0)</f>
        <v>0</v>
      </c>
      <c r="P14" s="1">
        <f>IF($B14&lt;Analysis!$C$47,0,IF($B14-Analysis!$C$47&lt;=3,Analysis!$C$40+Analysis!$C$44,IF($B14-Analysis!$C$47&lt;=10,Analysis!$C$41+Analysis!$C$44,IF($B14-Analysis!$C$47&lt;=18,Analysis!$C$42+Analysis!$C$44,IF($B14-Analysis!$C$47&lt;=25,Analysis!$C$43+Analysis!$C$44,0)))) + IF(AND($B14&gt;=Analysis!$C$52, $B14-Analysis!$C$52&lt;=3),Analysis!$C$40+Analysis!$C$44,IF(AND($B14&gt;=Analysis!$C$52, $B14-Analysis!$C$52&lt;=10),Analysis!$C$41+Analysis!$C$44,IF(AND($B14&gt;=Analysis!$C$52, $B14-Analysis!$C$52&lt;=18),Analysis!$C$42+Analysis!$C$44,IF(AND($B14&gt;=Analysis!$C$52, $B14-Analysis!$C$52&lt;=25),Analysis!$C$43+Analysis!$C$44,0)))) + Analysis!$C$57*IF(AND($B14&gt;=Analysis!$C$58, $B14-Analysis!$C$58&lt;=3),Analysis!$C$40+Analysis!$C$44,IF(AND($B14&gt;=Analysis!$C$58, $B14-Analysis!$C$58&lt;=10),Analysis!$C$41+Analysis!$C$44,IF(AND($B14&gt;=Analysis!$C$58, $B14-Analysis!$C$58&lt;=18),Analysis!$C$42+Analysis!$C$44,IF(AND($B14&gt;=Analysis!$C$58, $B14-Analysis!$C$58&lt;=25),Analysis!$C$43+Analysis!$C$44,0)))))</f>
        <v>-7075</v>
      </c>
      <c r="Q14" s="1">
        <f t="shared" si="43"/>
        <v>0</v>
      </c>
      <c r="R14" s="1">
        <f>IF(AND(AND(B14=Analysis!C$35,Analysis!C$34&lt;&gt;0),AND(B14=Analysis!C$37,Analysis!C$36&lt;&gt;0)),Analysis!C$34+Analysis!C$36,IF(AND(B14=Analysis!C$35,Analysis!C$34&lt;&gt;0),Analysis!C$34,IF(AND(B14=Analysis!C$37,Analysis!C$36&lt;&gt;0),Analysis!C$36,0)))</f>
        <v>0</v>
      </c>
      <c r="S14" s="64">
        <f t="shared" si="12"/>
        <v>0.02</v>
      </c>
      <c r="T14" s="64">
        <f>IF($B14&lt;Analysis!$C$13, ((1+IF($B14-$B$2&lt;10,Analysis!$C$11,IF($B14-$B$2&lt;20,(Analysis!$C$11+Analysis!$C$12)/2,Analysis!$C$12)))/(1+$S14)-1),IF($B14=Analysis!$C$13,-Analysis!$C$14,-$S14))</f>
        <v>1.225490196078427E-2</v>
      </c>
      <c r="U14" s="64">
        <f>IF($B14=$B$2,((1+Analysis!$C$16)/(1+$S14))-1,IF(B14&lt;Analysis!$C$13,U13-((Analysis!$C$16-Analysis!$C$17)/(Analysis!$C$13-$B$2)),((1+Analysis!$C$17)/(1+$S13))-1))</f>
        <v>5.7859943977591234E-2</v>
      </c>
      <c r="V14" s="64">
        <f t="shared" si="13"/>
        <v>0.26374999999999998</v>
      </c>
      <c r="W14" s="36"/>
      <c r="X14" s="1">
        <f t="shared" si="14"/>
        <v>-22429.764045114574</v>
      </c>
      <c r="Y14" s="64">
        <f t="shared" si="15"/>
        <v>2.941176470588247E-2</v>
      </c>
      <c r="Z14" s="1">
        <f t="shared" si="16"/>
        <v>-3960</v>
      </c>
      <c r="AA14" s="64">
        <f t="shared" si="17"/>
        <v>0</v>
      </c>
      <c r="AB14" s="40"/>
      <c r="AC14" s="1">
        <f t="shared" si="3"/>
        <v>-88539.764045114571</v>
      </c>
      <c r="AD14" s="1">
        <f t="shared" si="4"/>
        <v>120723.1566012604</v>
      </c>
      <c r="AE14" s="1">
        <f t="shared" si="18"/>
        <v>32183.392556145831</v>
      </c>
      <c r="AF14" s="1">
        <f>IF(AE14 &lt; 0,
    IF(AF13 + AE14 &gt; 0,
        AF13 + AE14, IF(AK13-ABS(AF13 + AE14)*(1+$V14) &gt;= AF13 + AE14,
        0, AF13 + AE14)),
    MIN(AF13 + AE14, Analysis!$C$7))+IF(AF13&lt;0, AF13*Analysis!$C$9,0)</f>
        <v>24000</v>
      </c>
      <c r="AG14" s="40"/>
      <c r="AH14" s="1">
        <f t="shared" si="19"/>
        <v>26030.577880083558</v>
      </c>
      <c r="AI14" s="1">
        <f>IF(AE14 &gt;= 0,
    MAX(0, AF13 + AE14 - Analysis!$C$7),
    0)</f>
        <v>32183.392556145831</v>
      </c>
      <c r="AJ14" s="1">
        <f t="shared" si="44"/>
        <v>350525.78908447683</v>
      </c>
      <c r="AK14" s="1">
        <f t="shared" si="20"/>
        <v>508103.4119152088</v>
      </c>
      <c r="AL14" s="1">
        <f t="shared" si="5"/>
        <v>466542.31389360322</v>
      </c>
      <c r="AM14" s="36"/>
      <c r="AN14" s="1">
        <f t="shared" si="45"/>
        <v>1260258.2070803011</v>
      </c>
      <c r="AO14" s="64">
        <f t="shared" si="21"/>
        <v>2.941176470588247E-2</v>
      </c>
      <c r="AP14" s="1">
        <f>IF($B14=Analysis!$C$66,(AN14*(1+Analysis!$C$23+Analysis!$C$24+Analysis!$C$25))-IF($B14=$B$2,(Analysis!$C$6-Analysis!$C$7+Analysis!$C$68), ($CG13-Analysis!$C$7+AY14)),0)</f>
        <v>0</v>
      </c>
      <c r="AQ14" s="65">
        <f>IF($B14=Analysis!$C$66,NPER(AU14,-AX14,-AP14),0)</f>
        <v>0</v>
      </c>
      <c r="AR14" s="64">
        <f>IF($B14=Analysis!$C$66,Analysis!$C$73,0)</f>
        <v>0</v>
      </c>
      <c r="AS14" s="1">
        <f>IF($B14&lt;Analysis!$C$66,0,IF($B14=Analysis!$C$66,-AP14*AR14,IF(AX14&gt;=0,0,AX14-AV14)))</f>
        <v>-28361.658310459552</v>
      </c>
      <c r="AT14" s="1">
        <f>IF($B14&lt;Analysis!$C$66,0,IF($B14=Analysis!$C$66,-AP14-AS14,MIN(0,AT13-AS14)))</f>
        <v>-617741.11708252586</v>
      </c>
      <c r="AU14" s="64">
        <f>IF($B14&lt;Analysis!$C$66,0,IF($B14=Analysis!$C$66,Analysis!$C$72,IF(($B14-Analysis!$C$66)&lt;LOOKUP(Analysis!$C$66,$B:$B,AQ:AQ),AU13,0)))</f>
        <v>3.6999999999999998E-2</v>
      </c>
      <c r="AV14" s="1">
        <f>IF($B14&lt;Analysis!$C$66,0,IF($B14=Analysis!$C$66,-AU14*AP14,AU13*AT13))</f>
        <v>-23905.802689540458</v>
      </c>
      <c r="AW14" s="1">
        <f>IF($B14&lt;Analysis!$C$66,0,IF($B14=Analysis!$C$66,PMT(AU14,AQ14,AP14)*AQ14-AX14-AT14,IF(($B14-Analysis!$C$66+1)&lt;LOOKUP(Analysis!$C$66,$B:$B,AQ:AQ),IF(AW13-AV14&lt;0, AW13-AV14,0),0)))</f>
        <v>-209465.01470778277</v>
      </c>
      <c r="AX14" s="1">
        <f>IF($B14&lt;Analysis!$C$66,0,IF($B14=Analysis!$C$66,AS14+AV14,IF(AT13&lt;0,IF(AT13&gt;LOOKUP(Analysis!$C$66,$B:$B,AX:AX), AT13*(1+AU13),AX13),0)))</f>
        <v>-52267.46100000001</v>
      </c>
      <c r="AY14" s="1">
        <f>IF($B14=Analysis!$C$66,Analysis!$C$68,0)</f>
        <v>0</v>
      </c>
      <c r="AZ14" s="1">
        <f>IF($B14=Analysis!$C$66,PMT(AU14,BA14,AY14)*BA14,0)</f>
        <v>0</v>
      </c>
      <c r="BA14" s="7">
        <f>IF($B14=Analysis!$C$66,Analysis!$C$70,0)</f>
        <v>0</v>
      </c>
      <c r="BB14" s="1">
        <f>IF($B14&lt;Analysis!$C$66,0,IF($B14=Analysis!$C$66,AZ14/BA14,IF(($B14-Analysis!$C$66)&lt;LOOKUP(Analysis!$C$66,$B:$B,BA:BA),BB13,0)))</f>
        <v>0</v>
      </c>
      <c r="BC14" s="1">
        <f>IF($B14&lt;Analysis!$C$66,0,IF($B14=Analysis!$C$66,BA14*BB14-BB14,IF(($B14-Analysis!$C$66)&lt;Analysis!$C$70,BC13-BB14,0)))</f>
        <v>0</v>
      </c>
      <c r="BD14" s="42"/>
      <c r="BE14" s="1">
        <f>IF($B14&lt;Analysis!$C$66,0,-BF14*AN14)</f>
        <v>-3780.7746212409033</v>
      </c>
      <c r="BF14" s="64">
        <f>IF($B14&lt;Analysis!$C$66,0,Analysis!$C$78)</f>
        <v>3.0000000000000001E-3</v>
      </c>
      <c r="BG14" s="1">
        <f>IF($B14&lt;Analysis!$C$66,0,-BH14*AN14)</f>
        <v>-9451.9365531022577</v>
      </c>
      <c r="BH14" s="64">
        <f>IF($B14&lt;Analysis!$C$66,0,Analysis!$C$79)</f>
        <v>7.4999999999999997E-3</v>
      </c>
      <c r="BI14" s="1">
        <f>IF($B14&lt;Analysis!$C$66,0,MIN(Analysis!$C$80*12,SUM(BJ14:BN14)))</f>
        <v>-3960</v>
      </c>
      <c r="BJ14" s="1">
        <f>IF($B14&lt;Analysis!$C$66,0,Analysis!$C$81*12)</f>
        <v>-900</v>
      </c>
      <c r="BK14" s="1">
        <f>IF($B14&lt;Analysis!$C$66,0,Analysis!$C$82*12)</f>
        <v>-1500</v>
      </c>
      <c r="BL14" s="1">
        <f>IF($B14&lt;Analysis!$C$66,0,Analysis!$C$83*12)</f>
        <v>-480</v>
      </c>
      <c r="BM14" s="1">
        <f>IF($B14&lt;Analysis!$C$66,0,Analysis!$C$84*12)</f>
        <v>-480</v>
      </c>
      <c r="BN14" s="1">
        <f>IF($B14&lt;Analysis!$C$66,0,Analysis!$C$85*12)</f>
        <v>-600</v>
      </c>
      <c r="BO14" s="1">
        <v>0</v>
      </c>
      <c r="BP14" s="1">
        <f>-BO14*Analysis!$C$28</f>
        <v>0</v>
      </c>
      <c r="BQ14" s="42"/>
      <c r="BR14" s="1">
        <f t="shared" si="22"/>
        <v>-160682.9214027384</v>
      </c>
      <c r="BS14" s="64">
        <f>IF($B14&lt;Analysis!C$66,0,Analysis!C$31)</f>
        <v>0.1275</v>
      </c>
      <c r="BT14" s="1">
        <f>IF($B14&lt;Analysis!$C$66,0,AN14+BR14)</f>
        <v>1099575.2856775627</v>
      </c>
      <c r="BU14" s="1">
        <f>IF($B14-Analysis!$C$66&gt;3,0,IF($AN14&gt;LOOKUP(Analysis!$C$66,$B:$B, AN:AN),$V14*(LOOKUP(Analysis!$C$66,$B:$B, AN:AN)-AN14),0))</f>
        <v>0</v>
      </c>
      <c r="BV14" s="1">
        <f t="shared" si="23"/>
        <v>1099575.2856775627</v>
      </c>
      <c r="BW14" s="42"/>
      <c r="BX14" s="1">
        <f>IF($B14&lt;Analysis!$C$66,$P14+$N14+$X14+$Z14,$P14+$N14+AS14+AV14+BB14+BE14+BG14+MAX(BI14,SUM(BJ14:BN14))+BP14)</f>
        <v>-131610.17217434317</v>
      </c>
      <c r="BY14" s="1">
        <f t="shared" si="24"/>
        <v>120723.1566012604</v>
      </c>
      <c r="BZ14" s="1">
        <f t="shared" si="46"/>
        <v>-10887.015573082768</v>
      </c>
      <c r="CA14" s="1">
        <f>IF(BZ14 &lt; 0,
    IF(CA13 + BZ14 &gt; 0,
        CA13 + BZ14, IF(CF13-ABS(CA13 + BZ14)*(1+$V14) &gt;= CA13 + BZ14,
        0, CA13 + BZ14)),
    MIN(CA13 + BZ14, Analysis!$C$7))+IF(CA13&lt;0, CA13*Analysis!$C$9,0)</f>
        <v>-525015.88175389427</v>
      </c>
      <c r="CB14" s="42"/>
      <c r="CC14" s="1">
        <f t="shared" si="47"/>
        <v>0</v>
      </c>
      <c r="CD14" s="1">
        <f>IF(BZ14 &gt;= 0,
    MAX(0, CA13 + BZ14 - Analysis!$C$7),
    0)</f>
        <v>0</v>
      </c>
      <c r="CE14" s="1">
        <f>IF($B14=Analysis!$C$66,0,MAX(0, CE13 + CD14 - IF(BZ14 &lt; 0, MIN(ABS(BZ14), CE13 + CD14), 0)))</f>
        <v>0</v>
      </c>
      <c r="CF14" s="1">
        <f>IF($B14=Analysis!$C$66,0,IF(BZ14 &lt; 0,
    IF(BZ14 + CA13 &lt; 0,
        MAX(0, CF13 - (ABS(BZ14 + CA13) * (1+$V13))),
        CF13 + CC14),
    CF13 + CD14 + CC14))</f>
        <v>0</v>
      </c>
      <c r="CG14" s="1">
        <f t="shared" si="25"/>
        <v>0</v>
      </c>
      <c r="CH14" s="36"/>
      <c r="CI14" s="1">
        <f>IF(OR($B14&lt;Analysis!$C$100, $B14&gt;=Analysis!$C$130),0,X14)</f>
        <v>-22429.764045114574</v>
      </c>
      <c r="CJ14" s="1">
        <f>IF(OR($B14&lt;Analysis!$C$100, $B14&gt;=Analysis!$C$130),0,Z14)</f>
        <v>-3960</v>
      </c>
      <c r="CK14" s="1">
        <f t="shared" si="26"/>
        <v>735764.22966171277</v>
      </c>
      <c r="CL14" s="64">
        <f t="shared" si="48"/>
        <v>2.941176470588247E-2</v>
      </c>
      <c r="CM14" s="1">
        <f>IF($B14=Analysis!$C$100,(CK14*(1+Analysis!$C$23+Analysis!$C$24+Analysis!$C$25))-IF($B14=$B$2,(Analysis!$C$6-Analysis!$C$7+Analysis!$C$105), (FU13-Analysis!$C$7+CV14)),0)</f>
        <v>0</v>
      </c>
      <c r="CN14" s="65">
        <f>IF($B14=Analysis!$C$100,NPER(CR14,-CU14,-CM14),0)</f>
        <v>0</v>
      </c>
      <c r="CO14" s="64">
        <f>IF($B14=Analysis!$C$100,Analysis!$C$103,0)</f>
        <v>0</v>
      </c>
      <c r="CP14" s="1">
        <f>IF(OR($B14&lt;Analysis!$C$100, $B14&gt;=Analysis!$C$101),0,IF($B14=Analysis!$C$100,-CM14*CO14,IF(CU14&gt;=0,0,CU14-CS14)))</f>
        <v>-15579.815174016825</v>
      </c>
      <c r="CQ14" s="1">
        <f>IF(OR($B14&lt;Analysis!$C$100, $B14&gt;=Analysis!$C$101),0,IF($B14=Analysis!$C$100,-CM14-CP14,MIN(0,CQ13-CP14)))</f>
        <v>-339341.6676903934</v>
      </c>
      <c r="CR14" s="64">
        <f>IF(OR($B14&lt;Analysis!$C$100, $B14&gt;=Analysis!$C$101),0,IF($B14=Analysis!$C$100,Analysis!$C$102,IF(($B14-Analysis!$C$100)&lt;LOOKUP(Analysis!$C$100,$B:$B,CN:CN),CR13,0)))</f>
        <v>3.6999999999999998E-2</v>
      </c>
      <c r="CS14" s="1">
        <f>IF(OR($B14&lt;Analysis!$C$100, $B14&gt;=Analysis!$C$101),0,IF($B14=Analysis!$C$100,-CR14*CM14,CR13*CQ13))</f>
        <v>-13132.094865983177</v>
      </c>
      <c r="CT14" s="1">
        <f>IF(OR($B14&lt;Analysis!$C$100, $B14&gt;=Analysis!$C$101),0,IF($B14=Analysis!$C$100,PMT(CR14,CN14,CM14)*CN14-CU14-CQ14,IF(($B14-Analysis!$C$100+1)&lt;LOOKUP(Analysis!$C$100,$B:$B,CN:CN),IF(CT13-CS14&lt;0, CT13-CS14,0),0)))</f>
        <v>-115064.71796701851</v>
      </c>
      <c r="CU14" s="1">
        <f>IF(OR($B14&lt;Analysis!$C$100, $B14&gt;=Analysis!$C$101),0,IF($B14=Analysis!$C$100,CP14+CS14,IF(CQ13&lt;0,IF(CQ13&gt;LOOKUP(Analysis!$C$100,$B:$B,CU:CU), CQ13*(1+CR13),CU13),0)))</f>
        <v>-28711.910040000002</v>
      </c>
      <c r="CV14" s="1">
        <f>IF($B14=Analysis!$C$100,Analysis!$C$105,0)</f>
        <v>0</v>
      </c>
      <c r="CW14" s="1">
        <f>IF($B14=Analysis!$C$100,PMT(CR14,CX14,CV14)*CX14,0)</f>
        <v>0</v>
      </c>
      <c r="CX14" s="7">
        <f>IF($B14=Analysis!$C$100,Analysis!$C$107,0)</f>
        <v>0</v>
      </c>
      <c r="CY14" s="1">
        <f>IF(OR($B14&lt;Analysis!$C$100, $B14&gt;=Analysis!$C$101),0,IF($B14=Analysis!$C$100,CW14/CX14,IF(($B14-Analysis!$C$100)&lt;LOOKUP(Analysis!$C$100,$B:$B,CX:CX),CY13,0)))</f>
        <v>0</v>
      </c>
      <c r="CZ14" s="1">
        <f>IF(OR($B14&lt;Analysis!$C$100, $B14&gt;=Analysis!$C$101),0,IF($B14=Analysis!$C$100,CX14*CY14-CY14,IF(($B14-Analysis!$C$100)&lt;Analysis!$C$107,CZ13-CY14,0)))</f>
        <v>0</v>
      </c>
      <c r="DA14" s="53"/>
      <c r="DB14" s="1">
        <f>IF(OR($B14&lt;Analysis!$C$100, $B14&gt;=Analysis!$C$101),0,IF($B14=2025,(Analysis!$C$109*12),IF($B14=Analysis!$C$100,(Analysis!$C$109*12)*(1+DC14)^($B14-$B$2),DB13*(1+DC14))))</f>
        <v>19626.043539475257</v>
      </c>
      <c r="DC14" s="64">
        <f>IF(OR($B14&lt;Analysis!$C$100, $B14&gt;=Analysis!$C$101),0,((1+Analysis!$C$114)/(1+$S14))-1)</f>
        <v>2.941176470588247E-2</v>
      </c>
      <c r="DD14" s="1">
        <f t="shared" si="6"/>
        <v>25793.336228460394</v>
      </c>
      <c r="DE14" s="1">
        <f t="shared" si="27"/>
        <v>-2207.2926889851383</v>
      </c>
      <c r="DF14" s="64">
        <f>IF(OR($B14&lt;Analysis!$C$100, $B14&gt;=Analysis!$C$101),0,Analysis!$C$118)</f>
        <v>3.0000000000000001E-3</v>
      </c>
      <c r="DG14" s="1">
        <f t="shared" si="28"/>
        <v>-5518.2317224628459</v>
      </c>
      <c r="DH14" s="64">
        <f>IF(OR($B14&lt;Analysis!$C$100, $B14&gt;=Analysis!$C$101),0,Analysis!$C$119)</f>
        <v>7.4999999999999997E-3</v>
      </c>
      <c r="DI14" s="1">
        <f>IF(OR($B14&lt;Analysis!$C$100, $B14&gt;=Analysis!$C$101),0,MIN(Analysis!$C$120*12,SUM(DJ14:DN14)))</f>
        <v>-3960</v>
      </c>
      <c r="DJ14" s="1">
        <f>IF(OR($B14&lt;Analysis!$C$100, $B14&gt;=Analysis!$C$101),0,Analysis!$C$121*12)</f>
        <v>-900</v>
      </c>
      <c r="DK14" s="1">
        <f>IF(OR($B14&lt;Analysis!$C$100, $B14&gt;=Analysis!$C$101),0,Analysis!$C$122*12)</f>
        <v>-1500</v>
      </c>
      <c r="DL14" s="1">
        <f>IF(OR($B14&lt;Analysis!$C$100, $B14&gt;=Analysis!$C$101),0,Analysis!$C$123*12)</f>
        <v>-480</v>
      </c>
      <c r="DM14" s="1">
        <f>IF(OR($B14&lt;Analysis!$C$100, $B14&gt;=Analysis!$C$101),0,Analysis!$C$124*12)</f>
        <v>-480</v>
      </c>
      <c r="DN14" s="1">
        <f>IF(OR($B14&lt;Analysis!$C$100, $B14&gt;=Analysis!$C$101),0,Analysis!$C$125*12)</f>
        <v>-600</v>
      </c>
      <c r="DO14" s="64">
        <f>IF(OR($B14&lt;Analysis!$C$100, $B14&gt;=Analysis!$C$101),0,Analysis!$C$113)</f>
        <v>0.02</v>
      </c>
      <c r="DP14" s="1">
        <f>-DO14*LOOKUP(Analysis!$C$100,$B:$B,CK:CK)</f>
        <v>-10392</v>
      </c>
      <c r="DQ14" s="1">
        <f>-Analysis!$C$117*DB14</f>
        <v>-1471.9532654606442</v>
      </c>
      <c r="DR14" s="1">
        <f t="shared" si="29"/>
        <v>-23549.477676908631</v>
      </c>
      <c r="DS14" s="1">
        <f>MIN(0,-(DB14+DR14)*Analysis!$C$28)-CS14*Analysis!$C$28</f>
        <v>5818.8312351171453</v>
      </c>
      <c r="DT14" s="1">
        <f>-Analysis!$C$116*DD14/12</f>
        <v>-2149.444685705033</v>
      </c>
      <c r="DU14" s="53"/>
      <c r="DV14" s="1">
        <f t="shared" si="30"/>
        <v>-93809.939281868385</v>
      </c>
      <c r="DW14" s="64">
        <f>IF(OR($B14&lt;Analysis!$C$100, $B14&gt;=Analysis!$C$101),0,IF($B14=Analysis!$C$100,Analysis!$C$31,DW13))</f>
        <v>0.1275</v>
      </c>
      <c r="DX14" s="1">
        <f>IF(OR($B14&lt;Analysis!$C$100, $B14&gt;=Analysis!$C$101),0,CK14+DV14)</f>
        <v>641954.29037984437</v>
      </c>
      <c r="DY14" s="1">
        <f>IF(OR($B14&lt;Analysis!$C$100, $B14&gt;=Analysis!$C$101),0,IF($B14-Analysis!$C$100&gt;3,0,IF(CK14&gt;LOOKUP(Analysis!$C$100,$B:$B, CK:CK),$V14*(LOOKUP(Analysis!$C$100,$B:$B, CK:CK)-CK14),0)))</f>
        <v>0</v>
      </c>
      <c r="DZ14" s="1">
        <f t="shared" si="49"/>
        <v>641954.29037984437</v>
      </c>
      <c r="EA14" s="53"/>
      <c r="EB14" s="1">
        <f t="shared" si="31"/>
        <v>977054.11560158199</v>
      </c>
      <c r="EC14" s="64">
        <f t="shared" si="50"/>
        <v>2.941176470588247E-2</v>
      </c>
      <c r="ED14" s="1">
        <f>MAX(0,IF($B14=Analysis!$C$130,(EB14*(1+Analysis!$C$23+Analysis!$C$24+Analysis!$C$25))-(IF($B14=$B$2,(Analysis!$C$6-Analysis!$C$7+Analysis!$C$132), (FU13-Analysis!$C$7+EM14)) + IF($B14=Analysis!$C$101,DZ13+CQ13+CT13+CZ13,0)),0))</f>
        <v>0</v>
      </c>
      <c r="EE14" s="65">
        <f>IF($B14=Analysis!$C$130,IF(ED14&gt;0,NPER(EI14,-EL14,-ED14),0),0)</f>
        <v>0</v>
      </c>
      <c r="EF14" s="64">
        <f>IF($B14=Analysis!$C$130,Analysis!$C$137,0)</f>
        <v>0</v>
      </c>
      <c r="EG14" s="1">
        <f>IF($B14&lt;Analysis!$C$130,0,IF($B14=Analysis!$C$130,-ED14*EF14,IF(EL14&gt;=0,0,EL14-EJ14)))</f>
        <v>0</v>
      </c>
      <c r="EH14" s="1">
        <f>IF($B14&lt;Analysis!$C$130,0,IF($B14=Analysis!$C$130,-ED14-EG14,MIN(0,EH13-EG14)))</f>
        <v>0</v>
      </c>
      <c r="EI14" s="64">
        <f>IF($B14&lt;Analysis!$C$130,0,IF($B14=Analysis!$C$130,Analysis!$C$136,IF(($B14-Analysis!$C$130)&lt;LOOKUP(Analysis!$C$130,$B:$B,EE:EE),EI13,0)))</f>
        <v>0</v>
      </c>
      <c r="EJ14" s="1">
        <f>IF($B14&lt;Analysis!$C$130,0,IF($B14=Analysis!$C$130,-EI14*ED14,EI13*EH13))</f>
        <v>0</v>
      </c>
      <c r="EK14" s="1">
        <f>IF(OR($B14&lt;Analysis!$C$130, ED14=0),0,IF($B14=Analysis!$C$130,PMT(EI14,EE14,ED14)*EE14-EL14-EH14,IF(($B14-Analysis!$C$130+1)&lt;LOOKUP(Analysis!$C$130,$B:$B,EE:EE),IF(EK13-EJ14&lt;0, EK13-EJ14,0),0)))</f>
        <v>0</v>
      </c>
      <c r="EL14" s="1">
        <f>IF($B14&lt;Analysis!$C$130,0,IF($B14=Analysis!$C$130,EG14+EJ14,IF(EH13&lt;0,IF(EH13&gt;LOOKUP(Analysis!$C$130,$B:$B,EL:EL), EH13*(1+EI13),EL13),0)))</f>
        <v>0</v>
      </c>
      <c r="EM14" s="1">
        <f>IF($B14=Analysis!$C$130,Analysis!$C$132,0)</f>
        <v>0</v>
      </c>
      <c r="EN14" s="1">
        <f>IF($B14=Analysis!$C$130,PMT(EI14,EO14,EM14)*EO14,0)</f>
        <v>0</v>
      </c>
      <c r="EO14" s="7">
        <f>IF($B14=Analysis!$C$130,Analysis!$C$134,0)</f>
        <v>0</v>
      </c>
      <c r="EP14" s="1">
        <f>IF($B14&lt;Analysis!$C$130,0,IF($B14=Analysis!$C$130,EN14/EO14,IF(($B14-Analysis!$C$130)&lt;LOOKUP(Analysis!$C$130,$B:$B,EO:EO),EP13,0)))</f>
        <v>0</v>
      </c>
      <c r="EQ14" s="1">
        <f>IF($B14&lt;Analysis!$C$130,0,IF($B14=Analysis!$C$130,EO14*EP14-EP14,IF(($B14-Analysis!$C$130)&lt;Analysis!$C$134,EQ13-EP14,0)))</f>
        <v>0</v>
      </c>
      <c r="ER14" s="53"/>
      <c r="ES14" s="1">
        <f>IF($B14&lt;Analysis!$C$130,0,-ET14*EB14)</f>
        <v>0</v>
      </c>
      <c r="ET14" s="64">
        <f>IF($B14&lt;Analysis!$C$130,0,Analysis!$C$142)</f>
        <v>0</v>
      </c>
      <c r="EU14" s="1">
        <f>IF($B14&lt;Analysis!$C$130,0,-EV14*EB14)</f>
        <v>0</v>
      </c>
      <c r="EV14" s="64">
        <f>IF($B14&lt;Analysis!$C$130,0,Analysis!$C$143)</f>
        <v>0</v>
      </c>
      <c r="EW14" s="1">
        <f>IF($B14&lt;Analysis!$C$130,0,MIN(Analysis!$C$144*12,SUM(EX14:FB14)))</f>
        <v>0</v>
      </c>
      <c r="EX14" s="1">
        <f>IF($B14&lt;Analysis!$C$130,0,Analysis!$C$145*12)</f>
        <v>0</v>
      </c>
      <c r="EY14" s="1">
        <f>IF($B14&lt;Analysis!$C$130,0,Analysis!$C$146*12)</f>
        <v>0</v>
      </c>
      <c r="EZ14" s="1">
        <f>IF($B14&lt;Analysis!$C$130,0,Analysis!$C$147*12)</f>
        <v>0</v>
      </c>
      <c r="FA14" s="1">
        <f>IF($B14&lt;Analysis!$C$130,0,Analysis!$C$148*12)</f>
        <v>0</v>
      </c>
      <c r="FB14" s="1">
        <f>IF($B14&lt;Analysis!$C$130,0,Analysis!$C$149*12)</f>
        <v>0</v>
      </c>
      <c r="FC14" s="1">
        <v>0</v>
      </c>
      <c r="FD14" s="1">
        <f>-FC14*Analysis!$C$28</f>
        <v>0</v>
      </c>
      <c r="FE14" s="53"/>
      <c r="FF14" s="1">
        <f t="shared" si="32"/>
        <v>0</v>
      </c>
      <c r="FG14" s="64">
        <f>IF($B14&lt;Analysis!$C$130,0,Analysis!$C$31)</f>
        <v>0</v>
      </c>
      <c r="FH14" s="1">
        <f>IF($B14&lt;Analysis!$C$130,0,EB14+FF14)</f>
        <v>0</v>
      </c>
      <c r="FI14" s="1">
        <f>IF($B14-Analysis!$C$130&gt;3,0,IF(EB14&gt;LOOKUP(Analysis!$C$130,$B:$B, EB:EB),$V14*(LOOKUP(Analysis!$C$130,$B:$B, EB:EB)-EB14),0))</f>
        <v>0</v>
      </c>
      <c r="FJ14" s="1">
        <f t="shared" si="33"/>
        <v>0</v>
      </c>
      <c r="FK14" s="53"/>
      <c r="FL14" s="1">
        <f>$P14+$N14+IF($B14&lt;Analysis!$C$130,$X14+$Z14,0)+CP14+CS14+CY14+DE14+DG14+MIN(DI14,SUM(DJ14:DN14))+DQ14+DS14+DT14+EG14+EJ14+EP14+ES14+EU14+MIN(EW14,SUM(EX14:FB14))+FD14</f>
        <v>-126739.76521261109</v>
      </c>
      <c r="FM14" s="1">
        <f>$M14+$R14+DD14+IF(AND($B14&lt;&gt;Analysis!$C$130,$B14=Analysis!$C$101),DZ13+CQ13+CT13+CZ13,0)</f>
        <v>146516.49282972078</v>
      </c>
      <c r="FN14" s="1">
        <f t="shared" si="34"/>
        <v>19776.727617109689</v>
      </c>
      <c r="FO14" s="1">
        <f>IF(FN14 &lt; 0,
    IF(FO13 + FN14 &gt; 0,
        FO13 + FN14, IF(FT13-ABS(FO13 + FN14)*(1+$V14) &gt;= FO13 + FN14,
        0, FO13 + FN14)),
    MIN(FO13 + FN14, Analysis!$C$7))+IF(FO13&lt;0, FO13*Analysis!$C$9,0)</f>
        <v>24000</v>
      </c>
      <c r="FP14" s="53"/>
      <c r="FQ14" s="1">
        <f t="shared" si="51"/>
        <v>5009.5024866728745</v>
      </c>
      <c r="FR14" s="1">
        <f>IF(OR($B14=Analysis!$C$100, $B14=Analysis!$C$130),0,IF(FN14 &gt;= 0,
    MAX(0, FO13 + FN14 - Analysis!$C$7),
    0))</f>
        <v>19776.727617109689</v>
      </c>
      <c r="FS14" s="1">
        <f>IF(OR($B14=Analysis!$C$100, $B14=Analysis!$C$130),0,MAX(0, FS13 + FR14 - IF(FN14 &lt; 0, MIN(ABS(FN14), FS13 + FR14), 0)))</f>
        <v>97982.743936569444</v>
      </c>
      <c r="FT14" s="1">
        <f>IF(OR($B14=Analysis!$C$100, $B14=Analysis!$C$130),0,IF(FN14 &lt; 0,
    IF(FN14 + FO13 &lt; 0,
        MAX(0, FT13 - (ABS(FN14 + FO13) * (1+$V13))),
        FT13 + FQ14),
    FT13 + FR14 + FQ14))</f>
        <v>111366.03198905609</v>
      </c>
      <c r="FU14" s="1">
        <f t="shared" si="55"/>
        <v>107836.18976521274</v>
      </c>
      <c r="FV14" s="36"/>
      <c r="FW14" s="1">
        <f t="shared" si="52"/>
        <v>735764.22966171277</v>
      </c>
      <c r="FX14" s="64">
        <f t="shared" si="53"/>
        <v>2.941176470588247E-2</v>
      </c>
      <c r="FY14" s="1">
        <f>IF($B14=Analysis!$C$159,(FW14*(1+Analysis!$C$23+Analysis!$C$24+Analysis!$C$25))-IF($B14=$B$2,(Analysis!$C$6-Analysis!$C$7+Analysis!$C$165), (HW13-Analysis!$C$7+GH14)),0)</f>
        <v>0</v>
      </c>
      <c r="FZ14" s="65">
        <f>IF($B14=Analysis!$C$159,NPER(GD14,-GG14,-FY14),0)</f>
        <v>0</v>
      </c>
      <c r="GA14" s="64">
        <f>IF($B14=Analysis!$C$159,Analysis!$C$161,0)</f>
        <v>0</v>
      </c>
      <c r="GB14" s="1">
        <f>IF($B14&lt;Analysis!$C$159,0,IF($B14=Analysis!$C$159,-FY14*GA14,IF(GG14&gt;=0,0,GG14-GE14)))</f>
        <v>-15579.815174016825</v>
      </c>
      <c r="GC14" s="1">
        <f>IF($B14&lt;Analysis!$C$159,0,IF($B14=Analysis!$C$159,-FY14-GB14,MIN(0,GC13-GB14)))</f>
        <v>-339341.6676903934</v>
      </c>
      <c r="GD14" s="64">
        <f>IF($B14&lt;Analysis!$C$159,0,IF($B14=Analysis!$C$159,Analysis!$C$160,IF(($B14-Analysis!$C$159)&lt;LOOKUP(Analysis!$C$159,$B:$B,FZ:FZ),GD13,0)))</f>
        <v>3.6999999999999998E-2</v>
      </c>
      <c r="GE14" s="1">
        <f>IF($B14&lt;Analysis!$C$159,0,IF($B14=Analysis!$C$159,-GD14*FY14,GD13*GC13))</f>
        <v>-13132.094865983177</v>
      </c>
      <c r="GF14" s="1">
        <f>IF($B14&lt;Analysis!$C$159,0,IF($B14=Analysis!$C$159,PMT(GD14,FZ14,FY14)*FZ14-GG14-GC14,IF(($B14-Analysis!$C$159+1)&lt;LOOKUP(Analysis!$C$159,$B:$B,FZ:FZ),IF(GF13-GE14&lt;0, GF13-GE14,0),0)))</f>
        <v>-115064.71796701851</v>
      </c>
      <c r="GG14" s="1">
        <f>IF($B14&lt;Analysis!$C$159,0,IF($B14=Analysis!$C$159,GB14+GE14,IF(GC13&lt;0,IF(GC13&gt;LOOKUP(Analysis!$C$159,$B:$B,GG:GG), GC13*(1+GD13),GG13),0)))</f>
        <v>-28711.910040000002</v>
      </c>
      <c r="GH14" s="1">
        <f>IF($B14=Analysis!$C$159,Analysis!$C$165,0)</f>
        <v>0</v>
      </c>
      <c r="GI14" s="1">
        <f>IF($B14=Analysis!$C$159,PMT(GD14,GJ14,GH14)*GJ14,0)</f>
        <v>0</v>
      </c>
      <c r="GJ14" s="7">
        <f>IF($B14=Analysis!$C$159,Analysis!$C$167,0)</f>
        <v>0</v>
      </c>
      <c r="GK14" s="1">
        <f>IF($B14&lt;Analysis!$C$159,0,IF($B14=Analysis!$C$159,GI14/GJ14,IF(($B14-Analysis!$C$159)&lt;LOOKUP(Analysis!$C$159,$B:$B,GJ:GJ),GK13,0)))</f>
        <v>0</v>
      </c>
      <c r="GL14" s="1">
        <f>IF($B14&lt;Analysis!$C$159,0,IF($B14=Analysis!$C$159,GJ14*GK14-GK14,IF(($B14-Analysis!$C$159)&lt;Analysis!$C$167,GL13-GK14,0)))</f>
        <v>0</v>
      </c>
      <c r="GM14" s="38"/>
      <c r="GN14" s="1">
        <f>IF($B14&lt;Analysis!$C$159,0,IF($B14=2025,(Analysis!$C$109*12),IF($B14=Analysis!$C$159,(Analysis!$C$109*12)*(1+GO14)^($B14-$B$2),GN13*(1+GO14))))</f>
        <v>19626.043539475257</v>
      </c>
      <c r="GO14" s="64">
        <f>IF($B14&lt;Analysis!$C$159,0,((1+Analysis!$C$174)/(1+$S14))-1)</f>
        <v>2.941176470588247E-2</v>
      </c>
      <c r="GP14" s="1">
        <f t="shared" si="7"/>
        <v>25793.336228460394</v>
      </c>
      <c r="GQ14" s="1">
        <f t="shared" si="36"/>
        <v>-2207.2926889851383</v>
      </c>
      <c r="GR14" s="64">
        <f>IF($B14&lt;Analysis!$C$159,0,Analysis!$C$178)</f>
        <v>3.0000000000000001E-3</v>
      </c>
      <c r="GS14" s="1">
        <f t="shared" si="37"/>
        <v>-5518.2317224628459</v>
      </c>
      <c r="GT14" s="64">
        <f>IF($B14&lt;Analysis!$C$159,0,Analysis!$C$179)</f>
        <v>7.4999999999999997E-3</v>
      </c>
      <c r="GU14" s="1">
        <f>IF($B14&lt;Analysis!$C$159,0,MIN(Analysis!$C$180*12,SUM(GV14:GZ14)))</f>
        <v>-3960</v>
      </c>
      <c r="GV14" s="1">
        <f>IF($B14&lt;Analysis!$C$159,0,Analysis!$C$181*12)</f>
        <v>-900</v>
      </c>
      <c r="GW14" s="1">
        <f>IF($B14&lt;Analysis!$C$159,0,Analysis!$C$182*12)</f>
        <v>-1500</v>
      </c>
      <c r="GX14" s="1">
        <f>IF($B14&lt;Analysis!$C$159,0,Analysis!$C$183*12)</f>
        <v>-480</v>
      </c>
      <c r="GY14" s="1">
        <f>IF($B14&lt;Analysis!$C$159,0,Analysis!$C$184*12)</f>
        <v>-480</v>
      </c>
      <c r="GZ14" s="1">
        <f>IF($B14&lt;Analysis!$C$159,0,Analysis!$C$185*12)</f>
        <v>-600</v>
      </c>
      <c r="HA14" s="64">
        <f>IF($B14&lt;Analysis!$C$159,0,Analysis!$C$173)</f>
        <v>0.02</v>
      </c>
      <c r="HB14" s="1">
        <f>-HA14*LOOKUP(Analysis!$C$159,$B:$B,FW:FW)</f>
        <v>-10392</v>
      </c>
      <c r="HC14" s="1">
        <f>-Analysis!$C$177*GN14</f>
        <v>-1471.9532654606442</v>
      </c>
      <c r="HD14" s="1">
        <f t="shared" si="38"/>
        <v>-23549.477676908631</v>
      </c>
      <c r="HE14" s="1">
        <f>MIN(0,-(GN14+HD14)*Analysis!$C$28)-GE14*Analysis!$C$28</f>
        <v>5818.8312351171453</v>
      </c>
      <c r="HF14" s="1">
        <f>-Analysis!$C$176*GP14/12</f>
        <v>-2149.444685705033</v>
      </c>
      <c r="HG14" s="38"/>
      <c r="HH14" s="1">
        <f>IF($B14&lt;Analysis!$C$159,0,-$HI14*$FW14)</f>
        <v>-93809.939281868385</v>
      </c>
      <c r="HI14" s="64">
        <f>IF($B14&lt;Analysis!$C$159,0,IF($B14=Analysis!$C$159,Analysis!$C$31,HI13))</f>
        <v>0.1275</v>
      </c>
      <c r="HJ14" s="1">
        <f>IF($B14&lt;Analysis!$C$159,0,$FW14+HH14)</f>
        <v>641954.29037984437</v>
      </c>
      <c r="HK14" s="1">
        <f>IF($B14-Analysis!$C$159&gt;10,0,IF($FW14&gt;LOOKUP(Analysis!$C$159,$B:$B, FW:FW),$V14*(LOOKUP(Analysis!$C$159,$B:$B, FW:FW)-FW14),0))</f>
        <v>0</v>
      </c>
      <c r="HL14" s="1">
        <f t="shared" si="39"/>
        <v>641954.29037984437</v>
      </c>
      <c r="HM14" s="38"/>
      <c r="HN14" s="1">
        <f t="shared" si="40"/>
        <v>-126739.76521261109</v>
      </c>
      <c r="HO14" s="1">
        <f t="shared" si="8"/>
        <v>146516.49282972078</v>
      </c>
      <c r="HP14" s="1">
        <f t="shared" si="41"/>
        <v>19776.727617109689</v>
      </c>
      <c r="HQ14" s="1">
        <f>IF(HP14 &lt; 0,
    IF(HQ13 + HP14 &gt; 0,
        HQ13 + HP14, IF(HV13-ABS(HQ13 + HP14)*(1+$V14) &gt;= HQ13 + HP14,
        0, HQ13 + HP14)),
    MIN(HQ13 + HP14, Analysis!$C$7))+IF(HQ13&lt;0, HQ13*Analysis!$C$9,0)</f>
        <v>24000</v>
      </c>
      <c r="HR14" s="38"/>
      <c r="HS14" s="1">
        <f t="shared" si="54"/>
        <v>5009.5024866728745</v>
      </c>
      <c r="HT14" s="1">
        <f>IF($B14=Analysis!$C$159,0,IF(HP14 &gt;= 0,
    MAX(0, HQ13 + HP14 - Analysis!$C$7),
    0))</f>
        <v>19776.727617109689</v>
      </c>
      <c r="HU14" s="1">
        <f>IF($B14=Analysis!$C$159,0,MAX(0, HU13 + HT14 - IF(HP14 &lt; 0, MIN(ABS(HP14), HU13 + HT14), 0)))</f>
        <v>97982.743936569444</v>
      </c>
      <c r="HV14" s="1">
        <f>IF($B14=Analysis!$C$159,0,IF(HP14 &lt; 0,
    IF(HP14 + HQ13 &lt; 0,
        MAX(0, HV13 - (ABS(HP14 + HQ13) * (1+$V13))),
        HV13 + HS14),
    HV13 + HT14 + HS14))</f>
        <v>111366.03198905609</v>
      </c>
      <c r="HW14" s="1">
        <f t="shared" si="56"/>
        <v>107836.18976521274</v>
      </c>
      <c r="HX14" s="36"/>
    </row>
    <row r="15" spans="1:232" x14ac:dyDescent="0.35">
      <c r="A15">
        <f t="shared" si="0"/>
        <v>48</v>
      </c>
      <c r="B15">
        <v>2038</v>
      </c>
      <c r="C15" s="1">
        <f>IF($B15&lt;Analysis!C$66,0,$AN15)+$AT15+$AW15+$BC15+$CF15+$CA15</f>
        <v>-58177.960660928977</v>
      </c>
      <c r="D15" s="1">
        <f>IF($B15&lt;Analysis!C$66, 0, BV15)+AT15+AW15+BC15+CG15+CA15</f>
        <v>-223586.8503402184</v>
      </c>
      <c r="E15" s="1">
        <f t="shared" si="1"/>
        <v>589884.3565052069</v>
      </c>
      <c r="F15" s="1">
        <f t="shared" si="9"/>
        <v>540799.05109439127</v>
      </c>
      <c r="G15" s="1">
        <f>IF(AND($B15&gt;=Analysis!$C$100, $B15&lt;Analysis!$C$101),$CK15,0)+IF($B15&gt;=Analysis!$C$130,EB15,0)+CQ15+CT15+CZ15+EH15+EK15+EQ15+$FO15+$FT15</f>
        <v>490237.81215627148</v>
      </c>
      <c r="H15" s="1">
        <f t="shared" si="10"/>
        <v>388489.76010713365</v>
      </c>
      <c r="I15" s="1">
        <f>IF($B15&lt;Analysis!$C$159,0,$FW15)+$GC15+$GF15+$GL15+$HQ15+$HV15</f>
        <v>490237.81215627148</v>
      </c>
      <c r="J15" s="1">
        <f t="shared" si="2"/>
        <v>388489.76010713365</v>
      </c>
      <c r="K15" s="36"/>
      <c r="L15" s="1">
        <f t="shared" si="11"/>
        <v>122202.60704980526</v>
      </c>
      <c r="M15" s="1">
        <f>IF($B15=Analysis!$C$47, M14 * (1 - Analysis!$C$48),
    IF($B15=Analysis!$C$52, M14 * (1 - Analysis!$C$53),
    IF($B15=Analysis!$C$58, M14 * (1 - Analysis!$C$60),
    L15)))</f>
        <v>122202.60704980526</v>
      </c>
      <c r="N15" s="1">
        <f>Analysis!$C$3*12*(1+O15)+P15</f>
        <v>-56950</v>
      </c>
      <c r="O15" s="64">
        <f>IF(OR($B15=Analysis!$C$47,$B15=Analysis!$C$52,$B15=Analysis!$C$58),-Analysis!$C$49,0)</f>
        <v>0</v>
      </c>
      <c r="P15" s="1">
        <f>IF($B15&lt;Analysis!$C$47,0,IF($B15-Analysis!$C$47&lt;=3,Analysis!$C$40+Analysis!$C$44,IF($B15-Analysis!$C$47&lt;=10,Analysis!$C$41+Analysis!$C$44,IF($B15-Analysis!$C$47&lt;=18,Analysis!$C$42+Analysis!$C$44,IF($B15-Analysis!$C$47&lt;=25,Analysis!$C$43+Analysis!$C$44,0)))) + IF(AND($B15&gt;=Analysis!$C$52, $B15-Analysis!$C$52&lt;=3),Analysis!$C$40+Analysis!$C$44,IF(AND($B15&gt;=Analysis!$C$52, $B15-Analysis!$C$52&lt;=10),Analysis!$C$41+Analysis!$C$44,IF(AND($B15&gt;=Analysis!$C$52, $B15-Analysis!$C$52&lt;=18),Analysis!$C$42+Analysis!$C$44,IF(AND($B15&gt;=Analysis!$C$52, $B15-Analysis!$C$52&lt;=25),Analysis!$C$43+Analysis!$C$44,0)))) + Analysis!$C$57*IF(AND($B15&gt;=Analysis!$C$58, $B15-Analysis!$C$58&lt;=3),Analysis!$C$40+Analysis!$C$44,IF(AND($B15&gt;=Analysis!$C$58, $B15-Analysis!$C$58&lt;=10),Analysis!$C$41+Analysis!$C$44,IF(AND($B15&gt;=Analysis!$C$58, $B15-Analysis!$C$58&lt;=18),Analysis!$C$42+Analysis!$C$44,IF(AND($B15&gt;=Analysis!$C$58, $B15-Analysis!$C$58&lt;=25),Analysis!$C$43+Analysis!$C$44,0)))))</f>
        <v>-8950</v>
      </c>
      <c r="Q15" s="1">
        <f t="shared" si="43"/>
        <v>0</v>
      </c>
      <c r="R15" s="1">
        <f>IF(AND(AND(B15=Analysis!C$35,Analysis!C$34&lt;&gt;0),AND(B15=Analysis!C$37,Analysis!C$36&lt;&gt;0)),Analysis!C$34+Analysis!C$36,IF(AND(B15=Analysis!C$35,Analysis!C$34&lt;&gt;0),Analysis!C$34,IF(AND(B15=Analysis!C$37,Analysis!C$36&lt;&gt;0),Analysis!C$36,0)))</f>
        <v>0</v>
      </c>
      <c r="S15" s="64">
        <f t="shared" si="12"/>
        <v>0.02</v>
      </c>
      <c r="T15" s="64">
        <f>IF($B15&lt;Analysis!$C$13, ((1+IF($B15-$B$2&lt;10,Analysis!$C$11,IF($B15-$B$2&lt;20,(Analysis!$C$11+Analysis!$C$12)/2,Analysis!$C$12)))/(1+$S15)-1),IF($B15=Analysis!$C$13,-Analysis!$C$14,-$S15))</f>
        <v>1.225490196078427E-2</v>
      </c>
      <c r="U15" s="64">
        <f>IF($B15=$B$2,((1+Analysis!$C$16)/(1+$S15))-1,IF(B15&lt;Analysis!$C$13,U14-((Analysis!$C$16-Analysis!$C$17)/(Analysis!$C$13-$B$2)),((1+Analysis!$C$17)/(1+$S14))-1))</f>
        <v>5.6145658263305517E-2</v>
      </c>
      <c r="V15" s="64">
        <f t="shared" si="13"/>
        <v>0.26374999999999998</v>
      </c>
      <c r="W15" s="36"/>
      <c r="X15" s="1">
        <f t="shared" si="14"/>
        <v>-23089.462987617946</v>
      </c>
      <c r="Y15" s="64">
        <f t="shared" si="15"/>
        <v>2.941176470588247E-2</v>
      </c>
      <c r="Z15" s="1">
        <f t="shared" si="16"/>
        <v>-3960</v>
      </c>
      <c r="AA15" s="64">
        <f t="shared" si="17"/>
        <v>0</v>
      </c>
      <c r="AB15" s="40"/>
      <c r="AC15" s="1">
        <f t="shared" si="3"/>
        <v>-92949.462987617939</v>
      </c>
      <c r="AD15" s="1">
        <f t="shared" si="4"/>
        <v>122202.60704980526</v>
      </c>
      <c r="AE15" s="1">
        <f t="shared" si="18"/>
        <v>29253.144062187319</v>
      </c>
      <c r="AF15" s="1">
        <f>IF(AE15 &lt; 0,
    IF(AF14 + AE15 &gt; 0,
        AF14 + AE15, IF(AK14-ABS(AF14 + AE15)*(1+$V15) &gt;= AF14 + AE15,
        0, AF14 + AE15)),
    MIN(AF14 + AE15, Analysis!$C$7))+IF(AF14&lt;0, AF14*Analysis!$C$9,0)</f>
        <v>24000</v>
      </c>
      <c r="AG15" s="40"/>
      <c r="AH15" s="1">
        <f t="shared" si="19"/>
        <v>28527.800527810869</v>
      </c>
      <c r="AI15" s="1">
        <f>IF(AE15 &gt;= 0,
    MAX(0, AF14 + AE15 - Analysis!$C$7),
    0)</f>
        <v>29253.144062187319</v>
      </c>
      <c r="AJ15" s="1">
        <f t="shared" si="44"/>
        <v>379778.93314666417</v>
      </c>
      <c r="AK15" s="1">
        <f t="shared" si="20"/>
        <v>565884.3565052069</v>
      </c>
      <c r="AL15" s="1">
        <f t="shared" si="5"/>
        <v>516799.05109439127</v>
      </c>
      <c r="AM15" s="36"/>
      <c r="AN15" s="1">
        <f t="shared" si="45"/>
        <v>1297324.6249356042</v>
      </c>
      <c r="AO15" s="64">
        <f t="shared" si="21"/>
        <v>2.941176470588247E-2</v>
      </c>
      <c r="AP15" s="1">
        <f>IF($B15=Analysis!$C$66,(AN15*(1+Analysis!$C$23+Analysis!$C$24+Analysis!$C$25))-IF($B15=$B$2,(Analysis!$C$6-Analysis!$C$7+Analysis!$C$68), ($CG14-Analysis!$C$7+AY15)),0)</f>
        <v>0</v>
      </c>
      <c r="AQ15" s="65">
        <f>IF($B15=Analysis!$C$66,NPER(AU15,-AX15,-AP15),0)</f>
        <v>0</v>
      </c>
      <c r="AR15" s="64">
        <f>IF($B15=Analysis!$C$66,Analysis!$C$73,0)</f>
        <v>0</v>
      </c>
      <c r="AS15" s="1">
        <f>IF($B15&lt;Analysis!$C$66,0,IF($B15=Analysis!$C$66,-AP15*AR15,IF(AX15&gt;=0,0,AX15-AV15)))</f>
        <v>-29411.039667946556</v>
      </c>
      <c r="AT15" s="1">
        <f>IF($B15&lt;Analysis!$C$66,0,IF($B15=Analysis!$C$66,-AP15-AS15,MIN(0,AT14-AS15)))</f>
        <v>-588330.07741457934</v>
      </c>
      <c r="AU15" s="64">
        <f>IF($B15&lt;Analysis!$C$66,0,IF($B15=Analysis!$C$66,Analysis!$C$72,IF(($B15-Analysis!$C$66)&lt;LOOKUP(Analysis!$C$66,$B:$B,AQ:AQ),AU14,0)))</f>
        <v>3.6999999999999998E-2</v>
      </c>
      <c r="AV15" s="1">
        <f>IF($B15&lt;Analysis!$C$66,0,IF($B15=Analysis!$C$66,-AU15*AP15,AU14*AT14))</f>
        <v>-22856.421332053455</v>
      </c>
      <c r="AW15" s="1">
        <f>IF($B15&lt;Analysis!$C$66,0,IF($B15=Analysis!$C$66,PMT(AU15,AQ15,AP15)*AQ15-AX15-AT15,IF(($B15-Analysis!$C$66+1)&lt;LOOKUP(Analysis!$C$66,$B:$B,AQ:AQ),IF(AW14-AV15&lt;0, AW14-AV15,0),0)))</f>
        <v>-186608.59337572931</v>
      </c>
      <c r="AX15" s="1">
        <f>IF($B15&lt;Analysis!$C$66,0,IF($B15=Analysis!$C$66,AS15+AV15,IF(AT14&lt;0,IF(AT14&gt;LOOKUP(Analysis!$C$66,$B:$B,AX:AX), AT14*(1+AU14),AX14),0)))</f>
        <v>-52267.46100000001</v>
      </c>
      <c r="AY15" s="1">
        <f>IF($B15=Analysis!$C$66,Analysis!$C$68,0)</f>
        <v>0</v>
      </c>
      <c r="AZ15" s="1">
        <f>IF($B15=Analysis!$C$66,PMT(AU15,BA15,AY15)*BA15,0)</f>
        <v>0</v>
      </c>
      <c r="BA15" s="7">
        <f>IF($B15=Analysis!$C$66,Analysis!$C$70,0)</f>
        <v>0</v>
      </c>
      <c r="BB15" s="1">
        <f>IF($B15&lt;Analysis!$C$66,0,IF($B15=Analysis!$C$66,AZ15/BA15,IF(($B15-Analysis!$C$66)&lt;LOOKUP(Analysis!$C$66,$B:$B,BA:BA),BB14,0)))</f>
        <v>0</v>
      </c>
      <c r="BC15" s="1">
        <f>IF($B15&lt;Analysis!$C$66,0,IF($B15=Analysis!$C$66,BA15*BB15-BB15,IF(($B15-Analysis!$C$66)&lt;Analysis!$C$70,BC14-BB15,0)))</f>
        <v>0</v>
      </c>
      <c r="BD15" s="42"/>
      <c r="BE15" s="1">
        <f>IF($B15&lt;Analysis!$C$66,0,-BF15*AN15)</f>
        <v>-3891.9738748068125</v>
      </c>
      <c r="BF15" s="64">
        <f>IF($B15&lt;Analysis!$C$66,0,Analysis!$C$78)</f>
        <v>3.0000000000000001E-3</v>
      </c>
      <c r="BG15" s="1">
        <f>IF($B15&lt;Analysis!$C$66,0,-BH15*AN15)</f>
        <v>-9729.9346870170302</v>
      </c>
      <c r="BH15" s="64">
        <f>IF($B15&lt;Analysis!$C$66,0,Analysis!$C$79)</f>
        <v>7.4999999999999997E-3</v>
      </c>
      <c r="BI15" s="1">
        <f>IF($B15&lt;Analysis!$C$66,0,MIN(Analysis!$C$80*12,SUM(BJ15:BN15)))</f>
        <v>-3960</v>
      </c>
      <c r="BJ15" s="1">
        <f>IF($B15&lt;Analysis!$C$66,0,Analysis!$C$81*12)</f>
        <v>-900</v>
      </c>
      <c r="BK15" s="1">
        <f>IF($B15&lt;Analysis!$C$66,0,Analysis!$C$82*12)</f>
        <v>-1500</v>
      </c>
      <c r="BL15" s="1">
        <f>IF($B15&lt;Analysis!$C$66,0,Analysis!$C$83*12)</f>
        <v>-480</v>
      </c>
      <c r="BM15" s="1">
        <f>IF($B15&lt;Analysis!$C$66,0,Analysis!$C$84*12)</f>
        <v>-480</v>
      </c>
      <c r="BN15" s="1">
        <f>IF($B15&lt;Analysis!$C$66,0,Analysis!$C$85*12)</f>
        <v>-600</v>
      </c>
      <c r="BO15" s="1">
        <v>0</v>
      </c>
      <c r="BP15" s="1">
        <f>-BO15*Analysis!$C$28</f>
        <v>0</v>
      </c>
      <c r="BQ15" s="42"/>
      <c r="BR15" s="1">
        <f t="shared" si="22"/>
        <v>-165408.88967928954</v>
      </c>
      <c r="BS15" s="64">
        <f>IF($B15&lt;Analysis!C$66,0,Analysis!C$31)</f>
        <v>0.1275</v>
      </c>
      <c r="BT15" s="1">
        <f>IF($B15&lt;Analysis!$C$66,0,AN15+BR15)</f>
        <v>1131915.7352563147</v>
      </c>
      <c r="BU15" s="1">
        <f>IF($B15-Analysis!$C$66&gt;3,0,IF($AN15&gt;LOOKUP(Analysis!$C$66,$B:$B, AN:AN),$V15*(LOOKUP(Analysis!$C$66,$B:$B, AN:AN)-AN15),0))</f>
        <v>0</v>
      </c>
      <c r="BV15" s="1">
        <f t="shared" si="23"/>
        <v>1131915.7352563147</v>
      </c>
      <c r="BW15" s="42"/>
      <c r="BX15" s="1">
        <f>IF($B15&lt;Analysis!$C$66,$P15+$N15+$X15+$Z15,$P15+$N15+AS15+AV15+BB15+BE15+BG15+MAX(BI15,SUM(BJ15:BN15))+BP15)</f>
        <v>-135749.36956182387</v>
      </c>
      <c r="BY15" s="1">
        <f t="shared" si="24"/>
        <v>122202.60704980526</v>
      </c>
      <c r="BZ15" s="1">
        <f t="shared" si="46"/>
        <v>-13546.762512018613</v>
      </c>
      <c r="CA15" s="1">
        <f>IF(BZ15 &lt; 0,
    IF(CA14 + BZ15 &gt; 0,
        CA14 + BZ15, IF(CF14-ABS(CA14 + BZ15)*(1+$V15) &gt;= CA14 + BZ15,
        0, CA14 + BZ15)),
    MIN(CA14 + BZ15, Analysis!$C$7))+IF(CA14&lt;0, CA14*Analysis!$C$9,0)</f>
        <v>-580563.91480622452</v>
      </c>
      <c r="CB15" s="42"/>
      <c r="CC15" s="1">
        <f t="shared" si="47"/>
        <v>0</v>
      </c>
      <c r="CD15" s="1">
        <f>IF(BZ15 &gt;= 0,
    MAX(0, CA14 + BZ15 - Analysis!$C$7),
    0)</f>
        <v>0</v>
      </c>
      <c r="CE15" s="1">
        <f>IF($B15=Analysis!$C$66,0,MAX(0, CE14 + CD15 - IF(BZ15 &lt; 0, MIN(ABS(BZ15), CE14 + CD15), 0)))</f>
        <v>0</v>
      </c>
      <c r="CF15" s="1">
        <f>IF($B15=Analysis!$C$66,0,IF(BZ15 &lt; 0,
    IF(BZ15 + CA14 &lt; 0,
        MAX(0, CF14 - (ABS(BZ15 + CA14) * (1+$V14))),
        CF14 + CC15),
    CF14 + CD15 + CC15))</f>
        <v>0</v>
      </c>
      <c r="CG15" s="1">
        <f t="shared" si="25"/>
        <v>0</v>
      </c>
      <c r="CH15" s="36"/>
      <c r="CI15" s="1">
        <f>IF(OR($B15&lt;Analysis!$C$100, $B15&gt;=Analysis!$C$130),0,X15)</f>
        <v>-23089.462987617946</v>
      </c>
      <c r="CJ15" s="1">
        <f>IF(OR($B15&lt;Analysis!$C$100, $B15&gt;=Analysis!$C$130),0,Z15)</f>
        <v>-3960</v>
      </c>
      <c r="CK15" s="1">
        <f t="shared" si="26"/>
        <v>757404.35406352789</v>
      </c>
      <c r="CL15" s="64">
        <f t="shared" si="48"/>
        <v>2.941176470588247E-2</v>
      </c>
      <c r="CM15" s="1">
        <f>IF($B15=Analysis!$C$100,(CK15*(1+Analysis!$C$23+Analysis!$C$24+Analysis!$C$25))-IF($B15=$B$2,(Analysis!$C$6-Analysis!$C$7+Analysis!$C$105), (FU14-Analysis!$C$7+CV15)),0)</f>
        <v>0</v>
      </c>
      <c r="CN15" s="65">
        <f>IF($B15=Analysis!$C$100,NPER(CR15,-CU15,-CM15),0)</f>
        <v>0</v>
      </c>
      <c r="CO15" s="64">
        <f>IF($B15=Analysis!$C$100,Analysis!$C$103,0)</f>
        <v>0</v>
      </c>
      <c r="CP15" s="1">
        <f>IF(OR($B15&lt;Analysis!$C$100, $B15&gt;=Analysis!$C$101),0,IF($B15=Analysis!$C$100,-CM15*CO15,IF(CU15&gt;=0,0,CU15-CS15)))</f>
        <v>-16156.268335455447</v>
      </c>
      <c r="CQ15" s="1">
        <f>IF(OR($B15&lt;Analysis!$C$100, $B15&gt;=Analysis!$C$101),0,IF($B15=Analysis!$C$100,-CM15-CP15,MIN(0,CQ14-CP15)))</f>
        <v>-323185.39935493795</v>
      </c>
      <c r="CR15" s="64">
        <f>IF(OR($B15&lt;Analysis!$C$100, $B15&gt;=Analysis!$C$101),0,IF($B15=Analysis!$C$100,Analysis!$C$102,IF(($B15-Analysis!$C$100)&lt;LOOKUP(Analysis!$C$100,$B:$B,CN:CN),CR14,0)))</f>
        <v>3.6999999999999998E-2</v>
      </c>
      <c r="CS15" s="1">
        <f>IF(OR($B15&lt;Analysis!$C$100, $B15&gt;=Analysis!$C$101),0,IF($B15=Analysis!$C$100,-CR15*CM15,CR14*CQ14))</f>
        <v>-12555.641704544556</v>
      </c>
      <c r="CT15" s="1">
        <f>IF(OR($B15&lt;Analysis!$C$100, $B15&gt;=Analysis!$C$101),0,IF($B15=Analysis!$C$100,PMT(CR15,CN15,CM15)*CN15-CU15-CQ15,IF(($B15-Analysis!$C$100+1)&lt;LOOKUP(Analysis!$C$100,$B:$B,CN:CN),IF(CT14-CS15&lt;0, CT14-CS15,0),0)))</f>
        <v>-102509.07626247396</v>
      </c>
      <c r="CU15" s="1">
        <f>IF(OR($B15&lt;Analysis!$C$100, $B15&gt;=Analysis!$C$101),0,IF($B15=Analysis!$C$100,CP15+CS15,IF(CQ14&lt;0,IF(CQ14&gt;LOOKUP(Analysis!$C$100,$B:$B,CU:CU), CQ14*(1+CR14),CU14),0)))</f>
        <v>-28711.910040000002</v>
      </c>
      <c r="CV15" s="1">
        <f>IF($B15=Analysis!$C$100,Analysis!$C$105,0)</f>
        <v>0</v>
      </c>
      <c r="CW15" s="1">
        <f>IF($B15=Analysis!$C$100,PMT(CR15,CX15,CV15)*CX15,0)</f>
        <v>0</v>
      </c>
      <c r="CX15" s="7">
        <f>IF($B15=Analysis!$C$100,Analysis!$C$107,0)</f>
        <v>0</v>
      </c>
      <c r="CY15" s="1">
        <f>IF(OR($B15&lt;Analysis!$C$100, $B15&gt;=Analysis!$C$101),0,IF($B15=Analysis!$C$100,CW15/CX15,IF(($B15-Analysis!$C$100)&lt;LOOKUP(Analysis!$C$100,$B:$B,CX:CX),CY14,0)))</f>
        <v>0</v>
      </c>
      <c r="CZ15" s="1">
        <f>IF(OR($B15&lt;Analysis!$C$100, $B15&gt;=Analysis!$C$101),0,IF($B15=Analysis!$C$100,CX15*CY15-CY15,IF(($B15-Analysis!$C$100)&lt;Analysis!$C$107,CZ14-CY15,0)))</f>
        <v>0</v>
      </c>
      <c r="DA15" s="53"/>
      <c r="DB15" s="1">
        <f>IF(OR($B15&lt;Analysis!$C$100, $B15&gt;=Analysis!$C$101),0,IF($B15=2025,(Analysis!$C$109*12),IF($B15=Analysis!$C$100,(Analysis!$C$109*12)*(1+DC15)^($B15-$B$2),DB14*(1+DC15))))</f>
        <v>20203.280114165707</v>
      </c>
      <c r="DC15" s="64">
        <f>IF(OR($B15&lt;Analysis!$C$100, $B15&gt;=Analysis!$C$101),0,((1+Analysis!$C$114)/(1+$S15))-1)</f>
        <v>2.941176470588247E-2</v>
      </c>
      <c r="DD15" s="1">
        <f t="shared" si="6"/>
        <v>26435.493176356293</v>
      </c>
      <c r="DE15" s="1">
        <f t="shared" si="27"/>
        <v>-2272.2130621905835</v>
      </c>
      <c r="DF15" s="64">
        <f>IF(OR($B15&lt;Analysis!$C$100, $B15&gt;=Analysis!$C$101),0,Analysis!$C$118)</f>
        <v>3.0000000000000001E-3</v>
      </c>
      <c r="DG15" s="1">
        <f t="shared" si="28"/>
        <v>-5680.5326554764588</v>
      </c>
      <c r="DH15" s="64">
        <f>IF(OR($B15&lt;Analysis!$C$100, $B15&gt;=Analysis!$C$101),0,Analysis!$C$119)</f>
        <v>7.4999999999999997E-3</v>
      </c>
      <c r="DI15" s="1">
        <f>IF(OR($B15&lt;Analysis!$C$100, $B15&gt;=Analysis!$C$101),0,MIN(Analysis!$C$120*12,SUM(DJ15:DN15)))</f>
        <v>-3960</v>
      </c>
      <c r="DJ15" s="1">
        <f>IF(OR($B15&lt;Analysis!$C$100, $B15&gt;=Analysis!$C$101),0,Analysis!$C$121*12)</f>
        <v>-900</v>
      </c>
      <c r="DK15" s="1">
        <f>IF(OR($B15&lt;Analysis!$C$100, $B15&gt;=Analysis!$C$101),0,Analysis!$C$122*12)</f>
        <v>-1500</v>
      </c>
      <c r="DL15" s="1">
        <f>IF(OR($B15&lt;Analysis!$C$100, $B15&gt;=Analysis!$C$101),0,Analysis!$C$123*12)</f>
        <v>-480</v>
      </c>
      <c r="DM15" s="1">
        <f>IF(OR($B15&lt;Analysis!$C$100, $B15&gt;=Analysis!$C$101),0,Analysis!$C$124*12)</f>
        <v>-480</v>
      </c>
      <c r="DN15" s="1">
        <f>IF(OR($B15&lt;Analysis!$C$100, $B15&gt;=Analysis!$C$101),0,Analysis!$C$125*12)</f>
        <v>-600</v>
      </c>
      <c r="DO15" s="64">
        <f>IF(OR($B15&lt;Analysis!$C$100, $B15&gt;=Analysis!$C$101),0,Analysis!$C$113)</f>
        <v>0.02</v>
      </c>
      <c r="DP15" s="1">
        <f>-DO15*LOOKUP(Analysis!$C$100,$B:$B,CK:CK)</f>
        <v>-10392</v>
      </c>
      <c r="DQ15" s="1">
        <f>-Analysis!$C$117*DB15</f>
        <v>-1515.246008562428</v>
      </c>
      <c r="DR15" s="1">
        <f t="shared" si="29"/>
        <v>-23819.991726229469</v>
      </c>
      <c r="DS15" s="1">
        <f>MIN(0,-(DB15+DR15)*Analysis!$C$28)-CS15*Analysis!$C$28</f>
        <v>5563.4048392836921</v>
      </c>
      <c r="DT15" s="1">
        <f>-Analysis!$C$116*DD15/12</f>
        <v>-2202.9577646963576</v>
      </c>
      <c r="DU15" s="53"/>
      <c r="DV15" s="1">
        <f t="shared" si="30"/>
        <v>-96569.055143099802</v>
      </c>
      <c r="DW15" s="64">
        <f>IF(OR($B15&lt;Analysis!$C$100, $B15&gt;=Analysis!$C$101),0,IF($B15=Analysis!$C$100,Analysis!$C$31,DW14))</f>
        <v>0.1275</v>
      </c>
      <c r="DX15" s="1">
        <f>IF(OR($B15&lt;Analysis!$C$100, $B15&gt;=Analysis!$C$101),0,CK15+DV15)</f>
        <v>660835.29892042815</v>
      </c>
      <c r="DY15" s="1">
        <f>IF(OR($B15&lt;Analysis!$C$100, $B15&gt;=Analysis!$C$101),0,IF($B15-Analysis!$C$100&gt;3,0,IF(CK15&gt;LOOKUP(Analysis!$C$100,$B:$B, CK:CK),$V15*(LOOKUP(Analysis!$C$100,$B:$B, CK:CK)-CK15),0)))</f>
        <v>0</v>
      </c>
      <c r="DZ15" s="1">
        <f t="shared" si="49"/>
        <v>660835.29892042815</v>
      </c>
      <c r="EA15" s="53"/>
      <c r="EB15" s="1">
        <f t="shared" si="31"/>
        <v>1005791.0013545698</v>
      </c>
      <c r="EC15" s="64">
        <f t="shared" si="50"/>
        <v>2.941176470588247E-2</v>
      </c>
      <c r="ED15" s="1">
        <f>MAX(0,IF($B15=Analysis!$C$130,(EB15*(1+Analysis!$C$23+Analysis!$C$24+Analysis!$C$25))-(IF($B15=$B$2,(Analysis!$C$6-Analysis!$C$7+Analysis!$C$132), (FU14-Analysis!$C$7+EM15)) + IF($B15=Analysis!$C$101,DZ14+CQ14+CT14+CZ14,0)),0))</f>
        <v>0</v>
      </c>
      <c r="EE15" s="65">
        <f>IF($B15=Analysis!$C$130,IF(ED15&gt;0,NPER(EI15,-EL15,-ED15),0),0)</f>
        <v>0</v>
      </c>
      <c r="EF15" s="64">
        <f>IF($B15=Analysis!$C$130,Analysis!$C$137,0)</f>
        <v>0</v>
      </c>
      <c r="EG15" s="1">
        <f>IF($B15&lt;Analysis!$C$130,0,IF($B15=Analysis!$C$130,-ED15*EF15,IF(EL15&gt;=0,0,EL15-EJ15)))</f>
        <v>0</v>
      </c>
      <c r="EH15" s="1">
        <f>IF($B15&lt;Analysis!$C$130,0,IF($B15=Analysis!$C$130,-ED15-EG15,MIN(0,EH14-EG15)))</f>
        <v>0</v>
      </c>
      <c r="EI15" s="64">
        <f>IF($B15&lt;Analysis!$C$130,0,IF($B15=Analysis!$C$130,Analysis!$C$136,IF(($B15-Analysis!$C$130)&lt;LOOKUP(Analysis!$C$130,$B:$B,EE:EE),EI14,0)))</f>
        <v>0</v>
      </c>
      <c r="EJ15" s="1">
        <f>IF($B15&lt;Analysis!$C$130,0,IF($B15=Analysis!$C$130,-EI15*ED15,EI14*EH14))</f>
        <v>0</v>
      </c>
      <c r="EK15" s="1">
        <f>IF(OR($B15&lt;Analysis!$C$130, ED15=0),0,IF($B15=Analysis!$C$130,PMT(EI15,EE15,ED15)*EE15-EL15-EH15,IF(($B15-Analysis!$C$130+1)&lt;LOOKUP(Analysis!$C$130,$B:$B,EE:EE),IF(EK14-EJ15&lt;0, EK14-EJ15,0),0)))</f>
        <v>0</v>
      </c>
      <c r="EL15" s="1">
        <f>IF($B15&lt;Analysis!$C$130,0,IF($B15=Analysis!$C$130,EG15+EJ15,IF(EH14&lt;0,IF(EH14&gt;LOOKUP(Analysis!$C$130,$B:$B,EL:EL), EH14*(1+EI14),EL14),0)))</f>
        <v>0</v>
      </c>
      <c r="EM15" s="1">
        <f>IF($B15=Analysis!$C$130,Analysis!$C$132,0)</f>
        <v>0</v>
      </c>
      <c r="EN15" s="1">
        <f>IF($B15=Analysis!$C$130,PMT(EI15,EO15,EM15)*EO15,0)</f>
        <v>0</v>
      </c>
      <c r="EO15" s="7">
        <f>IF($B15=Analysis!$C$130,Analysis!$C$134,0)</f>
        <v>0</v>
      </c>
      <c r="EP15" s="1">
        <f>IF($B15&lt;Analysis!$C$130,0,IF($B15=Analysis!$C$130,EN15/EO15,IF(($B15-Analysis!$C$130)&lt;LOOKUP(Analysis!$C$130,$B:$B,EO:EO),EP14,0)))</f>
        <v>0</v>
      </c>
      <c r="EQ15" s="1">
        <f>IF($B15&lt;Analysis!$C$130,0,IF($B15=Analysis!$C$130,EO15*EP15-EP15,IF(($B15-Analysis!$C$130)&lt;Analysis!$C$134,EQ14-EP15,0)))</f>
        <v>0</v>
      </c>
      <c r="ER15" s="53"/>
      <c r="ES15" s="1">
        <f>IF($B15&lt;Analysis!$C$130,0,-ET15*EB15)</f>
        <v>0</v>
      </c>
      <c r="ET15" s="64">
        <f>IF($B15&lt;Analysis!$C$130,0,Analysis!$C$142)</f>
        <v>0</v>
      </c>
      <c r="EU15" s="1">
        <f>IF($B15&lt;Analysis!$C$130,0,-EV15*EB15)</f>
        <v>0</v>
      </c>
      <c r="EV15" s="64">
        <f>IF($B15&lt;Analysis!$C$130,0,Analysis!$C$143)</f>
        <v>0</v>
      </c>
      <c r="EW15" s="1">
        <f>IF($B15&lt;Analysis!$C$130,0,MIN(Analysis!$C$144*12,SUM(EX15:FB15)))</f>
        <v>0</v>
      </c>
      <c r="EX15" s="1">
        <f>IF($B15&lt;Analysis!$C$130,0,Analysis!$C$145*12)</f>
        <v>0</v>
      </c>
      <c r="EY15" s="1">
        <f>IF($B15&lt;Analysis!$C$130,0,Analysis!$C$146*12)</f>
        <v>0</v>
      </c>
      <c r="EZ15" s="1">
        <f>IF($B15&lt;Analysis!$C$130,0,Analysis!$C$147*12)</f>
        <v>0</v>
      </c>
      <c r="FA15" s="1">
        <f>IF($B15&lt;Analysis!$C$130,0,Analysis!$C$148*12)</f>
        <v>0</v>
      </c>
      <c r="FB15" s="1">
        <f>IF($B15&lt;Analysis!$C$130,0,Analysis!$C$149*12)</f>
        <v>0</v>
      </c>
      <c r="FC15" s="1">
        <v>0</v>
      </c>
      <c r="FD15" s="1">
        <f>-FC15*Analysis!$C$28</f>
        <v>0</v>
      </c>
      <c r="FE15" s="53"/>
      <c r="FF15" s="1">
        <f t="shared" si="32"/>
        <v>0</v>
      </c>
      <c r="FG15" s="64">
        <f>IF($B15&lt;Analysis!$C$130,0,Analysis!$C$31)</f>
        <v>0</v>
      </c>
      <c r="FH15" s="1">
        <f>IF($B15&lt;Analysis!$C$130,0,EB15+FF15)</f>
        <v>0</v>
      </c>
      <c r="FI15" s="1">
        <f>IF($B15-Analysis!$C$130&gt;3,0,IF(EB15&gt;LOOKUP(Analysis!$C$130,$B:$B, EB:EB),$V15*(LOOKUP(Analysis!$C$130,$B:$B, EB:EB)-EB15),0))</f>
        <v>0</v>
      </c>
      <c r="FJ15" s="1">
        <f t="shared" si="33"/>
        <v>0</v>
      </c>
      <c r="FK15" s="53"/>
      <c r="FL15" s="1">
        <f>$P15+$N15+IF($B15&lt;Analysis!$C$130,$X15+$Z15,0)+CP15+CS15+CY15+DE15+DG15+MIN(DI15,SUM(DJ15:DN15))+DQ15+DS15+DT15+EG15+EJ15+EP15+ES15+EU15+MIN(EW15,SUM(EX15:FB15))+FD15</f>
        <v>-131728.91767926005</v>
      </c>
      <c r="FM15" s="1">
        <f>$M15+$R15+DD15+IF(AND($B15&lt;&gt;Analysis!$C$130,$B15=Analysis!$C$101),DZ14+CQ14+CT14+CZ14,0)</f>
        <v>148638.10022616154</v>
      </c>
      <c r="FN15" s="1">
        <f t="shared" si="34"/>
        <v>16909.182546901488</v>
      </c>
      <c r="FO15" s="1">
        <f>IF(FN15 &lt; 0,
    IF(FO14 + FN15 &gt; 0,
        FO14 + FN15, IF(FT14-ABS(FO14 + FN15)*(1+$V15) &gt;= FO14 + FN15,
        0, FO14 + FN15)),
    MIN(FO14 + FN15, Analysis!$C$7))+IF(FO14&lt;0, FO14*Analysis!$C$9,0)</f>
        <v>24000</v>
      </c>
      <c r="FP15" s="53"/>
      <c r="FQ15" s="1">
        <f t="shared" si="51"/>
        <v>6252.7191741978941</v>
      </c>
      <c r="FR15" s="1">
        <f>IF(OR($B15=Analysis!$C$100, $B15=Analysis!$C$130),0,IF(FN15 &gt;= 0,
    MAX(0, FO14 + FN15 - Analysis!$C$7),
    0))</f>
        <v>16909.182546901488</v>
      </c>
      <c r="FS15" s="1">
        <f>IF(OR($B15=Analysis!$C$100, $B15=Analysis!$C$130),0,MAX(0, FS14 + FR15 - IF(FN15 &lt; 0, MIN(ABS(FN15), FS14 + FR15), 0)))</f>
        <v>114891.92648347093</v>
      </c>
      <c r="FT15" s="1">
        <f>IF(OR($B15=Analysis!$C$100, $B15=Analysis!$C$130),0,IF(FN15 &lt; 0,
    IF(FN15 + FO14 &lt; 0,
        MAX(0, FT14 - (ABS(FN15 + FO14) * (1+$V14))),
        FT14 + FQ15),
    FT14 + FR15 + FQ15))</f>
        <v>134527.93371015548</v>
      </c>
      <c r="FU15" s="1">
        <f t="shared" si="55"/>
        <v>129348.93680411743</v>
      </c>
      <c r="FV15" s="36"/>
      <c r="FW15" s="1">
        <f t="shared" si="52"/>
        <v>757404.35406352789</v>
      </c>
      <c r="FX15" s="64">
        <f t="shared" si="53"/>
        <v>2.941176470588247E-2</v>
      </c>
      <c r="FY15" s="1">
        <f>IF($B15=Analysis!$C$159,(FW15*(1+Analysis!$C$23+Analysis!$C$24+Analysis!$C$25))-IF($B15=$B$2,(Analysis!$C$6-Analysis!$C$7+Analysis!$C$165), (HW14-Analysis!$C$7+GH15)),0)</f>
        <v>0</v>
      </c>
      <c r="FZ15" s="65">
        <f>IF($B15=Analysis!$C$159,NPER(GD15,-GG15,-FY15),0)</f>
        <v>0</v>
      </c>
      <c r="GA15" s="64">
        <f>IF($B15=Analysis!$C$159,Analysis!$C$161,0)</f>
        <v>0</v>
      </c>
      <c r="GB15" s="1">
        <f>IF($B15&lt;Analysis!$C$159,0,IF($B15=Analysis!$C$159,-FY15*GA15,IF(GG15&gt;=0,0,GG15-GE15)))</f>
        <v>-16156.268335455447</v>
      </c>
      <c r="GC15" s="1">
        <f>IF($B15&lt;Analysis!$C$159,0,IF($B15=Analysis!$C$159,-FY15-GB15,MIN(0,GC14-GB15)))</f>
        <v>-323185.39935493795</v>
      </c>
      <c r="GD15" s="64">
        <f>IF($B15&lt;Analysis!$C$159,0,IF($B15=Analysis!$C$159,Analysis!$C$160,IF(($B15-Analysis!$C$159)&lt;LOOKUP(Analysis!$C$159,$B:$B,FZ:FZ),GD14,0)))</f>
        <v>3.6999999999999998E-2</v>
      </c>
      <c r="GE15" s="1">
        <f>IF($B15&lt;Analysis!$C$159,0,IF($B15=Analysis!$C$159,-GD15*FY15,GD14*GC14))</f>
        <v>-12555.641704544556</v>
      </c>
      <c r="GF15" s="1">
        <f>IF($B15&lt;Analysis!$C$159,0,IF($B15=Analysis!$C$159,PMT(GD15,FZ15,FY15)*FZ15-GG15-GC15,IF(($B15-Analysis!$C$159+1)&lt;LOOKUP(Analysis!$C$159,$B:$B,FZ:FZ),IF(GF14-GE15&lt;0, GF14-GE15,0),0)))</f>
        <v>-102509.07626247396</v>
      </c>
      <c r="GG15" s="1">
        <f>IF($B15&lt;Analysis!$C$159,0,IF($B15=Analysis!$C$159,GB15+GE15,IF(GC14&lt;0,IF(GC14&gt;LOOKUP(Analysis!$C$159,$B:$B,GG:GG), GC14*(1+GD14),GG14),0)))</f>
        <v>-28711.910040000002</v>
      </c>
      <c r="GH15" s="1">
        <f>IF($B15=Analysis!$C$159,Analysis!$C$165,0)</f>
        <v>0</v>
      </c>
      <c r="GI15" s="1">
        <f>IF($B15=Analysis!$C$159,PMT(GD15,GJ15,GH15)*GJ15,0)</f>
        <v>0</v>
      </c>
      <c r="GJ15" s="7">
        <f>IF($B15=Analysis!$C$159,Analysis!$C$167,0)</f>
        <v>0</v>
      </c>
      <c r="GK15" s="1">
        <f>IF($B15&lt;Analysis!$C$159,0,IF($B15=Analysis!$C$159,GI15/GJ15,IF(($B15-Analysis!$C$159)&lt;LOOKUP(Analysis!$C$159,$B:$B,GJ:GJ),GK14,0)))</f>
        <v>0</v>
      </c>
      <c r="GL15" s="1">
        <f>IF($B15&lt;Analysis!$C$159,0,IF($B15=Analysis!$C$159,GJ15*GK15-GK15,IF(($B15-Analysis!$C$159)&lt;Analysis!$C$167,GL14-GK15,0)))</f>
        <v>0</v>
      </c>
      <c r="GM15" s="38"/>
      <c r="GN15" s="1">
        <f>IF($B15&lt;Analysis!$C$159,0,IF($B15=2025,(Analysis!$C$109*12),IF($B15=Analysis!$C$159,(Analysis!$C$109*12)*(1+GO15)^($B15-$B$2),GN14*(1+GO15))))</f>
        <v>20203.280114165707</v>
      </c>
      <c r="GO15" s="64">
        <f>IF($B15&lt;Analysis!$C$159,0,((1+Analysis!$C$174)/(1+$S15))-1)</f>
        <v>2.941176470588247E-2</v>
      </c>
      <c r="GP15" s="1">
        <f t="shared" si="7"/>
        <v>26435.493176356293</v>
      </c>
      <c r="GQ15" s="1">
        <f t="shared" si="36"/>
        <v>-2272.2130621905835</v>
      </c>
      <c r="GR15" s="64">
        <f>IF($B15&lt;Analysis!$C$159,0,Analysis!$C$178)</f>
        <v>3.0000000000000001E-3</v>
      </c>
      <c r="GS15" s="1">
        <f t="shared" si="37"/>
        <v>-5680.5326554764588</v>
      </c>
      <c r="GT15" s="64">
        <f>IF($B15&lt;Analysis!$C$159,0,Analysis!$C$179)</f>
        <v>7.4999999999999997E-3</v>
      </c>
      <c r="GU15" s="1">
        <f>IF($B15&lt;Analysis!$C$159,0,MIN(Analysis!$C$180*12,SUM(GV15:GZ15)))</f>
        <v>-3960</v>
      </c>
      <c r="GV15" s="1">
        <f>IF($B15&lt;Analysis!$C$159,0,Analysis!$C$181*12)</f>
        <v>-900</v>
      </c>
      <c r="GW15" s="1">
        <f>IF($B15&lt;Analysis!$C$159,0,Analysis!$C$182*12)</f>
        <v>-1500</v>
      </c>
      <c r="GX15" s="1">
        <f>IF($B15&lt;Analysis!$C$159,0,Analysis!$C$183*12)</f>
        <v>-480</v>
      </c>
      <c r="GY15" s="1">
        <f>IF($B15&lt;Analysis!$C$159,0,Analysis!$C$184*12)</f>
        <v>-480</v>
      </c>
      <c r="GZ15" s="1">
        <f>IF($B15&lt;Analysis!$C$159,0,Analysis!$C$185*12)</f>
        <v>-600</v>
      </c>
      <c r="HA15" s="64">
        <f>IF($B15&lt;Analysis!$C$159,0,Analysis!$C$173)</f>
        <v>0.02</v>
      </c>
      <c r="HB15" s="1">
        <f>-HA15*LOOKUP(Analysis!$C$159,$B:$B,FW:FW)</f>
        <v>-10392</v>
      </c>
      <c r="HC15" s="1">
        <f>-Analysis!$C$177*GN15</f>
        <v>-1515.246008562428</v>
      </c>
      <c r="HD15" s="1">
        <f t="shared" si="38"/>
        <v>-23819.991726229469</v>
      </c>
      <c r="HE15" s="1">
        <f>MIN(0,-(GN15+HD15)*Analysis!$C$28)-GE15*Analysis!$C$28</f>
        <v>5563.4048392836921</v>
      </c>
      <c r="HF15" s="1">
        <f>-Analysis!$C$176*GP15/12</f>
        <v>-2202.9577646963576</v>
      </c>
      <c r="HG15" s="38"/>
      <c r="HH15" s="1">
        <f>IF($B15&lt;Analysis!$C$159,0,-$HI15*$FW15)</f>
        <v>-96569.055143099802</v>
      </c>
      <c r="HI15" s="64">
        <f>IF($B15&lt;Analysis!$C$159,0,IF($B15=Analysis!$C$159,Analysis!$C$31,HI14))</f>
        <v>0.1275</v>
      </c>
      <c r="HJ15" s="1">
        <f>IF($B15&lt;Analysis!$C$159,0,$FW15+HH15)</f>
        <v>660835.29892042815</v>
      </c>
      <c r="HK15" s="1">
        <f>IF($B15-Analysis!$C$159&gt;10,0,IF($FW15&gt;LOOKUP(Analysis!$C$159,$B:$B, FW:FW),$V15*(LOOKUP(Analysis!$C$159,$B:$B, FW:FW)-FW15),0))</f>
        <v>0</v>
      </c>
      <c r="HL15" s="1">
        <f t="shared" si="39"/>
        <v>660835.29892042815</v>
      </c>
      <c r="HM15" s="38"/>
      <c r="HN15" s="1">
        <f t="shared" si="40"/>
        <v>-131728.91767926005</v>
      </c>
      <c r="HO15" s="1">
        <f t="shared" si="8"/>
        <v>148638.10022616154</v>
      </c>
      <c r="HP15" s="1">
        <f t="shared" si="41"/>
        <v>16909.182546901488</v>
      </c>
      <c r="HQ15" s="1">
        <f>IF(HP15 &lt; 0,
    IF(HQ14 + HP15 &gt; 0,
        HQ14 + HP15, IF(HV14-ABS(HQ14 + HP15)*(1+$V15) &gt;= HQ14 + HP15,
        0, HQ14 + HP15)),
    MIN(HQ14 + HP15, Analysis!$C$7))+IF(HQ14&lt;0, HQ14*Analysis!$C$9,0)</f>
        <v>24000</v>
      </c>
      <c r="HR15" s="38"/>
      <c r="HS15" s="1">
        <f t="shared" si="54"/>
        <v>6252.7191741978941</v>
      </c>
      <c r="HT15" s="1">
        <f>IF($B15=Analysis!$C$159,0,IF(HP15 &gt;= 0,
    MAX(0, HQ14 + HP15 - Analysis!$C$7),
    0))</f>
        <v>16909.182546901488</v>
      </c>
      <c r="HU15" s="1">
        <f>IF($B15=Analysis!$C$159,0,MAX(0, HU14 + HT15 - IF(HP15 &lt; 0, MIN(ABS(HP15), HU14 + HT15), 0)))</f>
        <v>114891.92648347093</v>
      </c>
      <c r="HV15" s="1">
        <f>IF($B15=Analysis!$C$159,0,IF(HP15 &lt; 0,
    IF(HP15 + HQ14 &lt; 0,
        MAX(0, HV14 - (ABS(HP15 + HQ14) * (1+$V14))),
        HV14 + HS15),
    HV14 + HT15 + HS15))</f>
        <v>134527.93371015548</v>
      </c>
      <c r="HW15" s="1">
        <f t="shared" si="56"/>
        <v>129348.93680411743</v>
      </c>
      <c r="HX15" s="36"/>
    </row>
    <row r="16" spans="1:232" x14ac:dyDescent="0.35">
      <c r="A16">
        <f t="shared" si="0"/>
        <v>49</v>
      </c>
      <c r="B16">
        <v>2039</v>
      </c>
      <c r="C16" s="1">
        <f>IF($B16&lt;Analysis!C$66,0,$AN16)+$AT16+$AW16+$BC16+$CF16+$CA16</f>
        <v>-26648.832142410218</v>
      </c>
      <c r="D16" s="1">
        <f>IF($B16&lt;Analysis!C$66, 0, BV16)+AT16+AW16+BC16+CG16+CA16</f>
        <v>-196922.68916520831</v>
      </c>
      <c r="E16" s="1">
        <f t="shared" si="1"/>
        <v>650757.84191216214</v>
      </c>
      <c r="F16" s="1">
        <f t="shared" si="9"/>
        <v>593548.54533855396</v>
      </c>
      <c r="G16" s="1">
        <f>IF(AND($B16&gt;=Analysis!$C$100, $B16&lt;Analysis!$C$101),$CK16,0)+IF($B16&gt;=Analysis!$C$130,EB16,0)+CQ16+CT16+CZ16+EH16+EK16+EQ16+$FO16+$FT16</f>
        <v>566339.13199280226</v>
      </c>
      <c r="H16" s="1">
        <f t="shared" si="10"/>
        <v>459819.49367034639</v>
      </c>
      <c r="I16" s="1">
        <f>IF($B16&lt;Analysis!$C$159,0,$FW16)+$GC16+$GF16+$GL16+$HQ16+$HV16</f>
        <v>566339.13199280226</v>
      </c>
      <c r="J16" s="1">
        <f t="shared" si="2"/>
        <v>459819.49367034639</v>
      </c>
      <c r="K16" s="36"/>
      <c r="L16" s="1">
        <f t="shared" si="11"/>
        <v>123700.18801855287</v>
      </c>
      <c r="M16" s="1">
        <f>IF($B16=Analysis!$C$47, M15 * (1 - Analysis!$C$48),
    IF($B16=Analysis!$C$52, M15 * (1 - Analysis!$C$53),
    IF($B16=Analysis!$C$58, M15 * (1 - Analysis!$C$60),
    L16)))</f>
        <v>123700.18801855287</v>
      </c>
      <c r="N16" s="1">
        <f>Analysis!$C$3*12*(1+O16)+P16</f>
        <v>-56950</v>
      </c>
      <c r="O16" s="64">
        <f>IF(OR($B16=Analysis!$C$47,$B16=Analysis!$C$52,$B16=Analysis!$C$58),-Analysis!$C$49,0)</f>
        <v>0</v>
      </c>
      <c r="P16" s="1">
        <f>IF($B16&lt;Analysis!$C$47,0,IF($B16-Analysis!$C$47&lt;=3,Analysis!$C$40+Analysis!$C$44,IF($B16-Analysis!$C$47&lt;=10,Analysis!$C$41+Analysis!$C$44,IF($B16-Analysis!$C$47&lt;=18,Analysis!$C$42+Analysis!$C$44,IF($B16-Analysis!$C$47&lt;=25,Analysis!$C$43+Analysis!$C$44,0)))) + IF(AND($B16&gt;=Analysis!$C$52, $B16-Analysis!$C$52&lt;=3),Analysis!$C$40+Analysis!$C$44,IF(AND($B16&gt;=Analysis!$C$52, $B16-Analysis!$C$52&lt;=10),Analysis!$C$41+Analysis!$C$44,IF(AND($B16&gt;=Analysis!$C$52, $B16-Analysis!$C$52&lt;=18),Analysis!$C$42+Analysis!$C$44,IF(AND($B16&gt;=Analysis!$C$52, $B16-Analysis!$C$52&lt;=25),Analysis!$C$43+Analysis!$C$44,0)))) + Analysis!$C$57*IF(AND($B16&gt;=Analysis!$C$58, $B16-Analysis!$C$58&lt;=3),Analysis!$C$40+Analysis!$C$44,IF(AND($B16&gt;=Analysis!$C$58, $B16-Analysis!$C$58&lt;=10),Analysis!$C$41+Analysis!$C$44,IF(AND($B16&gt;=Analysis!$C$58, $B16-Analysis!$C$58&lt;=18),Analysis!$C$42+Analysis!$C$44,IF(AND($B16&gt;=Analysis!$C$58, $B16-Analysis!$C$58&lt;=25),Analysis!$C$43+Analysis!$C$44,0)))))</f>
        <v>-8950</v>
      </c>
      <c r="Q16" s="1">
        <f t="shared" si="43"/>
        <v>0</v>
      </c>
      <c r="R16" s="1">
        <f>IF(AND(AND(B16=Analysis!C$35,Analysis!C$34&lt;&gt;0),AND(B16=Analysis!C$37,Analysis!C$36&lt;&gt;0)),Analysis!C$34+Analysis!C$36,IF(AND(B16=Analysis!C$35,Analysis!C$34&lt;&gt;0),Analysis!C$34,IF(AND(B16=Analysis!C$37,Analysis!C$36&lt;&gt;0),Analysis!C$36,0)))</f>
        <v>0</v>
      </c>
      <c r="S16" s="64">
        <f t="shared" si="12"/>
        <v>0.02</v>
      </c>
      <c r="T16" s="64">
        <f>IF($B16&lt;Analysis!$C$13, ((1+IF($B16-$B$2&lt;10,Analysis!$C$11,IF($B16-$B$2&lt;20,(Analysis!$C$11+Analysis!$C$12)/2,Analysis!$C$12)))/(1+$S16)-1),IF($B16=Analysis!$C$13,-Analysis!$C$14,-$S16))</f>
        <v>1.225490196078427E-2</v>
      </c>
      <c r="U16" s="64">
        <f>IF($B16=$B$2,((1+Analysis!$C$16)/(1+$S16))-1,IF(B16&lt;Analysis!$C$13,U15-((Analysis!$C$16-Analysis!$C$17)/(Analysis!$C$13-$B$2)),((1+Analysis!$C$17)/(1+$S15))-1))</f>
        <v>5.4431372549019801E-2</v>
      </c>
      <c r="V16" s="64">
        <f t="shared" si="13"/>
        <v>0.26374999999999998</v>
      </c>
      <c r="W16" s="36"/>
      <c r="X16" s="1">
        <f t="shared" si="14"/>
        <v>-23768.564840194947</v>
      </c>
      <c r="Y16" s="64">
        <f t="shared" si="15"/>
        <v>2.941176470588247E-2</v>
      </c>
      <c r="Z16" s="1">
        <f t="shared" si="16"/>
        <v>-3960</v>
      </c>
      <c r="AA16" s="64">
        <f t="shared" si="17"/>
        <v>0</v>
      </c>
      <c r="AB16" s="40"/>
      <c r="AC16" s="1">
        <f t="shared" si="3"/>
        <v>-93628.564840194944</v>
      </c>
      <c r="AD16" s="1">
        <f t="shared" si="4"/>
        <v>123700.18801855287</v>
      </c>
      <c r="AE16" s="1">
        <f t="shared" si="18"/>
        <v>30071.623178357928</v>
      </c>
      <c r="AF16" s="1">
        <f>IF(AE16 &lt; 0,
    IF(AF15 + AE16 &gt; 0,
        AF15 + AE16, IF(AK15-ABS(AF15 + AE16)*(1+$V16) &gt;= AF15 + AE16,
        0, AF15 + AE16)),
    MIN(AF15 + AE16, Analysis!$C$7))+IF(AF15&lt;0, AF15*Analysis!$C$9,0)</f>
        <v>24000</v>
      </c>
      <c r="AG16" s="40"/>
      <c r="AH16" s="1">
        <f t="shared" si="19"/>
        <v>30801.862228597252</v>
      </c>
      <c r="AI16" s="1">
        <f>IF(AE16 &gt;= 0,
    MAX(0, AF15 + AE16 - Analysis!$C$7),
    0)</f>
        <v>30071.623178357928</v>
      </c>
      <c r="AJ16" s="1">
        <f t="shared" si="44"/>
        <v>409850.55632502213</v>
      </c>
      <c r="AK16" s="1">
        <f t="shared" si="20"/>
        <v>626757.84191216214</v>
      </c>
      <c r="AL16" s="1">
        <f t="shared" si="5"/>
        <v>569548.54533855396</v>
      </c>
      <c r="AM16" s="36"/>
      <c r="AN16" s="1">
        <f t="shared" si="45"/>
        <v>1335481.2315513573</v>
      </c>
      <c r="AO16" s="64">
        <f t="shared" si="21"/>
        <v>2.941176470588247E-2</v>
      </c>
      <c r="AP16" s="1">
        <f>IF($B16=Analysis!$C$66,(AN16*(1+Analysis!$C$23+Analysis!$C$24+Analysis!$C$25))-IF($B16=$B$2,(Analysis!$C$6-Analysis!$C$7+Analysis!$C$68), ($CG15-Analysis!$C$7+AY16)),0)</f>
        <v>0</v>
      </c>
      <c r="AQ16" s="65">
        <f>IF($B16=Analysis!$C$66,NPER(AU16,-AX16,-AP16),0)</f>
        <v>0</v>
      </c>
      <c r="AR16" s="64">
        <f>IF($B16=Analysis!$C$66,Analysis!$C$73,0)</f>
        <v>0</v>
      </c>
      <c r="AS16" s="1">
        <f>IF($B16&lt;Analysis!$C$66,0,IF($B16=Analysis!$C$66,-AP16*AR16,IF(AX16&gt;=0,0,AX16-AV16)))</f>
        <v>-30499.248135660575</v>
      </c>
      <c r="AT16" s="1">
        <f>IF($B16&lt;Analysis!$C$66,0,IF($B16=Analysis!$C$66,-AP16-AS16,MIN(0,AT15-AS16)))</f>
        <v>-557830.8292789188</v>
      </c>
      <c r="AU16" s="64">
        <f>IF($B16&lt;Analysis!$C$66,0,IF($B16=Analysis!$C$66,Analysis!$C$72,IF(($B16-Analysis!$C$66)&lt;LOOKUP(Analysis!$C$66,$B:$B,AQ:AQ),AU15,0)))</f>
        <v>3.6999999999999998E-2</v>
      </c>
      <c r="AV16" s="1">
        <f>IF($B16&lt;Analysis!$C$66,0,IF($B16=Analysis!$C$66,-AU16*AP16,AU15*AT15))</f>
        <v>-21768.212864339435</v>
      </c>
      <c r="AW16" s="1">
        <f>IF($B16&lt;Analysis!$C$66,0,IF($B16=Analysis!$C$66,PMT(AU16,AQ16,AP16)*AQ16-AX16-AT16,IF(($B16-Analysis!$C$66+1)&lt;LOOKUP(Analysis!$C$66,$B:$B,AQ:AQ),IF(AW15-AV16&lt;0, AW15-AV16,0),0)))</f>
        <v>-164840.38051138987</v>
      </c>
      <c r="AX16" s="1">
        <f>IF($B16&lt;Analysis!$C$66,0,IF($B16=Analysis!$C$66,AS16+AV16,IF(AT15&lt;0,IF(AT15&gt;LOOKUP(Analysis!$C$66,$B:$B,AX:AX), AT15*(1+AU15),AX15),0)))</f>
        <v>-52267.46100000001</v>
      </c>
      <c r="AY16" s="1">
        <f>IF($B16=Analysis!$C$66,Analysis!$C$68,0)</f>
        <v>0</v>
      </c>
      <c r="AZ16" s="1">
        <f>IF($B16=Analysis!$C$66,PMT(AU16,BA16,AY16)*BA16,0)</f>
        <v>0</v>
      </c>
      <c r="BA16" s="7">
        <f>IF($B16=Analysis!$C$66,Analysis!$C$70,0)</f>
        <v>0</v>
      </c>
      <c r="BB16" s="1">
        <f>IF($B16&lt;Analysis!$C$66,0,IF($B16=Analysis!$C$66,AZ16/BA16,IF(($B16-Analysis!$C$66)&lt;LOOKUP(Analysis!$C$66,$B:$B,BA:BA),BB15,0)))</f>
        <v>0</v>
      </c>
      <c r="BC16" s="1">
        <f>IF($B16&lt;Analysis!$C$66,0,IF($B16=Analysis!$C$66,BA16*BB16-BB16,IF(($B16-Analysis!$C$66)&lt;Analysis!$C$70,BC15-BB16,0)))</f>
        <v>0</v>
      </c>
      <c r="BD16" s="42"/>
      <c r="BE16" s="1">
        <f>IF($B16&lt;Analysis!$C$66,0,-BF16*AN16)</f>
        <v>-4006.4436946540718</v>
      </c>
      <c r="BF16" s="64">
        <f>IF($B16&lt;Analysis!$C$66,0,Analysis!$C$78)</f>
        <v>3.0000000000000001E-3</v>
      </c>
      <c r="BG16" s="1">
        <f>IF($B16&lt;Analysis!$C$66,0,-BH16*AN16)</f>
        <v>-10016.109236635179</v>
      </c>
      <c r="BH16" s="64">
        <f>IF($B16&lt;Analysis!$C$66,0,Analysis!$C$79)</f>
        <v>7.4999999999999997E-3</v>
      </c>
      <c r="BI16" s="1">
        <f>IF($B16&lt;Analysis!$C$66,0,MIN(Analysis!$C$80*12,SUM(BJ16:BN16)))</f>
        <v>-3960</v>
      </c>
      <c r="BJ16" s="1">
        <f>IF($B16&lt;Analysis!$C$66,0,Analysis!$C$81*12)</f>
        <v>-900</v>
      </c>
      <c r="BK16" s="1">
        <f>IF($B16&lt;Analysis!$C$66,0,Analysis!$C$82*12)</f>
        <v>-1500</v>
      </c>
      <c r="BL16" s="1">
        <f>IF($B16&lt;Analysis!$C$66,0,Analysis!$C$83*12)</f>
        <v>-480</v>
      </c>
      <c r="BM16" s="1">
        <f>IF($B16&lt;Analysis!$C$66,0,Analysis!$C$84*12)</f>
        <v>-480</v>
      </c>
      <c r="BN16" s="1">
        <f>IF($B16&lt;Analysis!$C$66,0,Analysis!$C$85*12)</f>
        <v>-600</v>
      </c>
      <c r="BO16" s="1">
        <v>0</v>
      </c>
      <c r="BP16" s="1">
        <f>-BO16*Analysis!$C$28</f>
        <v>0</v>
      </c>
      <c r="BQ16" s="42"/>
      <c r="BR16" s="1">
        <f t="shared" si="22"/>
        <v>-170273.85702279807</v>
      </c>
      <c r="BS16" s="64">
        <f>IF($B16&lt;Analysis!C$66,0,Analysis!C$31)</f>
        <v>0.1275</v>
      </c>
      <c r="BT16" s="1">
        <f>IF($B16&lt;Analysis!$C$66,0,AN16+BR16)</f>
        <v>1165207.3745285592</v>
      </c>
      <c r="BU16" s="1">
        <f>IF($B16-Analysis!$C$66&gt;3,0,IF($AN16&gt;LOOKUP(Analysis!$C$66,$B:$B, AN:AN),$V16*(LOOKUP(Analysis!$C$66,$B:$B, AN:AN)-AN16),0))</f>
        <v>0</v>
      </c>
      <c r="BV16" s="1">
        <f t="shared" si="23"/>
        <v>1165207.3745285592</v>
      </c>
      <c r="BW16" s="42"/>
      <c r="BX16" s="1">
        <f>IF($B16&lt;Analysis!$C$66,$P16+$N16+$X16+$Z16,$P16+$N16+AS16+AV16+BB16+BE16+BG16+MAX(BI16,SUM(BJ16:BN16))+BP16)</f>
        <v>-136150.01393128926</v>
      </c>
      <c r="BY16" s="1">
        <f t="shared" si="24"/>
        <v>123700.18801855287</v>
      </c>
      <c r="BZ16" s="1">
        <f t="shared" si="46"/>
        <v>-12449.825912736385</v>
      </c>
      <c r="CA16" s="1">
        <f>IF(BZ16 &lt; 0,
    IF(CA15 + BZ16 &gt; 0,
        CA15 + BZ16, IF(CF15-ABS(CA15 + BZ16)*(1+$V16) &gt;= CA15 + BZ16,
        0, CA15 + BZ16)),
    MIN(CA15 + BZ16, Analysis!$C$7))+IF(CA15&lt;0, CA15*Analysis!$C$9,0)</f>
        <v>-639458.8539034588</v>
      </c>
      <c r="CB16" s="42"/>
      <c r="CC16" s="1">
        <f t="shared" si="47"/>
        <v>0</v>
      </c>
      <c r="CD16" s="1">
        <f>IF(BZ16 &gt;= 0,
    MAX(0, CA15 + BZ16 - Analysis!$C$7),
    0)</f>
        <v>0</v>
      </c>
      <c r="CE16" s="1">
        <f>IF($B16=Analysis!$C$66,0,MAX(0, CE15 + CD16 - IF(BZ16 &lt; 0, MIN(ABS(BZ16), CE15 + CD16), 0)))</f>
        <v>0</v>
      </c>
      <c r="CF16" s="1">
        <f>IF($B16=Analysis!$C$66,0,IF(BZ16 &lt; 0,
    IF(BZ16 + CA15 &lt; 0,
        MAX(0, CF15 - (ABS(BZ16 + CA15) * (1+$V15))),
        CF15 + CC16),
    CF15 + CD16 + CC16))</f>
        <v>0</v>
      </c>
      <c r="CG16" s="1">
        <f t="shared" si="25"/>
        <v>0</v>
      </c>
      <c r="CH16" s="36"/>
      <c r="CI16" s="1">
        <f>IF(OR($B16&lt;Analysis!$C$100, $B16&gt;=Analysis!$C$130),0,X16)</f>
        <v>-23768.564840194947</v>
      </c>
      <c r="CJ16" s="1">
        <f>IF(OR($B16&lt;Analysis!$C$100, $B16&gt;=Analysis!$C$130),0,Z16)</f>
        <v>-3960</v>
      </c>
      <c r="CK16" s="1">
        <f t="shared" si="26"/>
        <v>779680.9527124553</v>
      </c>
      <c r="CL16" s="64">
        <f t="shared" si="48"/>
        <v>2.941176470588247E-2</v>
      </c>
      <c r="CM16" s="1">
        <f>IF($B16=Analysis!$C$100,(CK16*(1+Analysis!$C$23+Analysis!$C$24+Analysis!$C$25))-IF($B16=$B$2,(Analysis!$C$6-Analysis!$C$7+Analysis!$C$105), (FU15-Analysis!$C$7+CV16)),0)</f>
        <v>0</v>
      </c>
      <c r="CN16" s="65">
        <f>IF($B16=Analysis!$C$100,NPER(CR16,-CU16,-CM16),0)</f>
        <v>0</v>
      </c>
      <c r="CO16" s="64">
        <f>IF($B16=Analysis!$C$100,Analysis!$C$103,0)</f>
        <v>0</v>
      </c>
      <c r="CP16" s="1">
        <f>IF(OR($B16&lt;Analysis!$C$100, $B16&gt;=Analysis!$C$101),0,IF($B16=Analysis!$C$100,-CM16*CO16,IF(CU16&gt;=0,0,CU16-CS16)))</f>
        <v>-16754.050263867299</v>
      </c>
      <c r="CQ16" s="1">
        <f>IF(OR($B16&lt;Analysis!$C$100, $B16&gt;=Analysis!$C$101),0,IF($B16=Analysis!$C$100,-CM16-CP16,MIN(0,CQ15-CP16)))</f>
        <v>-306431.34909107065</v>
      </c>
      <c r="CR16" s="64">
        <f>IF(OR($B16&lt;Analysis!$C$100, $B16&gt;=Analysis!$C$101),0,IF($B16=Analysis!$C$100,Analysis!$C$102,IF(($B16-Analysis!$C$100)&lt;LOOKUP(Analysis!$C$100,$B:$B,CN:CN),CR15,0)))</f>
        <v>3.6999999999999998E-2</v>
      </c>
      <c r="CS16" s="1">
        <f>IF(OR($B16&lt;Analysis!$C$100, $B16&gt;=Analysis!$C$101),0,IF($B16=Analysis!$C$100,-CR16*CM16,CR15*CQ15))</f>
        <v>-11957.859776132704</v>
      </c>
      <c r="CT16" s="1">
        <f>IF(OR($B16&lt;Analysis!$C$100, $B16&gt;=Analysis!$C$101),0,IF($B16=Analysis!$C$100,PMT(CR16,CN16,CM16)*CN16-CU16-CQ16,IF(($B16-Analysis!$C$100+1)&lt;LOOKUP(Analysis!$C$100,$B:$B,CN:CN),IF(CT15-CS16&lt;0, CT15-CS16,0),0)))</f>
        <v>-90551.216486341262</v>
      </c>
      <c r="CU16" s="1">
        <f>IF(OR($B16&lt;Analysis!$C$100, $B16&gt;=Analysis!$C$101),0,IF($B16=Analysis!$C$100,CP16+CS16,IF(CQ15&lt;0,IF(CQ15&gt;LOOKUP(Analysis!$C$100,$B:$B,CU:CU), CQ15*(1+CR15),CU15),0)))</f>
        <v>-28711.910040000002</v>
      </c>
      <c r="CV16" s="1">
        <f>IF($B16=Analysis!$C$100,Analysis!$C$105,0)</f>
        <v>0</v>
      </c>
      <c r="CW16" s="1">
        <f>IF($B16=Analysis!$C$100,PMT(CR16,CX16,CV16)*CX16,0)</f>
        <v>0</v>
      </c>
      <c r="CX16" s="7">
        <f>IF($B16=Analysis!$C$100,Analysis!$C$107,0)</f>
        <v>0</v>
      </c>
      <c r="CY16" s="1">
        <f>IF(OR($B16&lt;Analysis!$C$100, $B16&gt;=Analysis!$C$101),0,IF($B16=Analysis!$C$100,CW16/CX16,IF(($B16-Analysis!$C$100)&lt;LOOKUP(Analysis!$C$100,$B:$B,CX:CX),CY15,0)))</f>
        <v>0</v>
      </c>
      <c r="CZ16" s="1">
        <f>IF(OR($B16&lt;Analysis!$C$100, $B16&gt;=Analysis!$C$101),0,IF($B16=Analysis!$C$100,CX16*CY16-CY16,IF(($B16-Analysis!$C$100)&lt;Analysis!$C$107,CZ15-CY16,0)))</f>
        <v>0</v>
      </c>
      <c r="DA16" s="53"/>
      <c r="DB16" s="1">
        <f>IF(OR($B16&lt;Analysis!$C$100, $B16&gt;=Analysis!$C$101),0,IF($B16=2025,(Analysis!$C$109*12),IF($B16=Analysis!$C$100,(Analysis!$C$109*12)*(1+DC16)^($B16-$B$2),DB15*(1+DC16))))</f>
        <v>20797.494235170583</v>
      </c>
      <c r="DC16" s="64">
        <f>IF(OR($B16&lt;Analysis!$C$100, $B16&gt;=Analysis!$C$101),0,((1+Analysis!$C$114)/(1+$S16))-1)</f>
        <v>2.941176470588247E-2</v>
      </c>
      <c r="DD16" s="1">
        <f t="shared" si="6"/>
        <v>27096.53709330795</v>
      </c>
      <c r="DE16" s="1">
        <f t="shared" si="27"/>
        <v>-2339.0428581373658</v>
      </c>
      <c r="DF16" s="64">
        <f>IF(OR($B16&lt;Analysis!$C$100, $B16&gt;=Analysis!$C$101),0,Analysis!$C$118)</f>
        <v>3.0000000000000001E-3</v>
      </c>
      <c r="DG16" s="1">
        <f t="shared" si="28"/>
        <v>-5847.6071453434142</v>
      </c>
      <c r="DH16" s="64">
        <f>IF(OR($B16&lt;Analysis!$C$100, $B16&gt;=Analysis!$C$101),0,Analysis!$C$119)</f>
        <v>7.4999999999999997E-3</v>
      </c>
      <c r="DI16" s="1">
        <f>IF(OR($B16&lt;Analysis!$C$100, $B16&gt;=Analysis!$C$101),0,MIN(Analysis!$C$120*12,SUM(DJ16:DN16)))</f>
        <v>-3960</v>
      </c>
      <c r="DJ16" s="1">
        <f>IF(OR($B16&lt;Analysis!$C$100, $B16&gt;=Analysis!$C$101),0,Analysis!$C$121*12)</f>
        <v>-900</v>
      </c>
      <c r="DK16" s="1">
        <f>IF(OR($B16&lt;Analysis!$C$100, $B16&gt;=Analysis!$C$101),0,Analysis!$C$122*12)</f>
        <v>-1500</v>
      </c>
      <c r="DL16" s="1">
        <f>IF(OR($B16&lt;Analysis!$C$100, $B16&gt;=Analysis!$C$101),0,Analysis!$C$123*12)</f>
        <v>-480</v>
      </c>
      <c r="DM16" s="1">
        <f>IF(OR($B16&lt;Analysis!$C$100, $B16&gt;=Analysis!$C$101),0,Analysis!$C$124*12)</f>
        <v>-480</v>
      </c>
      <c r="DN16" s="1">
        <f>IF(OR($B16&lt;Analysis!$C$100, $B16&gt;=Analysis!$C$101),0,Analysis!$C$125*12)</f>
        <v>-600</v>
      </c>
      <c r="DO16" s="64">
        <f>IF(OR($B16&lt;Analysis!$C$100, $B16&gt;=Analysis!$C$101),0,Analysis!$C$113)</f>
        <v>0.02</v>
      </c>
      <c r="DP16" s="1">
        <f>-DO16*LOOKUP(Analysis!$C$100,$B:$B,CK:CK)</f>
        <v>-10392</v>
      </c>
      <c r="DQ16" s="1">
        <f>-Analysis!$C$117*DB16</f>
        <v>-1559.8120676377937</v>
      </c>
      <c r="DR16" s="1">
        <f t="shared" si="29"/>
        <v>-24098.462071118574</v>
      </c>
      <c r="DS16" s="1">
        <f>MIN(0,-(DB16+DR16)*Analysis!$C$28)-CS16*Analysis!$C$28</f>
        <v>5298.5276668044007</v>
      </c>
      <c r="DT16" s="1">
        <f>-Analysis!$C$116*DD16/12</f>
        <v>-2258.0447577756627</v>
      </c>
      <c r="DU16" s="53"/>
      <c r="DV16" s="1">
        <f t="shared" si="30"/>
        <v>-99409.321470838055</v>
      </c>
      <c r="DW16" s="64">
        <f>IF(OR($B16&lt;Analysis!$C$100, $B16&gt;=Analysis!$C$101),0,IF($B16=Analysis!$C$100,Analysis!$C$31,DW15))</f>
        <v>0.1275</v>
      </c>
      <c r="DX16" s="1">
        <f>IF(OR($B16&lt;Analysis!$C$100, $B16&gt;=Analysis!$C$101),0,CK16+DV16)</f>
        <v>680271.63124161726</v>
      </c>
      <c r="DY16" s="1">
        <f>IF(OR($B16&lt;Analysis!$C$100, $B16&gt;=Analysis!$C$101),0,IF($B16-Analysis!$C$100&gt;3,0,IF(CK16&gt;LOOKUP(Analysis!$C$100,$B:$B, CK:CK),$V16*(LOOKUP(Analysis!$C$100,$B:$B, CK:CK)-CK16),0)))</f>
        <v>0</v>
      </c>
      <c r="DZ16" s="1">
        <f t="shared" si="49"/>
        <v>680271.63124161726</v>
      </c>
      <c r="EA16" s="53"/>
      <c r="EB16" s="1">
        <f t="shared" si="31"/>
        <v>1035373.0896297044</v>
      </c>
      <c r="EC16" s="64">
        <f t="shared" si="50"/>
        <v>2.941176470588247E-2</v>
      </c>
      <c r="ED16" s="1">
        <f>MAX(0,IF($B16=Analysis!$C$130,(EB16*(1+Analysis!$C$23+Analysis!$C$24+Analysis!$C$25))-(IF($B16=$B$2,(Analysis!$C$6-Analysis!$C$7+Analysis!$C$132), (FU15-Analysis!$C$7+EM16)) + IF($B16=Analysis!$C$101,DZ15+CQ15+CT15+CZ15,0)),0))</f>
        <v>0</v>
      </c>
      <c r="EE16" s="65">
        <f>IF($B16=Analysis!$C$130,IF(ED16&gt;0,NPER(EI16,-EL16,-ED16),0),0)</f>
        <v>0</v>
      </c>
      <c r="EF16" s="64">
        <f>IF($B16=Analysis!$C$130,Analysis!$C$137,0)</f>
        <v>0</v>
      </c>
      <c r="EG16" s="1">
        <f>IF($B16&lt;Analysis!$C$130,0,IF($B16=Analysis!$C$130,-ED16*EF16,IF(EL16&gt;=0,0,EL16-EJ16)))</f>
        <v>0</v>
      </c>
      <c r="EH16" s="1">
        <f>IF($B16&lt;Analysis!$C$130,0,IF($B16=Analysis!$C$130,-ED16-EG16,MIN(0,EH15-EG16)))</f>
        <v>0</v>
      </c>
      <c r="EI16" s="64">
        <f>IF($B16&lt;Analysis!$C$130,0,IF($B16=Analysis!$C$130,Analysis!$C$136,IF(($B16-Analysis!$C$130)&lt;LOOKUP(Analysis!$C$130,$B:$B,EE:EE),EI15,0)))</f>
        <v>0</v>
      </c>
      <c r="EJ16" s="1">
        <f>IF($B16&lt;Analysis!$C$130,0,IF($B16=Analysis!$C$130,-EI16*ED16,EI15*EH15))</f>
        <v>0</v>
      </c>
      <c r="EK16" s="1">
        <f>IF(OR($B16&lt;Analysis!$C$130, ED16=0),0,IF($B16=Analysis!$C$130,PMT(EI16,EE16,ED16)*EE16-EL16-EH16,IF(($B16-Analysis!$C$130+1)&lt;LOOKUP(Analysis!$C$130,$B:$B,EE:EE),IF(EK15-EJ16&lt;0, EK15-EJ16,0),0)))</f>
        <v>0</v>
      </c>
      <c r="EL16" s="1">
        <f>IF($B16&lt;Analysis!$C$130,0,IF($B16=Analysis!$C$130,EG16+EJ16,IF(EH15&lt;0,IF(EH15&gt;LOOKUP(Analysis!$C$130,$B:$B,EL:EL), EH15*(1+EI15),EL15),0)))</f>
        <v>0</v>
      </c>
      <c r="EM16" s="1">
        <f>IF($B16=Analysis!$C$130,Analysis!$C$132,0)</f>
        <v>0</v>
      </c>
      <c r="EN16" s="1">
        <f>IF($B16=Analysis!$C$130,PMT(EI16,EO16,EM16)*EO16,0)</f>
        <v>0</v>
      </c>
      <c r="EO16" s="7">
        <f>IF($B16=Analysis!$C$130,Analysis!$C$134,0)</f>
        <v>0</v>
      </c>
      <c r="EP16" s="1">
        <f>IF($B16&lt;Analysis!$C$130,0,IF($B16=Analysis!$C$130,EN16/EO16,IF(($B16-Analysis!$C$130)&lt;LOOKUP(Analysis!$C$130,$B:$B,EO:EO),EP15,0)))</f>
        <v>0</v>
      </c>
      <c r="EQ16" s="1">
        <f>IF($B16&lt;Analysis!$C$130,0,IF($B16=Analysis!$C$130,EO16*EP16-EP16,IF(($B16-Analysis!$C$130)&lt;Analysis!$C$134,EQ15-EP16,0)))</f>
        <v>0</v>
      </c>
      <c r="ER16" s="53"/>
      <c r="ES16" s="1">
        <f>IF($B16&lt;Analysis!$C$130,0,-ET16*EB16)</f>
        <v>0</v>
      </c>
      <c r="ET16" s="64">
        <f>IF($B16&lt;Analysis!$C$130,0,Analysis!$C$142)</f>
        <v>0</v>
      </c>
      <c r="EU16" s="1">
        <f>IF($B16&lt;Analysis!$C$130,0,-EV16*EB16)</f>
        <v>0</v>
      </c>
      <c r="EV16" s="64">
        <f>IF($B16&lt;Analysis!$C$130,0,Analysis!$C$143)</f>
        <v>0</v>
      </c>
      <c r="EW16" s="1">
        <f>IF($B16&lt;Analysis!$C$130,0,MIN(Analysis!$C$144*12,SUM(EX16:FB16)))</f>
        <v>0</v>
      </c>
      <c r="EX16" s="1">
        <f>IF($B16&lt;Analysis!$C$130,0,Analysis!$C$145*12)</f>
        <v>0</v>
      </c>
      <c r="EY16" s="1">
        <f>IF($B16&lt;Analysis!$C$130,0,Analysis!$C$146*12)</f>
        <v>0</v>
      </c>
      <c r="EZ16" s="1">
        <f>IF($B16&lt;Analysis!$C$130,0,Analysis!$C$147*12)</f>
        <v>0</v>
      </c>
      <c r="FA16" s="1">
        <f>IF($B16&lt;Analysis!$C$130,0,Analysis!$C$148*12)</f>
        <v>0</v>
      </c>
      <c r="FB16" s="1">
        <f>IF($B16&lt;Analysis!$C$130,0,Analysis!$C$149*12)</f>
        <v>0</v>
      </c>
      <c r="FC16" s="1">
        <v>0</v>
      </c>
      <c r="FD16" s="1">
        <f>-FC16*Analysis!$C$28</f>
        <v>0</v>
      </c>
      <c r="FE16" s="53"/>
      <c r="FF16" s="1">
        <f t="shared" si="32"/>
        <v>0</v>
      </c>
      <c r="FG16" s="64">
        <f>IF($B16&lt;Analysis!$C$130,0,Analysis!$C$31)</f>
        <v>0</v>
      </c>
      <c r="FH16" s="1">
        <f>IF($B16&lt;Analysis!$C$130,0,EB16+FF16)</f>
        <v>0</v>
      </c>
      <c r="FI16" s="1">
        <f>IF($B16-Analysis!$C$130&gt;3,0,IF(EB16&gt;LOOKUP(Analysis!$C$130,$B:$B, EB:EB),$V16*(LOOKUP(Analysis!$C$130,$B:$B, EB:EB)-EB16),0))</f>
        <v>0</v>
      </c>
      <c r="FJ16" s="1">
        <f t="shared" si="33"/>
        <v>0</v>
      </c>
      <c r="FK16" s="53"/>
      <c r="FL16" s="1">
        <f>$P16+$N16+IF($B16&lt;Analysis!$C$130,$X16+$Z16,0)+CP16+CS16+CY16+DE16+DG16+MIN(DI16,SUM(DJ16:DN16))+DQ16+DS16+DT16+EG16+EJ16+EP16+ES16+EU16+MIN(EW16,SUM(EX16:FB16))+FD16</f>
        <v>-133006.45404228481</v>
      </c>
      <c r="FM16" s="1">
        <f>$M16+$R16+DD16+IF(AND($B16&lt;&gt;Analysis!$C$130,$B16=Analysis!$C$101),DZ15+CQ15+CT15+CZ15,0)</f>
        <v>150796.72511186081</v>
      </c>
      <c r="FN16" s="1">
        <f t="shared" si="34"/>
        <v>17790.271069576003</v>
      </c>
      <c r="FO16" s="1">
        <f>IF(FN16 &lt; 0,
    IF(FO15 + FN16 &gt; 0,
        FO15 + FN16, IF(FT15-ABS(FO15 + FN16)*(1+$V16) &gt;= FO15 + FN16,
        0, FO15 + FN16)),
    MIN(FO15 + FN16, Analysis!$C$7))+IF(FO15&lt;0, FO15*Analysis!$C$9,0)</f>
        <v>24000</v>
      </c>
      <c r="FP16" s="53"/>
      <c r="FQ16" s="1">
        <f t="shared" si="51"/>
        <v>7322.540078027313</v>
      </c>
      <c r="FR16" s="1">
        <f>IF(OR($B16=Analysis!$C$100, $B16=Analysis!$C$130),0,IF(FN16 &gt;= 0,
    MAX(0, FO15 + FN16 - Analysis!$C$7),
    0))</f>
        <v>17790.271069576003</v>
      </c>
      <c r="FS16" s="1">
        <f>IF(OR($B16=Analysis!$C$100, $B16=Analysis!$C$130),0,MAX(0, FS15 + FR16 - IF(FN16 &lt; 0, MIN(ABS(FN16), FS15 + FR16), 0)))</f>
        <v>132682.19755304692</v>
      </c>
      <c r="FT16" s="1">
        <f>IF(OR($B16=Analysis!$C$100, $B16=Analysis!$C$130),0,IF(FN16 &lt; 0,
    IF(FN16 + FO15 &lt; 0,
        MAX(0, FT15 - (ABS(FN16 + FO15) * (1+$V15))),
        FT15 + FQ16),
    FT15 + FR16 + FQ16))</f>
        <v>159640.74485775881</v>
      </c>
      <c r="FU16" s="1">
        <f t="shared" si="55"/>
        <v>152530.42800614104</v>
      </c>
      <c r="FV16" s="36"/>
      <c r="FW16" s="1">
        <f t="shared" si="52"/>
        <v>779680.9527124553</v>
      </c>
      <c r="FX16" s="64">
        <f t="shared" si="53"/>
        <v>2.941176470588247E-2</v>
      </c>
      <c r="FY16" s="1">
        <f>IF($B16=Analysis!$C$159,(FW16*(1+Analysis!$C$23+Analysis!$C$24+Analysis!$C$25))-IF($B16=$B$2,(Analysis!$C$6-Analysis!$C$7+Analysis!$C$165), (HW15-Analysis!$C$7+GH16)),0)</f>
        <v>0</v>
      </c>
      <c r="FZ16" s="65">
        <f>IF($B16=Analysis!$C$159,NPER(GD16,-GG16,-FY16),0)</f>
        <v>0</v>
      </c>
      <c r="GA16" s="64">
        <f>IF($B16=Analysis!$C$159,Analysis!$C$161,0)</f>
        <v>0</v>
      </c>
      <c r="GB16" s="1">
        <f>IF($B16&lt;Analysis!$C$159,0,IF($B16=Analysis!$C$159,-FY16*GA16,IF(GG16&gt;=0,0,GG16-GE16)))</f>
        <v>-16754.050263867299</v>
      </c>
      <c r="GC16" s="1">
        <f>IF($B16&lt;Analysis!$C$159,0,IF($B16=Analysis!$C$159,-FY16-GB16,MIN(0,GC15-GB16)))</f>
        <v>-306431.34909107065</v>
      </c>
      <c r="GD16" s="64">
        <f>IF($B16&lt;Analysis!$C$159,0,IF($B16=Analysis!$C$159,Analysis!$C$160,IF(($B16-Analysis!$C$159)&lt;LOOKUP(Analysis!$C$159,$B:$B,FZ:FZ),GD15,0)))</f>
        <v>3.6999999999999998E-2</v>
      </c>
      <c r="GE16" s="1">
        <f>IF($B16&lt;Analysis!$C$159,0,IF($B16=Analysis!$C$159,-GD16*FY16,GD15*GC15))</f>
        <v>-11957.859776132704</v>
      </c>
      <c r="GF16" s="1">
        <f>IF($B16&lt;Analysis!$C$159,0,IF($B16=Analysis!$C$159,PMT(GD16,FZ16,FY16)*FZ16-GG16-GC16,IF(($B16-Analysis!$C$159+1)&lt;LOOKUP(Analysis!$C$159,$B:$B,FZ:FZ),IF(GF15-GE16&lt;0, GF15-GE16,0),0)))</f>
        <v>-90551.216486341262</v>
      </c>
      <c r="GG16" s="1">
        <f>IF($B16&lt;Analysis!$C$159,0,IF($B16=Analysis!$C$159,GB16+GE16,IF(GC15&lt;0,IF(GC15&gt;LOOKUP(Analysis!$C$159,$B:$B,GG:GG), GC15*(1+GD15),GG15),0)))</f>
        <v>-28711.910040000002</v>
      </c>
      <c r="GH16" s="1">
        <f>IF($B16=Analysis!$C$159,Analysis!$C$165,0)</f>
        <v>0</v>
      </c>
      <c r="GI16" s="1">
        <f>IF($B16=Analysis!$C$159,PMT(GD16,GJ16,GH16)*GJ16,0)</f>
        <v>0</v>
      </c>
      <c r="GJ16" s="7">
        <f>IF($B16=Analysis!$C$159,Analysis!$C$167,0)</f>
        <v>0</v>
      </c>
      <c r="GK16" s="1">
        <f>IF($B16&lt;Analysis!$C$159,0,IF($B16=Analysis!$C$159,GI16/GJ16,IF(($B16-Analysis!$C$159)&lt;LOOKUP(Analysis!$C$159,$B:$B,GJ:GJ),GK15,0)))</f>
        <v>0</v>
      </c>
      <c r="GL16" s="1">
        <f>IF($B16&lt;Analysis!$C$159,0,IF($B16=Analysis!$C$159,GJ16*GK16-GK16,IF(($B16-Analysis!$C$159)&lt;Analysis!$C$167,GL15-GK16,0)))</f>
        <v>0</v>
      </c>
      <c r="GM16" s="38"/>
      <c r="GN16" s="1">
        <f>IF($B16&lt;Analysis!$C$159,0,IF($B16=2025,(Analysis!$C$109*12),IF($B16=Analysis!$C$159,(Analysis!$C$109*12)*(1+GO16)^($B16-$B$2),GN15*(1+GO16))))</f>
        <v>20797.494235170583</v>
      </c>
      <c r="GO16" s="64">
        <f>IF($B16&lt;Analysis!$C$159,0,((1+Analysis!$C$174)/(1+$S16))-1)</f>
        <v>2.941176470588247E-2</v>
      </c>
      <c r="GP16" s="1">
        <f t="shared" si="7"/>
        <v>27096.53709330795</v>
      </c>
      <c r="GQ16" s="1">
        <f t="shared" si="36"/>
        <v>-2339.0428581373658</v>
      </c>
      <c r="GR16" s="64">
        <f>IF($B16&lt;Analysis!$C$159,0,Analysis!$C$178)</f>
        <v>3.0000000000000001E-3</v>
      </c>
      <c r="GS16" s="1">
        <f t="shared" si="37"/>
        <v>-5847.6071453434142</v>
      </c>
      <c r="GT16" s="64">
        <f>IF($B16&lt;Analysis!$C$159,0,Analysis!$C$179)</f>
        <v>7.4999999999999997E-3</v>
      </c>
      <c r="GU16" s="1">
        <f>IF($B16&lt;Analysis!$C$159,0,MIN(Analysis!$C$180*12,SUM(GV16:GZ16)))</f>
        <v>-3960</v>
      </c>
      <c r="GV16" s="1">
        <f>IF($B16&lt;Analysis!$C$159,0,Analysis!$C$181*12)</f>
        <v>-900</v>
      </c>
      <c r="GW16" s="1">
        <f>IF($B16&lt;Analysis!$C$159,0,Analysis!$C$182*12)</f>
        <v>-1500</v>
      </c>
      <c r="GX16" s="1">
        <f>IF($B16&lt;Analysis!$C$159,0,Analysis!$C$183*12)</f>
        <v>-480</v>
      </c>
      <c r="GY16" s="1">
        <f>IF($B16&lt;Analysis!$C$159,0,Analysis!$C$184*12)</f>
        <v>-480</v>
      </c>
      <c r="GZ16" s="1">
        <f>IF($B16&lt;Analysis!$C$159,0,Analysis!$C$185*12)</f>
        <v>-600</v>
      </c>
      <c r="HA16" s="64">
        <f>IF($B16&lt;Analysis!$C$159,0,Analysis!$C$173)</f>
        <v>0.02</v>
      </c>
      <c r="HB16" s="1">
        <f>-HA16*LOOKUP(Analysis!$C$159,$B:$B,FW:FW)</f>
        <v>-10392</v>
      </c>
      <c r="HC16" s="1">
        <f>-Analysis!$C$177*GN16</f>
        <v>-1559.8120676377937</v>
      </c>
      <c r="HD16" s="1">
        <f t="shared" si="38"/>
        <v>-24098.462071118574</v>
      </c>
      <c r="HE16" s="1">
        <f>MIN(0,-(GN16+HD16)*Analysis!$C$28)-GE16*Analysis!$C$28</f>
        <v>5298.5276668044007</v>
      </c>
      <c r="HF16" s="1">
        <f>-Analysis!$C$176*GP16/12</f>
        <v>-2258.0447577756627</v>
      </c>
      <c r="HG16" s="38"/>
      <c r="HH16" s="1">
        <f>IF($B16&lt;Analysis!$C$159,0,-$HI16*$FW16)</f>
        <v>-99409.321470838055</v>
      </c>
      <c r="HI16" s="64">
        <f>IF($B16&lt;Analysis!$C$159,0,IF($B16=Analysis!$C$159,Analysis!$C$31,HI15))</f>
        <v>0.1275</v>
      </c>
      <c r="HJ16" s="1">
        <f>IF($B16&lt;Analysis!$C$159,0,$FW16+HH16)</f>
        <v>680271.63124161726</v>
      </c>
      <c r="HK16" s="1">
        <f>IF($B16-Analysis!$C$159&gt;10,0,IF($FW16&gt;LOOKUP(Analysis!$C$159,$B:$B, FW:FW),$V16*(LOOKUP(Analysis!$C$159,$B:$B, FW:FW)-FW16),0))</f>
        <v>0</v>
      </c>
      <c r="HL16" s="1">
        <f t="shared" si="39"/>
        <v>680271.63124161726</v>
      </c>
      <c r="HM16" s="38"/>
      <c r="HN16" s="1">
        <f t="shared" si="40"/>
        <v>-133006.45404228481</v>
      </c>
      <c r="HO16" s="1">
        <f t="shared" si="8"/>
        <v>150796.72511186081</v>
      </c>
      <c r="HP16" s="1">
        <f t="shared" si="41"/>
        <v>17790.271069576003</v>
      </c>
      <c r="HQ16" s="1">
        <f>IF(HP16 &lt; 0,
    IF(HQ15 + HP16 &gt; 0,
        HQ15 + HP16, IF(HV15-ABS(HQ15 + HP16)*(1+$V16) &gt;= HQ15 + HP16,
        0, HQ15 + HP16)),
    MIN(HQ15 + HP16, Analysis!$C$7))+IF(HQ15&lt;0, HQ15*Analysis!$C$9,0)</f>
        <v>24000</v>
      </c>
      <c r="HR16" s="38"/>
      <c r="HS16" s="1">
        <f t="shared" si="54"/>
        <v>7322.540078027313</v>
      </c>
      <c r="HT16" s="1">
        <f>IF($B16=Analysis!$C$159,0,IF(HP16 &gt;= 0,
    MAX(0, HQ15 + HP16 - Analysis!$C$7),
    0))</f>
        <v>17790.271069576003</v>
      </c>
      <c r="HU16" s="1">
        <f>IF($B16=Analysis!$C$159,0,MAX(0, HU15 + HT16 - IF(HP16 &lt; 0, MIN(ABS(HP16), HU15 + HT16), 0)))</f>
        <v>132682.19755304692</v>
      </c>
      <c r="HV16" s="1">
        <f>IF($B16=Analysis!$C$159,0,IF(HP16 &lt; 0,
    IF(HP16 + HQ15 &lt; 0,
        MAX(0, HV15 - (ABS(HP16 + HQ15) * (1+$V15))),
        HV15 + HS16),
    HV15 + HT16 + HS16))</f>
        <v>159640.74485775881</v>
      </c>
      <c r="HW16" s="1">
        <f t="shared" si="56"/>
        <v>152530.42800614104</v>
      </c>
      <c r="HX16" s="36"/>
    </row>
    <row r="17" spans="1:232" x14ac:dyDescent="0.35">
      <c r="A17">
        <f t="shared" si="0"/>
        <v>50</v>
      </c>
      <c r="B17">
        <v>2040</v>
      </c>
      <c r="C17" s="1">
        <f>IF($B17&lt;Analysis!C$66,0,$AN17)+$AT17+$AW17+$BC17+$CF17+$CA17</f>
        <v>2394.4600333945127</v>
      </c>
      <c r="D17" s="1">
        <f>IF($B17&lt;Analysis!C$66, 0, BV17)+AT17+AW17+BC17+CG17+CA17</f>
        <v>-172887.45160772128</v>
      </c>
      <c r="E17" s="1">
        <f t="shared" si="1"/>
        <v>714687.17090717575</v>
      </c>
      <c r="F17" s="1">
        <f t="shared" si="9"/>
        <v>648763.35078528314</v>
      </c>
      <c r="G17" s="1">
        <f>IF(AND($B17&gt;=Analysis!$C$100, $B17&lt;Analysis!$C$101),$CK17,0)+IF($B17&gt;=Analysis!$C$130,EB17,0)+CQ17+CT17+CZ17+EH17+EK17+EQ17+$FO17+$FT17</f>
        <v>645068.19998779253</v>
      </c>
      <c r="H17" s="1">
        <f t="shared" si="10"/>
        <v>533405.09215903387</v>
      </c>
      <c r="I17" s="1">
        <f>IF($B17&lt;Analysis!$C$159,0,$FW17)+$GC17+$GF17+$GL17+$HQ17+$HV17</f>
        <v>645068.19998779253</v>
      </c>
      <c r="J17" s="1">
        <f t="shared" si="2"/>
        <v>533405.09215903387</v>
      </c>
      <c r="K17" s="36"/>
      <c r="L17" s="1">
        <f t="shared" si="11"/>
        <v>125216.12169525081</v>
      </c>
      <c r="M17" s="1">
        <f>IF($B17=Analysis!$C$47, M16 * (1 - Analysis!$C$48),
    IF($B17=Analysis!$C$52, M16 * (1 - Analysis!$C$53),
    IF($B17=Analysis!$C$58, M16 * (1 - Analysis!$C$60),
    L17)))</f>
        <v>125216.12169525081</v>
      </c>
      <c r="N17" s="1">
        <f>Analysis!$C$3*12*(1+O17)+P17</f>
        <v>-56950</v>
      </c>
      <c r="O17" s="64">
        <f>IF(OR($B17=Analysis!$C$47,$B17=Analysis!$C$52,$B17=Analysis!$C$58),-Analysis!$C$49,0)</f>
        <v>0</v>
      </c>
      <c r="P17" s="1">
        <f>IF($B17&lt;Analysis!$C$47,0,IF($B17-Analysis!$C$47&lt;=3,Analysis!$C$40+Analysis!$C$44,IF($B17-Analysis!$C$47&lt;=10,Analysis!$C$41+Analysis!$C$44,IF($B17-Analysis!$C$47&lt;=18,Analysis!$C$42+Analysis!$C$44,IF($B17-Analysis!$C$47&lt;=25,Analysis!$C$43+Analysis!$C$44,0)))) + IF(AND($B17&gt;=Analysis!$C$52, $B17-Analysis!$C$52&lt;=3),Analysis!$C$40+Analysis!$C$44,IF(AND($B17&gt;=Analysis!$C$52, $B17-Analysis!$C$52&lt;=10),Analysis!$C$41+Analysis!$C$44,IF(AND($B17&gt;=Analysis!$C$52, $B17-Analysis!$C$52&lt;=18),Analysis!$C$42+Analysis!$C$44,IF(AND($B17&gt;=Analysis!$C$52, $B17-Analysis!$C$52&lt;=25),Analysis!$C$43+Analysis!$C$44,0)))) + Analysis!$C$57*IF(AND($B17&gt;=Analysis!$C$58, $B17-Analysis!$C$58&lt;=3),Analysis!$C$40+Analysis!$C$44,IF(AND($B17&gt;=Analysis!$C$58, $B17-Analysis!$C$58&lt;=10),Analysis!$C$41+Analysis!$C$44,IF(AND($B17&gt;=Analysis!$C$58, $B17-Analysis!$C$58&lt;=18),Analysis!$C$42+Analysis!$C$44,IF(AND($B17&gt;=Analysis!$C$58, $B17-Analysis!$C$58&lt;=25),Analysis!$C$43+Analysis!$C$44,0)))))</f>
        <v>-8950</v>
      </c>
      <c r="Q17" s="1">
        <f t="shared" si="43"/>
        <v>0</v>
      </c>
      <c r="R17" s="1">
        <f>IF(AND(AND(B17=Analysis!C$35,Analysis!C$34&lt;&gt;0),AND(B17=Analysis!C$37,Analysis!C$36&lt;&gt;0)),Analysis!C$34+Analysis!C$36,IF(AND(B17=Analysis!C$35,Analysis!C$34&lt;&gt;0),Analysis!C$34,IF(AND(B17=Analysis!C$37,Analysis!C$36&lt;&gt;0),Analysis!C$36,0)))</f>
        <v>0</v>
      </c>
      <c r="S17" s="64">
        <f t="shared" si="12"/>
        <v>0.02</v>
      </c>
      <c r="T17" s="64">
        <f>IF($B17&lt;Analysis!$C$13, ((1+IF($B17-$B$2&lt;10,Analysis!$C$11,IF($B17-$B$2&lt;20,(Analysis!$C$11+Analysis!$C$12)/2,Analysis!$C$12)))/(1+$S17)-1),IF($B17=Analysis!$C$13,-Analysis!$C$14,-$S17))</f>
        <v>1.225490196078427E-2</v>
      </c>
      <c r="U17" s="64">
        <f>IF($B17=$B$2,((1+Analysis!$C$16)/(1+$S17))-1,IF(B17&lt;Analysis!$C$13,U16-((Analysis!$C$16-Analysis!$C$17)/(Analysis!$C$13-$B$2)),((1+Analysis!$C$17)/(1+$S16))-1))</f>
        <v>5.2717086834734084E-2</v>
      </c>
      <c r="V17" s="64">
        <f t="shared" si="13"/>
        <v>0.26374999999999998</v>
      </c>
      <c r="W17" s="36"/>
      <c r="X17" s="1">
        <f t="shared" si="14"/>
        <v>-24467.640276671271</v>
      </c>
      <c r="Y17" s="64">
        <f t="shared" si="15"/>
        <v>2.941176470588247E-2</v>
      </c>
      <c r="Z17" s="1">
        <f t="shared" si="16"/>
        <v>-3960</v>
      </c>
      <c r="AA17" s="64">
        <f t="shared" si="17"/>
        <v>0</v>
      </c>
      <c r="AB17" s="40"/>
      <c r="AC17" s="1">
        <f t="shared" si="3"/>
        <v>-94327.640276671271</v>
      </c>
      <c r="AD17" s="1">
        <f t="shared" si="4"/>
        <v>125216.12169525081</v>
      </c>
      <c r="AE17" s="1">
        <f t="shared" si="18"/>
        <v>30888.48141857954</v>
      </c>
      <c r="AF17" s="1">
        <f>IF(AE17 &lt; 0,
    IF(AF16 + AE17 &gt; 0,
        AF16 + AE17, IF(AK16-ABS(AF16 + AE17)*(1+$V17) &gt;= AF16 + AE17,
        0, AF16 + AE17)),
    MIN(AF16 + AE17, Analysis!$C$7))+IF(AF16&lt;0, AF16*Analysis!$C$9,0)</f>
        <v>24000</v>
      </c>
      <c r="AG17" s="40"/>
      <c r="AH17" s="1">
        <f t="shared" si="19"/>
        <v>33040.847576433989</v>
      </c>
      <c r="AI17" s="1">
        <f>IF(AE17 &gt;= 0,
    MAX(0, AF16 + AE17 - Analysis!$C$7),
    0)</f>
        <v>30888.48141857954</v>
      </c>
      <c r="AJ17" s="1">
        <f t="shared" si="44"/>
        <v>440739.03774360166</v>
      </c>
      <c r="AK17" s="1">
        <f t="shared" si="20"/>
        <v>690687.17090717575</v>
      </c>
      <c r="AL17" s="1">
        <f t="shared" si="5"/>
        <v>624763.35078528314</v>
      </c>
      <c r="AM17" s="36"/>
      <c r="AN17" s="1">
        <f t="shared" si="45"/>
        <v>1374760.091302868</v>
      </c>
      <c r="AO17" s="64">
        <f t="shared" si="21"/>
        <v>2.941176470588247E-2</v>
      </c>
      <c r="AP17" s="1">
        <f>IF($B17=Analysis!$C$66,(AN17*(1+Analysis!$C$23+Analysis!$C$24+Analysis!$C$25))-IF($B17=$B$2,(Analysis!$C$6-Analysis!$C$7+Analysis!$C$68), ($CG16-Analysis!$C$7+AY17)),0)</f>
        <v>0</v>
      </c>
      <c r="AQ17" s="65">
        <f>IF($B17=Analysis!$C$66,NPER(AU17,-AX17,-AP17),0)</f>
        <v>0</v>
      </c>
      <c r="AR17" s="64">
        <f>IF($B17=Analysis!$C$66,Analysis!$C$73,0)</f>
        <v>0</v>
      </c>
      <c r="AS17" s="1">
        <f>IF($B17&lt;Analysis!$C$66,0,IF($B17=Analysis!$C$66,-AP17*AR17,IF(AX17&gt;=0,0,AX17-AV17)))</f>
        <v>-31627.720316680017</v>
      </c>
      <c r="AT17" s="1">
        <f>IF($B17&lt;Analysis!$C$66,0,IF($B17=Analysis!$C$66,-AP17-AS17,MIN(0,AT16-AS17)))</f>
        <v>-526203.10896223877</v>
      </c>
      <c r="AU17" s="64">
        <f>IF($B17&lt;Analysis!$C$66,0,IF($B17=Analysis!$C$66,Analysis!$C$72,IF(($B17-Analysis!$C$66)&lt;LOOKUP(Analysis!$C$66,$B:$B,AQ:AQ),AU16,0)))</f>
        <v>3.6999999999999998E-2</v>
      </c>
      <c r="AV17" s="1">
        <f>IF($B17&lt;Analysis!$C$66,0,IF($B17=Analysis!$C$66,-AU17*AP17,AU16*AT16))</f>
        <v>-20639.740683319993</v>
      </c>
      <c r="AW17" s="1">
        <f>IF($B17&lt;Analysis!$C$66,0,IF($B17=Analysis!$C$66,PMT(AU17,AQ17,AP17)*AQ17-AX17-AT17,IF(($B17-Analysis!$C$66+1)&lt;LOOKUP(Analysis!$C$66,$B:$B,AQ:AQ),IF(AW16-AV17&lt;0, AW16-AV17,0),0)))</f>
        <v>-144200.63982806989</v>
      </c>
      <c r="AX17" s="1">
        <f>IF($B17&lt;Analysis!$C$66,0,IF($B17=Analysis!$C$66,AS17+AV17,IF(AT16&lt;0,IF(AT16&gt;LOOKUP(Analysis!$C$66,$B:$B,AX:AX), AT16*(1+AU16),AX16),0)))</f>
        <v>-52267.46100000001</v>
      </c>
      <c r="AY17" s="1">
        <f>IF($B17=Analysis!$C$66,Analysis!$C$68,0)</f>
        <v>0</v>
      </c>
      <c r="AZ17" s="1">
        <f>IF($B17=Analysis!$C$66,PMT(AU17,BA17,AY17)*BA17,0)</f>
        <v>0</v>
      </c>
      <c r="BA17" s="7">
        <f>IF($B17=Analysis!$C$66,Analysis!$C$70,0)</f>
        <v>0</v>
      </c>
      <c r="BB17" s="1">
        <f>IF($B17&lt;Analysis!$C$66,0,IF($B17=Analysis!$C$66,AZ17/BA17,IF(($B17-Analysis!$C$66)&lt;LOOKUP(Analysis!$C$66,$B:$B,BA:BA),BB16,0)))</f>
        <v>0</v>
      </c>
      <c r="BC17" s="1">
        <f>IF($B17&lt;Analysis!$C$66,0,IF($B17=Analysis!$C$66,BA17*BB17-BB17,IF(($B17-Analysis!$C$66)&lt;Analysis!$C$70,BC16-BB17,0)))</f>
        <v>0</v>
      </c>
      <c r="BD17" s="42"/>
      <c r="BE17" s="1">
        <f>IF($B17&lt;Analysis!$C$66,0,-BF17*AN17)</f>
        <v>-4124.2802739086037</v>
      </c>
      <c r="BF17" s="64">
        <f>IF($B17&lt;Analysis!$C$66,0,Analysis!$C$78)</f>
        <v>3.0000000000000001E-3</v>
      </c>
      <c r="BG17" s="1">
        <f>IF($B17&lt;Analysis!$C$66,0,-BH17*AN17)</f>
        <v>-10310.700684771509</v>
      </c>
      <c r="BH17" s="64">
        <f>IF($B17&lt;Analysis!$C$66,0,Analysis!$C$79)</f>
        <v>7.4999999999999997E-3</v>
      </c>
      <c r="BI17" s="1">
        <f>IF($B17&lt;Analysis!$C$66,0,MIN(Analysis!$C$80*12,SUM(BJ17:BN17)))</f>
        <v>-3960</v>
      </c>
      <c r="BJ17" s="1">
        <f>IF($B17&lt;Analysis!$C$66,0,Analysis!$C$81*12)</f>
        <v>-900</v>
      </c>
      <c r="BK17" s="1">
        <f>IF($B17&lt;Analysis!$C$66,0,Analysis!$C$82*12)</f>
        <v>-1500</v>
      </c>
      <c r="BL17" s="1">
        <f>IF($B17&lt;Analysis!$C$66,0,Analysis!$C$83*12)</f>
        <v>-480</v>
      </c>
      <c r="BM17" s="1">
        <f>IF($B17&lt;Analysis!$C$66,0,Analysis!$C$84*12)</f>
        <v>-480</v>
      </c>
      <c r="BN17" s="1">
        <f>IF($B17&lt;Analysis!$C$66,0,Analysis!$C$85*12)</f>
        <v>-600</v>
      </c>
      <c r="BO17" s="1">
        <v>0</v>
      </c>
      <c r="BP17" s="1">
        <f>-BO17*Analysis!$C$28</f>
        <v>0</v>
      </c>
      <c r="BQ17" s="42"/>
      <c r="BR17" s="1">
        <f t="shared" si="22"/>
        <v>-175281.91164111567</v>
      </c>
      <c r="BS17" s="64">
        <f>IF($B17&lt;Analysis!C$66,0,Analysis!C$31)</f>
        <v>0.1275</v>
      </c>
      <c r="BT17" s="1">
        <f>IF($B17&lt;Analysis!$C$66,0,AN17+BR17)</f>
        <v>1199478.1796617522</v>
      </c>
      <c r="BU17" s="1">
        <f>IF($B17-Analysis!$C$66&gt;3,0,IF($AN17&gt;LOOKUP(Analysis!$C$66,$B:$B, AN:AN),$V17*(LOOKUP(Analysis!$C$66,$B:$B, AN:AN)-AN17),0))</f>
        <v>0</v>
      </c>
      <c r="BV17" s="1">
        <f t="shared" si="23"/>
        <v>1199478.1796617522</v>
      </c>
      <c r="BW17" s="42"/>
      <c r="BX17" s="1">
        <f>IF($B17&lt;Analysis!$C$66,$P17+$N17+$X17+$Z17,$P17+$N17+AS17+AV17+BB17+BE17+BG17+MAX(BI17,SUM(BJ17:BN17))+BP17)</f>
        <v>-136562.44195868011</v>
      </c>
      <c r="BY17" s="1">
        <f t="shared" si="24"/>
        <v>125216.12169525081</v>
      </c>
      <c r="BZ17" s="1">
        <f t="shared" si="46"/>
        <v>-11346.320263429297</v>
      </c>
      <c r="CA17" s="1">
        <f>IF(BZ17 &lt; 0,
    IF(CA16 + BZ17 &gt; 0,
        CA16 + BZ17, IF(CF16-ABS(CA16 + BZ17)*(1+$V17) &gt;= CA16 + BZ17,
        0, CA16 + BZ17)),
    MIN(CA16 + BZ17, Analysis!$C$7))+IF(CA16&lt;0, CA16*Analysis!$C$9,0)</f>
        <v>-701961.88247916487</v>
      </c>
      <c r="CB17" s="42"/>
      <c r="CC17" s="1">
        <f t="shared" si="47"/>
        <v>0</v>
      </c>
      <c r="CD17" s="1">
        <f>IF(BZ17 &gt;= 0,
    MAX(0, CA16 + BZ17 - Analysis!$C$7),
    0)</f>
        <v>0</v>
      </c>
      <c r="CE17" s="1">
        <f>IF($B17=Analysis!$C$66,0,MAX(0, CE16 + CD17 - IF(BZ17 &lt; 0, MIN(ABS(BZ17), CE16 + CD17), 0)))</f>
        <v>0</v>
      </c>
      <c r="CF17" s="1">
        <f>IF($B17=Analysis!$C$66,0,IF(BZ17 &lt; 0,
    IF(BZ17 + CA16 &lt; 0,
        MAX(0, CF16 - (ABS(BZ17 + CA16) * (1+$V16))),
        CF16 + CC17),
    CF16 + CD17 + CC17))</f>
        <v>0</v>
      </c>
      <c r="CG17" s="1">
        <f>IF(CF17-CE17&gt;0, CF17-$V17*(CF17-CE17),CF17)</f>
        <v>0</v>
      </c>
      <c r="CH17" s="36"/>
      <c r="CI17" s="1">
        <f>IF(OR($B17&lt;Analysis!$C$100, $B17&gt;=Analysis!$C$130),0,X17)</f>
        <v>-24467.640276671271</v>
      </c>
      <c r="CJ17" s="1">
        <f>IF(OR($B17&lt;Analysis!$C$100, $B17&gt;=Analysis!$C$130),0,Z17)</f>
        <v>-3960</v>
      </c>
      <c r="CK17" s="1">
        <f t="shared" si="26"/>
        <v>802612.74543929228</v>
      </c>
      <c r="CL17" s="64">
        <f t="shared" si="48"/>
        <v>2.941176470588247E-2</v>
      </c>
      <c r="CM17" s="1">
        <f>IF($B17=Analysis!$C$100,(CK17*(1+Analysis!$C$23+Analysis!$C$24+Analysis!$C$25))-IF($B17=$B$2,(Analysis!$C$6-Analysis!$C$7+Analysis!$C$105), (FU16-Analysis!$C$7+CV17)),0)</f>
        <v>0</v>
      </c>
      <c r="CN17" s="65">
        <f>IF($B17=Analysis!$C$100,NPER(CR17,-CU17,-CM17),0)</f>
        <v>0</v>
      </c>
      <c r="CO17" s="64">
        <f>IF($B17=Analysis!$C$100,Analysis!$C$103,0)</f>
        <v>0</v>
      </c>
      <c r="CP17" s="1">
        <f>IF(OR($B17&lt;Analysis!$C$100, $B17&gt;=Analysis!$C$101),0,IF($B17=Analysis!$C$100,-CM17*CO17,IF(CU17&gt;=0,0,CU17-CS17)))</f>
        <v>-17373.950123630391</v>
      </c>
      <c r="CQ17" s="1">
        <f>IF(OR($B17&lt;Analysis!$C$100, $B17&gt;=Analysis!$C$101),0,IF($B17=Analysis!$C$100,-CM17-CP17,MIN(0,CQ16-CP17)))</f>
        <v>-289057.39896744024</v>
      </c>
      <c r="CR17" s="64">
        <f>IF(OR($B17&lt;Analysis!$C$100, $B17&gt;=Analysis!$C$101),0,IF($B17=Analysis!$C$100,Analysis!$C$102,IF(($B17-Analysis!$C$100)&lt;LOOKUP(Analysis!$C$100,$B:$B,CN:CN),CR16,0)))</f>
        <v>3.6999999999999998E-2</v>
      </c>
      <c r="CS17" s="1">
        <f>IF(OR($B17&lt;Analysis!$C$100, $B17&gt;=Analysis!$C$101),0,IF($B17=Analysis!$C$100,-CR17*CM17,CR16*CQ16))</f>
        <v>-11337.959916369613</v>
      </c>
      <c r="CT17" s="1">
        <f>IF(OR($B17&lt;Analysis!$C$100, $B17&gt;=Analysis!$C$101),0,IF($B17=Analysis!$C$100,PMT(CR17,CN17,CM17)*CN17-CU17-CQ17,IF(($B17-Analysis!$C$100+1)&lt;LOOKUP(Analysis!$C$100,$B:$B,CN:CN),IF(CT16-CS17&lt;0, CT16-CS17,0),0)))</f>
        <v>-79213.256569971651</v>
      </c>
      <c r="CU17" s="1">
        <f>IF(OR($B17&lt;Analysis!$C$100, $B17&gt;=Analysis!$C$101),0,IF($B17=Analysis!$C$100,CP17+CS17,IF(CQ16&lt;0,IF(CQ16&gt;LOOKUP(Analysis!$C$100,$B:$B,CU:CU), CQ16*(1+CR16),CU16),0)))</f>
        <v>-28711.910040000002</v>
      </c>
      <c r="CV17" s="1">
        <f>IF($B17=Analysis!$C$100,Analysis!$C$105,0)</f>
        <v>0</v>
      </c>
      <c r="CW17" s="1">
        <f>IF($B17=Analysis!$C$100,PMT(CR17,CX17,CV17)*CX17,0)</f>
        <v>0</v>
      </c>
      <c r="CX17" s="7">
        <f>IF($B17=Analysis!$C$100,Analysis!$C$107,0)</f>
        <v>0</v>
      </c>
      <c r="CY17" s="1">
        <f>IF(OR($B17&lt;Analysis!$C$100, $B17&gt;=Analysis!$C$101),0,IF($B17=Analysis!$C$100,CW17/CX17,IF(($B17-Analysis!$C$100)&lt;LOOKUP(Analysis!$C$100,$B:$B,CX:CX),CY16,0)))</f>
        <v>0</v>
      </c>
      <c r="CZ17" s="1">
        <f>IF(OR($B17&lt;Analysis!$C$100, $B17&gt;=Analysis!$C$101),0,IF($B17=Analysis!$C$100,CX17*CY17-CY17,IF(($B17-Analysis!$C$100)&lt;Analysis!$C$107,CZ16-CY17,0)))</f>
        <v>0</v>
      </c>
      <c r="DA17" s="53"/>
      <c r="DB17" s="1">
        <f>IF(OR($B17&lt;Analysis!$C$100, $B17&gt;=Analysis!$C$101),0,IF($B17=2025,(Analysis!$C$109*12),IF($B17=Analysis!$C$100,(Analysis!$C$109*12)*(1+DC17)^($B17-$B$2),DB16*(1+DC17))))</f>
        <v>21409.185242087366</v>
      </c>
      <c r="DC17" s="64">
        <f>IF(OR($B17&lt;Analysis!$C$100, $B17&gt;=Analysis!$C$101),0,((1+Analysis!$C$114)/(1+$S17))-1)</f>
        <v>2.941176470588247E-2</v>
      </c>
      <c r="DD17" s="1">
        <f t="shared" si="6"/>
        <v>27777.023478405245</v>
      </c>
      <c r="DE17" s="1">
        <f t="shared" si="27"/>
        <v>-2407.8382363178771</v>
      </c>
      <c r="DF17" s="64">
        <f>IF(OR($B17&lt;Analysis!$C$100, $B17&gt;=Analysis!$C$101),0,Analysis!$C$118)</f>
        <v>3.0000000000000001E-3</v>
      </c>
      <c r="DG17" s="1">
        <f t="shared" si="28"/>
        <v>-6019.5955907946918</v>
      </c>
      <c r="DH17" s="64">
        <f>IF(OR($B17&lt;Analysis!$C$100, $B17&gt;=Analysis!$C$101),0,Analysis!$C$119)</f>
        <v>7.4999999999999997E-3</v>
      </c>
      <c r="DI17" s="1">
        <f>IF(OR($B17&lt;Analysis!$C$100, $B17&gt;=Analysis!$C$101),0,MIN(Analysis!$C$120*12,SUM(DJ17:DN17)))</f>
        <v>-3960</v>
      </c>
      <c r="DJ17" s="1">
        <f>IF(OR($B17&lt;Analysis!$C$100, $B17&gt;=Analysis!$C$101),0,Analysis!$C$121*12)</f>
        <v>-900</v>
      </c>
      <c r="DK17" s="1">
        <f>IF(OR($B17&lt;Analysis!$C$100, $B17&gt;=Analysis!$C$101),0,Analysis!$C$122*12)</f>
        <v>-1500</v>
      </c>
      <c r="DL17" s="1">
        <f>IF(OR($B17&lt;Analysis!$C$100, $B17&gt;=Analysis!$C$101),0,Analysis!$C$123*12)</f>
        <v>-480</v>
      </c>
      <c r="DM17" s="1">
        <f>IF(OR($B17&lt;Analysis!$C$100, $B17&gt;=Analysis!$C$101),0,Analysis!$C$124*12)</f>
        <v>-480</v>
      </c>
      <c r="DN17" s="1">
        <f>IF(OR($B17&lt;Analysis!$C$100, $B17&gt;=Analysis!$C$101),0,Analysis!$C$125*12)</f>
        <v>-600</v>
      </c>
      <c r="DO17" s="64">
        <f>IF(OR($B17&lt;Analysis!$C$100, $B17&gt;=Analysis!$C$101),0,Analysis!$C$113)</f>
        <v>0.02</v>
      </c>
      <c r="DP17" s="1">
        <f>-DO17*LOOKUP(Analysis!$C$100,$B:$B,CK:CK)</f>
        <v>-10392</v>
      </c>
      <c r="DQ17" s="1">
        <f>-Analysis!$C$117*DB17</f>
        <v>-1605.6888931565525</v>
      </c>
      <c r="DR17" s="1">
        <f t="shared" si="29"/>
        <v>-24385.122720269119</v>
      </c>
      <c r="DS17" s="1">
        <f>MIN(0,-(DB17+DR17)*Analysis!$C$28)-CS17*Analysis!$C$28</f>
        <v>5023.8500389433748</v>
      </c>
      <c r="DT17" s="1">
        <f>-Analysis!$C$116*DD17/12</f>
        <v>-2314.7519565337702</v>
      </c>
      <c r="DU17" s="53"/>
      <c r="DV17" s="1">
        <f t="shared" si="30"/>
        <v>-102333.12504350976</v>
      </c>
      <c r="DW17" s="64">
        <f>IF(OR($B17&lt;Analysis!$C$100, $B17&gt;=Analysis!$C$101),0,IF($B17=Analysis!$C$100,Analysis!$C$31,DW16))</f>
        <v>0.1275</v>
      </c>
      <c r="DX17" s="1">
        <f>IF(OR($B17&lt;Analysis!$C$100, $B17&gt;=Analysis!$C$101),0,CK17+DV17)</f>
        <v>700279.62039578252</v>
      </c>
      <c r="DY17" s="1">
        <f>IF(OR($B17&lt;Analysis!$C$100, $B17&gt;=Analysis!$C$101),0,IF($B17-Analysis!$C$100&gt;3,0,IF(CK17&gt;LOOKUP(Analysis!$C$100,$B:$B, CK:CK),$V17*(LOOKUP(Analysis!$C$100,$B:$B, CK:CK)-CK17),0)))</f>
        <v>0</v>
      </c>
      <c r="DZ17" s="1">
        <f t="shared" si="49"/>
        <v>700279.62039578252</v>
      </c>
      <c r="EA17" s="53"/>
      <c r="EB17" s="1">
        <f t="shared" si="31"/>
        <v>1065825.2393246959</v>
      </c>
      <c r="EC17" s="64">
        <f t="shared" si="50"/>
        <v>2.941176470588247E-2</v>
      </c>
      <c r="ED17" s="1">
        <f>MAX(0,IF($B17=Analysis!$C$130,(EB17*(1+Analysis!$C$23+Analysis!$C$24+Analysis!$C$25))-(IF($B17=$B$2,(Analysis!$C$6-Analysis!$C$7+Analysis!$C$132), (FU16-Analysis!$C$7+EM17)) + IF($B17=Analysis!$C$101,DZ16+CQ16+CT16+CZ16,0)),0))</f>
        <v>0</v>
      </c>
      <c r="EE17" s="65">
        <f>IF($B17=Analysis!$C$130,IF(ED17&gt;0,NPER(EI17,-EL17,-ED17),0),0)</f>
        <v>0</v>
      </c>
      <c r="EF17" s="64">
        <f>IF($B17=Analysis!$C$130,Analysis!$C$137,0)</f>
        <v>0</v>
      </c>
      <c r="EG17" s="1">
        <f>IF($B17&lt;Analysis!$C$130,0,IF($B17=Analysis!$C$130,-ED17*EF17,IF(EL17&gt;=0,0,EL17-EJ17)))</f>
        <v>0</v>
      </c>
      <c r="EH17" s="1">
        <f>IF($B17&lt;Analysis!$C$130,0,IF($B17=Analysis!$C$130,-ED17-EG17,MIN(0,EH16-EG17)))</f>
        <v>0</v>
      </c>
      <c r="EI17" s="64">
        <f>IF($B17&lt;Analysis!$C$130,0,IF($B17=Analysis!$C$130,Analysis!$C$136,IF(($B17-Analysis!$C$130)&lt;LOOKUP(Analysis!$C$130,$B:$B,EE:EE),EI16,0)))</f>
        <v>0</v>
      </c>
      <c r="EJ17" s="1">
        <f>IF($B17&lt;Analysis!$C$130,0,IF($B17=Analysis!$C$130,-EI17*ED17,EI16*EH16))</f>
        <v>0</v>
      </c>
      <c r="EK17" s="1">
        <f>IF(OR($B17&lt;Analysis!$C$130, ED17=0),0,IF($B17=Analysis!$C$130,PMT(EI17,EE17,ED17)*EE17-EL17-EH17,IF(($B17-Analysis!$C$130+1)&lt;LOOKUP(Analysis!$C$130,$B:$B,EE:EE),IF(EK16-EJ17&lt;0, EK16-EJ17,0),0)))</f>
        <v>0</v>
      </c>
      <c r="EL17" s="1">
        <f>IF($B17&lt;Analysis!$C$130,0,IF($B17=Analysis!$C$130,EG17+EJ17,IF(EH16&lt;0,IF(EH16&gt;LOOKUP(Analysis!$C$130,$B:$B,EL:EL), EH16*(1+EI16),EL16),0)))</f>
        <v>0</v>
      </c>
      <c r="EM17" s="1">
        <f>IF($B17=Analysis!$C$130,Analysis!$C$132,0)</f>
        <v>0</v>
      </c>
      <c r="EN17" s="1">
        <f>IF($B17=Analysis!$C$130,PMT(EI17,EO17,EM17)*EO17,0)</f>
        <v>0</v>
      </c>
      <c r="EO17" s="7">
        <f>IF($B17=Analysis!$C$130,Analysis!$C$134,0)</f>
        <v>0</v>
      </c>
      <c r="EP17" s="1">
        <f>IF($B17&lt;Analysis!$C$130,0,IF($B17=Analysis!$C$130,EN17/EO17,IF(($B17-Analysis!$C$130)&lt;LOOKUP(Analysis!$C$130,$B:$B,EO:EO),EP16,0)))</f>
        <v>0</v>
      </c>
      <c r="EQ17" s="1">
        <f>IF($B17&lt;Analysis!$C$130,0,IF($B17=Analysis!$C$130,EO17*EP17-EP17,IF(($B17-Analysis!$C$130)&lt;Analysis!$C$134,EQ16-EP17,0)))</f>
        <v>0</v>
      </c>
      <c r="ER17" s="53"/>
      <c r="ES17" s="1">
        <f>IF($B17&lt;Analysis!$C$130,0,-ET17*EB17)</f>
        <v>0</v>
      </c>
      <c r="ET17" s="64">
        <f>IF($B17&lt;Analysis!$C$130,0,Analysis!$C$142)</f>
        <v>0</v>
      </c>
      <c r="EU17" s="1">
        <f>IF($B17&lt;Analysis!$C$130,0,-EV17*EB17)</f>
        <v>0</v>
      </c>
      <c r="EV17" s="64">
        <f>IF($B17&lt;Analysis!$C$130,0,Analysis!$C$143)</f>
        <v>0</v>
      </c>
      <c r="EW17" s="1">
        <f>IF($B17&lt;Analysis!$C$130,0,MIN(Analysis!$C$144*12,SUM(EX17:FB17)))</f>
        <v>0</v>
      </c>
      <c r="EX17" s="1">
        <f>IF($B17&lt;Analysis!$C$130,0,Analysis!$C$145*12)</f>
        <v>0</v>
      </c>
      <c r="EY17" s="1">
        <f>IF($B17&lt;Analysis!$C$130,0,Analysis!$C$146*12)</f>
        <v>0</v>
      </c>
      <c r="EZ17" s="1">
        <f>IF($B17&lt;Analysis!$C$130,0,Analysis!$C$147*12)</f>
        <v>0</v>
      </c>
      <c r="FA17" s="1">
        <f>IF($B17&lt;Analysis!$C$130,0,Analysis!$C$148*12)</f>
        <v>0</v>
      </c>
      <c r="FB17" s="1">
        <f>IF($B17&lt;Analysis!$C$130,0,Analysis!$C$149*12)</f>
        <v>0</v>
      </c>
      <c r="FC17" s="1">
        <v>0</v>
      </c>
      <c r="FD17" s="1">
        <f>-FC17*Analysis!$C$28</f>
        <v>0</v>
      </c>
      <c r="FE17" s="53"/>
      <c r="FF17" s="1">
        <f t="shared" si="32"/>
        <v>0</v>
      </c>
      <c r="FG17" s="64">
        <f>IF($B17&lt;Analysis!$C$130,0,Analysis!$C$31)</f>
        <v>0</v>
      </c>
      <c r="FH17" s="1">
        <f>IF($B17&lt;Analysis!$C$130,0,EB17+FF17)</f>
        <v>0</v>
      </c>
      <c r="FI17" s="1">
        <f>IF($B17-Analysis!$C$130&gt;3,0,IF(EB17&gt;LOOKUP(Analysis!$C$130,$B:$B, EB:EB),$V17*(LOOKUP(Analysis!$C$130,$B:$B, EB:EB)-EB17),0))</f>
        <v>0</v>
      </c>
      <c r="FJ17" s="1">
        <f t="shared" si="33"/>
        <v>0</v>
      </c>
      <c r="FK17" s="53"/>
      <c r="FL17" s="1">
        <f>$P17+$N17+IF($B17&lt;Analysis!$C$130,$X17+$Z17,0)+CP17+CS17+CY17+DE17+DG17+MIN(DI17,SUM(DJ17:DN17))+DQ17+DS17+DT17+EG17+EJ17+EP17+ES17+EU17+MIN(EW17,SUM(EX17:FB17))+FD17</f>
        <v>-134323.57495453081</v>
      </c>
      <c r="FM17" s="1">
        <f>$M17+$R17+DD17+IF(AND($B17&lt;&gt;Analysis!$C$130,$B17=Analysis!$C$101),DZ16+CQ16+CT16+CZ16,0)</f>
        <v>152993.14517365606</v>
      </c>
      <c r="FN17" s="1">
        <f t="shared" si="34"/>
        <v>18669.570219125249</v>
      </c>
      <c r="FO17" s="1">
        <f>IF(FN17 &lt; 0,
    IF(FO16 + FN17 &gt; 0,
        FO16 + FN17, IF(FT16-ABS(FO16 + FN17)*(1+$V17) &gt;= FO16 + FN17,
        0, FO16 + FN17)),
    MIN(FO16 + FN17, Analysis!$C$7))+IF(FO16&lt;0, FO16*Analysis!$C$9,0)</f>
        <v>24000</v>
      </c>
      <c r="FP17" s="53"/>
      <c r="FQ17" s="1">
        <f t="shared" si="51"/>
        <v>8415.7950090280992</v>
      </c>
      <c r="FR17" s="1">
        <f>IF(OR($B17=Analysis!$C$100, $B17=Analysis!$C$130),0,IF(FN17 &gt;= 0,
    MAX(0, FO16 + FN17 - Analysis!$C$7),
    0))</f>
        <v>18669.570219125249</v>
      </c>
      <c r="FS17" s="1">
        <f>IF(OR($B17=Analysis!$C$100, $B17=Analysis!$C$130),0,MAX(0, FS16 + FR17 - IF(FN17 &lt; 0, MIN(ABS(FN17), FS16 + FR17), 0)))</f>
        <v>151351.76777217217</v>
      </c>
      <c r="FT17" s="1">
        <f>IF(OR($B17=Analysis!$C$100, $B17=Analysis!$C$130),0,IF(FN17 &lt; 0,
    IF(FN17 + FO16 &lt; 0,
        MAX(0, FT16 - (ABS(FN17 + FO16) * (1+$V16))),
        FT16 + FQ17),
    FT16 + FR17 + FQ17))</f>
        <v>186726.11008591217</v>
      </c>
      <c r="FU17" s="1">
        <f>IF(FT17-FS17&gt;0, FT17-$V17*(FT17-FS17),FT17)</f>
        <v>177396.12730066324</v>
      </c>
      <c r="FV17" s="36"/>
      <c r="FW17" s="1">
        <f t="shared" si="52"/>
        <v>802612.74543929228</v>
      </c>
      <c r="FX17" s="64">
        <f t="shared" si="53"/>
        <v>2.941176470588247E-2</v>
      </c>
      <c r="FY17" s="1">
        <f>IF($B17=Analysis!$C$159,(FW17*(1+Analysis!$C$23+Analysis!$C$24+Analysis!$C$25))-IF($B17=$B$2,(Analysis!$C$6-Analysis!$C$7+Analysis!$C$165), (HW16-Analysis!$C$7+GH17)),0)</f>
        <v>0</v>
      </c>
      <c r="FZ17" s="65">
        <f>IF($B17=Analysis!$C$159,NPER(GD17,-GG17,-FY17),0)</f>
        <v>0</v>
      </c>
      <c r="GA17" s="64">
        <f>IF($B17=Analysis!$C$159,Analysis!$C$161,0)</f>
        <v>0</v>
      </c>
      <c r="GB17" s="1">
        <f>IF($B17&lt;Analysis!$C$159,0,IF($B17=Analysis!$C$159,-FY17*GA17,IF(GG17&gt;=0,0,GG17-GE17)))</f>
        <v>-17373.950123630391</v>
      </c>
      <c r="GC17" s="1">
        <f>IF($B17&lt;Analysis!$C$159,0,IF($B17=Analysis!$C$159,-FY17-GB17,MIN(0,GC16-GB17)))</f>
        <v>-289057.39896744024</v>
      </c>
      <c r="GD17" s="64">
        <f>IF($B17&lt;Analysis!$C$159,0,IF($B17=Analysis!$C$159,Analysis!$C$160,IF(($B17-Analysis!$C$159)&lt;LOOKUP(Analysis!$C$159,$B:$B,FZ:FZ),GD16,0)))</f>
        <v>3.6999999999999998E-2</v>
      </c>
      <c r="GE17" s="1">
        <f>IF($B17&lt;Analysis!$C$159,0,IF($B17=Analysis!$C$159,-GD17*FY17,GD16*GC16))</f>
        <v>-11337.959916369613</v>
      </c>
      <c r="GF17" s="1">
        <f>IF($B17&lt;Analysis!$C$159,0,IF($B17=Analysis!$C$159,PMT(GD17,FZ17,FY17)*FZ17-GG17-GC17,IF(($B17-Analysis!$C$159+1)&lt;LOOKUP(Analysis!$C$159,$B:$B,FZ:FZ),IF(GF16-GE17&lt;0, GF16-GE17,0),0)))</f>
        <v>-79213.256569971651</v>
      </c>
      <c r="GG17" s="1">
        <f>IF($B17&lt;Analysis!$C$159,0,IF($B17=Analysis!$C$159,GB17+GE17,IF(GC16&lt;0,IF(GC16&gt;LOOKUP(Analysis!$C$159,$B:$B,GG:GG), GC16*(1+GD16),GG16),0)))</f>
        <v>-28711.910040000002</v>
      </c>
      <c r="GH17" s="1">
        <f>IF($B17=Analysis!$C$159,Analysis!$C$165,0)</f>
        <v>0</v>
      </c>
      <c r="GI17" s="1">
        <f>IF($B17=Analysis!$C$159,PMT(GD17,GJ17,GH17)*GJ17,0)</f>
        <v>0</v>
      </c>
      <c r="GJ17" s="7">
        <f>IF($B17=Analysis!$C$159,Analysis!$C$167,0)</f>
        <v>0</v>
      </c>
      <c r="GK17" s="1">
        <f>IF($B17&lt;Analysis!$C$159,0,IF($B17=Analysis!$C$159,GI17/GJ17,IF(($B17-Analysis!$C$159)&lt;LOOKUP(Analysis!$C$159,$B:$B,GJ:GJ),GK16,0)))</f>
        <v>0</v>
      </c>
      <c r="GL17" s="1">
        <f>IF($B17&lt;Analysis!$C$159,0,IF($B17=Analysis!$C$159,GJ17*GK17-GK17,IF(($B17-Analysis!$C$159)&lt;Analysis!$C$167,GL16-GK17,0)))</f>
        <v>0</v>
      </c>
      <c r="GM17" s="38"/>
      <c r="GN17" s="1">
        <f>IF($B17&lt;Analysis!$C$159,0,IF($B17=2025,(Analysis!$C$109*12),IF($B17=Analysis!$C$159,(Analysis!$C$109*12)*(1+GO17)^($B17-$B$2),GN16*(1+GO17))))</f>
        <v>21409.185242087366</v>
      </c>
      <c r="GO17" s="64">
        <f>IF($B17&lt;Analysis!$C$159,0,((1+Analysis!$C$174)/(1+$S17))-1)</f>
        <v>2.941176470588247E-2</v>
      </c>
      <c r="GP17" s="1">
        <f t="shared" si="7"/>
        <v>27777.023478405245</v>
      </c>
      <c r="GQ17" s="1">
        <f t="shared" si="36"/>
        <v>-2407.8382363178771</v>
      </c>
      <c r="GR17" s="64">
        <f>IF($B17&lt;Analysis!$C$159,0,Analysis!$C$178)</f>
        <v>3.0000000000000001E-3</v>
      </c>
      <c r="GS17" s="1">
        <f t="shared" si="37"/>
        <v>-6019.5955907946918</v>
      </c>
      <c r="GT17" s="64">
        <f>IF($B17&lt;Analysis!$C$159,0,Analysis!$C$179)</f>
        <v>7.4999999999999997E-3</v>
      </c>
      <c r="GU17" s="1">
        <f>IF($B17&lt;Analysis!$C$159,0,MIN(Analysis!$C$180*12,SUM(GV17:GZ17)))</f>
        <v>-3960</v>
      </c>
      <c r="GV17" s="1">
        <f>IF($B17&lt;Analysis!$C$159,0,Analysis!$C$181*12)</f>
        <v>-900</v>
      </c>
      <c r="GW17" s="1">
        <f>IF($B17&lt;Analysis!$C$159,0,Analysis!$C$182*12)</f>
        <v>-1500</v>
      </c>
      <c r="GX17" s="1">
        <f>IF($B17&lt;Analysis!$C$159,0,Analysis!$C$183*12)</f>
        <v>-480</v>
      </c>
      <c r="GY17" s="1">
        <f>IF($B17&lt;Analysis!$C$159,0,Analysis!$C$184*12)</f>
        <v>-480</v>
      </c>
      <c r="GZ17" s="1">
        <f>IF($B17&lt;Analysis!$C$159,0,Analysis!$C$185*12)</f>
        <v>-600</v>
      </c>
      <c r="HA17" s="64">
        <f>IF($B17&lt;Analysis!$C$159,0,Analysis!$C$173)</f>
        <v>0.02</v>
      </c>
      <c r="HB17" s="1">
        <f>-HA17*LOOKUP(Analysis!$C$159,$B:$B,FW:FW)</f>
        <v>-10392</v>
      </c>
      <c r="HC17" s="1">
        <f>-Analysis!$C$177*GN17</f>
        <v>-1605.6888931565525</v>
      </c>
      <c r="HD17" s="1">
        <f t="shared" si="38"/>
        <v>-24385.122720269119</v>
      </c>
      <c r="HE17" s="1">
        <f>MIN(0,-(GN17+HD17)*Analysis!$C$28)-GE17*Analysis!$C$28</f>
        <v>5023.8500389433748</v>
      </c>
      <c r="HF17" s="1">
        <f>-Analysis!$C$176*GP17/12</f>
        <v>-2314.7519565337702</v>
      </c>
      <c r="HG17" s="38"/>
      <c r="HH17" s="1">
        <f>IF($B17&lt;Analysis!$C$159,0,-$HI17*$FW17)</f>
        <v>-102333.12504350976</v>
      </c>
      <c r="HI17" s="64">
        <f>IF($B17&lt;Analysis!$C$159,0,IF($B17=Analysis!$C$159,Analysis!$C$31,HI16))</f>
        <v>0.1275</v>
      </c>
      <c r="HJ17" s="1">
        <f>IF($B17&lt;Analysis!$C$159,0,$FW17+HH17)</f>
        <v>700279.62039578252</v>
      </c>
      <c r="HK17" s="1">
        <f>IF($B17-Analysis!$C$159&gt;10,0,IF($FW17&gt;LOOKUP(Analysis!$C$159,$B:$B, FW:FW),$V17*(LOOKUP(Analysis!$C$159,$B:$B, FW:FW)-FW17),0))</f>
        <v>0</v>
      </c>
      <c r="HL17" s="1">
        <f t="shared" si="39"/>
        <v>700279.62039578252</v>
      </c>
      <c r="HM17" s="38"/>
      <c r="HN17" s="1">
        <f t="shared" si="40"/>
        <v>-134323.57495453081</v>
      </c>
      <c r="HO17" s="1">
        <f t="shared" si="8"/>
        <v>152993.14517365606</v>
      </c>
      <c r="HP17" s="1">
        <f t="shared" si="41"/>
        <v>18669.570219125249</v>
      </c>
      <c r="HQ17" s="1">
        <f>IF(HP17 &lt; 0,
    IF(HQ16 + HP17 &gt; 0,
        HQ16 + HP17, IF(HV16-ABS(HQ16 + HP17)*(1+$V17) &gt;= HQ16 + HP17,
        0, HQ16 + HP17)),
    MIN(HQ16 + HP17, Analysis!$C$7))+IF(HQ16&lt;0, HQ16*Analysis!$C$9,0)</f>
        <v>24000</v>
      </c>
      <c r="HR17" s="38"/>
      <c r="HS17" s="1">
        <f t="shared" si="54"/>
        <v>8415.7950090280992</v>
      </c>
      <c r="HT17" s="1">
        <f>IF($B17=Analysis!$C$159,0,IF(HP17 &gt;= 0,
    MAX(0, HQ16 + HP17 - Analysis!$C$7),
    0))</f>
        <v>18669.570219125249</v>
      </c>
      <c r="HU17" s="1">
        <f>IF($B17=Analysis!$C$159,0,MAX(0, HU16 + HT17 - IF(HP17 &lt; 0, MIN(ABS(HP17), HU16 + HT17), 0)))</f>
        <v>151351.76777217217</v>
      </c>
      <c r="HV17" s="1">
        <f>IF($B17=Analysis!$C$159,0,IF(HP17 &lt; 0,
    IF(HP17 + HQ16 &lt; 0,
        MAX(0, HV16 - (ABS(HP17 + HQ16) * (1+$V16))),
        HV16 + HS17),
    HV16 + HT17 + HS17))</f>
        <v>186726.11008591217</v>
      </c>
      <c r="HW17" s="1">
        <f>IF(HV17-HU17&gt;0, HV17-$V17*(HV17-HU17),HV17)</f>
        <v>177396.12730066324</v>
      </c>
      <c r="HX17" s="36"/>
    </row>
    <row r="18" spans="1:232" x14ac:dyDescent="0.35">
      <c r="A18">
        <f t="shared" si="0"/>
        <v>51</v>
      </c>
      <c r="B18">
        <v>2041</v>
      </c>
      <c r="C18" s="1">
        <f>IF($B18&lt;Analysis!C$66,0,$AN18)+$AT18+$AW18+$BC18+$CF18+$CA18</f>
        <v>28702.723535863915</v>
      </c>
      <c r="D18" s="1">
        <f>IF($B18&lt;Analysis!C$66, 0, BV18)+AT18+AW18+BC18+CG18+CA18</f>
        <v>-151734.53844763758</v>
      </c>
      <c r="E18" s="1">
        <f t="shared" si="1"/>
        <v>781617.50755653845</v>
      </c>
      <c r="F18" s="1">
        <f t="shared" si="9"/>
        <v>706402.57135039428</v>
      </c>
      <c r="G18" s="1">
        <f>IF(AND($B18&gt;=Analysis!$C$100, $B18&lt;Analysis!$C$101),$CK18,0)+IF($B18&gt;=Analysis!$C$130,EB18,0)+CQ18+CT18+CZ18+EH18+EK18+EQ18+$FO18+$FT18</f>
        <v>726456.56002717721</v>
      </c>
      <c r="H18" s="1">
        <f t="shared" si="10"/>
        <v>609271.81686231471</v>
      </c>
      <c r="I18" s="1">
        <f>IF($B18&lt;Analysis!$C$159,0,$FW18)+$GC18+$GF18+$GL18+$HQ18+$HV18</f>
        <v>726456.56002717721</v>
      </c>
      <c r="J18" s="1">
        <f t="shared" si="2"/>
        <v>609271.81686231471</v>
      </c>
      <c r="K18" s="36"/>
      <c r="L18" s="1">
        <f t="shared" si="11"/>
        <v>126750.63299053574</v>
      </c>
      <c r="M18" s="1">
        <f>IF($B18=Analysis!$C$47, M17 * (1 - Analysis!$C$48),
    IF($B18=Analysis!$C$52, M17 * (1 - Analysis!$C$53),
    IF($B18=Analysis!$C$58, M17 * (1 - Analysis!$C$60),
    L18)))</f>
        <v>126750.63299053574</v>
      </c>
      <c r="N18" s="1">
        <f>Analysis!$C$3*12*(1+O18)+P18</f>
        <v>-56950</v>
      </c>
      <c r="O18" s="64">
        <f>IF(OR($B18=Analysis!$C$47,$B18=Analysis!$C$52,$B18=Analysis!$C$58),-Analysis!$C$49,0)</f>
        <v>0</v>
      </c>
      <c r="P18" s="1">
        <f>IF($B18&lt;Analysis!$C$47,0,IF($B18-Analysis!$C$47&lt;=3,Analysis!$C$40+Analysis!$C$44,IF($B18-Analysis!$C$47&lt;=10,Analysis!$C$41+Analysis!$C$44,IF($B18-Analysis!$C$47&lt;=18,Analysis!$C$42+Analysis!$C$44,IF($B18-Analysis!$C$47&lt;=25,Analysis!$C$43+Analysis!$C$44,0)))) + IF(AND($B18&gt;=Analysis!$C$52, $B18-Analysis!$C$52&lt;=3),Analysis!$C$40+Analysis!$C$44,IF(AND($B18&gt;=Analysis!$C$52, $B18-Analysis!$C$52&lt;=10),Analysis!$C$41+Analysis!$C$44,IF(AND($B18&gt;=Analysis!$C$52, $B18-Analysis!$C$52&lt;=18),Analysis!$C$42+Analysis!$C$44,IF(AND($B18&gt;=Analysis!$C$52, $B18-Analysis!$C$52&lt;=25),Analysis!$C$43+Analysis!$C$44,0)))) + Analysis!$C$57*IF(AND($B18&gt;=Analysis!$C$58, $B18-Analysis!$C$58&lt;=3),Analysis!$C$40+Analysis!$C$44,IF(AND($B18&gt;=Analysis!$C$58, $B18-Analysis!$C$58&lt;=10),Analysis!$C$41+Analysis!$C$44,IF(AND($B18&gt;=Analysis!$C$58, $B18-Analysis!$C$58&lt;=18),Analysis!$C$42+Analysis!$C$44,IF(AND($B18&gt;=Analysis!$C$58, $B18-Analysis!$C$58&lt;=25),Analysis!$C$43+Analysis!$C$44,0)))))</f>
        <v>-8950</v>
      </c>
      <c r="Q18" s="1">
        <f t="shared" si="43"/>
        <v>0</v>
      </c>
      <c r="R18" s="1">
        <f>IF(AND(AND(B18=Analysis!C$35,Analysis!C$34&lt;&gt;0),AND(B18=Analysis!C$37,Analysis!C$36&lt;&gt;0)),Analysis!C$34+Analysis!C$36,IF(AND(B18=Analysis!C$35,Analysis!C$34&lt;&gt;0),Analysis!C$34,IF(AND(B18=Analysis!C$37,Analysis!C$36&lt;&gt;0),Analysis!C$36,0)))</f>
        <v>0</v>
      </c>
      <c r="S18" s="64">
        <f t="shared" si="12"/>
        <v>0.02</v>
      </c>
      <c r="T18" s="64">
        <f>IF($B18&lt;Analysis!$C$13, ((1+IF($B18-$B$2&lt;10,Analysis!$C$11,IF($B18-$B$2&lt;20,(Analysis!$C$11+Analysis!$C$12)/2,Analysis!$C$12)))/(1+$S18)-1),IF($B18=Analysis!$C$13,-Analysis!$C$14,-$S18))</f>
        <v>1.225490196078427E-2</v>
      </c>
      <c r="U18" s="64">
        <f>IF($B18=$B$2,((1+Analysis!$C$16)/(1+$S18))-1,IF(B18&lt;Analysis!$C$13,U17-((Analysis!$C$16-Analysis!$C$17)/(Analysis!$C$13-$B$2)),((1+Analysis!$C$17)/(1+$S17))-1))</f>
        <v>5.1002801120448367E-2</v>
      </c>
      <c r="V18" s="64">
        <f t="shared" si="13"/>
        <v>0.26374999999999998</v>
      </c>
      <c r="W18" s="36"/>
      <c r="X18" s="1">
        <f t="shared" si="14"/>
        <v>-25187.276755396899</v>
      </c>
      <c r="Y18" s="64">
        <f t="shared" si="15"/>
        <v>2.941176470588247E-2</v>
      </c>
      <c r="Z18" s="1">
        <f t="shared" si="16"/>
        <v>-3960</v>
      </c>
      <c r="AA18" s="64">
        <f t="shared" si="17"/>
        <v>0</v>
      </c>
      <c r="AB18" s="40"/>
      <c r="AC18" s="1">
        <f t="shared" si="3"/>
        <v>-95047.276755396902</v>
      </c>
      <c r="AD18" s="1">
        <f t="shared" si="4"/>
        <v>126750.63299053574</v>
      </c>
      <c r="AE18" s="1">
        <f t="shared" si="18"/>
        <v>31703.356235138839</v>
      </c>
      <c r="AF18" s="1">
        <f>IF(AE18 &lt; 0,
    IF(AF17 + AE18 &gt; 0,
        AF17 + AE18, IF(AK17-ABS(AF17 + AE18)*(1+$V18) &gt;= AF17 + AE18,
        0, AF17 + AE18)),
    MIN(AF17 + AE18, Analysis!$C$7))+IF(AF17&lt;0, AF17*Analysis!$C$9,0)</f>
        <v>24000</v>
      </c>
      <c r="AG18" s="40"/>
      <c r="AH18" s="1">
        <f t="shared" si="19"/>
        <v>35226.980414223814</v>
      </c>
      <c r="AI18" s="1">
        <f>IF(AE18 &gt;= 0,
    MAX(0, AF17 + AE18 - Analysis!$C$7),
    0)</f>
        <v>31703.356235138839</v>
      </c>
      <c r="AJ18" s="1">
        <f t="shared" si="44"/>
        <v>472442.3939787405</v>
      </c>
      <c r="AK18" s="1">
        <f t="shared" si="20"/>
        <v>757617.50755653845</v>
      </c>
      <c r="AL18" s="1">
        <f t="shared" si="5"/>
        <v>682402.57135039428</v>
      </c>
      <c r="AM18" s="36"/>
      <c r="AN18" s="1">
        <f t="shared" si="45"/>
        <v>1415194.2116353055</v>
      </c>
      <c r="AO18" s="64">
        <f t="shared" si="21"/>
        <v>2.941176470588247E-2</v>
      </c>
      <c r="AP18" s="1">
        <f>IF($B18=Analysis!$C$66,(AN18*(1+Analysis!$C$23+Analysis!$C$24+Analysis!$C$25))-IF($B18=$B$2,(Analysis!$C$6-Analysis!$C$7+Analysis!$C$68), ($CG17-Analysis!$C$7+AY18)),0)</f>
        <v>0</v>
      </c>
      <c r="AQ18" s="65">
        <f>IF($B18=Analysis!$C$66,NPER(AU18,-AX18,-AP18),0)</f>
        <v>0</v>
      </c>
      <c r="AR18" s="64">
        <f>IF($B18=Analysis!$C$66,Analysis!$C$73,0)</f>
        <v>0</v>
      </c>
      <c r="AS18" s="1">
        <f>IF($B18&lt;Analysis!$C$66,0,IF($B18=Analysis!$C$66,-AP18*AR18,IF(AX18&gt;=0,0,AX18-AV18)))</f>
        <v>-32797.94596839718</v>
      </c>
      <c r="AT18" s="1">
        <f>IF($B18&lt;Analysis!$C$66,0,IF($B18=Analysis!$C$66,-AP18-AS18,MIN(0,AT17-AS18)))</f>
        <v>-493405.16299384157</v>
      </c>
      <c r="AU18" s="64">
        <f>IF($B18&lt;Analysis!$C$66,0,IF($B18=Analysis!$C$66,Analysis!$C$72,IF(($B18-Analysis!$C$66)&lt;LOOKUP(Analysis!$C$66,$B:$B,AQ:AQ),AU17,0)))</f>
        <v>3.6999999999999998E-2</v>
      </c>
      <c r="AV18" s="1">
        <f>IF($B18&lt;Analysis!$C$66,0,IF($B18=Analysis!$C$66,-AU18*AP18,AU17*AT17))</f>
        <v>-19469.515031602834</v>
      </c>
      <c r="AW18" s="1">
        <f>IF($B18&lt;Analysis!$C$66,0,IF($B18=Analysis!$C$66,PMT(AU18,AQ18,AP18)*AQ18-AX18-AT18,IF(($B18-Analysis!$C$66+1)&lt;LOOKUP(Analysis!$C$66,$B:$B,AQ:AQ),IF(AW17-AV18&lt;0, AW17-AV18,0),0)))</f>
        <v>-124731.12479646706</v>
      </c>
      <c r="AX18" s="1">
        <f>IF($B18&lt;Analysis!$C$66,0,IF($B18=Analysis!$C$66,AS18+AV18,IF(AT17&lt;0,IF(AT17&gt;LOOKUP(Analysis!$C$66,$B:$B,AX:AX), AT17*(1+AU17),AX17),0)))</f>
        <v>-52267.46100000001</v>
      </c>
      <c r="AY18" s="1">
        <f>IF($B18=Analysis!$C$66,Analysis!$C$68,0)</f>
        <v>0</v>
      </c>
      <c r="AZ18" s="1">
        <f>IF($B18=Analysis!$C$66,PMT(AU18,BA18,AY18)*BA18,0)</f>
        <v>0</v>
      </c>
      <c r="BA18" s="7">
        <f>IF($B18=Analysis!$C$66,Analysis!$C$70,0)</f>
        <v>0</v>
      </c>
      <c r="BB18" s="1">
        <f>IF($B18&lt;Analysis!$C$66,0,IF($B18=Analysis!$C$66,AZ18/BA18,IF(($B18-Analysis!$C$66)&lt;LOOKUP(Analysis!$C$66,$B:$B,BA:BA),BB17,0)))</f>
        <v>0</v>
      </c>
      <c r="BC18" s="1">
        <f>IF($B18&lt;Analysis!$C$66,0,IF($B18=Analysis!$C$66,BA18*BB18-BB18,IF(($B18-Analysis!$C$66)&lt;Analysis!$C$70,BC17-BB18,0)))</f>
        <v>0</v>
      </c>
      <c r="BD18" s="42"/>
      <c r="BE18" s="1">
        <f>IF($B18&lt;Analysis!$C$66,0,-BF18*AN18)</f>
        <v>-4245.5826349059171</v>
      </c>
      <c r="BF18" s="64">
        <f>IF($B18&lt;Analysis!$C$66,0,Analysis!$C$78)</f>
        <v>3.0000000000000001E-3</v>
      </c>
      <c r="BG18" s="1">
        <f>IF($B18&lt;Analysis!$C$66,0,-BH18*AN18)</f>
        <v>-10613.956587264791</v>
      </c>
      <c r="BH18" s="64">
        <f>IF($B18&lt;Analysis!$C$66,0,Analysis!$C$79)</f>
        <v>7.4999999999999997E-3</v>
      </c>
      <c r="BI18" s="1">
        <f>IF($B18&lt;Analysis!$C$66,0,MIN(Analysis!$C$80*12,SUM(BJ18:BN18)))</f>
        <v>-3960</v>
      </c>
      <c r="BJ18" s="1">
        <f>IF($B18&lt;Analysis!$C$66,0,Analysis!$C$81*12)</f>
        <v>-900</v>
      </c>
      <c r="BK18" s="1">
        <f>IF($B18&lt;Analysis!$C$66,0,Analysis!$C$82*12)</f>
        <v>-1500</v>
      </c>
      <c r="BL18" s="1">
        <f>IF($B18&lt;Analysis!$C$66,0,Analysis!$C$83*12)</f>
        <v>-480</v>
      </c>
      <c r="BM18" s="1">
        <f>IF($B18&lt;Analysis!$C$66,0,Analysis!$C$84*12)</f>
        <v>-480</v>
      </c>
      <c r="BN18" s="1">
        <f>IF($B18&lt;Analysis!$C$66,0,Analysis!$C$85*12)</f>
        <v>-600</v>
      </c>
      <c r="BO18" s="1">
        <v>0</v>
      </c>
      <c r="BP18" s="1">
        <f>-BO18*Analysis!$C$28</f>
        <v>0</v>
      </c>
      <c r="BQ18" s="42"/>
      <c r="BR18" s="1">
        <f t="shared" si="22"/>
        <v>-180437.26198350146</v>
      </c>
      <c r="BS18" s="64">
        <f>IF($B18&lt;Analysis!C$66,0,Analysis!C$31)</f>
        <v>0.1275</v>
      </c>
      <c r="BT18" s="1">
        <f>IF($B18&lt;Analysis!$C$66,0,AN18+BR18)</f>
        <v>1234756.9496518041</v>
      </c>
      <c r="BU18" s="1">
        <f>IF($B18-Analysis!$C$66&gt;3,0,IF($AN18&gt;LOOKUP(Analysis!$C$66,$B:$B, AN:AN),$V18*(LOOKUP(Analysis!$C$66,$B:$B, AN:AN)-AN18),0))</f>
        <v>0</v>
      </c>
      <c r="BV18" s="1">
        <f t="shared" si="23"/>
        <v>1234756.9496518041</v>
      </c>
      <c r="BW18" s="42"/>
      <c r="BX18" s="1">
        <f>IF($B18&lt;Analysis!$C$66,$P18+$N18+$X18+$Z18,$P18+$N18+AS18+AV18+BB18+BE18+BG18+MAX(BI18,SUM(BJ18:BN18))+BP18)</f>
        <v>-136987.00022217073</v>
      </c>
      <c r="BY18" s="1">
        <f t="shared" si="24"/>
        <v>126750.63299053574</v>
      </c>
      <c r="BZ18" s="1">
        <f t="shared" si="46"/>
        <v>-10236.367231634984</v>
      </c>
      <c r="CA18" s="1">
        <f>IF(BZ18 &lt; 0,
    IF(CA17 + BZ18 &gt; 0,
        CA17 + BZ18, IF(CF17-ABS(CA17 + BZ18)*(1+$V18) &gt;= CA17 + BZ18,
        0, CA17 + BZ18)),
    MIN(CA17 + BZ18, Analysis!$C$7))+IF(CA17&lt;0, CA17*Analysis!$C$9,0)</f>
        <v>-768355.20030913304</v>
      </c>
      <c r="CB18" s="42"/>
      <c r="CC18" s="1">
        <f t="shared" si="47"/>
        <v>0</v>
      </c>
      <c r="CD18" s="1">
        <f>IF(BZ18 &gt;= 0,
    MAX(0, CA17 + BZ18 - Analysis!$C$7),
    0)</f>
        <v>0</v>
      </c>
      <c r="CE18" s="1">
        <f>IF($B18=Analysis!$C$66,0,MAX(0, CE17 + CD18 - IF(BZ18 &lt; 0, MIN(ABS(BZ18), CE17 + CD18), 0)))</f>
        <v>0</v>
      </c>
      <c r="CF18" s="1">
        <f>IF($B18=Analysis!$C$66,0,IF(BZ18 &lt; 0,
    IF(BZ18 + CA17 &lt; 0,
        MAX(0, CF17 - (ABS(BZ18 + CA17) * (1+$V17))),
        CF17 + CC18),
    CF17 + CD18 + CC18))</f>
        <v>0</v>
      </c>
      <c r="CG18" s="1">
        <f>IF(CF18-CE18&gt;0, CF18-$V18*(CF18-CE18),CF18)</f>
        <v>0</v>
      </c>
      <c r="CH18" s="36"/>
      <c r="CI18" s="1">
        <f>IF(OR($B18&lt;Analysis!$C$100, $B18&gt;=Analysis!$C$130),0,X18)</f>
        <v>-25187.276755396899</v>
      </c>
      <c r="CJ18" s="1">
        <f>IF(OR($B18&lt;Analysis!$C$100, $B18&gt;=Analysis!$C$130),0,Z18)</f>
        <v>-3960</v>
      </c>
      <c r="CK18" s="1">
        <f t="shared" si="26"/>
        <v>826219.00265809509</v>
      </c>
      <c r="CL18" s="64">
        <f t="shared" si="48"/>
        <v>2.941176470588247E-2</v>
      </c>
      <c r="CM18" s="1">
        <f>IF($B18=Analysis!$C$100,(CK18*(1+Analysis!$C$23+Analysis!$C$24+Analysis!$C$25))-IF($B18=$B$2,(Analysis!$C$6-Analysis!$C$7+Analysis!$C$105), (FU17-Analysis!$C$7+CV18)),0)</f>
        <v>0</v>
      </c>
      <c r="CN18" s="65">
        <f>IF($B18=Analysis!$C$100,NPER(CR18,-CU18,-CM18),0)</f>
        <v>0</v>
      </c>
      <c r="CO18" s="64">
        <f>IF($B18=Analysis!$C$100,Analysis!$C$103,0)</f>
        <v>0</v>
      </c>
      <c r="CP18" s="1">
        <f>IF(OR($B18&lt;Analysis!$C$100, $B18&gt;=Analysis!$C$101),0,IF($B18=Analysis!$C$100,-CM18*CO18,IF(CU18&gt;=0,0,CU18-CS18)))</f>
        <v>-18016.786278204716</v>
      </c>
      <c r="CQ18" s="1">
        <f>IF(OR($B18&lt;Analysis!$C$100, $B18&gt;=Analysis!$C$101),0,IF($B18=Analysis!$C$100,-CM18-CP18,MIN(0,CQ17-CP18)))</f>
        <v>-271040.61268923554</v>
      </c>
      <c r="CR18" s="64">
        <f>IF(OR($B18&lt;Analysis!$C$100, $B18&gt;=Analysis!$C$101),0,IF($B18=Analysis!$C$100,Analysis!$C$102,IF(($B18-Analysis!$C$100)&lt;LOOKUP(Analysis!$C$100,$B:$B,CN:CN),CR17,0)))</f>
        <v>3.6999999999999998E-2</v>
      </c>
      <c r="CS18" s="1">
        <f>IF(OR($B18&lt;Analysis!$C$100, $B18&gt;=Analysis!$C$101),0,IF($B18=Analysis!$C$100,-CR18*CM18,CR17*CQ17))</f>
        <v>-10695.123761795288</v>
      </c>
      <c r="CT18" s="1">
        <f>IF(OR($B18&lt;Analysis!$C$100, $B18&gt;=Analysis!$C$101),0,IF($B18=Analysis!$C$100,PMT(CR18,CN18,CM18)*CN18-CU18-CQ18,IF(($B18-Analysis!$C$100+1)&lt;LOOKUP(Analysis!$C$100,$B:$B,CN:CN),IF(CT17-CS18&lt;0, CT17-CS18,0),0)))</f>
        <v>-68518.132808176364</v>
      </c>
      <c r="CU18" s="1">
        <f>IF(OR($B18&lt;Analysis!$C$100, $B18&gt;=Analysis!$C$101),0,IF($B18=Analysis!$C$100,CP18+CS18,IF(CQ17&lt;0,IF(CQ17&gt;LOOKUP(Analysis!$C$100,$B:$B,CU:CU), CQ17*(1+CR17),CU17),0)))</f>
        <v>-28711.910040000002</v>
      </c>
      <c r="CV18" s="1">
        <f>IF($B18=Analysis!$C$100,Analysis!$C$105,0)</f>
        <v>0</v>
      </c>
      <c r="CW18" s="1">
        <f>IF($B18=Analysis!$C$100,PMT(CR18,CX18,CV18)*CX18,0)</f>
        <v>0</v>
      </c>
      <c r="CX18" s="7">
        <f>IF($B18=Analysis!$C$100,Analysis!$C$107,0)</f>
        <v>0</v>
      </c>
      <c r="CY18" s="1">
        <f>IF(OR($B18&lt;Analysis!$C$100, $B18&gt;=Analysis!$C$101),0,IF($B18=Analysis!$C$100,CW18/CX18,IF(($B18-Analysis!$C$100)&lt;LOOKUP(Analysis!$C$100,$B:$B,CX:CX),CY17,0)))</f>
        <v>0</v>
      </c>
      <c r="CZ18" s="1">
        <f>IF(OR($B18&lt;Analysis!$C$100, $B18&gt;=Analysis!$C$101),0,IF($B18=Analysis!$C$100,CX18*CY18-CY18,IF(($B18-Analysis!$C$100)&lt;Analysis!$C$107,CZ17-CY18,0)))</f>
        <v>0</v>
      </c>
      <c r="DA18" s="53"/>
      <c r="DB18" s="1">
        <f>IF(OR($B18&lt;Analysis!$C$100, $B18&gt;=Analysis!$C$101),0,IF($B18=2025,(Analysis!$C$109*12),IF($B18=Analysis!$C$100,(Analysis!$C$109*12)*(1+DC18)^($B18-$B$2),DB17*(1+DC18))))</f>
        <v>22038.867160972291</v>
      </c>
      <c r="DC18" s="64">
        <f>IF(OR($B18&lt;Analysis!$C$100, $B18&gt;=Analysis!$C$101),0,((1+Analysis!$C$114)/(1+$S18))-1)</f>
        <v>2.941176470588247E-2</v>
      </c>
      <c r="DD18" s="1">
        <f t="shared" si="6"/>
        <v>28477.524168946577</v>
      </c>
      <c r="DE18" s="1">
        <f t="shared" si="27"/>
        <v>-2478.6570079742855</v>
      </c>
      <c r="DF18" s="64">
        <f>IF(OR($B18&lt;Analysis!$C$100, $B18&gt;=Analysis!$C$101),0,Analysis!$C$118)</f>
        <v>3.0000000000000001E-3</v>
      </c>
      <c r="DG18" s="1">
        <f t="shared" si="28"/>
        <v>-6196.6425199357127</v>
      </c>
      <c r="DH18" s="64">
        <f>IF(OR($B18&lt;Analysis!$C$100, $B18&gt;=Analysis!$C$101),0,Analysis!$C$119)</f>
        <v>7.4999999999999997E-3</v>
      </c>
      <c r="DI18" s="1">
        <f>IF(OR($B18&lt;Analysis!$C$100, $B18&gt;=Analysis!$C$101),0,MIN(Analysis!$C$120*12,SUM(DJ18:DN18)))</f>
        <v>-3960</v>
      </c>
      <c r="DJ18" s="1">
        <f>IF(OR($B18&lt;Analysis!$C$100, $B18&gt;=Analysis!$C$101),0,Analysis!$C$121*12)</f>
        <v>-900</v>
      </c>
      <c r="DK18" s="1">
        <f>IF(OR($B18&lt;Analysis!$C$100, $B18&gt;=Analysis!$C$101),0,Analysis!$C$122*12)</f>
        <v>-1500</v>
      </c>
      <c r="DL18" s="1">
        <f>IF(OR($B18&lt;Analysis!$C$100, $B18&gt;=Analysis!$C$101),0,Analysis!$C$123*12)</f>
        <v>-480</v>
      </c>
      <c r="DM18" s="1">
        <f>IF(OR($B18&lt;Analysis!$C$100, $B18&gt;=Analysis!$C$101),0,Analysis!$C$124*12)</f>
        <v>-480</v>
      </c>
      <c r="DN18" s="1">
        <f>IF(OR($B18&lt;Analysis!$C$100, $B18&gt;=Analysis!$C$101),0,Analysis!$C$125*12)</f>
        <v>-600</v>
      </c>
      <c r="DO18" s="64">
        <f>IF(OR($B18&lt;Analysis!$C$100, $B18&gt;=Analysis!$C$101),0,Analysis!$C$113)</f>
        <v>0.02</v>
      </c>
      <c r="DP18" s="1">
        <f>-DO18*LOOKUP(Analysis!$C$100,$B:$B,CK:CK)</f>
        <v>-10392</v>
      </c>
      <c r="DQ18" s="1">
        <f>-Analysis!$C$117*DB18</f>
        <v>-1652.9150370729219</v>
      </c>
      <c r="DR18" s="1">
        <f t="shared" si="29"/>
        <v>-24680.214564982922</v>
      </c>
      <c r="DS18" s="1">
        <f>MIN(0,-(DB18+DR18)*Analysis!$C$28)-CS18*Analysis!$C$28</f>
        <v>4739.0093388514915</v>
      </c>
      <c r="DT18" s="1">
        <f>-Analysis!$C$116*DD18/12</f>
        <v>-2373.1270140788815</v>
      </c>
      <c r="DU18" s="53"/>
      <c r="DV18" s="1">
        <f t="shared" si="30"/>
        <v>-105342.92283890712</v>
      </c>
      <c r="DW18" s="64">
        <f>IF(OR($B18&lt;Analysis!$C$100, $B18&gt;=Analysis!$C$101),0,IF($B18=Analysis!$C$100,Analysis!$C$31,DW17))</f>
        <v>0.1275</v>
      </c>
      <c r="DX18" s="1">
        <f>IF(OR($B18&lt;Analysis!$C$100, $B18&gt;=Analysis!$C$101),0,CK18+DV18)</f>
        <v>720876.07981918799</v>
      </c>
      <c r="DY18" s="1">
        <f>IF(OR($B18&lt;Analysis!$C$100, $B18&gt;=Analysis!$C$101),0,IF($B18-Analysis!$C$100&gt;3,0,IF(CK18&gt;LOOKUP(Analysis!$C$100,$B:$B, CK:CK),$V18*(LOOKUP(Analysis!$C$100,$B:$B, CK:CK)-CK18),0)))</f>
        <v>0</v>
      </c>
      <c r="DZ18" s="1">
        <f t="shared" si="49"/>
        <v>720876.07981918799</v>
      </c>
      <c r="EA18" s="53"/>
      <c r="EB18" s="1">
        <f t="shared" si="31"/>
        <v>1097173.0404813047</v>
      </c>
      <c r="EC18" s="64">
        <f t="shared" si="50"/>
        <v>2.941176470588247E-2</v>
      </c>
      <c r="ED18" s="1">
        <f>MAX(0,IF($B18=Analysis!$C$130,(EB18*(1+Analysis!$C$23+Analysis!$C$24+Analysis!$C$25))-(IF($B18=$B$2,(Analysis!$C$6-Analysis!$C$7+Analysis!$C$132), (FU17-Analysis!$C$7+EM18)) + IF($B18=Analysis!$C$101,DZ17+CQ17+CT17+CZ17,0)),0))</f>
        <v>0</v>
      </c>
      <c r="EE18" s="65">
        <f>IF($B18=Analysis!$C$130,IF(ED18&gt;0,NPER(EI18,-EL18,-ED18),0),0)</f>
        <v>0</v>
      </c>
      <c r="EF18" s="64">
        <f>IF($B18=Analysis!$C$130,Analysis!$C$137,0)</f>
        <v>0</v>
      </c>
      <c r="EG18" s="1">
        <f>IF($B18&lt;Analysis!$C$130,0,IF($B18=Analysis!$C$130,-ED18*EF18,IF(EL18&gt;=0,0,EL18-EJ18)))</f>
        <v>0</v>
      </c>
      <c r="EH18" s="1">
        <f>IF($B18&lt;Analysis!$C$130,0,IF($B18=Analysis!$C$130,-ED18-EG18,MIN(0,EH17-EG18)))</f>
        <v>0</v>
      </c>
      <c r="EI18" s="64">
        <f>IF($B18&lt;Analysis!$C$130,0,IF($B18=Analysis!$C$130,Analysis!$C$136,IF(($B18-Analysis!$C$130)&lt;LOOKUP(Analysis!$C$130,$B:$B,EE:EE),EI17,0)))</f>
        <v>0</v>
      </c>
      <c r="EJ18" s="1">
        <f>IF($B18&lt;Analysis!$C$130,0,IF($B18=Analysis!$C$130,-EI18*ED18,EI17*EH17))</f>
        <v>0</v>
      </c>
      <c r="EK18" s="1">
        <f>IF(OR($B18&lt;Analysis!$C$130, ED18=0),0,IF($B18=Analysis!$C$130,PMT(EI18,EE18,ED18)*EE18-EL18-EH18,IF(($B18-Analysis!$C$130+1)&lt;LOOKUP(Analysis!$C$130,$B:$B,EE:EE),IF(EK17-EJ18&lt;0, EK17-EJ18,0),0)))</f>
        <v>0</v>
      </c>
      <c r="EL18" s="1">
        <f>IF($B18&lt;Analysis!$C$130,0,IF($B18=Analysis!$C$130,EG18+EJ18,IF(EH17&lt;0,IF(EH17&gt;LOOKUP(Analysis!$C$130,$B:$B,EL:EL), EH17*(1+EI17),EL17),0)))</f>
        <v>0</v>
      </c>
      <c r="EM18" s="1">
        <f>IF($B18=Analysis!$C$130,Analysis!$C$132,0)</f>
        <v>0</v>
      </c>
      <c r="EN18" s="1">
        <f>IF($B18=Analysis!$C$130,PMT(EI18,EO18,EM18)*EO18,0)</f>
        <v>0</v>
      </c>
      <c r="EO18" s="7">
        <f>IF($B18=Analysis!$C$130,Analysis!$C$134,0)</f>
        <v>0</v>
      </c>
      <c r="EP18" s="1">
        <f>IF($B18&lt;Analysis!$C$130,0,IF($B18=Analysis!$C$130,EN18/EO18,IF(($B18-Analysis!$C$130)&lt;LOOKUP(Analysis!$C$130,$B:$B,EO:EO),EP17,0)))</f>
        <v>0</v>
      </c>
      <c r="EQ18" s="1">
        <f>IF($B18&lt;Analysis!$C$130,0,IF($B18=Analysis!$C$130,EO18*EP18-EP18,IF(($B18-Analysis!$C$130)&lt;Analysis!$C$134,EQ17-EP18,0)))</f>
        <v>0</v>
      </c>
      <c r="ER18" s="53"/>
      <c r="ES18" s="1">
        <f>IF($B18&lt;Analysis!$C$130,0,-ET18*EB18)</f>
        <v>0</v>
      </c>
      <c r="ET18" s="64">
        <f>IF($B18&lt;Analysis!$C$130,0,Analysis!$C$142)</f>
        <v>0</v>
      </c>
      <c r="EU18" s="1">
        <f>IF($B18&lt;Analysis!$C$130,0,-EV18*EB18)</f>
        <v>0</v>
      </c>
      <c r="EV18" s="64">
        <f>IF($B18&lt;Analysis!$C$130,0,Analysis!$C$143)</f>
        <v>0</v>
      </c>
      <c r="EW18" s="1">
        <f>IF($B18&lt;Analysis!$C$130,0,MIN(Analysis!$C$144*12,SUM(EX18:FB18)))</f>
        <v>0</v>
      </c>
      <c r="EX18" s="1">
        <f>IF($B18&lt;Analysis!$C$130,0,Analysis!$C$145*12)</f>
        <v>0</v>
      </c>
      <c r="EY18" s="1">
        <f>IF($B18&lt;Analysis!$C$130,0,Analysis!$C$146*12)</f>
        <v>0</v>
      </c>
      <c r="EZ18" s="1">
        <f>IF($B18&lt;Analysis!$C$130,0,Analysis!$C$147*12)</f>
        <v>0</v>
      </c>
      <c r="FA18" s="1">
        <f>IF($B18&lt;Analysis!$C$130,0,Analysis!$C$148*12)</f>
        <v>0</v>
      </c>
      <c r="FB18" s="1">
        <f>IF($B18&lt;Analysis!$C$130,0,Analysis!$C$149*12)</f>
        <v>0</v>
      </c>
      <c r="FC18" s="1">
        <v>0</v>
      </c>
      <c r="FD18" s="1">
        <f>-FC18*Analysis!$C$28</f>
        <v>0</v>
      </c>
      <c r="FE18" s="53"/>
      <c r="FF18" s="1">
        <f t="shared" si="32"/>
        <v>0</v>
      </c>
      <c r="FG18" s="64">
        <f>IF($B18&lt;Analysis!$C$130,0,Analysis!$C$31)</f>
        <v>0</v>
      </c>
      <c r="FH18" s="1">
        <f>IF($B18&lt;Analysis!$C$130,0,EB18+FF18)</f>
        <v>0</v>
      </c>
      <c r="FI18" s="1">
        <f>IF($B18-Analysis!$C$130&gt;3,0,IF(EB18&gt;LOOKUP(Analysis!$C$130,$B:$B, EB:EB),$V18*(LOOKUP(Analysis!$C$130,$B:$B, EB:EB)-EB18),0))</f>
        <v>0</v>
      </c>
      <c r="FJ18" s="1">
        <f t="shared" si="33"/>
        <v>0</v>
      </c>
      <c r="FK18" s="53"/>
      <c r="FL18" s="1">
        <f>$P18+$N18+IF($B18&lt;Analysis!$C$130,$X18+$Z18,0)+CP18+CS18+CY18+DE18+DG18+MIN(DI18,SUM(DJ18:DN18))+DQ18+DS18+DT18+EG18+EJ18+EP18+ES18+EU18+MIN(EW18,SUM(EX18:FB18))+FD18</f>
        <v>-135681.5190356072</v>
      </c>
      <c r="FM18" s="1">
        <f>$M18+$R18+DD18+IF(AND($B18&lt;&gt;Analysis!$C$130,$B18=Analysis!$C$101),DZ17+CQ17+CT17+CZ17,0)</f>
        <v>155228.1571594823</v>
      </c>
      <c r="FN18" s="1">
        <f t="shared" si="34"/>
        <v>19546.638123875106</v>
      </c>
      <c r="FO18" s="1">
        <f>IF(FN18 &lt; 0,
    IF(FO17 + FN18 &gt; 0,
        FO17 + FN18, IF(FT17-ABS(FO17 + FN18)*(1+$V18) &gt;= FO17 + FN18,
        0, FO17 + FN18)),
    MIN(FO17 + FN18, Analysis!$C$7))+IF(FO17&lt;0, FO17*Analysis!$C$9,0)</f>
        <v>24000</v>
      </c>
      <c r="FP18" s="53"/>
      <c r="FQ18" s="1">
        <f t="shared" si="51"/>
        <v>9523.5546567067267</v>
      </c>
      <c r="FR18" s="1">
        <f>IF(OR($B18=Analysis!$C$100, $B18=Analysis!$C$130),0,IF(FN18 &gt;= 0,
    MAX(0, FO17 + FN18 - Analysis!$C$7),
    0))</f>
        <v>19546.638123875106</v>
      </c>
      <c r="FS18" s="1">
        <f>IF(OR($B18=Analysis!$C$100, $B18=Analysis!$C$130),0,MAX(0, FS17 + FR18 - IF(FN18 &lt; 0, MIN(ABS(FN18), FS17 + FR18), 0)))</f>
        <v>170898.40589604728</v>
      </c>
      <c r="FT18" s="1">
        <f>IF(OR($B18=Analysis!$C$100, $B18=Analysis!$C$130),0,IF(FN18 &lt; 0,
    IF(FN18 + FO17 &lt; 0,
        MAX(0, FT17 - (ABS(FN18 + FO17) * (1+$V17))),
        FT17 + FQ18),
    FT17 + FR18 + FQ18))</f>
        <v>215796.30286649399</v>
      </c>
      <c r="FU18" s="1">
        <f>IF(FT18-FS18&gt;0, FT18-$V18*(FT18-FS18),FT18)</f>
        <v>203954.48254053868</v>
      </c>
      <c r="FV18" s="36"/>
      <c r="FW18" s="1">
        <f t="shared" si="52"/>
        <v>826219.00265809509</v>
      </c>
      <c r="FX18" s="64">
        <f t="shared" si="53"/>
        <v>2.941176470588247E-2</v>
      </c>
      <c r="FY18" s="1">
        <f>IF($B18=Analysis!$C$159,(FW18*(1+Analysis!$C$23+Analysis!$C$24+Analysis!$C$25))-IF($B18=$B$2,(Analysis!$C$6-Analysis!$C$7+Analysis!$C$165), (HW17-Analysis!$C$7+GH18)),0)</f>
        <v>0</v>
      </c>
      <c r="FZ18" s="65">
        <f>IF($B18=Analysis!$C$159,NPER(GD18,-GG18,-FY18),0)</f>
        <v>0</v>
      </c>
      <c r="GA18" s="64">
        <f>IF($B18=Analysis!$C$159,Analysis!$C$161,0)</f>
        <v>0</v>
      </c>
      <c r="GB18" s="1">
        <f>IF($B18&lt;Analysis!$C$159,0,IF($B18=Analysis!$C$159,-FY18*GA18,IF(GG18&gt;=0,0,GG18-GE18)))</f>
        <v>-18016.786278204716</v>
      </c>
      <c r="GC18" s="1">
        <f>IF($B18&lt;Analysis!$C$159,0,IF($B18=Analysis!$C$159,-FY18-GB18,MIN(0,GC17-GB18)))</f>
        <v>-271040.61268923554</v>
      </c>
      <c r="GD18" s="64">
        <f>IF($B18&lt;Analysis!$C$159,0,IF($B18=Analysis!$C$159,Analysis!$C$160,IF(($B18-Analysis!$C$159)&lt;LOOKUP(Analysis!$C$159,$B:$B,FZ:FZ),GD17,0)))</f>
        <v>3.6999999999999998E-2</v>
      </c>
      <c r="GE18" s="1">
        <f>IF($B18&lt;Analysis!$C$159,0,IF($B18=Analysis!$C$159,-GD18*FY18,GD17*GC17))</f>
        <v>-10695.123761795288</v>
      </c>
      <c r="GF18" s="1">
        <f>IF($B18&lt;Analysis!$C$159,0,IF($B18=Analysis!$C$159,PMT(GD18,FZ18,FY18)*FZ18-GG18-GC18,IF(($B18-Analysis!$C$159+1)&lt;LOOKUP(Analysis!$C$159,$B:$B,FZ:FZ),IF(GF17-GE18&lt;0, GF17-GE18,0),0)))</f>
        <v>-68518.132808176364</v>
      </c>
      <c r="GG18" s="1">
        <f>IF($B18&lt;Analysis!$C$159,0,IF($B18=Analysis!$C$159,GB18+GE18,IF(GC17&lt;0,IF(GC17&gt;LOOKUP(Analysis!$C$159,$B:$B,GG:GG), GC17*(1+GD17),GG17),0)))</f>
        <v>-28711.910040000002</v>
      </c>
      <c r="GH18" s="1">
        <f>IF($B18=Analysis!$C$159,Analysis!$C$165,0)</f>
        <v>0</v>
      </c>
      <c r="GI18" s="1">
        <f>IF($B18=Analysis!$C$159,PMT(GD18,GJ18,GH18)*GJ18,0)</f>
        <v>0</v>
      </c>
      <c r="GJ18" s="7">
        <f>IF($B18=Analysis!$C$159,Analysis!$C$167,0)</f>
        <v>0</v>
      </c>
      <c r="GK18" s="1">
        <f>IF($B18&lt;Analysis!$C$159,0,IF($B18=Analysis!$C$159,GI18/GJ18,IF(($B18-Analysis!$C$159)&lt;LOOKUP(Analysis!$C$159,$B:$B,GJ:GJ),GK17,0)))</f>
        <v>0</v>
      </c>
      <c r="GL18" s="1">
        <f>IF($B18&lt;Analysis!$C$159,0,IF($B18=Analysis!$C$159,GJ18*GK18-GK18,IF(($B18-Analysis!$C$159)&lt;Analysis!$C$167,GL17-GK18,0)))</f>
        <v>0</v>
      </c>
      <c r="GM18" s="38"/>
      <c r="GN18" s="1">
        <f>IF($B18&lt;Analysis!$C$159,0,IF($B18=2025,(Analysis!$C$109*12),IF($B18=Analysis!$C$159,(Analysis!$C$109*12)*(1+GO18)^($B18-$B$2),GN17*(1+GO18))))</f>
        <v>22038.867160972291</v>
      </c>
      <c r="GO18" s="64">
        <f>IF($B18&lt;Analysis!$C$159,0,((1+Analysis!$C$174)/(1+$S18))-1)</f>
        <v>2.941176470588247E-2</v>
      </c>
      <c r="GP18" s="1">
        <f t="shared" si="7"/>
        <v>28477.524168946577</v>
      </c>
      <c r="GQ18" s="1">
        <f t="shared" si="36"/>
        <v>-2478.6570079742855</v>
      </c>
      <c r="GR18" s="64">
        <f>IF($B18&lt;Analysis!$C$159,0,Analysis!$C$178)</f>
        <v>3.0000000000000001E-3</v>
      </c>
      <c r="GS18" s="1">
        <f t="shared" si="37"/>
        <v>-6196.6425199357127</v>
      </c>
      <c r="GT18" s="64">
        <f>IF($B18&lt;Analysis!$C$159,0,Analysis!$C$179)</f>
        <v>7.4999999999999997E-3</v>
      </c>
      <c r="GU18" s="1">
        <f>IF($B18&lt;Analysis!$C$159,0,MIN(Analysis!$C$180*12,SUM(GV18:GZ18)))</f>
        <v>-3960</v>
      </c>
      <c r="GV18" s="1">
        <f>IF($B18&lt;Analysis!$C$159,0,Analysis!$C$181*12)</f>
        <v>-900</v>
      </c>
      <c r="GW18" s="1">
        <f>IF($B18&lt;Analysis!$C$159,0,Analysis!$C$182*12)</f>
        <v>-1500</v>
      </c>
      <c r="GX18" s="1">
        <f>IF($B18&lt;Analysis!$C$159,0,Analysis!$C$183*12)</f>
        <v>-480</v>
      </c>
      <c r="GY18" s="1">
        <f>IF($B18&lt;Analysis!$C$159,0,Analysis!$C$184*12)</f>
        <v>-480</v>
      </c>
      <c r="GZ18" s="1">
        <f>IF($B18&lt;Analysis!$C$159,0,Analysis!$C$185*12)</f>
        <v>-600</v>
      </c>
      <c r="HA18" s="64">
        <f>IF($B18&lt;Analysis!$C$159,0,Analysis!$C$173)</f>
        <v>0.02</v>
      </c>
      <c r="HB18" s="1">
        <f>-HA18*LOOKUP(Analysis!$C$159,$B:$B,FW:FW)</f>
        <v>-10392</v>
      </c>
      <c r="HC18" s="1">
        <f>-Analysis!$C$177*GN18</f>
        <v>-1652.9150370729219</v>
      </c>
      <c r="HD18" s="1">
        <f t="shared" si="38"/>
        <v>-24680.214564982922</v>
      </c>
      <c r="HE18" s="1">
        <f>MIN(0,-(GN18+HD18)*Analysis!$C$28)-GE18*Analysis!$C$28</f>
        <v>4739.0093388514915</v>
      </c>
      <c r="HF18" s="1">
        <f>-Analysis!$C$176*GP18/12</f>
        <v>-2373.1270140788815</v>
      </c>
      <c r="HG18" s="38"/>
      <c r="HH18" s="1">
        <f>IF($B18&lt;Analysis!$C$159,0,-$HI18*$FW18)</f>
        <v>-105342.92283890712</v>
      </c>
      <c r="HI18" s="64">
        <f>IF($B18&lt;Analysis!$C$159,0,IF($B18=Analysis!$C$159,Analysis!$C$31,HI17))</f>
        <v>0.1275</v>
      </c>
      <c r="HJ18" s="1">
        <f>IF($B18&lt;Analysis!$C$159,0,$FW18+HH18)</f>
        <v>720876.07981918799</v>
      </c>
      <c r="HK18" s="1">
        <f>IF($B18-Analysis!$C$159&gt;10,0,IF($FW18&gt;LOOKUP(Analysis!$C$159,$B:$B, FW:FW),$V18*(LOOKUP(Analysis!$C$159,$B:$B, FW:FW)-FW18),0))</f>
        <v>0</v>
      </c>
      <c r="HL18" s="1">
        <f t="shared" si="39"/>
        <v>720876.07981918799</v>
      </c>
      <c r="HM18" s="38"/>
      <c r="HN18" s="1">
        <f t="shared" si="40"/>
        <v>-135681.5190356072</v>
      </c>
      <c r="HO18" s="1">
        <f t="shared" si="8"/>
        <v>155228.1571594823</v>
      </c>
      <c r="HP18" s="1">
        <f t="shared" si="41"/>
        <v>19546.638123875106</v>
      </c>
      <c r="HQ18" s="1">
        <f>IF(HP18 &lt; 0,
    IF(HQ17 + HP18 &gt; 0,
        HQ17 + HP18, IF(HV17-ABS(HQ17 + HP18)*(1+$V18) &gt;= HQ17 + HP18,
        0, HQ17 + HP18)),
    MIN(HQ17 + HP18, Analysis!$C$7))+IF(HQ17&lt;0, HQ17*Analysis!$C$9,0)</f>
        <v>24000</v>
      </c>
      <c r="HR18" s="38"/>
      <c r="HS18" s="1">
        <f t="shared" si="54"/>
        <v>9523.5546567067267</v>
      </c>
      <c r="HT18" s="1">
        <f>IF($B18=Analysis!$C$159,0,IF(HP18 &gt;= 0,
    MAX(0, HQ17 + HP18 - Analysis!$C$7),
    0))</f>
        <v>19546.638123875106</v>
      </c>
      <c r="HU18" s="1">
        <f>IF($B18=Analysis!$C$159,0,MAX(0, HU17 + HT18 - IF(HP18 &lt; 0, MIN(ABS(HP18), HU17 + HT18), 0)))</f>
        <v>170898.40589604728</v>
      </c>
      <c r="HV18" s="1">
        <f>IF($B18=Analysis!$C$159,0,IF(HP18 &lt; 0,
    IF(HP18 + HQ17 &lt; 0,
        MAX(0, HV17 - (ABS(HP18 + HQ17) * (1+$V17))),
        HV17 + HS18),
    HV17 + HT18 + HS18))</f>
        <v>215796.30286649399</v>
      </c>
      <c r="HW18" s="1">
        <f>IF(HV18-HU18&gt;0, HV18-$V18*(HV18-HU18),HV18)</f>
        <v>203954.48254053868</v>
      </c>
      <c r="HX18" s="36"/>
    </row>
    <row r="19" spans="1:232" x14ac:dyDescent="0.35">
      <c r="A19">
        <f t="shared" si="0"/>
        <v>52</v>
      </c>
      <c r="B19">
        <v>2042</v>
      </c>
      <c r="C19" s="1">
        <f>IF($B19&lt;Analysis!C$66,0,$AN19)+$AT19+$AW19+$BC19+$CF19+$CA19</f>
        <v>52005.031754768803</v>
      </c>
      <c r="D19" s="1">
        <f>IF($B19&lt;Analysis!C$66, 0, BV19)+AT19+AW19+BC19+CG19+CA19</f>
        <v>-133739.20852236508</v>
      </c>
      <c r="E19" s="1">
        <f t="shared" si="1"/>
        <v>851475.22030811093</v>
      </c>
      <c r="F19" s="1">
        <f t="shared" si="9"/>
        <v>766411.37322351581</v>
      </c>
      <c r="G19" s="1">
        <f>IF(AND($B19&gt;=Analysis!$C$100, $B19&lt;Analysis!$C$101),$CK19,0)+IF($B19&gt;=Analysis!$C$130,EB19,0)+CQ19+CT19+CZ19+EH19+EK19+EQ19+$FO19+$FT19</f>
        <v>810526.32167285704</v>
      </c>
      <c r="H19" s="1">
        <f t="shared" si="10"/>
        <v>687437.93855669128</v>
      </c>
      <c r="I19" s="1">
        <f>IF($B19&lt;Analysis!$C$159,0,$FW19)+$GC19+$GF19+$GL19+$HQ19+$HV19</f>
        <v>810526.32167285704</v>
      </c>
      <c r="J19" s="1">
        <f t="shared" si="2"/>
        <v>687437.93855669128</v>
      </c>
      <c r="K19" s="36"/>
      <c r="L19" s="1">
        <f t="shared" si="11"/>
        <v>128303.9495713021</v>
      </c>
      <c r="M19" s="1">
        <f>IF($B19=Analysis!$C$47, M18 * (1 - Analysis!$C$48),
    IF($B19=Analysis!$C$52, M18 * (1 - Analysis!$C$53),
    IF($B19=Analysis!$C$58, M18 * (1 - Analysis!$C$60),
    L19)))</f>
        <v>128303.9495713021</v>
      </c>
      <c r="N19" s="1">
        <f>Analysis!$C$3*12*(1+O19)+P19</f>
        <v>-56950</v>
      </c>
      <c r="O19" s="64">
        <f>IF(OR($B19=Analysis!$C$47,$B19=Analysis!$C$52,$B19=Analysis!$C$58),-Analysis!$C$49,0)</f>
        <v>0</v>
      </c>
      <c r="P19" s="1">
        <f>IF($B19&lt;Analysis!$C$47,0,IF($B19-Analysis!$C$47&lt;=3,Analysis!$C$40+Analysis!$C$44,IF($B19-Analysis!$C$47&lt;=10,Analysis!$C$41+Analysis!$C$44,IF($B19-Analysis!$C$47&lt;=18,Analysis!$C$42+Analysis!$C$44,IF($B19-Analysis!$C$47&lt;=25,Analysis!$C$43+Analysis!$C$44,0)))) + IF(AND($B19&gt;=Analysis!$C$52, $B19-Analysis!$C$52&lt;=3),Analysis!$C$40+Analysis!$C$44,IF(AND($B19&gt;=Analysis!$C$52, $B19-Analysis!$C$52&lt;=10),Analysis!$C$41+Analysis!$C$44,IF(AND($B19&gt;=Analysis!$C$52, $B19-Analysis!$C$52&lt;=18),Analysis!$C$42+Analysis!$C$44,IF(AND($B19&gt;=Analysis!$C$52, $B19-Analysis!$C$52&lt;=25),Analysis!$C$43+Analysis!$C$44,0)))) + Analysis!$C$57*IF(AND($B19&gt;=Analysis!$C$58, $B19-Analysis!$C$58&lt;=3),Analysis!$C$40+Analysis!$C$44,IF(AND($B19&gt;=Analysis!$C$58, $B19-Analysis!$C$58&lt;=10),Analysis!$C$41+Analysis!$C$44,IF(AND($B19&gt;=Analysis!$C$58, $B19-Analysis!$C$58&lt;=18),Analysis!$C$42+Analysis!$C$44,IF(AND($B19&gt;=Analysis!$C$58, $B19-Analysis!$C$58&lt;=25),Analysis!$C$43+Analysis!$C$44,0)))))</f>
        <v>-8950</v>
      </c>
      <c r="Q19" s="1">
        <f t="shared" si="43"/>
        <v>0</v>
      </c>
      <c r="R19" s="1">
        <f>IF(AND(AND(B19=Analysis!C$35,Analysis!C$34&lt;&gt;0),AND(B19=Analysis!C$37,Analysis!C$36&lt;&gt;0)),Analysis!C$34+Analysis!C$36,IF(AND(B19=Analysis!C$35,Analysis!C$34&lt;&gt;0),Analysis!C$34,IF(AND(B19=Analysis!C$37,Analysis!C$36&lt;&gt;0),Analysis!C$36,0)))</f>
        <v>0</v>
      </c>
      <c r="S19" s="64">
        <f t="shared" si="12"/>
        <v>0.02</v>
      </c>
      <c r="T19" s="64">
        <f>IF($B19&lt;Analysis!$C$13, ((1+IF($B19-$B$2&lt;10,Analysis!$C$11,IF($B19-$B$2&lt;20,(Analysis!$C$11+Analysis!$C$12)/2,Analysis!$C$12)))/(1+$S19)-1),IF($B19=Analysis!$C$13,-Analysis!$C$14,-$S19))</f>
        <v>1.225490196078427E-2</v>
      </c>
      <c r="U19" s="64">
        <f>IF($B19=$B$2,((1+Analysis!$C$16)/(1+$S19))-1,IF(B19&lt;Analysis!$C$13,U18-((Analysis!$C$16-Analysis!$C$17)/(Analysis!$C$13-$B$2)),((1+Analysis!$C$17)/(1+$S18))-1))</f>
        <v>4.928851540616265E-2</v>
      </c>
      <c r="V19" s="64">
        <f t="shared" si="13"/>
        <v>0.26374999999999998</v>
      </c>
      <c r="W19" s="36"/>
      <c r="X19" s="1">
        <f t="shared" si="14"/>
        <v>-25928.079012908576</v>
      </c>
      <c r="Y19" s="64">
        <f t="shared" si="15"/>
        <v>2.941176470588247E-2</v>
      </c>
      <c r="Z19" s="1">
        <f t="shared" si="16"/>
        <v>-3960</v>
      </c>
      <c r="AA19" s="64">
        <f t="shared" si="17"/>
        <v>0</v>
      </c>
      <c r="AB19" s="40"/>
      <c r="AC19" s="1">
        <f t="shared" si="3"/>
        <v>-95788.07901290858</v>
      </c>
      <c r="AD19" s="1">
        <f t="shared" si="4"/>
        <v>128303.9495713021</v>
      </c>
      <c r="AE19" s="1">
        <f t="shared" si="18"/>
        <v>32515.870558393523</v>
      </c>
      <c r="AF19" s="1">
        <f>IF(AE19 &lt; 0,
    IF(AF18 + AE19 &gt; 0,
        AF18 + AE19, IF(AK18-ABS(AF18 + AE19)*(1+$V19) &gt;= AF18 + AE19,
        0, AF18 + AE19)),
    MIN(AF18 + AE19, Analysis!$C$7))+IF(AF18&lt;0, AF18*Analysis!$C$9,0)</f>
        <v>24000</v>
      </c>
      <c r="AG19" s="40"/>
      <c r="AH19" s="1">
        <f t="shared" si="19"/>
        <v>37341.842193178993</v>
      </c>
      <c r="AI19" s="1">
        <f>IF(AE19 &gt;= 0,
    MAX(0, AF18 + AE19 - Analysis!$C$7),
    0)</f>
        <v>32515.870558393523</v>
      </c>
      <c r="AJ19" s="1">
        <f t="shared" si="44"/>
        <v>504958.26453713403</v>
      </c>
      <c r="AK19" s="1">
        <f t="shared" si="20"/>
        <v>827475.22030811093</v>
      </c>
      <c r="AL19" s="1">
        <f t="shared" si="5"/>
        <v>742411.37322351581</v>
      </c>
      <c r="AM19" s="36"/>
      <c r="AN19" s="1">
        <f t="shared" si="45"/>
        <v>1456817.5708010499</v>
      </c>
      <c r="AO19" s="64">
        <f t="shared" si="21"/>
        <v>2.941176470588247E-2</v>
      </c>
      <c r="AP19" s="1">
        <f>IF($B19=Analysis!$C$66,(AN19*(1+Analysis!$C$23+Analysis!$C$24+Analysis!$C$25))-IF($B19=$B$2,(Analysis!$C$6-Analysis!$C$7+Analysis!$C$68), ($CG18-Analysis!$C$7+AY19)),0)</f>
        <v>0</v>
      </c>
      <c r="AQ19" s="65">
        <f>IF($B19=Analysis!$C$66,NPER(AU19,-AX19,-AP19),0)</f>
        <v>0</v>
      </c>
      <c r="AR19" s="64">
        <f>IF($B19=Analysis!$C$66,Analysis!$C$73,0)</f>
        <v>0</v>
      </c>
      <c r="AS19" s="1">
        <f>IF($B19&lt;Analysis!$C$66,0,IF($B19=Analysis!$C$66,-AP19*AR19,IF(AX19&gt;=0,0,AX19-AV19)))</f>
        <v>-34011.469969227874</v>
      </c>
      <c r="AT19" s="1">
        <f>IF($B19&lt;Analysis!$C$66,0,IF($B19=Analysis!$C$66,-AP19-AS19,MIN(0,AT18-AS19)))</f>
        <v>-459393.69302461372</v>
      </c>
      <c r="AU19" s="64">
        <f>IF($B19&lt;Analysis!$C$66,0,IF($B19=Analysis!$C$66,Analysis!$C$72,IF(($B19-Analysis!$C$66)&lt;LOOKUP(Analysis!$C$66,$B:$B,AQ:AQ),AU18,0)))</f>
        <v>3.6999999999999998E-2</v>
      </c>
      <c r="AV19" s="1">
        <f>IF($B19&lt;Analysis!$C$66,0,IF($B19=Analysis!$C$66,-AU19*AP19,AU18*AT18))</f>
        <v>-18255.991030772137</v>
      </c>
      <c r="AW19" s="1">
        <f>IF($B19&lt;Analysis!$C$66,0,IF($B19=Analysis!$C$66,PMT(AU19,AQ19,AP19)*AQ19-AX19-AT19,IF(($B19-Analysis!$C$66+1)&lt;LOOKUP(Analysis!$C$66,$B:$B,AQ:AQ),IF(AW18-AV19&lt;0, AW18-AV19,0),0)))</f>
        <v>-106475.13376569492</v>
      </c>
      <c r="AX19" s="1">
        <f>IF($B19&lt;Analysis!$C$66,0,IF($B19=Analysis!$C$66,AS19+AV19,IF(AT18&lt;0,IF(AT18&gt;LOOKUP(Analysis!$C$66,$B:$B,AX:AX), AT18*(1+AU18),AX18),0)))</f>
        <v>-52267.46100000001</v>
      </c>
      <c r="AY19" s="1">
        <f>IF($B19=Analysis!$C$66,Analysis!$C$68,0)</f>
        <v>0</v>
      </c>
      <c r="AZ19" s="1">
        <f>IF($B19=Analysis!$C$66,PMT(AU19,BA19,AY19)*BA19,0)</f>
        <v>0</v>
      </c>
      <c r="BA19" s="7">
        <f>IF($B19=Analysis!$C$66,Analysis!$C$70,0)</f>
        <v>0</v>
      </c>
      <c r="BB19" s="1">
        <f>IF($B19&lt;Analysis!$C$66,0,IF($B19=Analysis!$C$66,AZ19/BA19,IF(($B19-Analysis!$C$66)&lt;LOOKUP(Analysis!$C$66,$B:$B,BA:BA),BB18,0)))</f>
        <v>0</v>
      </c>
      <c r="BC19" s="1">
        <f>IF($B19&lt;Analysis!$C$66,0,IF($B19=Analysis!$C$66,BA19*BB19-BB19,IF(($B19-Analysis!$C$66)&lt;Analysis!$C$70,BC18-BB19,0)))</f>
        <v>0</v>
      </c>
      <c r="BD19" s="42"/>
      <c r="BE19" s="1">
        <f>IF($B19&lt;Analysis!$C$66,0,-BF19*AN19)</f>
        <v>-4370.4527124031501</v>
      </c>
      <c r="BF19" s="64">
        <f>IF($B19&lt;Analysis!$C$66,0,Analysis!$C$78)</f>
        <v>3.0000000000000001E-3</v>
      </c>
      <c r="BG19" s="1">
        <f>IF($B19&lt;Analysis!$C$66,0,-BH19*AN19)</f>
        <v>-10926.131781007874</v>
      </c>
      <c r="BH19" s="64">
        <f>IF($B19&lt;Analysis!$C$66,0,Analysis!$C$79)</f>
        <v>7.4999999999999997E-3</v>
      </c>
      <c r="BI19" s="1">
        <f>IF($B19&lt;Analysis!$C$66,0,MIN(Analysis!$C$80*12,SUM(BJ19:BN19)))</f>
        <v>-3960</v>
      </c>
      <c r="BJ19" s="1">
        <f>IF($B19&lt;Analysis!$C$66,0,Analysis!$C$81*12)</f>
        <v>-900</v>
      </c>
      <c r="BK19" s="1">
        <f>IF($B19&lt;Analysis!$C$66,0,Analysis!$C$82*12)</f>
        <v>-1500</v>
      </c>
      <c r="BL19" s="1">
        <f>IF($B19&lt;Analysis!$C$66,0,Analysis!$C$83*12)</f>
        <v>-480</v>
      </c>
      <c r="BM19" s="1">
        <f>IF($B19&lt;Analysis!$C$66,0,Analysis!$C$84*12)</f>
        <v>-480</v>
      </c>
      <c r="BN19" s="1">
        <f>IF($B19&lt;Analysis!$C$66,0,Analysis!$C$85*12)</f>
        <v>-600</v>
      </c>
      <c r="BO19" s="1">
        <v>0</v>
      </c>
      <c r="BP19" s="1">
        <f>-BO19*Analysis!$C$28</f>
        <v>0</v>
      </c>
      <c r="BQ19" s="42"/>
      <c r="BR19" s="1">
        <f t="shared" si="22"/>
        <v>-185744.24027713388</v>
      </c>
      <c r="BS19" s="64">
        <f>IF($B19&lt;Analysis!C$66,0,Analysis!C$31)</f>
        <v>0.1275</v>
      </c>
      <c r="BT19" s="1">
        <f>IF($B19&lt;Analysis!$C$66,0,AN19+BR19)</f>
        <v>1271073.3305239161</v>
      </c>
      <c r="BU19" s="1">
        <f>IF($B19-Analysis!$C$66&gt;3,0,IF($AN19&gt;LOOKUP(Analysis!$C$66,$B:$B, AN:AN),$V19*(LOOKUP(Analysis!$C$66,$B:$B, AN:AN)-AN19),0))</f>
        <v>0</v>
      </c>
      <c r="BV19" s="1">
        <f t="shared" si="23"/>
        <v>1271073.3305239161</v>
      </c>
      <c r="BW19" s="42"/>
      <c r="BX19" s="1">
        <f>IF($B19&lt;Analysis!$C$66,$P19+$N19+$X19+$Z19,$P19+$N19+AS19+AV19+BB19+BE19+BG19+MAX(BI19,SUM(BJ19:BN19))+BP19)</f>
        <v>-137424.04549341102</v>
      </c>
      <c r="BY19" s="1">
        <f t="shared" si="24"/>
        <v>128303.9495713021</v>
      </c>
      <c r="BZ19" s="1">
        <f t="shared" si="46"/>
        <v>-9120.0959221089142</v>
      </c>
      <c r="CA19" s="1">
        <f>IF(BZ19 &lt; 0,
    IF(CA18 + BZ19 &gt; 0,
        CA18 + BZ19, IF(CF18-ABS(CA18 + BZ19)*(1+$V19) &gt;= CA18 + BZ19,
        0, CA18 + BZ19)),
    MIN(CA18 + BZ19, Analysis!$C$7))+IF(CA18&lt;0, CA18*Analysis!$C$9,0)</f>
        <v>-838943.71225597255</v>
      </c>
      <c r="CB19" s="42"/>
      <c r="CC19" s="1">
        <f t="shared" si="47"/>
        <v>0</v>
      </c>
      <c r="CD19" s="1">
        <f>IF(BZ19 &gt;= 0,
    MAX(0, CA18 + BZ19 - Analysis!$C$7),
    0)</f>
        <v>0</v>
      </c>
      <c r="CE19" s="1">
        <f>IF($B19=Analysis!$C$66,0,MAX(0, CE18 + CD19 - IF(BZ19 &lt; 0, MIN(ABS(BZ19), CE18 + CD19), 0)))</f>
        <v>0</v>
      </c>
      <c r="CF19" s="1">
        <f>IF($B19=Analysis!$C$66,0,IF(BZ19 &lt; 0,
    IF(BZ19 + CA18 &lt; 0,
        MAX(0, CF18 - (ABS(BZ19 + CA18) * (1+$V18))),
        CF18 + CC19),
    CF18 + CD19 + CC19))</f>
        <v>0</v>
      </c>
      <c r="CG19" s="1">
        <f t="shared" si="25"/>
        <v>0</v>
      </c>
      <c r="CH19" s="36"/>
      <c r="CI19" s="1">
        <f>IF(OR($B19&lt;Analysis!$C$100, $B19&gt;=Analysis!$C$130),0,X19)</f>
        <v>-25928.079012908576</v>
      </c>
      <c r="CJ19" s="1">
        <f>IF(OR($B19&lt;Analysis!$C$100, $B19&gt;=Analysis!$C$130),0,Z19)</f>
        <v>-3960</v>
      </c>
      <c r="CK19" s="1">
        <f t="shared" si="26"/>
        <v>850519.5615598039</v>
      </c>
      <c r="CL19" s="64">
        <f t="shared" si="48"/>
        <v>2.941176470588247E-2</v>
      </c>
      <c r="CM19" s="1">
        <f>IF($B19=Analysis!$C$100,(CK19*(1+Analysis!$C$23+Analysis!$C$24+Analysis!$C$25))-IF($B19=$B$2,(Analysis!$C$6-Analysis!$C$7+Analysis!$C$105), (FU18-Analysis!$C$7+CV19)),0)</f>
        <v>0</v>
      </c>
      <c r="CN19" s="65">
        <f>IF($B19=Analysis!$C$100,NPER(CR19,-CU19,-CM19),0)</f>
        <v>0</v>
      </c>
      <c r="CO19" s="64">
        <f>IF($B19=Analysis!$C$100,Analysis!$C$103,0)</f>
        <v>0</v>
      </c>
      <c r="CP19" s="1">
        <f>IF(OR($B19&lt;Analysis!$C$100, $B19&gt;=Analysis!$C$101),0,IF($B19=Analysis!$C$100,-CM19*CO19,IF(CU19&gt;=0,0,CU19-CS19)))</f>
        <v>-18683.407370498287</v>
      </c>
      <c r="CQ19" s="1">
        <f>IF(OR($B19&lt;Analysis!$C$100, $B19&gt;=Analysis!$C$101),0,IF($B19=Analysis!$C$100,-CM19-CP19,MIN(0,CQ18-CP19)))</f>
        <v>-252357.20531873725</v>
      </c>
      <c r="CR19" s="64">
        <f>IF(OR($B19&lt;Analysis!$C$100, $B19&gt;=Analysis!$C$101),0,IF($B19=Analysis!$C$100,Analysis!$C$102,IF(($B19-Analysis!$C$100)&lt;LOOKUP(Analysis!$C$100,$B:$B,CN:CN),CR18,0)))</f>
        <v>3.6999999999999998E-2</v>
      </c>
      <c r="CS19" s="1">
        <f>IF(OR($B19&lt;Analysis!$C$100, $B19&gt;=Analysis!$C$101),0,IF($B19=Analysis!$C$100,-CR19*CM19,CR18*CQ18))</f>
        <v>-10028.502669501715</v>
      </c>
      <c r="CT19" s="1">
        <f>IF(OR($B19&lt;Analysis!$C$100, $B19&gt;=Analysis!$C$101),0,IF($B19=Analysis!$C$100,PMT(CR19,CN19,CM19)*CN19-CU19-CQ19,IF(($B19-Analysis!$C$100+1)&lt;LOOKUP(Analysis!$C$100,$B:$B,CN:CN),IF(CT18-CS19&lt;0, CT18-CS19,0),0)))</f>
        <v>-58489.630138674649</v>
      </c>
      <c r="CU19" s="1">
        <f>IF(OR($B19&lt;Analysis!$C$100, $B19&gt;=Analysis!$C$101),0,IF($B19=Analysis!$C$100,CP19+CS19,IF(CQ18&lt;0,IF(CQ18&gt;LOOKUP(Analysis!$C$100,$B:$B,CU:CU), CQ18*(1+CR18),CU18),0)))</f>
        <v>-28711.910040000002</v>
      </c>
      <c r="CV19" s="1">
        <f>IF($B19=Analysis!$C$100,Analysis!$C$105,0)</f>
        <v>0</v>
      </c>
      <c r="CW19" s="1">
        <f>IF($B19=Analysis!$C$100,PMT(CR19,CX19,CV19)*CX19,0)</f>
        <v>0</v>
      </c>
      <c r="CX19" s="7">
        <f>IF($B19=Analysis!$C$100,Analysis!$C$107,0)</f>
        <v>0</v>
      </c>
      <c r="CY19" s="1">
        <f>IF(OR($B19&lt;Analysis!$C$100, $B19&gt;=Analysis!$C$101),0,IF($B19=Analysis!$C$100,CW19/CX19,IF(($B19-Analysis!$C$100)&lt;LOOKUP(Analysis!$C$100,$B:$B,CX:CX),CY18,0)))</f>
        <v>0</v>
      </c>
      <c r="CZ19" s="1">
        <f>IF(OR($B19&lt;Analysis!$C$100, $B19&gt;=Analysis!$C$101),0,IF($B19=Analysis!$C$100,CX19*CY19-CY19,IF(($B19-Analysis!$C$100)&lt;Analysis!$C$107,CZ18-CY19,0)))</f>
        <v>0</v>
      </c>
      <c r="DA19" s="53"/>
      <c r="DB19" s="1">
        <f>IF(OR($B19&lt;Analysis!$C$100, $B19&gt;=Analysis!$C$101),0,IF($B19=2025,(Analysis!$C$109*12),IF($B19=Analysis!$C$100,(Analysis!$C$109*12)*(1+DC19)^($B19-$B$2),DB18*(1+DC19))))</f>
        <v>22687.069136295009</v>
      </c>
      <c r="DC19" s="64">
        <f>IF(OR($B19&lt;Analysis!$C$100, $B19&gt;=Analysis!$C$101),0,((1+Analysis!$C$114)/(1+$S19))-1)</f>
        <v>2.941176470588247E-2</v>
      </c>
      <c r="DD19" s="1">
        <f t="shared" si="6"/>
        <v>29198.62782097442</v>
      </c>
      <c r="DE19" s="1">
        <f t="shared" si="27"/>
        <v>-2551.5586846794117</v>
      </c>
      <c r="DF19" s="64">
        <f>IF(OR($B19&lt;Analysis!$C$100, $B19&gt;=Analysis!$C$101),0,Analysis!$C$118)</f>
        <v>3.0000000000000001E-3</v>
      </c>
      <c r="DG19" s="1">
        <f t="shared" si="28"/>
        <v>-6378.8967116985286</v>
      </c>
      <c r="DH19" s="64">
        <f>IF(OR($B19&lt;Analysis!$C$100, $B19&gt;=Analysis!$C$101),0,Analysis!$C$119)</f>
        <v>7.4999999999999997E-3</v>
      </c>
      <c r="DI19" s="1">
        <f>IF(OR($B19&lt;Analysis!$C$100, $B19&gt;=Analysis!$C$101),0,MIN(Analysis!$C$120*12,SUM(DJ19:DN19)))</f>
        <v>-3960</v>
      </c>
      <c r="DJ19" s="1">
        <f>IF(OR($B19&lt;Analysis!$C$100, $B19&gt;=Analysis!$C$101),0,Analysis!$C$121*12)</f>
        <v>-900</v>
      </c>
      <c r="DK19" s="1">
        <f>IF(OR($B19&lt;Analysis!$C$100, $B19&gt;=Analysis!$C$101),0,Analysis!$C$122*12)</f>
        <v>-1500</v>
      </c>
      <c r="DL19" s="1">
        <f>IF(OR($B19&lt;Analysis!$C$100, $B19&gt;=Analysis!$C$101),0,Analysis!$C$123*12)</f>
        <v>-480</v>
      </c>
      <c r="DM19" s="1">
        <f>IF(OR($B19&lt;Analysis!$C$100, $B19&gt;=Analysis!$C$101),0,Analysis!$C$124*12)</f>
        <v>-480</v>
      </c>
      <c r="DN19" s="1">
        <f>IF(OR($B19&lt;Analysis!$C$100, $B19&gt;=Analysis!$C$101),0,Analysis!$C$125*12)</f>
        <v>-600</v>
      </c>
      <c r="DO19" s="64">
        <f>IF(OR($B19&lt;Analysis!$C$100, $B19&gt;=Analysis!$C$101),0,Analysis!$C$113)</f>
        <v>0.02</v>
      </c>
      <c r="DP19" s="1">
        <f>-DO19*LOOKUP(Analysis!$C$100,$B:$B,CK:CK)</f>
        <v>-10392</v>
      </c>
      <c r="DQ19" s="1">
        <f>-Analysis!$C$117*DB19</f>
        <v>-1701.5301852221257</v>
      </c>
      <c r="DR19" s="1">
        <f t="shared" si="29"/>
        <v>-24983.985581600067</v>
      </c>
      <c r="DS19" s="1">
        <f>MIN(0,-(DB19+DR19)*Analysis!$C$28)-CS19*Analysis!$C$28</f>
        <v>4443.6295328562092</v>
      </c>
      <c r="DT19" s="1">
        <f>-Analysis!$C$116*DD19/12</f>
        <v>-2433.2189850812015</v>
      </c>
      <c r="DU19" s="53"/>
      <c r="DV19" s="1">
        <f t="shared" si="30"/>
        <v>-108441.244098875</v>
      </c>
      <c r="DW19" s="64">
        <f>IF(OR($B19&lt;Analysis!$C$100, $B19&gt;=Analysis!$C$101),0,IF($B19=Analysis!$C$100,Analysis!$C$31,DW18))</f>
        <v>0.1275</v>
      </c>
      <c r="DX19" s="1">
        <f>IF(OR($B19&lt;Analysis!$C$100, $B19&gt;=Analysis!$C$101),0,CK19+DV19)</f>
        <v>742078.31746092893</v>
      </c>
      <c r="DY19" s="1">
        <f>IF(OR($B19&lt;Analysis!$C$100, $B19&gt;=Analysis!$C$101),0,IF($B19-Analysis!$C$100&gt;3,0,IF(CK19&gt;LOOKUP(Analysis!$C$100,$B:$B, CK:CK),$V19*(LOOKUP(Analysis!$C$100,$B:$B, CK:CK)-CK19),0)))</f>
        <v>0</v>
      </c>
      <c r="DZ19" s="1">
        <f t="shared" si="49"/>
        <v>742078.31746092893</v>
      </c>
      <c r="EA19" s="53"/>
      <c r="EB19" s="1">
        <f t="shared" si="31"/>
        <v>1129442.8357895785</v>
      </c>
      <c r="EC19" s="64">
        <f t="shared" si="50"/>
        <v>2.941176470588247E-2</v>
      </c>
      <c r="ED19" s="1">
        <f>MAX(0,IF($B19=Analysis!$C$130,(EB19*(1+Analysis!$C$23+Analysis!$C$24+Analysis!$C$25))-(IF($B19=$B$2,(Analysis!$C$6-Analysis!$C$7+Analysis!$C$132), (FU18-Analysis!$C$7+EM19)) + IF($B19=Analysis!$C$101,DZ18+CQ18+CT18+CZ18,0)),0))</f>
        <v>0</v>
      </c>
      <c r="EE19" s="65">
        <f>IF($B19=Analysis!$C$130,IF(ED19&gt;0,NPER(EI19,-EL19,-ED19),0),0)</f>
        <v>0</v>
      </c>
      <c r="EF19" s="64">
        <f>IF($B19=Analysis!$C$130,Analysis!$C$137,0)</f>
        <v>0</v>
      </c>
      <c r="EG19" s="1">
        <f>IF($B19&lt;Analysis!$C$130,0,IF($B19=Analysis!$C$130,-ED19*EF19,IF(EL19&gt;=0,0,EL19-EJ19)))</f>
        <v>0</v>
      </c>
      <c r="EH19" s="1">
        <f>IF($B19&lt;Analysis!$C$130,0,IF($B19=Analysis!$C$130,-ED19-EG19,MIN(0,EH18-EG19)))</f>
        <v>0</v>
      </c>
      <c r="EI19" s="64">
        <f>IF($B19&lt;Analysis!$C$130,0,IF($B19=Analysis!$C$130,Analysis!$C$136,IF(($B19-Analysis!$C$130)&lt;LOOKUP(Analysis!$C$130,$B:$B,EE:EE),EI18,0)))</f>
        <v>0</v>
      </c>
      <c r="EJ19" s="1">
        <f>IF($B19&lt;Analysis!$C$130,0,IF($B19=Analysis!$C$130,-EI19*ED19,EI18*EH18))</f>
        <v>0</v>
      </c>
      <c r="EK19" s="1">
        <f>IF(OR($B19&lt;Analysis!$C$130, ED19=0),0,IF($B19=Analysis!$C$130,PMT(EI19,EE19,ED19)*EE19-EL19-EH19,IF(($B19-Analysis!$C$130+1)&lt;LOOKUP(Analysis!$C$130,$B:$B,EE:EE),IF(EK18-EJ19&lt;0, EK18-EJ19,0),0)))</f>
        <v>0</v>
      </c>
      <c r="EL19" s="1">
        <f>IF($B19&lt;Analysis!$C$130,0,IF($B19=Analysis!$C$130,EG19+EJ19,IF(EH18&lt;0,IF(EH18&gt;LOOKUP(Analysis!$C$130,$B:$B,EL:EL), EH18*(1+EI18),EL18),0)))</f>
        <v>0</v>
      </c>
      <c r="EM19" s="1">
        <f>IF($B19=Analysis!$C$130,Analysis!$C$132,0)</f>
        <v>0</v>
      </c>
      <c r="EN19" s="1">
        <f>IF($B19=Analysis!$C$130,PMT(EI19,EO19,EM19)*EO19,0)</f>
        <v>0</v>
      </c>
      <c r="EO19" s="7">
        <f>IF($B19=Analysis!$C$130,Analysis!$C$134,0)</f>
        <v>0</v>
      </c>
      <c r="EP19" s="1">
        <f>IF($B19&lt;Analysis!$C$130,0,IF($B19=Analysis!$C$130,EN19/EO19,IF(($B19-Analysis!$C$130)&lt;LOOKUP(Analysis!$C$130,$B:$B,EO:EO),EP18,0)))</f>
        <v>0</v>
      </c>
      <c r="EQ19" s="1">
        <f>IF($B19&lt;Analysis!$C$130,0,IF($B19=Analysis!$C$130,EO19*EP19-EP19,IF(($B19-Analysis!$C$130)&lt;Analysis!$C$134,EQ18-EP19,0)))</f>
        <v>0</v>
      </c>
      <c r="ER19" s="53"/>
      <c r="ES19" s="1">
        <f>IF($B19&lt;Analysis!$C$130,0,-ET19*EB19)</f>
        <v>0</v>
      </c>
      <c r="ET19" s="64">
        <f>IF($B19&lt;Analysis!$C$130,0,Analysis!$C$142)</f>
        <v>0</v>
      </c>
      <c r="EU19" s="1">
        <f>IF($B19&lt;Analysis!$C$130,0,-EV19*EB19)</f>
        <v>0</v>
      </c>
      <c r="EV19" s="64">
        <f>IF($B19&lt;Analysis!$C$130,0,Analysis!$C$143)</f>
        <v>0</v>
      </c>
      <c r="EW19" s="1">
        <f>IF($B19&lt;Analysis!$C$130,0,MIN(Analysis!$C$144*12,SUM(EX19:FB19)))</f>
        <v>0</v>
      </c>
      <c r="EX19" s="1">
        <f>IF($B19&lt;Analysis!$C$130,0,Analysis!$C$145*12)</f>
        <v>0</v>
      </c>
      <c r="EY19" s="1">
        <f>IF($B19&lt;Analysis!$C$130,0,Analysis!$C$146*12)</f>
        <v>0</v>
      </c>
      <c r="EZ19" s="1">
        <f>IF($B19&lt;Analysis!$C$130,0,Analysis!$C$147*12)</f>
        <v>0</v>
      </c>
      <c r="FA19" s="1">
        <f>IF($B19&lt;Analysis!$C$130,0,Analysis!$C$148*12)</f>
        <v>0</v>
      </c>
      <c r="FB19" s="1">
        <f>IF($B19&lt;Analysis!$C$130,0,Analysis!$C$149*12)</f>
        <v>0</v>
      </c>
      <c r="FC19" s="1">
        <v>0</v>
      </c>
      <c r="FD19" s="1">
        <f>-FC19*Analysis!$C$28</f>
        <v>0</v>
      </c>
      <c r="FE19" s="53"/>
      <c r="FF19" s="1">
        <f t="shared" si="32"/>
        <v>0</v>
      </c>
      <c r="FG19" s="64">
        <f>IF($B19&lt;Analysis!$C$130,0,Analysis!$C$31)</f>
        <v>0</v>
      </c>
      <c r="FH19" s="1">
        <f>IF($B19&lt;Analysis!$C$130,0,EB19+FF19)</f>
        <v>0</v>
      </c>
      <c r="FI19" s="1">
        <f>IF($B19-Analysis!$C$130&gt;3,0,IF(EB19&gt;LOOKUP(Analysis!$C$130,$B:$B, EB:EB),$V19*(LOOKUP(Analysis!$C$130,$B:$B, EB:EB)-EB19),0))</f>
        <v>0</v>
      </c>
      <c r="FJ19" s="1">
        <f t="shared" si="33"/>
        <v>0</v>
      </c>
      <c r="FK19" s="53"/>
      <c r="FL19" s="1">
        <f>$P19+$N19+IF($B19&lt;Analysis!$C$130,$X19+$Z19,0)+CP19+CS19+CY19+DE19+DG19+MIN(DI19,SUM(DJ19:DN19))+DQ19+DS19+DT19+EG19+EJ19+EP19+ES19+EU19+MIN(EW19,SUM(EX19:FB19))+FD19</f>
        <v>-137081.56408673368</v>
      </c>
      <c r="FM19" s="1">
        <f>$M19+$R19+DD19+IF(AND($B19&lt;&gt;Analysis!$C$130,$B19=Analysis!$C$101),DZ18+CQ18+CT18+CZ18,0)</f>
        <v>157502.57739227652</v>
      </c>
      <c r="FN19" s="1">
        <f t="shared" si="34"/>
        <v>20421.013305542845</v>
      </c>
      <c r="FO19" s="1">
        <f>IF(FN19 &lt; 0,
    IF(FO18 + FN19 &gt; 0,
        FO18 + FN19, IF(FT18-ABS(FO18 + FN19)*(1+$V19) &gt;= FO18 + FN19,
        0, FO18 + FN19)),
    MIN(FO18 + FN19, Analysis!$C$7))+IF(FO18&lt;0, FO18*Analysis!$C$9,0)</f>
        <v>24000</v>
      </c>
      <c r="FP19" s="53"/>
      <c r="FQ19" s="1">
        <f t="shared" si="51"/>
        <v>10636.279398428131</v>
      </c>
      <c r="FR19" s="1">
        <f>IF(OR($B19=Analysis!$C$100, $B19=Analysis!$C$130),0,IF(FN19 &gt;= 0,
    MAX(0, FO18 + FN19 - Analysis!$C$7),
    0))</f>
        <v>20421.013305542845</v>
      </c>
      <c r="FS19" s="1">
        <f>IF(OR($B19=Analysis!$C$100, $B19=Analysis!$C$130),0,MAX(0, FS18 + FR19 - IF(FN19 &lt; 0, MIN(ABS(FN19), FS18 + FR19), 0)))</f>
        <v>191319.41920159012</v>
      </c>
      <c r="FT19" s="1">
        <f>IF(OR($B19=Analysis!$C$100, $B19=Analysis!$C$130),0,IF(FN19 &lt; 0,
    IF(FN19 + FO18 &lt; 0,
        MAX(0, FT18 - (ABS(FN19 + FO18) * (1+$V18))),
        FT18 + FQ19),
    FT18 + FR19 + FQ19))</f>
        <v>246853.59557046497</v>
      </c>
      <c r="FU19" s="1">
        <f t="shared" ref="FU19:FU52" si="57">IF(FT19-FS19&gt;0, FT19-$V19*(FT19-FS19),FT19)</f>
        <v>232206.45655317424</v>
      </c>
      <c r="FV19" s="36"/>
      <c r="FW19" s="1">
        <f t="shared" si="52"/>
        <v>850519.5615598039</v>
      </c>
      <c r="FX19" s="64">
        <f t="shared" si="53"/>
        <v>2.941176470588247E-2</v>
      </c>
      <c r="FY19" s="1">
        <f>IF($B19=Analysis!$C$159,(FW19*(1+Analysis!$C$23+Analysis!$C$24+Analysis!$C$25))-IF($B19=$B$2,(Analysis!$C$6-Analysis!$C$7+Analysis!$C$165), (HW18-Analysis!$C$7+GH19)),0)</f>
        <v>0</v>
      </c>
      <c r="FZ19" s="65">
        <f>IF($B19=Analysis!$C$159,NPER(GD19,-GG19,-FY19),0)</f>
        <v>0</v>
      </c>
      <c r="GA19" s="64">
        <f>IF($B19=Analysis!$C$159,Analysis!$C$161,0)</f>
        <v>0</v>
      </c>
      <c r="GB19" s="1">
        <f>IF($B19&lt;Analysis!$C$159,0,IF($B19=Analysis!$C$159,-FY19*GA19,IF(GG19&gt;=0,0,GG19-GE19)))</f>
        <v>-18683.407370498287</v>
      </c>
      <c r="GC19" s="1">
        <f>IF($B19&lt;Analysis!$C$159,0,IF($B19=Analysis!$C$159,-FY19-GB19,MIN(0,GC18-GB19)))</f>
        <v>-252357.20531873725</v>
      </c>
      <c r="GD19" s="64">
        <f>IF($B19&lt;Analysis!$C$159,0,IF($B19=Analysis!$C$159,Analysis!$C$160,IF(($B19-Analysis!$C$159)&lt;LOOKUP(Analysis!$C$159,$B:$B,FZ:FZ),GD18,0)))</f>
        <v>3.6999999999999998E-2</v>
      </c>
      <c r="GE19" s="1">
        <f>IF($B19&lt;Analysis!$C$159,0,IF($B19=Analysis!$C$159,-GD19*FY19,GD18*GC18))</f>
        <v>-10028.502669501715</v>
      </c>
      <c r="GF19" s="1">
        <f>IF($B19&lt;Analysis!$C$159,0,IF($B19=Analysis!$C$159,PMT(GD19,FZ19,FY19)*FZ19-GG19-GC19,IF(($B19-Analysis!$C$159+1)&lt;LOOKUP(Analysis!$C$159,$B:$B,FZ:FZ),IF(GF18-GE19&lt;0, GF18-GE19,0),0)))</f>
        <v>-58489.630138674649</v>
      </c>
      <c r="GG19" s="1">
        <f>IF($B19&lt;Analysis!$C$159,0,IF($B19=Analysis!$C$159,GB19+GE19,IF(GC18&lt;0,IF(GC18&gt;LOOKUP(Analysis!$C$159,$B:$B,GG:GG), GC18*(1+GD18),GG18),0)))</f>
        <v>-28711.910040000002</v>
      </c>
      <c r="GH19" s="1">
        <f>IF($B19=Analysis!$C$159,Analysis!$C$165,0)</f>
        <v>0</v>
      </c>
      <c r="GI19" s="1">
        <f>IF($B19=Analysis!$C$159,PMT(GD19,GJ19,GH19)*GJ19,0)</f>
        <v>0</v>
      </c>
      <c r="GJ19" s="7">
        <f>IF($B19=Analysis!$C$159,Analysis!$C$167,0)</f>
        <v>0</v>
      </c>
      <c r="GK19" s="1">
        <f>IF($B19&lt;Analysis!$C$159,0,IF($B19=Analysis!$C$159,GI19/GJ19,IF(($B19-Analysis!$C$159)&lt;LOOKUP(Analysis!$C$159,$B:$B,GJ:GJ),GK18,0)))</f>
        <v>0</v>
      </c>
      <c r="GL19" s="1">
        <f>IF($B19&lt;Analysis!$C$159,0,IF($B19=Analysis!$C$159,GJ19*GK19-GK19,IF(($B19-Analysis!$C$159)&lt;Analysis!$C$167,GL18-GK19,0)))</f>
        <v>0</v>
      </c>
      <c r="GM19" s="38"/>
      <c r="GN19" s="1">
        <f>IF($B19&lt;Analysis!$C$159,0,IF($B19=2025,(Analysis!$C$109*12),IF($B19=Analysis!$C$159,(Analysis!$C$109*12)*(1+GO19)^($B19-$B$2),GN18*(1+GO19))))</f>
        <v>22687.069136295009</v>
      </c>
      <c r="GO19" s="64">
        <f>IF($B19&lt;Analysis!$C$159,0,((1+Analysis!$C$174)/(1+$S19))-1)</f>
        <v>2.941176470588247E-2</v>
      </c>
      <c r="GP19" s="1">
        <f t="shared" si="7"/>
        <v>29198.62782097442</v>
      </c>
      <c r="GQ19" s="1">
        <f t="shared" si="36"/>
        <v>-2551.5586846794117</v>
      </c>
      <c r="GR19" s="64">
        <f>IF($B19&lt;Analysis!$C$159,0,Analysis!$C$178)</f>
        <v>3.0000000000000001E-3</v>
      </c>
      <c r="GS19" s="1">
        <f t="shared" si="37"/>
        <v>-6378.8967116985286</v>
      </c>
      <c r="GT19" s="64">
        <f>IF($B19&lt;Analysis!$C$159,0,Analysis!$C$179)</f>
        <v>7.4999999999999997E-3</v>
      </c>
      <c r="GU19" s="1">
        <f>IF($B19&lt;Analysis!$C$159,0,MIN(Analysis!$C$180*12,SUM(GV19:GZ19)))</f>
        <v>-3960</v>
      </c>
      <c r="GV19" s="1">
        <f>IF($B19&lt;Analysis!$C$159,0,Analysis!$C$181*12)</f>
        <v>-900</v>
      </c>
      <c r="GW19" s="1">
        <f>IF($B19&lt;Analysis!$C$159,0,Analysis!$C$182*12)</f>
        <v>-1500</v>
      </c>
      <c r="GX19" s="1">
        <f>IF($B19&lt;Analysis!$C$159,0,Analysis!$C$183*12)</f>
        <v>-480</v>
      </c>
      <c r="GY19" s="1">
        <f>IF($B19&lt;Analysis!$C$159,0,Analysis!$C$184*12)</f>
        <v>-480</v>
      </c>
      <c r="GZ19" s="1">
        <f>IF($B19&lt;Analysis!$C$159,0,Analysis!$C$185*12)</f>
        <v>-600</v>
      </c>
      <c r="HA19" s="64">
        <f>IF($B19&lt;Analysis!$C$159,0,Analysis!$C$173)</f>
        <v>0.02</v>
      </c>
      <c r="HB19" s="1">
        <f>-HA19*LOOKUP(Analysis!$C$159,$B:$B,FW:FW)</f>
        <v>-10392</v>
      </c>
      <c r="HC19" s="1">
        <f>-Analysis!$C$177*GN19</f>
        <v>-1701.5301852221257</v>
      </c>
      <c r="HD19" s="1">
        <f t="shared" si="38"/>
        <v>-24983.985581600067</v>
      </c>
      <c r="HE19" s="1">
        <f>MIN(0,-(GN19+HD19)*Analysis!$C$28)-GE19*Analysis!$C$28</f>
        <v>4443.6295328562092</v>
      </c>
      <c r="HF19" s="1">
        <f>-Analysis!$C$176*GP19/12</f>
        <v>-2433.2189850812015</v>
      </c>
      <c r="HG19" s="38"/>
      <c r="HH19" s="1">
        <f>IF($B19&lt;Analysis!$C$159,0,-$HI19*$FW19)</f>
        <v>-108441.244098875</v>
      </c>
      <c r="HI19" s="64">
        <f>IF($B19&lt;Analysis!$C$159,0,IF($B19=Analysis!$C$159,Analysis!$C$31,HI18))</f>
        <v>0.1275</v>
      </c>
      <c r="HJ19" s="1">
        <f>IF($B19&lt;Analysis!$C$159,0,$FW19+HH19)</f>
        <v>742078.31746092893</v>
      </c>
      <c r="HK19" s="1">
        <f>IF($B19-Analysis!$C$159&gt;10,0,IF($FW19&gt;LOOKUP(Analysis!$C$159,$B:$B, FW:FW),$V19*(LOOKUP(Analysis!$C$159,$B:$B, FW:FW)-FW19),0))</f>
        <v>0</v>
      </c>
      <c r="HL19" s="1">
        <f t="shared" si="39"/>
        <v>742078.31746092893</v>
      </c>
      <c r="HM19" s="38"/>
      <c r="HN19" s="1">
        <f t="shared" si="40"/>
        <v>-137081.56408673368</v>
      </c>
      <c r="HO19" s="1">
        <f t="shared" si="8"/>
        <v>157502.57739227652</v>
      </c>
      <c r="HP19" s="1">
        <f t="shared" si="41"/>
        <v>20421.013305542845</v>
      </c>
      <c r="HQ19" s="1">
        <f>IF(HP19 &lt; 0,
    IF(HQ18 + HP19 &gt; 0,
        HQ18 + HP19, IF(HV18-ABS(HQ18 + HP19)*(1+$V19) &gt;= HQ18 + HP19,
        0, HQ18 + HP19)),
    MIN(HQ18 + HP19, Analysis!$C$7))+IF(HQ18&lt;0, HQ18*Analysis!$C$9,0)</f>
        <v>24000</v>
      </c>
      <c r="HR19" s="38"/>
      <c r="HS19" s="1">
        <f t="shared" si="54"/>
        <v>10636.279398428131</v>
      </c>
      <c r="HT19" s="1">
        <f>IF($B19=Analysis!$C$159,0,IF(HP19 &gt;= 0,
    MAX(0, HQ18 + HP19 - Analysis!$C$7),
    0))</f>
        <v>20421.013305542845</v>
      </c>
      <c r="HU19" s="1">
        <f>IF($B19=Analysis!$C$159,0,MAX(0, HU18 + HT19 - IF(HP19 &lt; 0, MIN(ABS(HP19), HU18 + HT19), 0)))</f>
        <v>191319.41920159012</v>
      </c>
      <c r="HV19" s="1">
        <f>IF($B19=Analysis!$C$159,0,IF(HP19 &lt; 0,
    IF(HP19 + HQ18 &lt; 0,
        MAX(0, HV18 - (ABS(HP19 + HQ18) * (1+$V18))),
        HV18 + HS19),
    HV18 + HT19 + HS19))</f>
        <v>246853.59557046497</v>
      </c>
      <c r="HW19" s="1">
        <f t="shared" ref="HW19:HW52" si="58">IF(HV19-HU19&gt;0, HV19-$V19*(HV19-HU19),HV19)</f>
        <v>232206.45655317424</v>
      </c>
      <c r="HX19" s="36"/>
    </row>
    <row r="20" spans="1:232" x14ac:dyDescent="0.35">
      <c r="A20">
        <f t="shared" si="0"/>
        <v>53</v>
      </c>
      <c r="B20">
        <v>2043</v>
      </c>
      <c r="C20" s="1">
        <f>IF($B20&lt;Analysis!C$66,0,$AN20)+$AT20+$AW20+$BC20+$CF20+$CA20</f>
        <v>72006.92824323161</v>
      </c>
      <c r="D20" s="1">
        <f>IF($B20&lt;Analysis!C$66, 0, BV20)+AT20+AW20+BC20+CG20+CA20</f>
        <v>-119200.37792440632</v>
      </c>
      <c r="E20" s="1">
        <f t="shared" si="1"/>
        <v>924167.34882575355</v>
      </c>
      <c r="F20" s="1">
        <f t="shared" si="9"/>
        <v>828720.58836965472</v>
      </c>
      <c r="G20" s="1">
        <f>IF(AND($B20&gt;=Analysis!$C$100, $B20&lt;Analysis!$C$101),$CK20,0)+IF($B20&gt;=Analysis!$C$130,EB20,0)+CQ20+CT20+CZ20+EH20+EK20+EQ20+$FO20+$FT20</f>
        <v>897289.5965446129</v>
      </c>
      <c r="H20" s="1">
        <f t="shared" si="10"/>
        <v>767914.31945084501</v>
      </c>
      <c r="I20" s="1">
        <f>IF($B20&lt;Analysis!$C$159,0,$FW20)+$GC20+$GF20+$GL20+$HQ20+$HV20</f>
        <v>897289.5965446129</v>
      </c>
      <c r="J20" s="1">
        <f t="shared" si="2"/>
        <v>767914.31945084501</v>
      </c>
      <c r="K20" s="36"/>
      <c r="L20" s="1">
        <f t="shared" si="11"/>
        <v>129876.30189447982</v>
      </c>
      <c r="M20" s="1">
        <f>IF($B20=Analysis!$C$47, M19 * (1 - Analysis!$C$48),
    IF($B20=Analysis!$C$52, M19 * (1 - Analysis!$C$53),
    IF($B20=Analysis!$C$58, M19 * (1 - Analysis!$C$60),
    L20)))</f>
        <v>129876.30189447982</v>
      </c>
      <c r="N20" s="1">
        <f>Analysis!$C$3*12*(1+O20)+P20</f>
        <v>-56950</v>
      </c>
      <c r="O20" s="64">
        <f>IF(OR($B20=Analysis!$C$47,$B20=Analysis!$C$52,$B20=Analysis!$C$58),-Analysis!$C$49,0)</f>
        <v>0</v>
      </c>
      <c r="P20" s="1">
        <f>IF($B20&lt;Analysis!$C$47,0,IF($B20-Analysis!$C$47&lt;=3,Analysis!$C$40+Analysis!$C$44,IF($B20-Analysis!$C$47&lt;=10,Analysis!$C$41+Analysis!$C$44,IF($B20-Analysis!$C$47&lt;=18,Analysis!$C$42+Analysis!$C$44,IF($B20-Analysis!$C$47&lt;=25,Analysis!$C$43+Analysis!$C$44,0)))) + IF(AND($B20&gt;=Analysis!$C$52, $B20-Analysis!$C$52&lt;=3),Analysis!$C$40+Analysis!$C$44,IF(AND($B20&gt;=Analysis!$C$52, $B20-Analysis!$C$52&lt;=10),Analysis!$C$41+Analysis!$C$44,IF(AND($B20&gt;=Analysis!$C$52, $B20-Analysis!$C$52&lt;=18),Analysis!$C$42+Analysis!$C$44,IF(AND($B20&gt;=Analysis!$C$52, $B20-Analysis!$C$52&lt;=25),Analysis!$C$43+Analysis!$C$44,0)))) + Analysis!$C$57*IF(AND($B20&gt;=Analysis!$C$58, $B20-Analysis!$C$58&lt;=3),Analysis!$C$40+Analysis!$C$44,IF(AND($B20&gt;=Analysis!$C$58, $B20-Analysis!$C$58&lt;=10),Analysis!$C$41+Analysis!$C$44,IF(AND($B20&gt;=Analysis!$C$58, $B20-Analysis!$C$58&lt;=18),Analysis!$C$42+Analysis!$C$44,IF(AND($B20&gt;=Analysis!$C$58, $B20-Analysis!$C$58&lt;=25),Analysis!$C$43+Analysis!$C$44,0)))))</f>
        <v>-8950</v>
      </c>
      <c r="Q20" s="1">
        <f t="shared" si="43"/>
        <v>0</v>
      </c>
      <c r="R20" s="1">
        <f>IF(AND(AND(B20=Analysis!C$35,Analysis!C$34&lt;&gt;0),AND(B20=Analysis!C$37,Analysis!C$36&lt;&gt;0)),Analysis!C$34+Analysis!C$36,IF(AND(B20=Analysis!C$35,Analysis!C$34&lt;&gt;0),Analysis!C$34,IF(AND(B20=Analysis!C$37,Analysis!C$36&lt;&gt;0),Analysis!C$36,0)))</f>
        <v>0</v>
      </c>
      <c r="S20" s="64">
        <f t="shared" si="12"/>
        <v>0.02</v>
      </c>
      <c r="T20" s="64">
        <f>IF($B20&lt;Analysis!$C$13, ((1+IF($B20-$B$2&lt;10,Analysis!$C$11,IF($B20-$B$2&lt;20,(Analysis!$C$11+Analysis!$C$12)/2,Analysis!$C$12)))/(1+$S20)-1),IF($B20=Analysis!$C$13,-Analysis!$C$14,-$S20))</f>
        <v>1.225490196078427E-2</v>
      </c>
      <c r="U20" s="64">
        <f>IF($B20=$B$2,((1+Analysis!$C$16)/(1+$S20))-1,IF(B20&lt;Analysis!$C$13,U19-((Analysis!$C$16-Analysis!$C$17)/(Analysis!$C$13-$B$2)),((1+Analysis!$C$17)/(1+$S19))-1))</f>
        <v>4.7574229691876933E-2</v>
      </c>
      <c r="V20" s="64">
        <f t="shared" si="13"/>
        <v>0.26374999999999998</v>
      </c>
      <c r="W20" s="36"/>
      <c r="X20" s="1">
        <f t="shared" si="14"/>
        <v>-26690.669572111772</v>
      </c>
      <c r="Y20" s="64">
        <f t="shared" si="15"/>
        <v>2.941176470588247E-2</v>
      </c>
      <c r="Z20" s="1">
        <f t="shared" si="16"/>
        <v>-3960</v>
      </c>
      <c r="AA20" s="64">
        <f t="shared" si="17"/>
        <v>0</v>
      </c>
      <c r="AB20" s="40"/>
      <c r="AC20" s="1">
        <f t="shared" si="3"/>
        <v>-96550.669572111772</v>
      </c>
      <c r="AD20" s="1">
        <f t="shared" si="4"/>
        <v>129876.30189447982</v>
      </c>
      <c r="AE20" s="1">
        <f t="shared" si="18"/>
        <v>33325.632322368052</v>
      </c>
      <c r="AF20" s="1">
        <f>IF(AE20 &lt; 0,
    IF(AF19 + AE20 &gt; 0,
        AF19 + AE20, IF(AK19-ABS(AF19 + AE20)*(1+$V20) &gt;= AF19 + AE20,
        0, AF19 + AE20)),
    MIN(AF19 + AE20, Analysis!$C$7))+IF(AF19&lt;0, AF19*Analysis!$C$9,0)</f>
        <v>24000</v>
      </c>
      <c r="AG20" s="40"/>
      <c r="AH20" s="1">
        <f t="shared" si="19"/>
        <v>39366.496195274536</v>
      </c>
      <c r="AI20" s="1">
        <f>IF(AE20 &gt;= 0,
    MAX(0, AF19 + AE20 - Analysis!$C$7),
    0)</f>
        <v>33325.632322368052</v>
      </c>
      <c r="AJ20" s="1">
        <f t="shared" si="44"/>
        <v>538283.89685950207</v>
      </c>
      <c r="AK20" s="1">
        <f t="shared" si="20"/>
        <v>900167.34882575355</v>
      </c>
      <c r="AL20" s="1">
        <f t="shared" si="5"/>
        <v>804720.58836965472</v>
      </c>
      <c r="AM20" s="36"/>
      <c r="AN20" s="1">
        <f t="shared" si="45"/>
        <v>1499665.1464128457</v>
      </c>
      <c r="AO20" s="64">
        <f t="shared" si="21"/>
        <v>2.941176470588247E-2</v>
      </c>
      <c r="AP20" s="1">
        <f>IF($B20=Analysis!$C$66,(AN20*(1+Analysis!$C$23+Analysis!$C$24+Analysis!$C$25))-IF($B20=$B$2,(Analysis!$C$6-Analysis!$C$7+Analysis!$C$68), ($CG19-Analysis!$C$7+AY20)),0)</f>
        <v>0</v>
      </c>
      <c r="AQ20" s="65">
        <f>IF($B20=Analysis!$C$66,NPER(AU20,-AX20,-AP20),0)</f>
        <v>0</v>
      </c>
      <c r="AR20" s="64">
        <f>IF($B20=Analysis!$C$66,Analysis!$C$73,0)</f>
        <v>0</v>
      </c>
      <c r="AS20" s="1">
        <f>IF($B20&lt;Analysis!$C$66,0,IF($B20=Analysis!$C$66,-AP20*AR20,IF(AX20&gt;=0,0,AX20-AV20)))</f>
        <v>-35269.894358089303</v>
      </c>
      <c r="AT20" s="1">
        <f>IF($B20&lt;Analysis!$C$66,0,IF($B20=Analysis!$C$66,-AP20-AS20,MIN(0,AT19-AS20)))</f>
        <v>-424123.79866652441</v>
      </c>
      <c r="AU20" s="64">
        <f>IF($B20&lt;Analysis!$C$66,0,IF($B20=Analysis!$C$66,Analysis!$C$72,IF(($B20-Analysis!$C$66)&lt;LOOKUP(Analysis!$C$66,$B:$B,AQ:AQ),AU19,0)))</f>
        <v>3.6999999999999998E-2</v>
      </c>
      <c r="AV20" s="1">
        <f>IF($B20&lt;Analysis!$C$66,0,IF($B20=Analysis!$C$66,-AU20*AP20,AU19*AT19))</f>
        <v>-16997.566641910707</v>
      </c>
      <c r="AW20" s="1">
        <f>IF($B20&lt;Analysis!$C$66,0,IF($B20=Analysis!$C$66,PMT(AU20,AQ20,AP20)*AQ20-AX20-AT20,IF(($B20-Analysis!$C$66+1)&lt;LOOKUP(Analysis!$C$66,$B:$B,AQ:AQ),IF(AW19-AV20&lt;0, AW19-AV20,0),0)))</f>
        <v>-89477.567123784218</v>
      </c>
      <c r="AX20" s="1">
        <f>IF($B20&lt;Analysis!$C$66,0,IF($B20=Analysis!$C$66,AS20+AV20,IF(AT19&lt;0,IF(AT19&gt;LOOKUP(Analysis!$C$66,$B:$B,AX:AX), AT19*(1+AU19),AX19),0)))</f>
        <v>-52267.46100000001</v>
      </c>
      <c r="AY20" s="1">
        <f>IF($B20=Analysis!$C$66,Analysis!$C$68,0)</f>
        <v>0</v>
      </c>
      <c r="AZ20" s="1">
        <f>IF($B20=Analysis!$C$66,PMT(AU20,BA20,AY20)*BA20,0)</f>
        <v>0</v>
      </c>
      <c r="BA20" s="7">
        <f>IF($B20=Analysis!$C$66,Analysis!$C$70,0)</f>
        <v>0</v>
      </c>
      <c r="BB20" s="1">
        <f>IF($B20&lt;Analysis!$C$66,0,IF($B20=Analysis!$C$66,AZ20/BA20,IF(($B20-Analysis!$C$66)&lt;LOOKUP(Analysis!$C$66,$B:$B,BA:BA),BB19,0)))</f>
        <v>0</v>
      </c>
      <c r="BC20" s="1">
        <f>IF($B20&lt;Analysis!$C$66,0,IF($B20=Analysis!$C$66,BA20*BB20-BB20,IF(($B20-Analysis!$C$66)&lt;Analysis!$C$70,BC19-BB20,0)))</f>
        <v>0</v>
      </c>
      <c r="BD20" s="42"/>
      <c r="BE20" s="1">
        <f>IF($B20&lt;Analysis!$C$66,0,-BF20*AN20)</f>
        <v>-4498.9954392385371</v>
      </c>
      <c r="BF20" s="64">
        <f>IF($B20&lt;Analysis!$C$66,0,Analysis!$C$78)</f>
        <v>3.0000000000000001E-3</v>
      </c>
      <c r="BG20" s="1">
        <f>IF($B20&lt;Analysis!$C$66,0,-BH20*AN20)</f>
        <v>-11247.488598096343</v>
      </c>
      <c r="BH20" s="64">
        <f>IF($B20&lt;Analysis!$C$66,0,Analysis!$C$79)</f>
        <v>7.4999999999999997E-3</v>
      </c>
      <c r="BI20" s="1">
        <f>IF($B20&lt;Analysis!$C$66,0,MIN(Analysis!$C$80*12,SUM(BJ20:BN20)))</f>
        <v>-3960</v>
      </c>
      <c r="BJ20" s="1">
        <f>IF($B20&lt;Analysis!$C$66,0,Analysis!$C$81*12)</f>
        <v>-900</v>
      </c>
      <c r="BK20" s="1">
        <f>IF($B20&lt;Analysis!$C$66,0,Analysis!$C$82*12)</f>
        <v>-1500</v>
      </c>
      <c r="BL20" s="1">
        <f>IF($B20&lt;Analysis!$C$66,0,Analysis!$C$83*12)</f>
        <v>-480</v>
      </c>
      <c r="BM20" s="1">
        <f>IF($B20&lt;Analysis!$C$66,0,Analysis!$C$84*12)</f>
        <v>-480</v>
      </c>
      <c r="BN20" s="1">
        <f>IF($B20&lt;Analysis!$C$66,0,Analysis!$C$85*12)</f>
        <v>-600</v>
      </c>
      <c r="BO20" s="1">
        <v>0</v>
      </c>
      <c r="BP20" s="1">
        <f>-BO20*Analysis!$C$28</f>
        <v>0</v>
      </c>
      <c r="BQ20" s="42"/>
      <c r="BR20" s="1">
        <f t="shared" si="22"/>
        <v>-191207.30616763784</v>
      </c>
      <c r="BS20" s="64">
        <f>IF($B20&lt;Analysis!C$66,0,Analysis!C$31)</f>
        <v>0.1275</v>
      </c>
      <c r="BT20" s="1">
        <f>IF($B20&lt;Analysis!$C$66,0,AN20+BR20)</f>
        <v>1308457.8402452078</v>
      </c>
      <c r="BU20" s="1">
        <f>IF($B20-Analysis!$C$66&gt;3,0,IF($AN20&gt;LOOKUP(Analysis!$C$66,$B:$B, AN:AN),$V20*(LOOKUP(Analysis!$C$66,$B:$B, AN:AN)-AN20),0))</f>
        <v>0</v>
      </c>
      <c r="BV20" s="1">
        <f t="shared" si="23"/>
        <v>1308457.8402452078</v>
      </c>
      <c r="BW20" s="42"/>
      <c r="BX20" s="1">
        <f>IF($B20&lt;Analysis!$C$66,$P20+$N20+$X20+$Z20,$P20+$N20+AS20+AV20+BB20+BE20+BG20+MAX(BI20,SUM(BJ20:BN20))+BP20)</f>
        <v>-137873.9450373349</v>
      </c>
      <c r="BY20" s="1">
        <f t="shared" si="24"/>
        <v>129876.30189447982</v>
      </c>
      <c r="BZ20" s="1">
        <f t="shared" si="46"/>
        <v>-7997.6431428550713</v>
      </c>
      <c r="CA20" s="1">
        <f>IF(BZ20 &lt; 0,
    IF(CA19 + BZ20 &gt; 0,
        CA19 + BZ20, IF(CF19-ABS(CA19 + BZ20)*(1+$V20) &gt;= CA19 + BZ20,
        0, CA19 + BZ20)),
    MIN(CA19 + BZ20, Analysis!$C$7))+IF(CA19&lt;0, CA19*Analysis!$C$9,0)</f>
        <v>-914056.8523793054</v>
      </c>
      <c r="CB20" s="42"/>
      <c r="CC20" s="1">
        <f t="shared" si="47"/>
        <v>0</v>
      </c>
      <c r="CD20" s="1">
        <f>IF(BZ20 &gt;= 0,
    MAX(0, CA19 + BZ20 - Analysis!$C$7),
    0)</f>
        <v>0</v>
      </c>
      <c r="CE20" s="1">
        <f>IF($B20=Analysis!$C$66,0,MAX(0, CE19 + CD20 - IF(BZ20 &lt; 0, MIN(ABS(BZ20), CE19 + CD20), 0)))</f>
        <v>0</v>
      </c>
      <c r="CF20" s="1">
        <f>IF($B20=Analysis!$C$66,0,IF(BZ20 &lt; 0,
    IF(BZ20 + CA19 &lt; 0,
        MAX(0, CF19 - (ABS(BZ20 + CA19) * (1+$V19))),
        CF19 + CC20),
    CF19 + CD20 + CC20))</f>
        <v>0</v>
      </c>
      <c r="CG20" s="1">
        <f t="shared" si="25"/>
        <v>0</v>
      </c>
      <c r="CH20" s="36"/>
      <c r="CI20" s="1">
        <f>IF(OR($B20&lt;Analysis!$C$100, $B20&gt;=Analysis!$C$130),0,X20)</f>
        <v>-26690.669572111772</v>
      </c>
      <c r="CJ20" s="1">
        <f>IF(OR($B20&lt;Analysis!$C$100, $B20&gt;=Analysis!$C$130),0,Z20)</f>
        <v>-3960</v>
      </c>
      <c r="CK20" s="1">
        <f t="shared" si="26"/>
        <v>875534.84278215119</v>
      </c>
      <c r="CL20" s="64">
        <f t="shared" si="48"/>
        <v>2.941176470588247E-2</v>
      </c>
      <c r="CM20" s="1">
        <f>IF($B20=Analysis!$C$100,(CK20*(1+Analysis!$C$23+Analysis!$C$24+Analysis!$C$25))-IF($B20=$B$2,(Analysis!$C$6-Analysis!$C$7+Analysis!$C$105), (FU19-Analysis!$C$7+CV20)),0)</f>
        <v>0</v>
      </c>
      <c r="CN20" s="65">
        <f>IF($B20=Analysis!$C$100,NPER(CR20,-CU20,-CM20),0)</f>
        <v>0</v>
      </c>
      <c r="CO20" s="64">
        <f>IF($B20=Analysis!$C$100,Analysis!$C$103,0)</f>
        <v>0</v>
      </c>
      <c r="CP20" s="1">
        <f>IF(OR($B20&lt;Analysis!$C$100, $B20&gt;=Analysis!$C$101),0,IF($B20=Analysis!$C$100,-CM20*CO20,IF(CU20&gt;=0,0,CU20-CS20)))</f>
        <v>-19374.693443206725</v>
      </c>
      <c r="CQ20" s="1">
        <f>IF(OR($B20&lt;Analysis!$C$100, $B20&gt;=Analysis!$C$101),0,IF($B20=Analysis!$C$100,-CM20-CP20,MIN(0,CQ19-CP20)))</f>
        <v>-232982.51187553053</v>
      </c>
      <c r="CR20" s="64">
        <f>IF(OR($B20&lt;Analysis!$C$100, $B20&gt;=Analysis!$C$101),0,IF($B20=Analysis!$C$100,Analysis!$C$102,IF(($B20-Analysis!$C$100)&lt;LOOKUP(Analysis!$C$100,$B:$B,CN:CN),CR19,0)))</f>
        <v>3.6999999999999998E-2</v>
      </c>
      <c r="CS20" s="1">
        <f>IF(OR($B20&lt;Analysis!$C$100, $B20&gt;=Analysis!$C$101),0,IF($B20=Analysis!$C$100,-CR20*CM20,CR19*CQ19))</f>
        <v>-9337.2165967932779</v>
      </c>
      <c r="CT20" s="1">
        <f>IF(OR($B20&lt;Analysis!$C$100, $B20&gt;=Analysis!$C$101),0,IF($B20=Analysis!$C$100,PMT(CR20,CN20,CM20)*CN20-CU20-CQ20,IF(($B20-Analysis!$C$100+1)&lt;LOOKUP(Analysis!$C$100,$B:$B,CN:CN),IF(CT19-CS20&lt;0, CT19-CS20,0),0)))</f>
        <v>-49152.413541881368</v>
      </c>
      <c r="CU20" s="1">
        <f>IF(OR($B20&lt;Analysis!$C$100, $B20&gt;=Analysis!$C$101),0,IF($B20=Analysis!$C$100,CP20+CS20,IF(CQ19&lt;0,IF(CQ19&gt;LOOKUP(Analysis!$C$100,$B:$B,CU:CU), CQ19*(1+CR19),CU19),0)))</f>
        <v>-28711.910040000002</v>
      </c>
      <c r="CV20" s="1">
        <f>IF($B20=Analysis!$C$100,Analysis!$C$105,0)</f>
        <v>0</v>
      </c>
      <c r="CW20" s="1">
        <f>IF($B20=Analysis!$C$100,PMT(CR20,CX20,CV20)*CX20,0)</f>
        <v>0</v>
      </c>
      <c r="CX20" s="7">
        <f>IF($B20=Analysis!$C$100,Analysis!$C$107,0)</f>
        <v>0</v>
      </c>
      <c r="CY20" s="1">
        <f>IF(OR($B20&lt;Analysis!$C$100, $B20&gt;=Analysis!$C$101),0,IF($B20=Analysis!$C$100,CW20/CX20,IF(($B20-Analysis!$C$100)&lt;LOOKUP(Analysis!$C$100,$B:$B,CX:CX),CY19,0)))</f>
        <v>0</v>
      </c>
      <c r="CZ20" s="1">
        <f>IF(OR($B20&lt;Analysis!$C$100, $B20&gt;=Analysis!$C$101),0,IF($B20=Analysis!$C$100,CX20*CY20-CY20,IF(($B20-Analysis!$C$100)&lt;Analysis!$C$107,CZ19-CY20,0)))</f>
        <v>0</v>
      </c>
      <c r="DA20" s="53"/>
      <c r="DB20" s="1">
        <f>IF(OR($B20&lt;Analysis!$C$100, $B20&gt;=Analysis!$C$101),0,IF($B20=2025,(Analysis!$C$109*12),IF($B20=Analysis!$C$100,(Analysis!$C$109*12)*(1+DC20)^($B20-$B$2),DB19*(1+DC20))))</f>
        <v>23354.335875597808</v>
      </c>
      <c r="DC20" s="64">
        <f>IF(OR($B20&lt;Analysis!$C$100, $B20&gt;=Analysis!$C$101),0,((1+Analysis!$C$114)/(1+$S20))-1)</f>
        <v>2.941176470588247E-2</v>
      </c>
      <c r="DD20" s="1">
        <f t="shared" si="6"/>
        <v>29940.94040394426</v>
      </c>
      <c r="DE20" s="1">
        <f t="shared" si="27"/>
        <v>-2626.6045283464537</v>
      </c>
      <c r="DF20" s="64">
        <f>IF(OR($B20&lt;Analysis!$C$100, $B20&gt;=Analysis!$C$101),0,Analysis!$C$118)</f>
        <v>3.0000000000000001E-3</v>
      </c>
      <c r="DG20" s="1">
        <f t="shared" si="28"/>
        <v>-6566.5113208661332</v>
      </c>
      <c r="DH20" s="64">
        <f>IF(OR($B20&lt;Analysis!$C$100, $B20&gt;=Analysis!$C$101),0,Analysis!$C$119)</f>
        <v>7.4999999999999997E-3</v>
      </c>
      <c r="DI20" s="1">
        <f>IF(OR($B20&lt;Analysis!$C$100, $B20&gt;=Analysis!$C$101),0,MIN(Analysis!$C$120*12,SUM(DJ20:DN20)))</f>
        <v>-3960</v>
      </c>
      <c r="DJ20" s="1">
        <f>IF(OR($B20&lt;Analysis!$C$100, $B20&gt;=Analysis!$C$101),0,Analysis!$C$121*12)</f>
        <v>-900</v>
      </c>
      <c r="DK20" s="1">
        <f>IF(OR($B20&lt;Analysis!$C$100, $B20&gt;=Analysis!$C$101),0,Analysis!$C$122*12)</f>
        <v>-1500</v>
      </c>
      <c r="DL20" s="1">
        <f>IF(OR($B20&lt;Analysis!$C$100, $B20&gt;=Analysis!$C$101),0,Analysis!$C$123*12)</f>
        <v>-480</v>
      </c>
      <c r="DM20" s="1">
        <f>IF(OR($B20&lt;Analysis!$C$100, $B20&gt;=Analysis!$C$101),0,Analysis!$C$124*12)</f>
        <v>-480</v>
      </c>
      <c r="DN20" s="1">
        <f>IF(OR($B20&lt;Analysis!$C$100, $B20&gt;=Analysis!$C$101),0,Analysis!$C$125*12)</f>
        <v>-600</v>
      </c>
      <c r="DO20" s="64">
        <f>IF(OR($B20&lt;Analysis!$C$100, $B20&gt;=Analysis!$C$101),0,Analysis!$C$113)</f>
        <v>0.02</v>
      </c>
      <c r="DP20" s="1">
        <f>-DO20*LOOKUP(Analysis!$C$100,$B:$B,CK:CK)</f>
        <v>-10392</v>
      </c>
      <c r="DQ20" s="1">
        <f>-Analysis!$C$117*DB20</f>
        <v>-1751.5751906698356</v>
      </c>
      <c r="DR20" s="1">
        <f t="shared" si="29"/>
        <v>-25296.691039882422</v>
      </c>
      <c r="DS20" s="1">
        <f>MIN(0,-(DB20+DR20)*Analysis!$C$28)-CS20*Analysis!$C$28</f>
        <v>4137.3206740391006</v>
      </c>
      <c r="DT20" s="1">
        <f>-Analysis!$C$116*DD20/12</f>
        <v>-2495.0783669953548</v>
      </c>
      <c r="DU20" s="53"/>
      <c r="DV20" s="1">
        <f t="shared" si="30"/>
        <v>-111630.69245472428</v>
      </c>
      <c r="DW20" s="64">
        <f>IF(OR($B20&lt;Analysis!$C$100, $B20&gt;=Analysis!$C$101),0,IF($B20=Analysis!$C$100,Analysis!$C$31,DW19))</f>
        <v>0.1275</v>
      </c>
      <c r="DX20" s="1">
        <f>IF(OR($B20&lt;Analysis!$C$100, $B20&gt;=Analysis!$C$101),0,CK20+DV20)</f>
        <v>763904.15032742685</v>
      </c>
      <c r="DY20" s="1">
        <f>IF(OR($B20&lt;Analysis!$C$100, $B20&gt;=Analysis!$C$101),0,IF($B20-Analysis!$C$100&gt;3,0,IF(CK20&gt;LOOKUP(Analysis!$C$100,$B:$B, CK:CK),$V20*(LOOKUP(Analysis!$C$100,$B:$B, CK:CK)-CK20),0)))</f>
        <v>0</v>
      </c>
      <c r="DZ20" s="1">
        <f t="shared" si="49"/>
        <v>763904.15032742685</v>
      </c>
      <c r="EA20" s="53"/>
      <c r="EB20" s="1">
        <f t="shared" si="31"/>
        <v>1162661.7427245663</v>
      </c>
      <c r="EC20" s="64">
        <f t="shared" si="50"/>
        <v>2.941176470588247E-2</v>
      </c>
      <c r="ED20" s="1">
        <f>MAX(0,IF($B20=Analysis!$C$130,(EB20*(1+Analysis!$C$23+Analysis!$C$24+Analysis!$C$25))-(IF($B20=$B$2,(Analysis!$C$6-Analysis!$C$7+Analysis!$C$132), (FU19-Analysis!$C$7+EM20)) + IF($B20=Analysis!$C$101,DZ19+CQ19+CT19+CZ19,0)),0))</f>
        <v>0</v>
      </c>
      <c r="EE20" s="65">
        <f>IF($B20=Analysis!$C$130,IF(ED20&gt;0,NPER(EI20,-EL20,-ED20),0),0)</f>
        <v>0</v>
      </c>
      <c r="EF20" s="64">
        <f>IF($B20=Analysis!$C$130,Analysis!$C$137,0)</f>
        <v>0</v>
      </c>
      <c r="EG20" s="1">
        <f>IF($B20&lt;Analysis!$C$130,0,IF($B20=Analysis!$C$130,-ED20*EF20,IF(EL20&gt;=0,0,EL20-EJ20)))</f>
        <v>0</v>
      </c>
      <c r="EH20" s="1">
        <f>IF($B20&lt;Analysis!$C$130,0,IF($B20=Analysis!$C$130,-ED20-EG20,MIN(0,EH19-EG20)))</f>
        <v>0</v>
      </c>
      <c r="EI20" s="64">
        <f>IF($B20&lt;Analysis!$C$130,0,IF($B20=Analysis!$C$130,Analysis!$C$136,IF(($B20-Analysis!$C$130)&lt;LOOKUP(Analysis!$C$130,$B:$B,EE:EE),EI19,0)))</f>
        <v>0</v>
      </c>
      <c r="EJ20" s="1">
        <f>IF($B20&lt;Analysis!$C$130,0,IF($B20=Analysis!$C$130,-EI20*ED20,EI19*EH19))</f>
        <v>0</v>
      </c>
      <c r="EK20" s="1">
        <f>IF(OR($B20&lt;Analysis!$C$130, ED20=0),0,IF($B20=Analysis!$C$130,PMT(EI20,EE20,ED20)*EE20-EL20-EH20,IF(($B20-Analysis!$C$130+1)&lt;LOOKUP(Analysis!$C$130,$B:$B,EE:EE),IF(EK19-EJ20&lt;0, EK19-EJ20,0),0)))</f>
        <v>0</v>
      </c>
      <c r="EL20" s="1">
        <f>IF($B20&lt;Analysis!$C$130,0,IF($B20=Analysis!$C$130,EG20+EJ20,IF(EH19&lt;0,IF(EH19&gt;LOOKUP(Analysis!$C$130,$B:$B,EL:EL), EH19*(1+EI19),EL19),0)))</f>
        <v>0</v>
      </c>
      <c r="EM20" s="1">
        <f>IF($B20=Analysis!$C$130,Analysis!$C$132,0)</f>
        <v>0</v>
      </c>
      <c r="EN20" s="1">
        <f>IF($B20=Analysis!$C$130,PMT(EI20,EO20,EM20)*EO20,0)</f>
        <v>0</v>
      </c>
      <c r="EO20" s="7">
        <f>IF($B20=Analysis!$C$130,Analysis!$C$134,0)</f>
        <v>0</v>
      </c>
      <c r="EP20" s="1">
        <f>IF($B20&lt;Analysis!$C$130,0,IF($B20=Analysis!$C$130,EN20/EO20,IF(($B20-Analysis!$C$130)&lt;LOOKUP(Analysis!$C$130,$B:$B,EO:EO),EP19,0)))</f>
        <v>0</v>
      </c>
      <c r="EQ20" s="1">
        <f>IF($B20&lt;Analysis!$C$130,0,IF($B20=Analysis!$C$130,EO20*EP20-EP20,IF(($B20-Analysis!$C$130)&lt;Analysis!$C$134,EQ19-EP20,0)))</f>
        <v>0</v>
      </c>
      <c r="ER20" s="53"/>
      <c r="ES20" s="1">
        <f>IF($B20&lt;Analysis!$C$130,0,-ET20*EB20)</f>
        <v>0</v>
      </c>
      <c r="ET20" s="64">
        <f>IF($B20&lt;Analysis!$C$130,0,Analysis!$C$142)</f>
        <v>0</v>
      </c>
      <c r="EU20" s="1">
        <f>IF($B20&lt;Analysis!$C$130,0,-EV20*EB20)</f>
        <v>0</v>
      </c>
      <c r="EV20" s="64">
        <f>IF($B20&lt;Analysis!$C$130,0,Analysis!$C$143)</f>
        <v>0</v>
      </c>
      <c r="EW20" s="1">
        <f>IF($B20&lt;Analysis!$C$130,0,MIN(Analysis!$C$144*12,SUM(EX20:FB20)))</f>
        <v>0</v>
      </c>
      <c r="EX20" s="1">
        <f>IF($B20&lt;Analysis!$C$130,0,Analysis!$C$145*12)</f>
        <v>0</v>
      </c>
      <c r="EY20" s="1">
        <f>IF($B20&lt;Analysis!$C$130,0,Analysis!$C$146*12)</f>
        <v>0</v>
      </c>
      <c r="EZ20" s="1">
        <f>IF($B20&lt;Analysis!$C$130,0,Analysis!$C$147*12)</f>
        <v>0</v>
      </c>
      <c r="FA20" s="1">
        <f>IF($B20&lt;Analysis!$C$130,0,Analysis!$C$148*12)</f>
        <v>0</v>
      </c>
      <c r="FB20" s="1">
        <f>IF($B20&lt;Analysis!$C$130,0,Analysis!$C$149*12)</f>
        <v>0</v>
      </c>
      <c r="FC20" s="1">
        <v>0</v>
      </c>
      <c r="FD20" s="1">
        <f>-FC20*Analysis!$C$28</f>
        <v>0</v>
      </c>
      <c r="FE20" s="53"/>
      <c r="FF20" s="1">
        <f t="shared" si="32"/>
        <v>0</v>
      </c>
      <c r="FG20" s="64">
        <f>IF($B20&lt;Analysis!$C$130,0,Analysis!$C$31)</f>
        <v>0</v>
      </c>
      <c r="FH20" s="1">
        <f>IF($B20&lt;Analysis!$C$130,0,EB20+FF20)</f>
        <v>0</v>
      </c>
      <c r="FI20" s="1">
        <f>IF($B20-Analysis!$C$130&gt;3,0,IF(EB20&gt;LOOKUP(Analysis!$C$130,$B:$B, EB:EB),$V20*(LOOKUP(Analysis!$C$130,$B:$B, EB:EB)-EB20),0))</f>
        <v>0</v>
      </c>
      <c r="FJ20" s="1">
        <f t="shared" si="33"/>
        <v>0</v>
      </c>
      <c r="FK20" s="53"/>
      <c r="FL20" s="1">
        <f>$P20+$N20+IF($B20&lt;Analysis!$C$130,$X20+$Z20,0)+CP20+CS20+CY20+DE20+DG20+MIN(DI20,SUM(DJ20:DN20))+DQ20+DS20+DT20+EG20+EJ20+EP20+ES20+EU20+MIN(EW20,SUM(EX20:FB20))+FD20</f>
        <v>-138525.02834495043</v>
      </c>
      <c r="FM20" s="1">
        <f>$M20+$R20+DD20+IF(AND($B20&lt;&gt;Analysis!$C$130,$B20=Analysis!$C$101),DZ19+CQ19+CT19+CZ19,0)</f>
        <v>159817.24229842407</v>
      </c>
      <c r="FN20" s="1">
        <f t="shared" si="34"/>
        <v>21292.213953473634</v>
      </c>
      <c r="FO20" s="1">
        <f>IF(FN20 &lt; 0,
    IF(FO19 + FN20 &gt; 0,
        FO19 + FN20, IF(FT19-ABS(FO19 + FN20)*(1+$V20) &gt;= FO19 + FN20,
        0, FO19 + FN20)),
    MIN(FO19 + FN20, Analysis!$C$7))+IF(FO19&lt;0, FO19*Analysis!$C$9,0)</f>
        <v>24000</v>
      </c>
      <c r="FP20" s="53"/>
      <c r="FQ20" s="1">
        <f t="shared" si="51"/>
        <v>11743.869655934996</v>
      </c>
      <c r="FR20" s="1">
        <f>IF(OR($B20=Analysis!$C$100, $B20=Analysis!$C$130),0,IF(FN20 &gt;= 0,
    MAX(0, FO19 + FN20 - Analysis!$C$7),
    0))</f>
        <v>21292.213953473634</v>
      </c>
      <c r="FS20" s="1">
        <f>IF(OR($B20=Analysis!$C$100, $B20=Analysis!$C$130),0,MAX(0, FS19 + FR20 - IF(FN20 &lt; 0, MIN(ABS(FN20), FS19 + FR20), 0)))</f>
        <v>212611.63315506376</v>
      </c>
      <c r="FT20" s="1">
        <f>IF(OR($B20=Analysis!$C$100, $B20=Analysis!$C$130),0,IF(FN20 &lt; 0,
    IF(FN20 + FO19 &lt; 0,
        MAX(0, FT19 - (ABS(FN20 + FO19) * (1+$V19))),
        FT19 + FQ20),
    FT19 + FR20 + FQ20))</f>
        <v>279889.67917987355</v>
      </c>
      <c r="FU20" s="1">
        <f t="shared" si="57"/>
        <v>262145.09454082994</v>
      </c>
      <c r="FV20" s="36"/>
      <c r="FW20" s="1">
        <f t="shared" si="52"/>
        <v>875534.84278215119</v>
      </c>
      <c r="FX20" s="64">
        <f t="shared" si="53"/>
        <v>2.941176470588247E-2</v>
      </c>
      <c r="FY20" s="1">
        <f>IF($B20=Analysis!$C$159,(FW20*(1+Analysis!$C$23+Analysis!$C$24+Analysis!$C$25))-IF($B20=$B$2,(Analysis!$C$6-Analysis!$C$7+Analysis!$C$165), (HW19-Analysis!$C$7+GH20)),0)</f>
        <v>0</v>
      </c>
      <c r="FZ20" s="65">
        <f>IF($B20=Analysis!$C$159,NPER(GD20,-GG20,-FY20),0)</f>
        <v>0</v>
      </c>
      <c r="GA20" s="64">
        <f>IF($B20=Analysis!$C$159,Analysis!$C$161,0)</f>
        <v>0</v>
      </c>
      <c r="GB20" s="1">
        <f>IF($B20&lt;Analysis!$C$159,0,IF($B20=Analysis!$C$159,-FY20*GA20,IF(GG20&gt;=0,0,GG20-GE20)))</f>
        <v>-19374.693443206725</v>
      </c>
      <c r="GC20" s="1">
        <f>IF($B20&lt;Analysis!$C$159,0,IF($B20=Analysis!$C$159,-FY20-GB20,MIN(0,GC19-GB20)))</f>
        <v>-232982.51187553053</v>
      </c>
      <c r="GD20" s="64">
        <f>IF($B20&lt;Analysis!$C$159,0,IF($B20=Analysis!$C$159,Analysis!$C$160,IF(($B20-Analysis!$C$159)&lt;LOOKUP(Analysis!$C$159,$B:$B,FZ:FZ),GD19,0)))</f>
        <v>3.6999999999999998E-2</v>
      </c>
      <c r="GE20" s="1">
        <f>IF($B20&lt;Analysis!$C$159,0,IF($B20=Analysis!$C$159,-GD20*FY20,GD19*GC19))</f>
        <v>-9337.2165967932779</v>
      </c>
      <c r="GF20" s="1">
        <f>IF($B20&lt;Analysis!$C$159,0,IF($B20=Analysis!$C$159,PMT(GD20,FZ20,FY20)*FZ20-GG20-GC20,IF(($B20-Analysis!$C$159+1)&lt;LOOKUP(Analysis!$C$159,$B:$B,FZ:FZ),IF(GF19-GE20&lt;0, GF19-GE20,0),0)))</f>
        <v>-49152.413541881368</v>
      </c>
      <c r="GG20" s="1">
        <f>IF($B20&lt;Analysis!$C$159,0,IF($B20=Analysis!$C$159,GB20+GE20,IF(GC19&lt;0,IF(GC19&gt;LOOKUP(Analysis!$C$159,$B:$B,GG:GG), GC19*(1+GD19),GG19),0)))</f>
        <v>-28711.910040000002</v>
      </c>
      <c r="GH20" s="1">
        <f>IF($B20=Analysis!$C$159,Analysis!$C$165,0)</f>
        <v>0</v>
      </c>
      <c r="GI20" s="1">
        <f>IF($B20=Analysis!$C$159,PMT(GD20,GJ20,GH20)*GJ20,0)</f>
        <v>0</v>
      </c>
      <c r="GJ20" s="7">
        <f>IF($B20=Analysis!$C$159,Analysis!$C$167,0)</f>
        <v>0</v>
      </c>
      <c r="GK20" s="1">
        <f>IF($B20&lt;Analysis!$C$159,0,IF($B20=Analysis!$C$159,GI20/GJ20,IF(($B20-Analysis!$C$159)&lt;LOOKUP(Analysis!$C$159,$B:$B,GJ:GJ),GK19,0)))</f>
        <v>0</v>
      </c>
      <c r="GL20" s="1">
        <f>IF($B20&lt;Analysis!$C$159,0,IF($B20=Analysis!$C$159,GJ20*GK20-GK20,IF(($B20-Analysis!$C$159)&lt;Analysis!$C$167,GL19-GK20,0)))</f>
        <v>0</v>
      </c>
      <c r="GM20" s="38"/>
      <c r="GN20" s="1">
        <f>IF($B20&lt;Analysis!$C$159,0,IF($B20=2025,(Analysis!$C$109*12),IF($B20=Analysis!$C$159,(Analysis!$C$109*12)*(1+GO20)^($B20-$B$2),GN19*(1+GO20))))</f>
        <v>23354.335875597808</v>
      </c>
      <c r="GO20" s="64">
        <f>IF($B20&lt;Analysis!$C$159,0,((1+Analysis!$C$174)/(1+$S20))-1)</f>
        <v>2.941176470588247E-2</v>
      </c>
      <c r="GP20" s="1">
        <f t="shared" si="7"/>
        <v>29940.94040394426</v>
      </c>
      <c r="GQ20" s="1">
        <f t="shared" si="36"/>
        <v>-2626.6045283464537</v>
      </c>
      <c r="GR20" s="64">
        <f>IF($B20&lt;Analysis!$C$159,0,Analysis!$C$178)</f>
        <v>3.0000000000000001E-3</v>
      </c>
      <c r="GS20" s="1">
        <f t="shared" si="37"/>
        <v>-6566.5113208661332</v>
      </c>
      <c r="GT20" s="64">
        <f>IF($B20&lt;Analysis!$C$159,0,Analysis!$C$179)</f>
        <v>7.4999999999999997E-3</v>
      </c>
      <c r="GU20" s="1">
        <f>IF($B20&lt;Analysis!$C$159,0,MIN(Analysis!$C$180*12,SUM(GV20:GZ20)))</f>
        <v>-3960</v>
      </c>
      <c r="GV20" s="1">
        <f>IF($B20&lt;Analysis!$C$159,0,Analysis!$C$181*12)</f>
        <v>-900</v>
      </c>
      <c r="GW20" s="1">
        <f>IF($B20&lt;Analysis!$C$159,0,Analysis!$C$182*12)</f>
        <v>-1500</v>
      </c>
      <c r="GX20" s="1">
        <f>IF($B20&lt;Analysis!$C$159,0,Analysis!$C$183*12)</f>
        <v>-480</v>
      </c>
      <c r="GY20" s="1">
        <f>IF($B20&lt;Analysis!$C$159,0,Analysis!$C$184*12)</f>
        <v>-480</v>
      </c>
      <c r="GZ20" s="1">
        <f>IF($B20&lt;Analysis!$C$159,0,Analysis!$C$185*12)</f>
        <v>-600</v>
      </c>
      <c r="HA20" s="64">
        <f>IF($B20&lt;Analysis!$C$159,0,Analysis!$C$173)</f>
        <v>0.02</v>
      </c>
      <c r="HB20" s="1">
        <f>-HA20*LOOKUP(Analysis!$C$159,$B:$B,FW:FW)</f>
        <v>-10392</v>
      </c>
      <c r="HC20" s="1">
        <f>-Analysis!$C$177*GN20</f>
        <v>-1751.5751906698356</v>
      </c>
      <c r="HD20" s="1">
        <f t="shared" si="38"/>
        <v>-25296.691039882422</v>
      </c>
      <c r="HE20" s="1">
        <f>MIN(0,-(GN20+HD20)*Analysis!$C$28)-GE20*Analysis!$C$28</f>
        <v>4137.3206740391006</v>
      </c>
      <c r="HF20" s="1">
        <f>-Analysis!$C$176*GP20/12</f>
        <v>-2495.0783669953548</v>
      </c>
      <c r="HG20" s="38"/>
      <c r="HH20" s="1">
        <f>IF($B20&lt;Analysis!$C$159,0,-$HI20*$FW20)</f>
        <v>-111630.69245472428</v>
      </c>
      <c r="HI20" s="64">
        <f>IF($B20&lt;Analysis!$C$159,0,IF($B20=Analysis!$C$159,Analysis!$C$31,HI19))</f>
        <v>0.1275</v>
      </c>
      <c r="HJ20" s="1">
        <f>IF($B20&lt;Analysis!$C$159,0,$FW20+HH20)</f>
        <v>763904.15032742685</v>
      </c>
      <c r="HK20" s="1">
        <f>IF($B20-Analysis!$C$159&gt;10,0,IF($FW20&gt;LOOKUP(Analysis!$C$159,$B:$B, FW:FW),$V20*(LOOKUP(Analysis!$C$159,$B:$B, FW:FW)-FW20),0))</f>
        <v>0</v>
      </c>
      <c r="HL20" s="1">
        <f t="shared" si="39"/>
        <v>763904.15032742685</v>
      </c>
      <c r="HM20" s="38"/>
      <c r="HN20" s="1">
        <f t="shared" si="40"/>
        <v>-138525.02834495043</v>
      </c>
      <c r="HO20" s="1">
        <f t="shared" si="8"/>
        <v>159817.24229842407</v>
      </c>
      <c r="HP20" s="1">
        <f t="shared" si="41"/>
        <v>21292.213953473634</v>
      </c>
      <c r="HQ20" s="1">
        <f>IF(HP20 &lt; 0,
    IF(HQ19 + HP20 &gt; 0,
        HQ19 + HP20, IF(HV19-ABS(HQ19 + HP20)*(1+$V20) &gt;= HQ19 + HP20,
        0, HQ19 + HP20)),
    MIN(HQ19 + HP20, Analysis!$C$7))+IF(HQ19&lt;0, HQ19*Analysis!$C$9,0)</f>
        <v>24000</v>
      </c>
      <c r="HR20" s="38"/>
      <c r="HS20" s="1">
        <f t="shared" si="54"/>
        <v>11743.869655934996</v>
      </c>
      <c r="HT20" s="1">
        <f>IF($B20=Analysis!$C$159,0,IF(HP20 &gt;= 0,
    MAX(0, HQ19 + HP20 - Analysis!$C$7),
    0))</f>
        <v>21292.213953473634</v>
      </c>
      <c r="HU20" s="1">
        <f>IF($B20=Analysis!$C$159,0,MAX(0, HU19 + HT20 - IF(HP20 &lt; 0, MIN(ABS(HP20), HU19 + HT20), 0)))</f>
        <v>212611.63315506376</v>
      </c>
      <c r="HV20" s="1">
        <f>IF($B20=Analysis!$C$159,0,IF(HP20 &lt; 0,
    IF(HP20 + HQ19 &lt; 0,
        MAX(0, HV19 - (ABS(HP20 + HQ19) * (1+$V19))),
        HV19 + HS20),
    HV19 + HT20 + HS20))</f>
        <v>279889.67917987355</v>
      </c>
      <c r="HW20" s="1">
        <f t="shared" si="58"/>
        <v>262145.09454082994</v>
      </c>
      <c r="HX20" s="36"/>
    </row>
    <row r="21" spans="1:232" x14ac:dyDescent="0.35">
      <c r="A21">
        <f t="shared" si="0"/>
        <v>54</v>
      </c>
      <c r="B21">
        <v>2044</v>
      </c>
      <c r="C21" s="1">
        <f>IF($B21&lt;Analysis!C$66,0,$AN21)+$AT21+$AW21+$BC21+$CF21+$CA21</f>
        <v>84138.485797234694</v>
      </c>
      <c r="D21" s="1">
        <f>IF($B21&lt;Analysis!C$66, 0, BV21)+AT21+AW21+BC21+CG21+CA21</f>
        <v>-112692.56466945133</v>
      </c>
      <c r="E21" s="1">
        <f t="shared" si="1"/>
        <v>995331.20698917622</v>
      </c>
      <c r="F21" s="1">
        <f t="shared" si="9"/>
        <v>888996.41815359634</v>
      </c>
      <c r="G21" s="1">
        <f>IF(AND($B21&gt;=Analysis!$C$100, $B21&lt;Analysis!$C$101),$CK21,0)+IF($B21&gt;=Analysis!$C$130,EB21,0)+CQ21+CT21+CZ21+EH21+EK21+EQ21+$FO21+$FT21</f>
        <v>982497.99355260213</v>
      </c>
      <c r="H21" s="1">
        <f t="shared" si="10"/>
        <v>846454.03832777985</v>
      </c>
      <c r="I21" s="1">
        <f>IF($B21&lt;Analysis!$C$159,0,$FW21)+$GC21+$GF21+$GL21+$HQ21+$HV21</f>
        <v>982497.99355260213</v>
      </c>
      <c r="J21" s="1">
        <f t="shared" si="2"/>
        <v>846454.03832777985</v>
      </c>
      <c r="K21" s="36"/>
      <c r="L21" s="1">
        <f t="shared" si="11"/>
        <v>131467.92324122589</v>
      </c>
      <c r="M21" s="1">
        <f>IF($B21=Analysis!$C$47, M20 * (1 - Analysis!$C$48),
    IF($B21=Analysis!$C$52, M20 * (1 - Analysis!$C$53),
    IF($B21=Analysis!$C$58, M20 * (1 - Analysis!$C$60),
    L21)))</f>
        <v>131467.92324122589</v>
      </c>
      <c r="N21" s="1">
        <f>Analysis!$C$3*12*(1+O21)+P21</f>
        <v>-59075</v>
      </c>
      <c r="O21" s="64">
        <f>IF(OR($B21=Analysis!$C$47,$B21=Analysis!$C$52,$B21=Analysis!$C$58),-Analysis!$C$49,0)</f>
        <v>0</v>
      </c>
      <c r="P21" s="1">
        <f>IF($B21&lt;Analysis!$C$47,0,IF($B21-Analysis!$C$47&lt;=3,Analysis!$C$40+Analysis!$C$44,IF($B21-Analysis!$C$47&lt;=10,Analysis!$C$41+Analysis!$C$44,IF($B21-Analysis!$C$47&lt;=18,Analysis!$C$42+Analysis!$C$44,IF($B21-Analysis!$C$47&lt;=25,Analysis!$C$43+Analysis!$C$44,0)))) + IF(AND($B21&gt;=Analysis!$C$52, $B21-Analysis!$C$52&lt;=3),Analysis!$C$40+Analysis!$C$44,IF(AND($B21&gt;=Analysis!$C$52, $B21-Analysis!$C$52&lt;=10),Analysis!$C$41+Analysis!$C$44,IF(AND($B21&gt;=Analysis!$C$52, $B21-Analysis!$C$52&lt;=18),Analysis!$C$42+Analysis!$C$44,IF(AND($B21&gt;=Analysis!$C$52, $B21-Analysis!$C$52&lt;=25),Analysis!$C$43+Analysis!$C$44,0)))) + Analysis!$C$57*IF(AND($B21&gt;=Analysis!$C$58, $B21-Analysis!$C$58&lt;=3),Analysis!$C$40+Analysis!$C$44,IF(AND($B21&gt;=Analysis!$C$58, $B21-Analysis!$C$58&lt;=10),Analysis!$C$41+Analysis!$C$44,IF(AND($B21&gt;=Analysis!$C$58, $B21-Analysis!$C$58&lt;=18),Analysis!$C$42+Analysis!$C$44,IF(AND($B21&gt;=Analysis!$C$58, $B21-Analysis!$C$58&lt;=25),Analysis!$C$43+Analysis!$C$44,0)))))</f>
        <v>-11075</v>
      </c>
      <c r="Q21" s="1">
        <f t="shared" si="43"/>
        <v>0</v>
      </c>
      <c r="R21" s="1">
        <f>IF(AND(AND(B21=Analysis!C$35,Analysis!C$34&lt;&gt;0),AND(B21=Analysis!C$37,Analysis!C$36&lt;&gt;0)),Analysis!C$34+Analysis!C$36,IF(AND(B21=Analysis!C$35,Analysis!C$34&lt;&gt;0),Analysis!C$34,IF(AND(B21=Analysis!C$37,Analysis!C$36&lt;&gt;0),Analysis!C$36,0)))</f>
        <v>0</v>
      </c>
      <c r="S21" s="64">
        <f t="shared" si="12"/>
        <v>0.02</v>
      </c>
      <c r="T21" s="64">
        <f>IF($B21&lt;Analysis!$C$13, ((1+IF($B21-$B$2&lt;10,Analysis!$C$11,IF($B21-$B$2&lt;20,(Analysis!$C$11+Analysis!$C$12)/2,Analysis!$C$12)))/(1+$S21)-1),IF($B21=Analysis!$C$13,-Analysis!$C$14,-$S21))</f>
        <v>1.225490196078427E-2</v>
      </c>
      <c r="U21" s="64">
        <f>IF($B21=$B$2,((1+Analysis!$C$16)/(1+$S21))-1,IF(B21&lt;Analysis!$C$13,U20-((Analysis!$C$16-Analysis!$C$17)/(Analysis!$C$13-$B$2)),((1+Analysis!$C$17)/(1+$S20))-1))</f>
        <v>4.5859943977591217E-2</v>
      </c>
      <c r="V21" s="64">
        <f t="shared" si="13"/>
        <v>0.26374999999999998</v>
      </c>
      <c r="W21" s="36"/>
      <c r="X21" s="1">
        <f t="shared" si="14"/>
        <v>-27475.689265409179</v>
      </c>
      <c r="Y21" s="64">
        <f t="shared" si="15"/>
        <v>2.941176470588247E-2</v>
      </c>
      <c r="Z21" s="1">
        <f t="shared" si="16"/>
        <v>-3960</v>
      </c>
      <c r="AA21" s="64">
        <f t="shared" si="17"/>
        <v>0</v>
      </c>
      <c r="AB21" s="40"/>
      <c r="AC21" s="1">
        <f t="shared" si="3"/>
        <v>-101585.68926540918</v>
      </c>
      <c r="AD21" s="1">
        <f t="shared" si="4"/>
        <v>131467.92324122589</v>
      </c>
      <c r="AE21" s="1">
        <f t="shared" si="18"/>
        <v>29882.233975816707</v>
      </c>
      <c r="AF21" s="1">
        <f>IF(AE21 &lt; 0,
    IF(AF20 + AE21 &gt; 0,
        AF20 + AE21, IF(AK20-ABS(AF20 + AE21)*(1+$V21) &gt;= AF20 + AE21,
        0, AF20 + AE21)),
    MIN(AF20 + AE21, Analysis!$C$7))+IF(AF20&lt;0, AF20*Analysis!$C$9,0)</f>
        <v>24000</v>
      </c>
      <c r="AG21" s="40"/>
      <c r="AH21" s="1">
        <f t="shared" si="19"/>
        <v>41281.62418760587</v>
      </c>
      <c r="AI21" s="1">
        <f>IF(AE21 &gt;= 0,
    MAX(0, AF20 + AE21 - Analysis!$C$7),
    0)</f>
        <v>29882.233975816707</v>
      </c>
      <c r="AJ21" s="1">
        <f t="shared" si="44"/>
        <v>568166.13083531882</v>
      </c>
      <c r="AK21" s="1">
        <f t="shared" si="20"/>
        <v>971331.20698917622</v>
      </c>
      <c r="AL21" s="1">
        <f t="shared" si="5"/>
        <v>864996.41815359634</v>
      </c>
      <c r="AM21" s="36"/>
      <c r="AN21" s="1">
        <f t="shared" si="45"/>
        <v>1543772.9448367532</v>
      </c>
      <c r="AO21" s="64">
        <f t="shared" si="21"/>
        <v>2.941176470588247E-2</v>
      </c>
      <c r="AP21" s="1">
        <f>IF($B21=Analysis!$C$66,(AN21*(1+Analysis!$C$23+Analysis!$C$24+Analysis!$C$25))-IF($B21=$B$2,(Analysis!$C$6-Analysis!$C$7+Analysis!$C$68), ($CG20-Analysis!$C$7+AY21)),0)</f>
        <v>0</v>
      </c>
      <c r="AQ21" s="65">
        <f>IF($B21=Analysis!$C$66,NPER(AU21,-AX21,-AP21),0)</f>
        <v>0</v>
      </c>
      <c r="AR21" s="64">
        <f>IF($B21=Analysis!$C$66,Analysis!$C$73,0)</f>
        <v>0</v>
      </c>
      <c r="AS21" s="1">
        <f>IF($B21&lt;Analysis!$C$66,0,IF($B21=Analysis!$C$66,-AP21*AR21,IF(AX21&gt;=0,0,AX21-AV21)))</f>
        <v>-36574.880449338612</v>
      </c>
      <c r="AT21" s="1">
        <f>IF($B21&lt;Analysis!$C$66,0,IF($B21=Analysis!$C$66,-AP21-AS21,MIN(0,AT20-AS21)))</f>
        <v>-387548.91821718577</v>
      </c>
      <c r="AU21" s="64">
        <f>IF($B21&lt;Analysis!$C$66,0,IF($B21=Analysis!$C$66,Analysis!$C$72,IF(($B21-Analysis!$C$66)&lt;LOOKUP(Analysis!$C$66,$B:$B,AQ:AQ),AU20,0)))</f>
        <v>3.6999999999999998E-2</v>
      </c>
      <c r="AV21" s="1">
        <f>IF($B21&lt;Analysis!$C$66,0,IF($B21=Analysis!$C$66,-AU21*AP21,AU20*AT20))</f>
        <v>-15692.580550661402</v>
      </c>
      <c r="AW21" s="1">
        <f>IF($B21&lt;Analysis!$C$66,0,IF($B21=Analysis!$C$66,PMT(AU21,AQ21,AP21)*AQ21-AX21-AT21,IF(($B21-Analysis!$C$66+1)&lt;LOOKUP(Analysis!$C$66,$B:$B,AQ:AQ),IF(AW20-AV21&lt;0, AW20-AV21,0),0)))</f>
        <v>-73784.98657312282</v>
      </c>
      <c r="AX21" s="1">
        <f>IF($B21&lt;Analysis!$C$66,0,IF($B21=Analysis!$C$66,AS21+AV21,IF(AT20&lt;0,IF(AT20&gt;LOOKUP(Analysis!$C$66,$B:$B,AX:AX), AT20*(1+AU20),AX20),0)))</f>
        <v>-52267.46100000001</v>
      </c>
      <c r="AY21" s="1">
        <f>IF($B21=Analysis!$C$66,Analysis!$C$68,0)</f>
        <v>0</v>
      </c>
      <c r="AZ21" s="1">
        <f>IF($B21=Analysis!$C$66,PMT(AU21,BA21,AY21)*BA21,0)</f>
        <v>0</v>
      </c>
      <c r="BA21" s="7">
        <f>IF($B21=Analysis!$C$66,Analysis!$C$70,0)</f>
        <v>0</v>
      </c>
      <c r="BB21" s="1">
        <f>IF($B21&lt;Analysis!$C$66,0,IF($B21=Analysis!$C$66,AZ21/BA21,IF(($B21-Analysis!$C$66)&lt;LOOKUP(Analysis!$C$66,$B:$B,BA:BA),BB20,0)))</f>
        <v>0</v>
      </c>
      <c r="BC21" s="1">
        <f>IF($B21&lt;Analysis!$C$66,0,IF($B21=Analysis!$C$66,BA21*BB21-BB21,IF(($B21-Analysis!$C$66)&lt;Analysis!$C$70,BC20-BB21,0)))</f>
        <v>0</v>
      </c>
      <c r="BD21" s="42"/>
      <c r="BE21" s="1">
        <f>IF($B21&lt;Analysis!$C$66,0,-BF21*AN21)</f>
        <v>-4631.3188345102599</v>
      </c>
      <c r="BF21" s="64">
        <f>IF($B21&lt;Analysis!$C$66,0,Analysis!$C$78)</f>
        <v>3.0000000000000001E-3</v>
      </c>
      <c r="BG21" s="1">
        <f>IF($B21&lt;Analysis!$C$66,0,-BH21*AN21)</f>
        <v>-11578.297086275648</v>
      </c>
      <c r="BH21" s="64">
        <f>IF($B21&lt;Analysis!$C$66,0,Analysis!$C$79)</f>
        <v>7.4999999999999997E-3</v>
      </c>
      <c r="BI21" s="1">
        <f>IF($B21&lt;Analysis!$C$66,0,MIN(Analysis!$C$80*12,SUM(BJ21:BN21)))</f>
        <v>-3960</v>
      </c>
      <c r="BJ21" s="1">
        <f>IF($B21&lt;Analysis!$C$66,0,Analysis!$C$81*12)</f>
        <v>-900</v>
      </c>
      <c r="BK21" s="1">
        <f>IF($B21&lt;Analysis!$C$66,0,Analysis!$C$82*12)</f>
        <v>-1500</v>
      </c>
      <c r="BL21" s="1">
        <f>IF($B21&lt;Analysis!$C$66,0,Analysis!$C$83*12)</f>
        <v>-480</v>
      </c>
      <c r="BM21" s="1">
        <f>IF($B21&lt;Analysis!$C$66,0,Analysis!$C$84*12)</f>
        <v>-480</v>
      </c>
      <c r="BN21" s="1">
        <f>IF($B21&lt;Analysis!$C$66,0,Analysis!$C$85*12)</f>
        <v>-600</v>
      </c>
      <c r="BO21" s="1">
        <v>0</v>
      </c>
      <c r="BP21" s="1">
        <f>-BO21*Analysis!$C$28</f>
        <v>0</v>
      </c>
      <c r="BQ21" s="42"/>
      <c r="BR21" s="1">
        <f t="shared" si="22"/>
        <v>-196831.05046668602</v>
      </c>
      <c r="BS21" s="64">
        <f>IF($B21&lt;Analysis!C$66,0,Analysis!C$31)</f>
        <v>0.1275</v>
      </c>
      <c r="BT21" s="1">
        <f>IF($B21&lt;Analysis!$C$66,0,AN21+BR21)</f>
        <v>1346941.8943700672</v>
      </c>
      <c r="BU21" s="1">
        <f>IF($B21-Analysis!$C$66&gt;3,0,IF($AN21&gt;LOOKUP(Analysis!$C$66,$B:$B, AN:AN),$V21*(LOOKUP(Analysis!$C$66,$B:$B, AN:AN)-AN21),0))</f>
        <v>0</v>
      </c>
      <c r="BV21" s="1">
        <f t="shared" si="23"/>
        <v>1346941.8943700672</v>
      </c>
      <c r="BW21" s="42"/>
      <c r="BX21" s="1">
        <f>IF($B21&lt;Analysis!$C$66,$P21+$N21+$X21+$Z21,$P21+$N21+AS21+AV21+BB21+BE21+BG21+MAX(BI21,SUM(BJ21:BN21))+BP21)</f>
        <v>-142587.07692078591</v>
      </c>
      <c r="BY21" s="1">
        <f t="shared" si="24"/>
        <v>131467.92324122589</v>
      </c>
      <c r="BZ21" s="1">
        <f t="shared" si="46"/>
        <v>-11119.153679560026</v>
      </c>
      <c r="CA21" s="1">
        <f>IF(BZ21 &lt; 0,
    IF(CA20 + BZ21 &gt; 0,
        CA20 + BZ21, IF(CF20-ABS(CA20 + BZ21)*(1+$V21) &gt;= CA20 + BZ21,
        0, CA20 + BZ21)),
    MIN(CA20 + BZ21, Analysis!$C$7))+IF(CA20&lt;0, CA20*Analysis!$C$9,0)</f>
        <v>-998300.55424920993</v>
      </c>
      <c r="CB21" s="42"/>
      <c r="CC21" s="1">
        <f t="shared" si="47"/>
        <v>0</v>
      </c>
      <c r="CD21" s="1">
        <f>IF(BZ21 &gt;= 0,
    MAX(0, CA20 + BZ21 - Analysis!$C$7),
    0)</f>
        <v>0</v>
      </c>
      <c r="CE21" s="1">
        <f>IF($B21=Analysis!$C$66,0,MAX(0, CE20 + CD21 - IF(BZ21 &lt; 0, MIN(ABS(BZ21), CE20 + CD21), 0)))</f>
        <v>0</v>
      </c>
      <c r="CF21" s="1">
        <f>IF($B21=Analysis!$C$66,0,IF(BZ21 &lt; 0,
    IF(BZ21 + CA20 &lt; 0,
        MAX(0, CF20 - (ABS(BZ21 + CA20) * (1+$V20))),
        CF20 + CC21),
    CF20 + CD21 + CC21))</f>
        <v>0</v>
      </c>
      <c r="CG21" s="1">
        <f t="shared" si="25"/>
        <v>0</v>
      </c>
      <c r="CH21" s="36"/>
      <c r="CI21" s="1">
        <f>IF(OR($B21&lt;Analysis!$C$100, $B21&gt;=Analysis!$C$130),0,X21)</f>
        <v>-27475.689265409179</v>
      </c>
      <c r="CJ21" s="1">
        <f>IF(OR($B21&lt;Analysis!$C$100, $B21&gt;=Analysis!$C$130),0,Z21)</f>
        <v>-3960</v>
      </c>
      <c r="CK21" s="1">
        <f t="shared" si="26"/>
        <v>901285.86756986158</v>
      </c>
      <c r="CL21" s="64">
        <f t="shared" si="48"/>
        <v>2.941176470588247E-2</v>
      </c>
      <c r="CM21" s="1">
        <f>IF($B21=Analysis!$C$100,(CK21*(1+Analysis!$C$23+Analysis!$C$24+Analysis!$C$25))-IF($B21=$B$2,(Analysis!$C$6-Analysis!$C$7+Analysis!$C$105), (FU20-Analysis!$C$7+CV21)),0)</f>
        <v>0</v>
      </c>
      <c r="CN21" s="65">
        <f>IF($B21=Analysis!$C$100,NPER(CR21,-CU21,-CM21),0)</f>
        <v>0</v>
      </c>
      <c r="CO21" s="64">
        <f>IF($B21=Analysis!$C$100,Analysis!$C$103,0)</f>
        <v>0</v>
      </c>
      <c r="CP21" s="1">
        <f>IF(OR($B21&lt;Analysis!$C$100, $B21&gt;=Analysis!$C$101),0,IF($B21=Analysis!$C$100,-CM21*CO21,IF(CU21&gt;=0,0,CU21-CS21)))</f>
        <v>-20091.557100605372</v>
      </c>
      <c r="CQ21" s="1">
        <f>IF(OR($B21&lt;Analysis!$C$100, $B21&gt;=Analysis!$C$101),0,IF($B21=Analysis!$C$100,-CM21-CP21,MIN(0,CQ20-CP21)))</f>
        <v>-212890.95477492517</v>
      </c>
      <c r="CR21" s="64">
        <f>IF(OR($B21&lt;Analysis!$C$100, $B21&gt;=Analysis!$C$101),0,IF($B21=Analysis!$C$100,Analysis!$C$102,IF(($B21-Analysis!$C$100)&lt;LOOKUP(Analysis!$C$100,$B:$B,CN:CN),CR20,0)))</f>
        <v>3.6999999999999998E-2</v>
      </c>
      <c r="CS21" s="1">
        <f>IF(OR($B21&lt;Analysis!$C$100, $B21&gt;=Analysis!$C$101),0,IF($B21=Analysis!$C$100,-CR21*CM21,CR20*CQ20))</f>
        <v>-8620.3529393946301</v>
      </c>
      <c r="CT21" s="1">
        <f>IF(OR($B21&lt;Analysis!$C$100, $B21&gt;=Analysis!$C$101),0,IF($B21=Analysis!$C$100,PMT(CR21,CN21,CM21)*CN21-CU21-CQ21,IF(($B21-Analysis!$C$100+1)&lt;LOOKUP(Analysis!$C$100,$B:$B,CN:CN),IF(CT20-CS21&lt;0, CT20-CS21,0),0)))</f>
        <v>-40532.060602486737</v>
      </c>
      <c r="CU21" s="1">
        <f>IF(OR($B21&lt;Analysis!$C$100, $B21&gt;=Analysis!$C$101),0,IF($B21=Analysis!$C$100,CP21+CS21,IF(CQ20&lt;0,IF(CQ20&gt;LOOKUP(Analysis!$C$100,$B:$B,CU:CU), CQ20*(1+CR20),CU20),0)))</f>
        <v>-28711.910040000002</v>
      </c>
      <c r="CV21" s="1">
        <f>IF($B21=Analysis!$C$100,Analysis!$C$105,0)</f>
        <v>0</v>
      </c>
      <c r="CW21" s="1">
        <f>IF($B21=Analysis!$C$100,PMT(CR21,CX21,CV21)*CX21,0)</f>
        <v>0</v>
      </c>
      <c r="CX21" s="7">
        <f>IF($B21=Analysis!$C$100,Analysis!$C$107,0)</f>
        <v>0</v>
      </c>
      <c r="CY21" s="1">
        <f>IF(OR($B21&lt;Analysis!$C$100, $B21&gt;=Analysis!$C$101),0,IF($B21=Analysis!$C$100,CW21/CX21,IF(($B21-Analysis!$C$100)&lt;LOOKUP(Analysis!$C$100,$B:$B,CX:CX),CY20,0)))</f>
        <v>0</v>
      </c>
      <c r="CZ21" s="1">
        <f>IF(OR($B21&lt;Analysis!$C$100, $B21&gt;=Analysis!$C$101),0,IF($B21=Analysis!$C$100,CX21*CY21-CY21,IF(($B21-Analysis!$C$100)&lt;Analysis!$C$107,CZ20-CY21,0)))</f>
        <v>0</v>
      </c>
      <c r="DA21" s="53"/>
      <c r="DB21" s="1">
        <f>IF(OR($B21&lt;Analysis!$C$100, $B21&gt;=Analysis!$C$101),0,IF($B21=2025,(Analysis!$C$109*12),IF($B21=Analysis!$C$100,(Analysis!$C$109*12)*(1+DC21)^($B21-$B$2),DB20*(1+DC21))))</f>
        <v>24041.228107233041</v>
      </c>
      <c r="DC21" s="64">
        <f>IF(OR($B21&lt;Analysis!$C$100, $B21&gt;=Analysis!$C$101),0,((1+Analysis!$C$114)/(1+$S21))-1)</f>
        <v>2.941176470588247E-2</v>
      </c>
      <c r="DD21" s="1">
        <f t="shared" si="6"/>
        <v>30705.085709942625</v>
      </c>
      <c r="DE21" s="1">
        <f t="shared" si="27"/>
        <v>-2703.8576027095846</v>
      </c>
      <c r="DF21" s="64">
        <f>IF(OR($B21&lt;Analysis!$C$100, $B21&gt;=Analysis!$C$101),0,Analysis!$C$118)</f>
        <v>3.0000000000000001E-3</v>
      </c>
      <c r="DG21" s="1">
        <f t="shared" si="28"/>
        <v>-6759.6440067739613</v>
      </c>
      <c r="DH21" s="64">
        <f>IF(OR($B21&lt;Analysis!$C$100, $B21&gt;=Analysis!$C$101),0,Analysis!$C$119)</f>
        <v>7.4999999999999997E-3</v>
      </c>
      <c r="DI21" s="1">
        <f>IF(OR($B21&lt;Analysis!$C$100, $B21&gt;=Analysis!$C$101),0,MIN(Analysis!$C$120*12,SUM(DJ21:DN21)))</f>
        <v>-3960</v>
      </c>
      <c r="DJ21" s="1">
        <f>IF(OR($B21&lt;Analysis!$C$100, $B21&gt;=Analysis!$C$101),0,Analysis!$C$121*12)</f>
        <v>-900</v>
      </c>
      <c r="DK21" s="1">
        <f>IF(OR($B21&lt;Analysis!$C$100, $B21&gt;=Analysis!$C$101),0,Analysis!$C$122*12)</f>
        <v>-1500</v>
      </c>
      <c r="DL21" s="1">
        <f>IF(OR($B21&lt;Analysis!$C$100, $B21&gt;=Analysis!$C$101),0,Analysis!$C$123*12)</f>
        <v>-480</v>
      </c>
      <c r="DM21" s="1">
        <f>IF(OR($B21&lt;Analysis!$C$100, $B21&gt;=Analysis!$C$101),0,Analysis!$C$124*12)</f>
        <v>-480</v>
      </c>
      <c r="DN21" s="1">
        <f>IF(OR($B21&lt;Analysis!$C$100, $B21&gt;=Analysis!$C$101),0,Analysis!$C$125*12)</f>
        <v>-600</v>
      </c>
      <c r="DO21" s="64">
        <f>IF(OR($B21&lt;Analysis!$C$100, $B21&gt;=Analysis!$C$101),0,Analysis!$C$113)</f>
        <v>0.02</v>
      </c>
      <c r="DP21" s="1">
        <f>-DO21*LOOKUP(Analysis!$C$100,$B:$B,CK:CK)</f>
        <v>-10392</v>
      </c>
      <c r="DQ21" s="1">
        <f>-Analysis!$C$117*DB21</f>
        <v>-1803.092108042478</v>
      </c>
      <c r="DR21" s="1">
        <f t="shared" si="29"/>
        <v>-25618.593717526022</v>
      </c>
      <c r="DS21" s="1">
        <f>MIN(0,-(DB21+DR21)*Analysis!$C$28)-CS21*Analysis!$C$28</f>
        <v>3819.6783874457601</v>
      </c>
      <c r="DT21" s="1">
        <f>-Analysis!$C$116*DD21/12</f>
        <v>-2558.7571424952189</v>
      </c>
      <c r="DU21" s="53"/>
      <c r="DV21" s="1">
        <f t="shared" si="30"/>
        <v>-114913.94811515736</v>
      </c>
      <c r="DW21" s="64">
        <f>IF(OR($B21&lt;Analysis!$C$100, $B21&gt;=Analysis!$C$101),0,IF($B21=Analysis!$C$100,Analysis!$C$31,DW20))</f>
        <v>0.1275</v>
      </c>
      <c r="DX21" s="1">
        <f>IF(OR($B21&lt;Analysis!$C$100, $B21&gt;=Analysis!$C$101),0,CK21+DV21)</f>
        <v>786371.91945470427</v>
      </c>
      <c r="DY21" s="1">
        <f>IF(OR($B21&lt;Analysis!$C$100, $B21&gt;=Analysis!$C$101),0,IF($B21-Analysis!$C$100&gt;3,0,IF(CK21&gt;LOOKUP(Analysis!$C$100,$B:$B, CK:CK),$V21*(LOOKUP(Analysis!$C$100,$B:$B, CK:CK)-CK21),0)))</f>
        <v>0</v>
      </c>
      <c r="DZ21" s="1">
        <f t="shared" si="49"/>
        <v>786371.91945470427</v>
      </c>
      <c r="EA21" s="53"/>
      <c r="EB21" s="1">
        <f t="shared" si="31"/>
        <v>1196857.6763341124</v>
      </c>
      <c r="EC21" s="64">
        <f t="shared" si="50"/>
        <v>2.941176470588247E-2</v>
      </c>
      <c r="ED21" s="1">
        <f>MAX(0,IF($B21=Analysis!$C$130,(EB21*(1+Analysis!$C$23+Analysis!$C$24+Analysis!$C$25))-(IF($B21=$B$2,(Analysis!$C$6-Analysis!$C$7+Analysis!$C$132), (FU20-Analysis!$C$7+EM21)) + IF($B21=Analysis!$C$101,DZ20+CQ20+CT20+CZ20,0)),0))</f>
        <v>0</v>
      </c>
      <c r="EE21" s="65">
        <f>IF($B21=Analysis!$C$130,IF(ED21&gt;0,NPER(EI21,-EL21,-ED21),0),0)</f>
        <v>0</v>
      </c>
      <c r="EF21" s="64">
        <f>IF($B21=Analysis!$C$130,Analysis!$C$137,0)</f>
        <v>0</v>
      </c>
      <c r="EG21" s="1">
        <f>IF($B21&lt;Analysis!$C$130,0,IF($B21=Analysis!$C$130,-ED21*EF21,IF(EL21&gt;=0,0,EL21-EJ21)))</f>
        <v>0</v>
      </c>
      <c r="EH21" s="1">
        <f>IF($B21&lt;Analysis!$C$130,0,IF($B21=Analysis!$C$130,-ED21-EG21,MIN(0,EH20-EG21)))</f>
        <v>0</v>
      </c>
      <c r="EI21" s="64">
        <f>IF($B21&lt;Analysis!$C$130,0,IF($B21=Analysis!$C$130,Analysis!$C$136,IF(($B21-Analysis!$C$130)&lt;LOOKUP(Analysis!$C$130,$B:$B,EE:EE),EI20,0)))</f>
        <v>0</v>
      </c>
      <c r="EJ21" s="1">
        <f>IF($B21&lt;Analysis!$C$130,0,IF($B21=Analysis!$C$130,-EI21*ED21,EI20*EH20))</f>
        <v>0</v>
      </c>
      <c r="EK21" s="1">
        <f>IF(OR($B21&lt;Analysis!$C$130, ED21=0),0,IF($B21=Analysis!$C$130,PMT(EI21,EE21,ED21)*EE21-EL21-EH21,IF(($B21-Analysis!$C$130+1)&lt;LOOKUP(Analysis!$C$130,$B:$B,EE:EE),IF(EK20-EJ21&lt;0, EK20-EJ21,0),0)))</f>
        <v>0</v>
      </c>
      <c r="EL21" s="1">
        <f>IF($B21&lt;Analysis!$C$130,0,IF($B21=Analysis!$C$130,EG21+EJ21,IF(EH20&lt;0,IF(EH20&gt;LOOKUP(Analysis!$C$130,$B:$B,EL:EL), EH20*(1+EI20),EL20),0)))</f>
        <v>0</v>
      </c>
      <c r="EM21" s="1">
        <f>IF($B21=Analysis!$C$130,Analysis!$C$132,0)</f>
        <v>0</v>
      </c>
      <c r="EN21" s="1">
        <f>IF($B21=Analysis!$C$130,PMT(EI21,EO21,EM21)*EO21,0)</f>
        <v>0</v>
      </c>
      <c r="EO21" s="7">
        <f>IF($B21=Analysis!$C$130,Analysis!$C$134,0)</f>
        <v>0</v>
      </c>
      <c r="EP21" s="1">
        <f>IF($B21&lt;Analysis!$C$130,0,IF($B21=Analysis!$C$130,EN21/EO21,IF(($B21-Analysis!$C$130)&lt;LOOKUP(Analysis!$C$130,$B:$B,EO:EO),EP20,0)))</f>
        <v>0</v>
      </c>
      <c r="EQ21" s="1">
        <f>IF($B21&lt;Analysis!$C$130,0,IF($B21=Analysis!$C$130,EO21*EP21-EP21,IF(($B21-Analysis!$C$130)&lt;Analysis!$C$134,EQ20-EP21,0)))</f>
        <v>0</v>
      </c>
      <c r="ER21" s="53"/>
      <c r="ES21" s="1">
        <f>IF($B21&lt;Analysis!$C$130,0,-ET21*EB21)</f>
        <v>0</v>
      </c>
      <c r="ET21" s="64">
        <f>IF($B21&lt;Analysis!$C$130,0,Analysis!$C$142)</f>
        <v>0</v>
      </c>
      <c r="EU21" s="1">
        <f>IF($B21&lt;Analysis!$C$130,0,-EV21*EB21)</f>
        <v>0</v>
      </c>
      <c r="EV21" s="64">
        <f>IF($B21&lt;Analysis!$C$130,0,Analysis!$C$143)</f>
        <v>0</v>
      </c>
      <c r="EW21" s="1">
        <f>IF($B21&lt;Analysis!$C$130,0,MIN(Analysis!$C$144*12,SUM(EX21:FB21)))</f>
        <v>0</v>
      </c>
      <c r="EX21" s="1">
        <f>IF($B21&lt;Analysis!$C$130,0,Analysis!$C$145*12)</f>
        <v>0</v>
      </c>
      <c r="EY21" s="1">
        <f>IF($B21&lt;Analysis!$C$130,0,Analysis!$C$146*12)</f>
        <v>0</v>
      </c>
      <c r="EZ21" s="1">
        <f>IF($B21&lt;Analysis!$C$130,0,Analysis!$C$147*12)</f>
        <v>0</v>
      </c>
      <c r="FA21" s="1">
        <f>IF($B21&lt;Analysis!$C$130,0,Analysis!$C$148*12)</f>
        <v>0</v>
      </c>
      <c r="FB21" s="1">
        <f>IF($B21&lt;Analysis!$C$130,0,Analysis!$C$149*12)</f>
        <v>0</v>
      </c>
      <c r="FC21" s="1">
        <v>0</v>
      </c>
      <c r="FD21" s="1">
        <f>-FC21*Analysis!$C$28</f>
        <v>0</v>
      </c>
      <c r="FE21" s="53"/>
      <c r="FF21" s="1">
        <f t="shared" si="32"/>
        <v>0</v>
      </c>
      <c r="FG21" s="64">
        <f>IF($B21&lt;Analysis!$C$130,0,Analysis!$C$31)</f>
        <v>0</v>
      </c>
      <c r="FH21" s="1">
        <f>IF($B21&lt;Analysis!$C$130,0,EB21+FF21)</f>
        <v>0</v>
      </c>
      <c r="FI21" s="1">
        <f>IF($B21-Analysis!$C$130&gt;3,0,IF(EB21&gt;LOOKUP(Analysis!$C$130,$B:$B, EB:EB),$V21*(LOOKUP(Analysis!$C$130,$B:$B, EB:EB)-EB21),0))</f>
        <v>0</v>
      </c>
      <c r="FJ21" s="1">
        <f t="shared" si="33"/>
        <v>0</v>
      </c>
      <c r="FK21" s="53"/>
      <c r="FL21" s="1">
        <f>$P21+$N21+IF($B21&lt;Analysis!$C$130,$X21+$Z21,0)+CP21+CS21+CY21+DE21+DG21+MIN(DI21,SUM(DJ21:DN21))+DQ21+DS21+DT21+EG21+EJ21+EP21+ES21+EU21+MIN(EW21,SUM(EX21:FB21))+FD21</f>
        <v>-144263.27177798469</v>
      </c>
      <c r="FM21" s="1">
        <f>$M21+$R21+DD21+IF(AND($B21&lt;&gt;Analysis!$C$130,$B21=Analysis!$C$101),DZ20+CQ20+CT20+CZ20,0)</f>
        <v>162173.00895116851</v>
      </c>
      <c r="FN21" s="1">
        <f t="shared" si="34"/>
        <v>17909.737173183821</v>
      </c>
      <c r="FO21" s="1">
        <f>IF(FN21 &lt; 0,
    IF(FO20 + FN21 &gt; 0,
        FO20 + FN21, IF(FT20-ABS(FO20 + FN21)*(1+$V21) &gt;= FO20 + FN21,
        0, FO20 + FN21)),
    MIN(FO20 + FN21, Analysis!$C$7))+IF(FO20&lt;0, FO20*Analysis!$C$9,0)</f>
        <v>24000</v>
      </c>
      <c r="FP21" s="53"/>
      <c r="FQ21" s="1">
        <f t="shared" si="51"/>
        <v>12835.725007094979</v>
      </c>
      <c r="FR21" s="1">
        <f>IF(OR($B21=Analysis!$C$100, $B21=Analysis!$C$130),0,IF(FN21 &gt;= 0,
    MAX(0, FO20 + FN21 - Analysis!$C$7),
    0))</f>
        <v>17909.737173183821</v>
      </c>
      <c r="FS21" s="1">
        <f>IF(OR($B21=Analysis!$C$100, $B21=Analysis!$C$130),0,MAX(0, FS20 + FR21 - IF(FN21 &lt; 0, MIN(ABS(FN21), FS20 + FR21), 0)))</f>
        <v>230521.37032824758</v>
      </c>
      <c r="FT21" s="1">
        <f>IF(OR($B21=Analysis!$C$100, $B21=Analysis!$C$130),0,IF(FN21 &lt; 0,
    IF(FN21 + FO20 &lt; 0,
        MAX(0, FT20 - (ABS(FN21 + FO20) * (1+$V20))),
        FT20 + FQ21),
    FT20 + FR21 + FQ21))</f>
        <v>310635.14136015234</v>
      </c>
      <c r="FU21" s="1">
        <f t="shared" si="57"/>
        <v>289505.13425048743</v>
      </c>
      <c r="FV21" s="36"/>
      <c r="FW21" s="1">
        <f t="shared" si="52"/>
        <v>901285.86756986158</v>
      </c>
      <c r="FX21" s="64">
        <f t="shared" si="53"/>
        <v>2.941176470588247E-2</v>
      </c>
      <c r="FY21" s="1">
        <f>IF($B21=Analysis!$C$159,(FW21*(1+Analysis!$C$23+Analysis!$C$24+Analysis!$C$25))-IF($B21=$B$2,(Analysis!$C$6-Analysis!$C$7+Analysis!$C$165), (HW20-Analysis!$C$7+GH21)),0)</f>
        <v>0</v>
      </c>
      <c r="FZ21" s="65">
        <f>IF($B21=Analysis!$C$159,NPER(GD21,-GG21,-FY21),0)</f>
        <v>0</v>
      </c>
      <c r="GA21" s="64">
        <f>IF($B21=Analysis!$C$159,Analysis!$C$161,0)</f>
        <v>0</v>
      </c>
      <c r="GB21" s="1">
        <f>IF($B21&lt;Analysis!$C$159,0,IF($B21=Analysis!$C$159,-FY21*GA21,IF(GG21&gt;=0,0,GG21-GE21)))</f>
        <v>-20091.557100605372</v>
      </c>
      <c r="GC21" s="1">
        <f>IF($B21&lt;Analysis!$C$159,0,IF($B21=Analysis!$C$159,-FY21-GB21,MIN(0,GC20-GB21)))</f>
        <v>-212890.95477492517</v>
      </c>
      <c r="GD21" s="64">
        <f>IF($B21&lt;Analysis!$C$159,0,IF($B21=Analysis!$C$159,Analysis!$C$160,IF(($B21-Analysis!$C$159)&lt;LOOKUP(Analysis!$C$159,$B:$B,FZ:FZ),GD20,0)))</f>
        <v>3.6999999999999998E-2</v>
      </c>
      <c r="GE21" s="1">
        <f>IF($B21&lt;Analysis!$C$159,0,IF($B21=Analysis!$C$159,-GD21*FY21,GD20*GC20))</f>
        <v>-8620.3529393946301</v>
      </c>
      <c r="GF21" s="1">
        <f>IF($B21&lt;Analysis!$C$159,0,IF($B21=Analysis!$C$159,PMT(GD21,FZ21,FY21)*FZ21-GG21-GC21,IF(($B21-Analysis!$C$159+1)&lt;LOOKUP(Analysis!$C$159,$B:$B,FZ:FZ),IF(GF20-GE21&lt;0, GF20-GE21,0),0)))</f>
        <v>-40532.060602486737</v>
      </c>
      <c r="GG21" s="1">
        <f>IF($B21&lt;Analysis!$C$159,0,IF($B21=Analysis!$C$159,GB21+GE21,IF(GC20&lt;0,IF(GC20&gt;LOOKUP(Analysis!$C$159,$B:$B,GG:GG), GC20*(1+GD20),GG20),0)))</f>
        <v>-28711.910040000002</v>
      </c>
      <c r="GH21" s="1">
        <f>IF($B21=Analysis!$C$159,Analysis!$C$165,0)</f>
        <v>0</v>
      </c>
      <c r="GI21" s="1">
        <f>IF($B21=Analysis!$C$159,PMT(GD21,GJ21,GH21)*GJ21,0)</f>
        <v>0</v>
      </c>
      <c r="GJ21" s="7">
        <f>IF($B21=Analysis!$C$159,Analysis!$C$167,0)</f>
        <v>0</v>
      </c>
      <c r="GK21" s="1">
        <f>IF($B21&lt;Analysis!$C$159,0,IF($B21=Analysis!$C$159,GI21/GJ21,IF(($B21-Analysis!$C$159)&lt;LOOKUP(Analysis!$C$159,$B:$B,GJ:GJ),GK20,0)))</f>
        <v>0</v>
      </c>
      <c r="GL21" s="1">
        <f>IF($B21&lt;Analysis!$C$159,0,IF($B21=Analysis!$C$159,GJ21*GK21-GK21,IF(($B21-Analysis!$C$159)&lt;Analysis!$C$167,GL20-GK21,0)))</f>
        <v>0</v>
      </c>
      <c r="GM21" s="38"/>
      <c r="GN21" s="1">
        <f>IF($B21&lt;Analysis!$C$159,0,IF($B21=2025,(Analysis!$C$109*12),IF($B21=Analysis!$C$159,(Analysis!$C$109*12)*(1+GO21)^($B21-$B$2),GN20*(1+GO21))))</f>
        <v>24041.228107233041</v>
      </c>
      <c r="GO21" s="64">
        <f>IF($B21&lt;Analysis!$C$159,0,((1+Analysis!$C$174)/(1+$S21))-1)</f>
        <v>2.941176470588247E-2</v>
      </c>
      <c r="GP21" s="1">
        <f t="shared" si="7"/>
        <v>30705.085709942625</v>
      </c>
      <c r="GQ21" s="1">
        <f t="shared" si="36"/>
        <v>-2703.8576027095846</v>
      </c>
      <c r="GR21" s="64">
        <f>IF($B21&lt;Analysis!$C$159,0,Analysis!$C$178)</f>
        <v>3.0000000000000001E-3</v>
      </c>
      <c r="GS21" s="1">
        <f t="shared" si="37"/>
        <v>-6759.6440067739613</v>
      </c>
      <c r="GT21" s="64">
        <f>IF($B21&lt;Analysis!$C$159,0,Analysis!$C$179)</f>
        <v>7.4999999999999997E-3</v>
      </c>
      <c r="GU21" s="1">
        <f>IF($B21&lt;Analysis!$C$159,0,MIN(Analysis!$C$180*12,SUM(GV21:GZ21)))</f>
        <v>-3960</v>
      </c>
      <c r="GV21" s="1">
        <f>IF($B21&lt;Analysis!$C$159,0,Analysis!$C$181*12)</f>
        <v>-900</v>
      </c>
      <c r="GW21" s="1">
        <f>IF($B21&lt;Analysis!$C$159,0,Analysis!$C$182*12)</f>
        <v>-1500</v>
      </c>
      <c r="GX21" s="1">
        <f>IF($B21&lt;Analysis!$C$159,0,Analysis!$C$183*12)</f>
        <v>-480</v>
      </c>
      <c r="GY21" s="1">
        <f>IF($B21&lt;Analysis!$C$159,0,Analysis!$C$184*12)</f>
        <v>-480</v>
      </c>
      <c r="GZ21" s="1">
        <f>IF($B21&lt;Analysis!$C$159,0,Analysis!$C$185*12)</f>
        <v>-600</v>
      </c>
      <c r="HA21" s="64">
        <f>IF($B21&lt;Analysis!$C$159,0,Analysis!$C$173)</f>
        <v>0.02</v>
      </c>
      <c r="HB21" s="1">
        <f>-HA21*LOOKUP(Analysis!$C$159,$B:$B,FW:FW)</f>
        <v>-10392</v>
      </c>
      <c r="HC21" s="1">
        <f>-Analysis!$C$177*GN21</f>
        <v>-1803.092108042478</v>
      </c>
      <c r="HD21" s="1">
        <f t="shared" si="38"/>
        <v>-25618.593717526022</v>
      </c>
      <c r="HE21" s="1">
        <f>MIN(0,-(GN21+HD21)*Analysis!$C$28)-GE21*Analysis!$C$28</f>
        <v>3819.6783874457601</v>
      </c>
      <c r="HF21" s="1">
        <f>-Analysis!$C$176*GP21/12</f>
        <v>-2558.7571424952189</v>
      </c>
      <c r="HG21" s="38"/>
      <c r="HH21" s="1">
        <f>IF($B21&lt;Analysis!$C$159,0,-$HI21*$FW21)</f>
        <v>-114913.94811515736</v>
      </c>
      <c r="HI21" s="64">
        <f>IF($B21&lt;Analysis!$C$159,0,IF($B21=Analysis!$C$159,Analysis!$C$31,HI20))</f>
        <v>0.1275</v>
      </c>
      <c r="HJ21" s="1">
        <f>IF($B21&lt;Analysis!$C$159,0,$FW21+HH21)</f>
        <v>786371.91945470427</v>
      </c>
      <c r="HK21" s="1">
        <f>IF($B21-Analysis!$C$159&gt;10,0,IF($FW21&gt;LOOKUP(Analysis!$C$159,$B:$B, FW:FW),$V21*(LOOKUP(Analysis!$C$159,$B:$B, FW:FW)-FW21),0))</f>
        <v>0</v>
      </c>
      <c r="HL21" s="1">
        <f t="shared" si="39"/>
        <v>786371.91945470427</v>
      </c>
      <c r="HM21" s="38"/>
      <c r="HN21" s="1">
        <f t="shared" si="40"/>
        <v>-144263.27177798469</v>
      </c>
      <c r="HO21" s="1">
        <f t="shared" si="8"/>
        <v>162173.00895116851</v>
      </c>
      <c r="HP21" s="1">
        <f t="shared" si="41"/>
        <v>17909.737173183821</v>
      </c>
      <c r="HQ21" s="1">
        <f>IF(HP21 &lt; 0,
    IF(HQ20 + HP21 &gt; 0,
        HQ20 + HP21, IF(HV20-ABS(HQ20 + HP21)*(1+$V21) &gt;= HQ20 + HP21,
        0, HQ20 + HP21)),
    MIN(HQ20 + HP21, Analysis!$C$7))+IF(HQ20&lt;0, HQ20*Analysis!$C$9,0)</f>
        <v>24000</v>
      </c>
      <c r="HR21" s="38"/>
      <c r="HS21" s="1">
        <f t="shared" si="54"/>
        <v>12835.725007094979</v>
      </c>
      <c r="HT21" s="1">
        <f>IF($B21=Analysis!$C$159,0,IF(HP21 &gt;= 0,
    MAX(0, HQ20 + HP21 - Analysis!$C$7),
    0))</f>
        <v>17909.737173183821</v>
      </c>
      <c r="HU21" s="1">
        <f>IF($B21=Analysis!$C$159,0,MAX(0, HU20 + HT21 - IF(HP21 &lt; 0, MIN(ABS(HP21), HU20 + HT21), 0)))</f>
        <v>230521.37032824758</v>
      </c>
      <c r="HV21" s="1">
        <f>IF($B21=Analysis!$C$159,0,IF(HP21 &lt; 0,
    IF(HP21 + HQ20 &lt; 0,
        MAX(0, HV20 - (ABS(HP21 + HQ20) * (1+$V20))),
        HV20 + HS21),
    HV20 + HT21 + HS21))</f>
        <v>310635.14136015234</v>
      </c>
      <c r="HW21" s="1">
        <f t="shared" si="58"/>
        <v>289505.13425048743</v>
      </c>
      <c r="HX21" s="36"/>
    </row>
    <row r="22" spans="1:232" x14ac:dyDescent="0.35">
      <c r="A22">
        <f t="shared" si="0"/>
        <v>55</v>
      </c>
      <c r="B22">
        <v>2045</v>
      </c>
      <c r="C22" s="1">
        <f>IF($B22&lt;Analysis!C$66,0,$AN22)+$AT22+$AW22+$BC22+$CF22+$CA22</f>
        <v>140351.08198114869</v>
      </c>
      <c r="D22" s="1">
        <f>IF($B22&lt;Analysis!C$66, 0, BV22)+AT22+AW22+BC22+CG22+CA22</f>
        <v>-62269.117028675159</v>
      </c>
      <c r="E22" s="1">
        <f t="shared" si="1"/>
        <v>1117285.3879814148</v>
      </c>
      <c r="F22" s="1">
        <f t="shared" si="9"/>
        <v>999640.98450131982</v>
      </c>
      <c r="G22" s="1">
        <f>IF(AND($B22&gt;=Analysis!$C$100, $B22&lt;Analysis!$C$101),$CK22,0)+IF($B22&gt;=Analysis!$C$130,EB22,0)+CQ22+CT22+CZ22+EH22+EK22+EQ22+$FO22+$FT22</f>
        <v>1118593.4359553645</v>
      </c>
      <c r="H22" s="1">
        <f t="shared" si="10"/>
        <v>975552.80412745848</v>
      </c>
      <c r="I22" s="1">
        <f>IF($B22&lt;Analysis!$C$159,0,$FW22)+$GC22+$GF22+$GL22+$HQ22+$HV22</f>
        <v>1118593.4359553645</v>
      </c>
      <c r="J22" s="1">
        <f t="shared" si="2"/>
        <v>975552.80412745848</v>
      </c>
      <c r="K22" s="36"/>
      <c r="L22" s="1">
        <f t="shared" si="11"/>
        <v>131467.92324122589</v>
      </c>
      <c r="M22" s="1">
        <f>IF($B22=Analysis!$C$47, M21 * (1 - Analysis!$C$48),
    IF($B22=Analysis!$C$52, M21 * (1 - Analysis!$C$53),
    IF($B22=Analysis!$C$58, M21 * (1 - Analysis!$C$60),
    L22)))</f>
        <v>131467.92324122589</v>
      </c>
      <c r="N22" s="1">
        <f>Analysis!$C$3*12*(1+O22)+P22</f>
        <v>-59075</v>
      </c>
      <c r="O22" s="64">
        <f>IF(OR($B22=Analysis!$C$47,$B22=Analysis!$C$52,$B22=Analysis!$C$58),-Analysis!$C$49,0)</f>
        <v>0</v>
      </c>
      <c r="P22" s="1">
        <f>IF($B22&lt;Analysis!$C$47,0,IF($B22-Analysis!$C$47&lt;=3,Analysis!$C$40+Analysis!$C$44,IF($B22-Analysis!$C$47&lt;=10,Analysis!$C$41+Analysis!$C$44,IF($B22-Analysis!$C$47&lt;=18,Analysis!$C$42+Analysis!$C$44,IF($B22-Analysis!$C$47&lt;=25,Analysis!$C$43+Analysis!$C$44,0)))) + IF(AND($B22&gt;=Analysis!$C$52, $B22-Analysis!$C$52&lt;=3),Analysis!$C$40+Analysis!$C$44,IF(AND($B22&gt;=Analysis!$C$52, $B22-Analysis!$C$52&lt;=10),Analysis!$C$41+Analysis!$C$44,IF(AND($B22&gt;=Analysis!$C$52, $B22-Analysis!$C$52&lt;=18),Analysis!$C$42+Analysis!$C$44,IF(AND($B22&gt;=Analysis!$C$52, $B22-Analysis!$C$52&lt;=25),Analysis!$C$43+Analysis!$C$44,0)))) + Analysis!$C$57*IF(AND($B22&gt;=Analysis!$C$58, $B22-Analysis!$C$58&lt;=3),Analysis!$C$40+Analysis!$C$44,IF(AND($B22&gt;=Analysis!$C$58, $B22-Analysis!$C$58&lt;=10),Analysis!$C$41+Analysis!$C$44,IF(AND($B22&gt;=Analysis!$C$58, $B22-Analysis!$C$58&lt;=18),Analysis!$C$42+Analysis!$C$44,IF(AND($B22&gt;=Analysis!$C$58, $B22-Analysis!$C$58&lt;=25),Analysis!$C$43+Analysis!$C$44,0)))))</f>
        <v>-11075</v>
      </c>
      <c r="Q22" s="1">
        <f t="shared" si="43"/>
        <v>0</v>
      </c>
      <c r="R22" s="1">
        <f>IF(AND(AND(B22=Analysis!C$35,Analysis!C$34&lt;&gt;0),AND(B22=Analysis!C$37,Analysis!C$36&lt;&gt;0)),Analysis!C$34+Analysis!C$36,IF(AND(B22=Analysis!C$35,Analysis!C$34&lt;&gt;0),Analysis!C$34,IF(AND(B22=Analysis!C$37,Analysis!C$36&lt;&gt;0),Analysis!C$36,0)))</f>
        <v>50000</v>
      </c>
      <c r="S22" s="64">
        <f t="shared" si="12"/>
        <v>0.02</v>
      </c>
      <c r="T22" s="64">
        <f>IF($B22&lt;Analysis!$C$13, ((1+IF($B22-$B$2&lt;10,Analysis!$C$11,IF($B22-$B$2&lt;20,(Analysis!$C$11+Analysis!$C$12)/2,Analysis!$C$12)))/(1+$S22)-1),IF($B22=Analysis!$C$13,-Analysis!$C$14,-$S22))</f>
        <v>0</v>
      </c>
      <c r="U22" s="64">
        <f>IF($B22=$B$2,((1+Analysis!$C$16)/(1+$S22))-1,IF(B22&lt;Analysis!$C$13,U21-((Analysis!$C$16-Analysis!$C$17)/(Analysis!$C$13-$B$2)),((1+Analysis!$C$17)/(1+$S21))-1))</f>
        <v>4.41456582633055E-2</v>
      </c>
      <c r="V22" s="64">
        <f t="shared" si="13"/>
        <v>0.26374999999999998</v>
      </c>
      <c r="W22" s="36"/>
      <c r="X22" s="1">
        <f t="shared" si="14"/>
        <v>-28283.797773215334</v>
      </c>
      <c r="Y22" s="64">
        <f t="shared" si="15"/>
        <v>2.941176470588247E-2</v>
      </c>
      <c r="Z22" s="1">
        <f t="shared" si="16"/>
        <v>-3960</v>
      </c>
      <c r="AA22" s="64">
        <f t="shared" si="17"/>
        <v>0</v>
      </c>
      <c r="AB22" s="40"/>
      <c r="AC22" s="1">
        <f t="shared" si="3"/>
        <v>-102393.79777321534</v>
      </c>
      <c r="AD22" s="1">
        <f t="shared" si="4"/>
        <v>181467.92324122589</v>
      </c>
      <c r="AE22" s="1">
        <f t="shared" si="18"/>
        <v>79074.125468010549</v>
      </c>
      <c r="AF22" s="1">
        <f>IF(AE22 &lt; 0,
    IF(AF21 + AE22 &gt; 0,
        AF21 + AE22, IF(AK21-ABS(AF21 + AE22)*(1+$V22) &gt;= AF21 + AE22,
        0, AF21 + AE22)),
    MIN(AF21 + AE22, Analysis!$C$7))+IF(AF21&lt;0, AF21*Analysis!$C$9,0)</f>
        <v>24000</v>
      </c>
      <c r="AG22" s="40"/>
      <c r="AH22" s="1">
        <f t="shared" si="19"/>
        <v>42880.055524228235</v>
      </c>
      <c r="AI22" s="1">
        <f>IF(AE22 &gt;= 0,
    MAX(0, AF21 + AE22 - Analysis!$C$7),
    0)</f>
        <v>79074.125468010549</v>
      </c>
      <c r="AJ22" s="1">
        <f t="shared" si="44"/>
        <v>647240.25630332937</v>
      </c>
      <c r="AK22" s="1">
        <f t="shared" si="20"/>
        <v>1093285.3879814148</v>
      </c>
      <c r="AL22" s="1">
        <f t="shared" si="5"/>
        <v>975640.98450131982</v>
      </c>
      <c r="AM22" s="36"/>
      <c r="AN22" s="1">
        <f t="shared" si="45"/>
        <v>1589178.031449599</v>
      </c>
      <c r="AO22" s="64">
        <f t="shared" si="21"/>
        <v>2.941176470588247E-2</v>
      </c>
      <c r="AP22" s="1">
        <f>IF($B22=Analysis!$C$66,(AN22*(1+Analysis!$C$23+Analysis!$C$24+Analysis!$C$25))-IF($B22=$B$2,(Analysis!$C$6-Analysis!$C$7+Analysis!$C$68), ($CG21-Analysis!$C$7+AY22)),0)</f>
        <v>0</v>
      </c>
      <c r="AQ22" s="65">
        <f>IF($B22=Analysis!$C$66,NPER(AU22,-AX22,-AP22),0)</f>
        <v>0</v>
      </c>
      <c r="AR22" s="64">
        <f>IF($B22=Analysis!$C$66,Analysis!$C$73,0)</f>
        <v>0</v>
      </c>
      <c r="AS22" s="1">
        <f>IF($B22&lt;Analysis!$C$66,0,IF($B22=Analysis!$C$66,-AP22*AR22,IF(AX22&gt;=0,0,AX22-AV22)))</f>
        <v>-37928.151025964136</v>
      </c>
      <c r="AT22" s="1">
        <f>IF($B22&lt;Analysis!$C$66,0,IF($B22=Analysis!$C$66,-AP22-AS22,MIN(0,AT21-AS22)))</f>
        <v>-349620.76719122165</v>
      </c>
      <c r="AU22" s="64">
        <f>IF($B22&lt;Analysis!$C$66,0,IF($B22=Analysis!$C$66,Analysis!$C$72,IF(($B22-Analysis!$C$66)&lt;LOOKUP(Analysis!$C$66,$B:$B,AQ:AQ),AU21,0)))</f>
        <v>3.6999999999999998E-2</v>
      </c>
      <c r="AV22" s="1">
        <f>IF($B22&lt;Analysis!$C$66,0,IF($B22=Analysis!$C$66,-AU22*AP22,AU21*AT21))</f>
        <v>-14339.309974035872</v>
      </c>
      <c r="AW22" s="1">
        <f>IF($B22&lt;Analysis!$C$66,0,IF($B22=Analysis!$C$66,PMT(AU22,AQ22,AP22)*AQ22-AX22-AT22,IF(($B22-Analysis!$C$66+1)&lt;LOOKUP(Analysis!$C$66,$B:$B,AQ:AQ),IF(AW21-AV22&lt;0, AW21-AV22,0),0)))</f>
        <v>-59445.676599086946</v>
      </c>
      <c r="AX22" s="1">
        <f>IF($B22&lt;Analysis!$C$66,0,IF($B22=Analysis!$C$66,AS22+AV22,IF(AT21&lt;0,IF(AT21&gt;LOOKUP(Analysis!$C$66,$B:$B,AX:AX), AT21*(1+AU21),AX21),0)))</f>
        <v>-52267.46100000001</v>
      </c>
      <c r="AY22" s="1">
        <f>IF($B22=Analysis!$C$66,Analysis!$C$68,0)</f>
        <v>0</v>
      </c>
      <c r="AZ22" s="1">
        <f>IF($B22=Analysis!$C$66,PMT(AU22,BA22,AY22)*BA22,0)</f>
        <v>0</v>
      </c>
      <c r="BA22" s="7">
        <f>IF($B22=Analysis!$C$66,Analysis!$C$70,0)</f>
        <v>0</v>
      </c>
      <c r="BB22" s="1">
        <f>IF($B22&lt;Analysis!$C$66,0,IF($B22=Analysis!$C$66,AZ22/BA22,IF(($B22-Analysis!$C$66)&lt;LOOKUP(Analysis!$C$66,$B:$B,BA:BA),BB21,0)))</f>
        <v>0</v>
      </c>
      <c r="BC22" s="1">
        <f>IF($B22&lt;Analysis!$C$66,0,IF($B22=Analysis!$C$66,BA22*BB22-BB22,IF(($B22-Analysis!$C$66)&lt;Analysis!$C$70,BC21-BB22,0)))</f>
        <v>0</v>
      </c>
      <c r="BD22" s="42"/>
      <c r="BE22" s="1">
        <f>IF($B22&lt;Analysis!$C$66,0,-BF22*AN22)</f>
        <v>-4767.5340943487972</v>
      </c>
      <c r="BF22" s="64">
        <f>IF($B22&lt;Analysis!$C$66,0,Analysis!$C$78)</f>
        <v>3.0000000000000001E-3</v>
      </c>
      <c r="BG22" s="1">
        <f>IF($B22&lt;Analysis!$C$66,0,-BH22*AN22)</f>
        <v>-11918.835235871991</v>
      </c>
      <c r="BH22" s="64">
        <f>IF($B22&lt;Analysis!$C$66,0,Analysis!$C$79)</f>
        <v>7.4999999999999997E-3</v>
      </c>
      <c r="BI22" s="1">
        <f>IF($B22&lt;Analysis!$C$66,0,MIN(Analysis!$C$80*12,SUM(BJ22:BN22)))</f>
        <v>-3960</v>
      </c>
      <c r="BJ22" s="1">
        <f>IF($B22&lt;Analysis!$C$66,0,Analysis!$C$81*12)</f>
        <v>-900</v>
      </c>
      <c r="BK22" s="1">
        <f>IF($B22&lt;Analysis!$C$66,0,Analysis!$C$82*12)</f>
        <v>-1500</v>
      </c>
      <c r="BL22" s="1">
        <f>IF($B22&lt;Analysis!$C$66,0,Analysis!$C$83*12)</f>
        <v>-480</v>
      </c>
      <c r="BM22" s="1">
        <f>IF($B22&lt;Analysis!$C$66,0,Analysis!$C$84*12)</f>
        <v>-480</v>
      </c>
      <c r="BN22" s="1">
        <f>IF($B22&lt;Analysis!$C$66,0,Analysis!$C$85*12)</f>
        <v>-600</v>
      </c>
      <c r="BO22" s="1">
        <v>0</v>
      </c>
      <c r="BP22" s="1">
        <f>-BO22*Analysis!$C$28</f>
        <v>0</v>
      </c>
      <c r="BQ22" s="42"/>
      <c r="BR22" s="1">
        <f t="shared" si="22"/>
        <v>-202620.19900982387</v>
      </c>
      <c r="BS22" s="64">
        <f>IF($B22&lt;Analysis!C$66,0,Analysis!C$31)</f>
        <v>0.1275</v>
      </c>
      <c r="BT22" s="1">
        <f>IF($B22&lt;Analysis!$C$66,0,AN22+BR22)</f>
        <v>1386557.8324397751</v>
      </c>
      <c r="BU22" s="1">
        <f>IF($B22-Analysis!$C$66&gt;3,0,IF($AN22&gt;LOOKUP(Analysis!$C$66,$B:$B, AN:AN),$V22*(LOOKUP(Analysis!$C$66,$B:$B, AN:AN)-AN22),0))</f>
        <v>0</v>
      </c>
      <c r="BV22" s="1">
        <f t="shared" si="23"/>
        <v>1386557.8324397751</v>
      </c>
      <c r="BW22" s="42"/>
      <c r="BX22" s="1">
        <f>IF($B22&lt;Analysis!$C$66,$P22+$N22+$X22+$Z22,$P22+$N22+AS22+AV22+BB22+BE22+BG22+MAX(BI22,SUM(BJ22:BN22))+BP22)</f>
        <v>-143063.83033022081</v>
      </c>
      <c r="BY22" s="1">
        <f t="shared" si="24"/>
        <v>181467.92324122589</v>
      </c>
      <c r="BZ22" s="1">
        <f t="shared" si="46"/>
        <v>38404.092911005078</v>
      </c>
      <c r="CA22" s="1">
        <f>IF(BZ22 &lt; 0,
    IF(CA21 + BZ22 &gt; 0,
        CA21 + BZ22, IF(CF21-ABS(CA21 + BZ22)*(1+$V22) &gt;= CA21 + BZ22,
        0, CA21 + BZ22)),
    MIN(CA21 + BZ22, Analysis!$C$7))+IF(CA21&lt;0, CA21*Analysis!$C$9,0)</f>
        <v>-1039760.5056781416</v>
      </c>
      <c r="CB22" s="42"/>
      <c r="CC22" s="1">
        <f t="shared" si="47"/>
        <v>0</v>
      </c>
      <c r="CD22" s="1">
        <f>IF(BZ22 &gt;= 0,
    MAX(0, CA21 + BZ22 - Analysis!$C$7),
    0)</f>
        <v>0</v>
      </c>
      <c r="CE22" s="1">
        <f>IF($B22=Analysis!$C$66,0,MAX(0, CE21 + CD22 - IF(BZ22 &lt; 0, MIN(ABS(BZ22), CE21 + CD22), 0)))</f>
        <v>0</v>
      </c>
      <c r="CF22" s="1">
        <f>IF($B22=Analysis!$C$66,0,IF(BZ22 &lt; 0,
    IF(BZ22 + CA21 &lt; 0,
        MAX(0, CF21 - (ABS(BZ22 + CA21) * (1+$V21))),
        CF21 + CC22),
    CF21 + CD22 + CC22))</f>
        <v>0</v>
      </c>
      <c r="CG22" s="1">
        <f t="shared" si="25"/>
        <v>0</v>
      </c>
      <c r="CH22" s="36"/>
      <c r="CI22" s="1">
        <f>IF(OR($B22&lt;Analysis!$C$100, $B22&gt;=Analysis!$C$130),0,X22)</f>
        <v>-28283.797773215334</v>
      </c>
      <c r="CJ22" s="1">
        <f>IF(OR($B22&lt;Analysis!$C$100, $B22&gt;=Analysis!$C$130),0,Z22)</f>
        <v>-3960</v>
      </c>
      <c r="CK22" s="1">
        <f t="shared" si="26"/>
        <v>927794.27543956356</v>
      </c>
      <c r="CL22" s="64">
        <f t="shared" si="48"/>
        <v>2.941176470588247E-2</v>
      </c>
      <c r="CM22" s="1">
        <f>IF($B22=Analysis!$C$100,(CK22*(1+Analysis!$C$23+Analysis!$C$24+Analysis!$C$25))-IF($B22=$B$2,(Analysis!$C$6-Analysis!$C$7+Analysis!$C$105), (FU21-Analysis!$C$7+CV22)),0)</f>
        <v>0</v>
      </c>
      <c r="CN22" s="65">
        <f>IF($B22=Analysis!$C$100,NPER(CR22,-CU22,-CM22),0)</f>
        <v>0</v>
      </c>
      <c r="CO22" s="64">
        <f>IF($B22=Analysis!$C$100,Analysis!$C$103,0)</f>
        <v>0</v>
      </c>
      <c r="CP22" s="1">
        <f>IF(OR($B22&lt;Analysis!$C$100, $B22&gt;=Analysis!$C$101),0,IF($B22=Analysis!$C$100,-CM22*CO22,IF(CU22&gt;=0,0,CU22-CS22)))</f>
        <v>-20834.944713327772</v>
      </c>
      <c r="CQ22" s="1">
        <f>IF(OR($B22&lt;Analysis!$C$100, $B22&gt;=Analysis!$C$101),0,IF($B22=Analysis!$C$100,-CM22-CP22,MIN(0,CQ21-CP22)))</f>
        <v>-192056.01006159739</v>
      </c>
      <c r="CR22" s="64">
        <f>IF(OR($B22&lt;Analysis!$C$100, $B22&gt;=Analysis!$C$101),0,IF($B22=Analysis!$C$100,Analysis!$C$102,IF(($B22-Analysis!$C$100)&lt;LOOKUP(Analysis!$C$100,$B:$B,CN:CN),CR21,0)))</f>
        <v>3.6999999999999998E-2</v>
      </c>
      <c r="CS22" s="1">
        <f>IF(OR($B22&lt;Analysis!$C$100, $B22&gt;=Analysis!$C$101),0,IF($B22=Analysis!$C$100,-CR22*CM22,CR21*CQ21))</f>
        <v>-7876.9653266722307</v>
      </c>
      <c r="CT22" s="1">
        <f>IF(OR($B22&lt;Analysis!$C$100, $B22&gt;=Analysis!$C$101),0,IF($B22=Analysis!$C$100,PMT(CR22,CN22,CM22)*CN22-CU22-CQ22,IF(($B22-Analysis!$C$100+1)&lt;LOOKUP(Analysis!$C$100,$B:$B,CN:CN),IF(CT21-CS22&lt;0, CT21-CS22,0),0)))</f>
        <v>-32655.095275814507</v>
      </c>
      <c r="CU22" s="1">
        <f>IF(OR($B22&lt;Analysis!$C$100, $B22&gt;=Analysis!$C$101),0,IF($B22=Analysis!$C$100,CP22+CS22,IF(CQ21&lt;0,IF(CQ21&gt;LOOKUP(Analysis!$C$100,$B:$B,CU:CU), CQ21*(1+CR21),CU21),0)))</f>
        <v>-28711.910040000002</v>
      </c>
      <c r="CV22" s="1">
        <f>IF($B22=Analysis!$C$100,Analysis!$C$105,0)</f>
        <v>0</v>
      </c>
      <c r="CW22" s="1">
        <f>IF($B22=Analysis!$C$100,PMT(CR22,CX22,CV22)*CX22,0)</f>
        <v>0</v>
      </c>
      <c r="CX22" s="7">
        <f>IF($B22=Analysis!$C$100,Analysis!$C$107,0)</f>
        <v>0</v>
      </c>
      <c r="CY22" s="1">
        <f>IF(OR($B22&lt;Analysis!$C$100, $B22&gt;=Analysis!$C$101),0,IF($B22=Analysis!$C$100,CW22/CX22,IF(($B22-Analysis!$C$100)&lt;LOOKUP(Analysis!$C$100,$B:$B,CX:CX),CY21,0)))</f>
        <v>0</v>
      </c>
      <c r="CZ22" s="1">
        <f>IF(OR($B22&lt;Analysis!$C$100, $B22&gt;=Analysis!$C$101),0,IF($B22=Analysis!$C$100,CX22*CY22-CY22,IF(($B22-Analysis!$C$100)&lt;Analysis!$C$107,CZ21-CY22,0)))</f>
        <v>0</v>
      </c>
      <c r="DA22" s="53"/>
      <c r="DB22" s="1">
        <f>IF(OR($B22&lt;Analysis!$C$100, $B22&gt;=Analysis!$C$101),0,IF($B22=2025,(Analysis!$C$109*12),IF($B22=Analysis!$C$100,(Analysis!$C$109*12)*(1+DC22)^($B22-$B$2),DB21*(1+DC22))))</f>
        <v>24748.323051563428</v>
      </c>
      <c r="DC22" s="64">
        <f>IF(OR($B22&lt;Analysis!$C$100, $B22&gt;=Analysis!$C$101),0,((1+Analysis!$C$114)/(1+$S22))-1)</f>
        <v>2.941176470588247E-2</v>
      </c>
      <c r="DD22" s="1">
        <f t="shared" si="6"/>
        <v>31491.705877882119</v>
      </c>
      <c r="DE22" s="1">
        <f t="shared" si="27"/>
        <v>-2783.3828263186906</v>
      </c>
      <c r="DF22" s="64">
        <f>IF(OR($B22&lt;Analysis!$C$100, $B22&gt;=Analysis!$C$101),0,Analysis!$C$118)</f>
        <v>3.0000000000000001E-3</v>
      </c>
      <c r="DG22" s="1">
        <f t="shared" si="28"/>
        <v>-6958.4570657967261</v>
      </c>
      <c r="DH22" s="64">
        <f>IF(OR($B22&lt;Analysis!$C$100, $B22&gt;=Analysis!$C$101),0,Analysis!$C$119)</f>
        <v>7.4999999999999997E-3</v>
      </c>
      <c r="DI22" s="1">
        <f>IF(OR($B22&lt;Analysis!$C$100, $B22&gt;=Analysis!$C$101),0,MIN(Analysis!$C$120*12,SUM(DJ22:DN22)))</f>
        <v>-3960</v>
      </c>
      <c r="DJ22" s="1">
        <f>IF(OR($B22&lt;Analysis!$C$100, $B22&gt;=Analysis!$C$101),0,Analysis!$C$121*12)</f>
        <v>-900</v>
      </c>
      <c r="DK22" s="1">
        <f>IF(OR($B22&lt;Analysis!$C$100, $B22&gt;=Analysis!$C$101),0,Analysis!$C$122*12)</f>
        <v>-1500</v>
      </c>
      <c r="DL22" s="1">
        <f>IF(OR($B22&lt;Analysis!$C$100, $B22&gt;=Analysis!$C$101),0,Analysis!$C$123*12)</f>
        <v>-480</v>
      </c>
      <c r="DM22" s="1">
        <f>IF(OR($B22&lt;Analysis!$C$100, $B22&gt;=Analysis!$C$101),0,Analysis!$C$124*12)</f>
        <v>-480</v>
      </c>
      <c r="DN22" s="1">
        <f>IF(OR($B22&lt;Analysis!$C$100, $B22&gt;=Analysis!$C$101),0,Analysis!$C$125*12)</f>
        <v>-600</v>
      </c>
      <c r="DO22" s="64">
        <f>IF(OR($B22&lt;Analysis!$C$100, $B22&gt;=Analysis!$C$101),0,Analysis!$C$113)</f>
        <v>0.02</v>
      </c>
      <c r="DP22" s="1">
        <f>-DO22*LOOKUP(Analysis!$C$100,$B:$B,CK:CK)</f>
        <v>-10392</v>
      </c>
      <c r="DQ22" s="1">
        <f>-Analysis!$C$117*DB22</f>
        <v>-1856.124228867257</v>
      </c>
      <c r="DR22" s="1">
        <f t="shared" si="29"/>
        <v>-25949.964120982673</v>
      </c>
      <c r="DS22" s="1">
        <f>MIN(0,-(DB22+DR22)*Analysis!$C$28)-CS22*Analysis!$C$28</f>
        <v>3490.2833362484648</v>
      </c>
      <c r="DT22" s="1">
        <f>-Analysis!$C$116*DD22/12</f>
        <v>-2624.3088231568431</v>
      </c>
      <c r="DU22" s="53"/>
      <c r="DV22" s="1">
        <f t="shared" si="30"/>
        <v>-118293.77011854436</v>
      </c>
      <c r="DW22" s="64">
        <f>IF(OR($B22&lt;Analysis!$C$100, $B22&gt;=Analysis!$C$101),0,IF($B22=Analysis!$C$100,Analysis!$C$31,DW21))</f>
        <v>0.1275</v>
      </c>
      <c r="DX22" s="1">
        <f>IF(OR($B22&lt;Analysis!$C$100, $B22&gt;=Analysis!$C$101),0,CK22+DV22)</f>
        <v>809500.50532101921</v>
      </c>
      <c r="DY22" s="1">
        <f>IF(OR($B22&lt;Analysis!$C$100, $B22&gt;=Analysis!$C$101),0,IF($B22-Analysis!$C$100&gt;3,0,IF(CK22&gt;LOOKUP(Analysis!$C$100,$B:$B, CK:CK),$V22*(LOOKUP(Analysis!$C$100,$B:$B, CK:CK)-CK22),0)))</f>
        <v>0</v>
      </c>
      <c r="DZ22" s="1">
        <f t="shared" si="49"/>
        <v>809500.50532101921</v>
      </c>
      <c r="EA22" s="53"/>
      <c r="EB22" s="1">
        <f t="shared" si="31"/>
        <v>1232059.3726968805</v>
      </c>
      <c r="EC22" s="64">
        <f t="shared" si="50"/>
        <v>2.941176470588247E-2</v>
      </c>
      <c r="ED22" s="1">
        <f>MAX(0,IF($B22=Analysis!$C$130,(EB22*(1+Analysis!$C$23+Analysis!$C$24+Analysis!$C$25))-(IF($B22=$B$2,(Analysis!$C$6-Analysis!$C$7+Analysis!$C$132), (FU21-Analysis!$C$7+EM22)) + IF($B22=Analysis!$C$101,DZ21+CQ21+CT21+CZ21,0)),0))</f>
        <v>0</v>
      </c>
      <c r="EE22" s="65">
        <f>IF($B22=Analysis!$C$130,IF(ED22&gt;0,NPER(EI22,-EL22,-ED22),0),0)</f>
        <v>0</v>
      </c>
      <c r="EF22" s="64">
        <f>IF($B22=Analysis!$C$130,Analysis!$C$137,0)</f>
        <v>0</v>
      </c>
      <c r="EG22" s="1">
        <f>IF($B22&lt;Analysis!$C$130,0,IF($B22=Analysis!$C$130,-ED22*EF22,IF(EL22&gt;=0,0,EL22-EJ22)))</f>
        <v>0</v>
      </c>
      <c r="EH22" s="1">
        <f>IF($B22&lt;Analysis!$C$130,0,IF($B22=Analysis!$C$130,-ED22-EG22,MIN(0,EH21-EG22)))</f>
        <v>0</v>
      </c>
      <c r="EI22" s="64">
        <f>IF($B22&lt;Analysis!$C$130,0,IF($B22=Analysis!$C$130,Analysis!$C$136,IF(($B22-Analysis!$C$130)&lt;LOOKUP(Analysis!$C$130,$B:$B,EE:EE),EI21,0)))</f>
        <v>0</v>
      </c>
      <c r="EJ22" s="1">
        <f>IF($B22&lt;Analysis!$C$130,0,IF($B22=Analysis!$C$130,-EI22*ED22,EI21*EH21))</f>
        <v>0</v>
      </c>
      <c r="EK22" s="1">
        <f>IF(OR($B22&lt;Analysis!$C$130, ED22=0),0,IF($B22=Analysis!$C$130,PMT(EI22,EE22,ED22)*EE22-EL22-EH22,IF(($B22-Analysis!$C$130+1)&lt;LOOKUP(Analysis!$C$130,$B:$B,EE:EE),IF(EK21-EJ22&lt;0, EK21-EJ22,0),0)))</f>
        <v>0</v>
      </c>
      <c r="EL22" s="1">
        <f>IF($B22&lt;Analysis!$C$130,0,IF($B22=Analysis!$C$130,EG22+EJ22,IF(EH21&lt;0,IF(EH21&gt;LOOKUP(Analysis!$C$130,$B:$B,EL:EL), EH21*(1+EI21),EL21),0)))</f>
        <v>0</v>
      </c>
      <c r="EM22" s="1">
        <f>IF($B22=Analysis!$C$130,Analysis!$C$132,0)</f>
        <v>0</v>
      </c>
      <c r="EN22" s="1">
        <f>IF($B22=Analysis!$C$130,PMT(EI22,EO22,EM22)*EO22,0)</f>
        <v>0</v>
      </c>
      <c r="EO22" s="7">
        <f>IF($B22=Analysis!$C$130,Analysis!$C$134,0)</f>
        <v>0</v>
      </c>
      <c r="EP22" s="1">
        <f>IF($B22&lt;Analysis!$C$130,0,IF($B22=Analysis!$C$130,EN22/EO22,IF(($B22-Analysis!$C$130)&lt;LOOKUP(Analysis!$C$130,$B:$B,EO:EO),EP21,0)))</f>
        <v>0</v>
      </c>
      <c r="EQ22" s="1">
        <f>IF($B22&lt;Analysis!$C$130,0,IF($B22=Analysis!$C$130,EO22*EP22-EP22,IF(($B22-Analysis!$C$130)&lt;Analysis!$C$134,EQ21-EP22,0)))</f>
        <v>0</v>
      </c>
      <c r="ER22" s="53"/>
      <c r="ES22" s="1">
        <f>IF($B22&lt;Analysis!$C$130,0,-ET22*EB22)</f>
        <v>0</v>
      </c>
      <c r="ET22" s="64">
        <f>IF($B22&lt;Analysis!$C$130,0,Analysis!$C$142)</f>
        <v>0</v>
      </c>
      <c r="EU22" s="1">
        <f>IF($B22&lt;Analysis!$C$130,0,-EV22*EB22)</f>
        <v>0</v>
      </c>
      <c r="EV22" s="64">
        <f>IF($B22&lt;Analysis!$C$130,0,Analysis!$C$143)</f>
        <v>0</v>
      </c>
      <c r="EW22" s="1">
        <f>IF($B22&lt;Analysis!$C$130,0,MIN(Analysis!$C$144*12,SUM(EX22:FB22)))</f>
        <v>0</v>
      </c>
      <c r="EX22" s="1">
        <f>IF($B22&lt;Analysis!$C$130,0,Analysis!$C$145*12)</f>
        <v>0</v>
      </c>
      <c r="EY22" s="1">
        <f>IF($B22&lt;Analysis!$C$130,0,Analysis!$C$146*12)</f>
        <v>0</v>
      </c>
      <c r="EZ22" s="1">
        <f>IF($B22&lt;Analysis!$C$130,0,Analysis!$C$147*12)</f>
        <v>0</v>
      </c>
      <c r="FA22" s="1">
        <f>IF($B22&lt;Analysis!$C$130,0,Analysis!$C$148*12)</f>
        <v>0</v>
      </c>
      <c r="FB22" s="1">
        <f>IF($B22&lt;Analysis!$C$130,0,Analysis!$C$149*12)</f>
        <v>0</v>
      </c>
      <c r="FC22" s="1">
        <v>0</v>
      </c>
      <c r="FD22" s="1">
        <f>-FC22*Analysis!$C$28</f>
        <v>0</v>
      </c>
      <c r="FE22" s="53"/>
      <c r="FF22" s="1">
        <f t="shared" si="32"/>
        <v>0</v>
      </c>
      <c r="FG22" s="64">
        <f>IF($B22&lt;Analysis!$C$130,0,Analysis!$C$31)</f>
        <v>0</v>
      </c>
      <c r="FH22" s="1">
        <f>IF($B22&lt;Analysis!$C$130,0,EB22+FF22)</f>
        <v>0</v>
      </c>
      <c r="FI22" s="1">
        <f>IF($B22-Analysis!$C$130&gt;3,0,IF(EB22&gt;LOOKUP(Analysis!$C$130,$B:$B, EB:EB),$V22*(LOOKUP(Analysis!$C$130,$B:$B, EB:EB)-EB22),0))</f>
        <v>0</v>
      </c>
      <c r="FJ22" s="1">
        <f t="shared" si="33"/>
        <v>0</v>
      </c>
      <c r="FK22" s="53"/>
      <c r="FL22" s="1">
        <f>$P22+$N22+IF($B22&lt;Analysis!$C$130,$X22+$Z22,0)+CP22+CS22+CY22+DE22+DG22+MIN(DI22,SUM(DJ22:DN22))+DQ22+DS22+DT22+EG22+EJ22+EP22+ES22+EU22+MIN(EW22,SUM(EX22:FB22))+FD22</f>
        <v>-145797.69742110639</v>
      </c>
      <c r="FM22" s="1">
        <f>$M22+$R22+DD22+IF(AND($B22&lt;&gt;Analysis!$C$130,$B22=Analysis!$C$101),DZ21+CQ21+CT21+CZ21,0)</f>
        <v>212959.62911910799</v>
      </c>
      <c r="FN22" s="1">
        <f t="shared" si="34"/>
        <v>67161.931698001601</v>
      </c>
      <c r="FO22" s="1">
        <f>IF(FN22 &lt; 0,
    IF(FO21 + FN22 &gt; 0,
        FO21 + FN22, IF(FT21-ABS(FO21 + FN22)*(1+$V22) &gt;= FO21 + FN22,
        0, FO21 + FN22)),
    MIN(FO21 + FN22, Analysis!$C$7))+IF(FO21&lt;0, FO21*Analysis!$C$9,0)</f>
        <v>24000</v>
      </c>
      <c r="FP22" s="53"/>
      <c r="FQ22" s="1">
        <f t="shared" si="51"/>
        <v>13713.192795058882</v>
      </c>
      <c r="FR22" s="1">
        <f>IF(OR($B22=Analysis!$C$100, $B22=Analysis!$C$130),0,IF(FN22 &gt;= 0,
    MAX(0, FO21 + FN22 - Analysis!$C$7),
    0))</f>
        <v>67161.931698001601</v>
      </c>
      <c r="FS22" s="1">
        <f>IF(OR($B22=Analysis!$C$100, $B22=Analysis!$C$130),0,MAX(0, FS21 + FR22 - IF(FN22 &lt; 0, MIN(ABS(FN22), FS21 + FR22), 0)))</f>
        <v>297683.30202624918</v>
      </c>
      <c r="FT22" s="1">
        <f>IF(OR($B22=Analysis!$C$100, $B22=Analysis!$C$130),0,IF(FN22 &lt; 0,
    IF(FN22 + FO21 &lt; 0,
        MAX(0, FT21 - (ABS(FN22 + FO21) * (1+$V21))),
        FT21 + FQ22),
    FT21 + FR22 + FQ22))</f>
        <v>391510.26585321286</v>
      </c>
      <c r="FU22" s="1">
        <f t="shared" si="57"/>
        <v>366763.40414385119</v>
      </c>
      <c r="FV22" s="36"/>
      <c r="FW22" s="1">
        <f t="shared" si="52"/>
        <v>927794.27543956356</v>
      </c>
      <c r="FX22" s="64">
        <f t="shared" si="53"/>
        <v>2.941176470588247E-2</v>
      </c>
      <c r="FY22" s="1">
        <f>IF($B22=Analysis!$C$159,(FW22*(1+Analysis!$C$23+Analysis!$C$24+Analysis!$C$25))-IF($B22=$B$2,(Analysis!$C$6-Analysis!$C$7+Analysis!$C$165), (HW21-Analysis!$C$7+GH22)),0)</f>
        <v>0</v>
      </c>
      <c r="FZ22" s="65">
        <f>IF($B22=Analysis!$C$159,NPER(GD22,-GG22,-FY22),0)</f>
        <v>0</v>
      </c>
      <c r="GA22" s="64">
        <f>IF($B22=Analysis!$C$159,Analysis!$C$161,0)</f>
        <v>0</v>
      </c>
      <c r="GB22" s="1">
        <f>IF($B22&lt;Analysis!$C$159,0,IF($B22=Analysis!$C$159,-FY22*GA22,IF(GG22&gt;=0,0,GG22-GE22)))</f>
        <v>-20834.944713327772</v>
      </c>
      <c r="GC22" s="1">
        <f>IF($B22&lt;Analysis!$C$159,0,IF($B22=Analysis!$C$159,-FY22-GB22,MIN(0,GC21-GB22)))</f>
        <v>-192056.01006159739</v>
      </c>
      <c r="GD22" s="64">
        <f>IF($B22&lt;Analysis!$C$159,0,IF($B22=Analysis!$C$159,Analysis!$C$160,IF(($B22-Analysis!$C$159)&lt;LOOKUP(Analysis!$C$159,$B:$B,FZ:FZ),GD21,0)))</f>
        <v>3.6999999999999998E-2</v>
      </c>
      <c r="GE22" s="1">
        <f>IF($B22&lt;Analysis!$C$159,0,IF($B22=Analysis!$C$159,-GD22*FY22,GD21*GC21))</f>
        <v>-7876.9653266722307</v>
      </c>
      <c r="GF22" s="1">
        <f>IF($B22&lt;Analysis!$C$159,0,IF($B22=Analysis!$C$159,PMT(GD22,FZ22,FY22)*FZ22-GG22-GC22,IF(($B22-Analysis!$C$159+1)&lt;LOOKUP(Analysis!$C$159,$B:$B,FZ:FZ),IF(GF21-GE22&lt;0, GF21-GE22,0),0)))</f>
        <v>-32655.095275814507</v>
      </c>
      <c r="GG22" s="1">
        <f>IF($B22&lt;Analysis!$C$159,0,IF($B22=Analysis!$C$159,GB22+GE22,IF(GC21&lt;0,IF(GC21&gt;LOOKUP(Analysis!$C$159,$B:$B,GG:GG), GC21*(1+GD21),GG21),0)))</f>
        <v>-28711.910040000002</v>
      </c>
      <c r="GH22" s="1">
        <f>IF($B22=Analysis!$C$159,Analysis!$C$165,0)</f>
        <v>0</v>
      </c>
      <c r="GI22" s="1">
        <f>IF($B22=Analysis!$C$159,PMT(GD22,GJ22,GH22)*GJ22,0)</f>
        <v>0</v>
      </c>
      <c r="GJ22" s="7">
        <f>IF($B22=Analysis!$C$159,Analysis!$C$167,0)</f>
        <v>0</v>
      </c>
      <c r="GK22" s="1">
        <f>IF($B22&lt;Analysis!$C$159,0,IF($B22=Analysis!$C$159,GI22/GJ22,IF(($B22-Analysis!$C$159)&lt;LOOKUP(Analysis!$C$159,$B:$B,GJ:GJ),GK21,0)))</f>
        <v>0</v>
      </c>
      <c r="GL22" s="1">
        <f>IF($B22&lt;Analysis!$C$159,0,IF($B22=Analysis!$C$159,GJ22*GK22-GK22,IF(($B22-Analysis!$C$159)&lt;Analysis!$C$167,GL21-GK22,0)))</f>
        <v>0</v>
      </c>
      <c r="GM22" s="38"/>
      <c r="GN22" s="1">
        <f>IF($B22&lt;Analysis!$C$159,0,IF($B22=2025,(Analysis!$C$109*12),IF($B22=Analysis!$C$159,(Analysis!$C$109*12)*(1+GO22)^($B22-$B$2),GN21*(1+GO22))))</f>
        <v>24748.323051563428</v>
      </c>
      <c r="GO22" s="64">
        <f>IF($B22&lt;Analysis!$C$159,0,((1+Analysis!$C$174)/(1+$S22))-1)</f>
        <v>2.941176470588247E-2</v>
      </c>
      <c r="GP22" s="1">
        <f t="shared" si="7"/>
        <v>31491.705877882119</v>
      </c>
      <c r="GQ22" s="1">
        <f t="shared" si="36"/>
        <v>-2783.3828263186906</v>
      </c>
      <c r="GR22" s="64">
        <f>IF($B22&lt;Analysis!$C$159,0,Analysis!$C$178)</f>
        <v>3.0000000000000001E-3</v>
      </c>
      <c r="GS22" s="1">
        <f t="shared" si="37"/>
        <v>-6958.4570657967261</v>
      </c>
      <c r="GT22" s="64">
        <f>IF($B22&lt;Analysis!$C$159,0,Analysis!$C$179)</f>
        <v>7.4999999999999997E-3</v>
      </c>
      <c r="GU22" s="1">
        <f>IF($B22&lt;Analysis!$C$159,0,MIN(Analysis!$C$180*12,SUM(GV22:GZ22)))</f>
        <v>-3960</v>
      </c>
      <c r="GV22" s="1">
        <f>IF($B22&lt;Analysis!$C$159,0,Analysis!$C$181*12)</f>
        <v>-900</v>
      </c>
      <c r="GW22" s="1">
        <f>IF($B22&lt;Analysis!$C$159,0,Analysis!$C$182*12)</f>
        <v>-1500</v>
      </c>
      <c r="GX22" s="1">
        <f>IF($B22&lt;Analysis!$C$159,0,Analysis!$C$183*12)</f>
        <v>-480</v>
      </c>
      <c r="GY22" s="1">
        <f>IF($B22&lt;Analysis!$C$159,0,Analysis!$C$184*12)</f>
        <v>-480</v>
      </c>
      <c r="GZ22" s="1">
        <f>IF($B22&lt;Analysis!$C$159,0,Analysis!$C$185*12)</f>
        <v>-600</v>
      </c>
      <c r="HA22" s="64">
        <f>IF($B22&lt;Analysis!$C$159,0,Analysis!$C$173)</f>
        <v>0.02</v>
      </c>
      <c r="HB22" s="1">
        <f>-HA22*LOOKUP(Analysis!$C$159,$B:$B,FW:FW)</f>
        <v>-10392</v>
      </c>
      <c r="HC22" s="1">
        <f>-Analysis!$C$177*GN22</f>
        <v>-1856.124228867257</v>
      </c>
      <c r="HD22" s="1">
        <f t="shared" si="38"/>
        <v>-25949.964120982673</v>
      </c>
      <c r="HE22" s="1">
        <f>MIN(0,-(GN22+HD22)*Analysis!$C$28)-GE22*Analysis!$C$28</f>
        <v>3490.2833362484648</v>
      </c>
      <c r="HF22" s="1">
        <f>-Analysis!$C$176*GP22/12</f>
        <v>-2624.3088231568431</v>
      </c>
      <c r="HG22" s="38"/>
      <c r="HH22" s="1">
        <f>IF($B22&lt;Analysis!$C$159,0,-$HI22*$FW22)</f>
        <v>-118293.77011854436</v>
      </c>
      <c r="HI22" s="64">
        <f>IF($B22&lt;Analysis!$C$159,0,IF($B22=Analysis!$C$159,Analysis!$C$31,HI21))</f>
        <v>0.1275</v>
      </c>
      <c r="HJ22" s="1">
        <f>IF($B22&lt;Analysis!$C$159,0,$FW22+HH22)</f>
        <v>809500.50532101921</v>
      </c>
      <c r="HK22" s="1">
        <f>IF($B22-Analysis!$C$159&gt;10,0,IF($FW22&gt;LOOKUP(Analysis!$C$159,$B:$B, FW:FW),$V22*(LOOKUP(Analysis!$C$159,$B:$B, FW:FW)-FW22),0))</f>
        <v>0</v>
      </c>
      <c r="HL22" s="1">
        <f t="shared" si="39"/>
        <v>809500.50532101921</v>
      </c>
      <c r="HM22" s="38"/>
      <c r="HN22" s="1">
        <f t="shared" si="40"/>
        <v>-145797.69742110639</v>
      </c>
      <c r="HO22" s="1">
        <f t="shared" si="8"/>
        <v>212959.62911910799</v>
      </c>
      <c r="HP22" s="1">
        <f t="shared" si="41"/>
        <v>67161.931698001601</v>
      </c>
      <c r="HQ22" s="1">
        <f>IF(HP22 &lt; 0,
    IF(HQ21 + HP22 &gt; 0,
        HQ21 + HP22, IF(HV21-ABS(HQ21 + HP22)*(1+$V22) &gt;= HQ21 + HP22,
        0, HQ21 + HP22)),
    MIN(HQ21 + HP22, Analysis!$C$7))+IF(HQ21&lt;0, HQ21*Analysis!$C$9,0)</f>
        <v>24000</v>
      </c>
      <c r="HR22" s="38"/>
      <c r="HS22" s="1">
        <f t="shared" si="54"/>
        <v>13713.192795058882</v>
      </c>
      <c r="HT22" s="1">
        <f>IF($B22=Analysis!$C$159,0,IF(HP22 &gt;= 0,
    MAX(0, HQ21 + HP22 - Analysis!$C$7),
    0))</f>
        <v>67161.931698001601</v>
      </c>
      <c r="HU22" s="1">
        <f>IF($B22=Analysis!$C$159,0,MAX(0, HU21 + HT22 - IF(HP22 &lt; 0, MIN(ABS(HP22), HU21 + HT22), 0)))</f>
        <v>297683.30202624918</v>
      </c>
      <c r="HV22" s="1">
        <f>IF($B22=Analysis!$C$159,0,IF(HP22 &lt; 0,
    IF(HP22 + HQ21 &lt; 0,
        MAX(0, HV21 - (ABS(HP22 + HQ21) * (1+$V21))),
        HV21 + HS22),
    HV21 + HT22 + HS22))</f>
        <v>391510.26585321286</v>
      </c>
      <c r="HW22" s="1">
        <f t="shared" si="58"/>
        <v>366763.40414385119</v>
      </c>
      <c r="HX22" s="36"/>
    </row>
    <row r="23" spans="1:232" x14ac:dyDescent="0.35">
      <c r="A23">
        <f t="shared" si="0"/>
        <v>56</v>
      </c>
      <c r="B23">
        <v>2046</v>
      </c>
      <c r="C23" s="1">
        <f>IF($B23&lt;Analysis!C$66,0,$AN23)+$AT23+$AW23+$BC23+$CF23+$CA23</f>
        <v>139841.55020611966</v>
      </c>
      <c r="D23" s="1">
        <f>IF($B23&lt;Analysis!C$66, 0, BV23)+AT23+AW23+BC23+CG23+CA23</f>
        <v>-68738.066421640338</v>
      </c>
      <c r="E23" s="1">
        <f t="shared" si="1"/>
        <v>1187667.2366441698</v>
      </c>
      <c r="F23" s="1">
        <f t="shared" si="9"/>
        <v>1057787.5762696173</v>
      </c>
      <c r="G23" s="1">
        <f>IF(AND($B23&gt;=Analysis!$C$100, $B23&lt;Analysis!$C$101),$CK23,0)+IF($B23&gt;=Analysis!$C$130,EB23,0)+CQ23+CT23+CZ23+EH23+EK23+EQ23+$FO23+$FT23</f>
        <v>1203345.3632842256</v>
      </c>
      <c r="H23" s="1">
        <f t="shared" si="10"/>
        <v>1052444.0040648514</v>
      </c>
      <c r="I23" s="1">
        <f>IF($B23&lt;Analysis!$C$159,0,$FW23)+$GC23+$GF23+$GL23+$HQ23+$HV23</f>
        <v>1203345.3632842256</v>
      </c>
      <c r="J23" s="1">
        <f t="shared" si="2"/>
        <v>1052444.0040648514</v>
      </c>
      <c r="K23" s="36"/>
      <c r="L23" s="1">
        <f t="shared" si="11"/>
        <v>131467.92324122589</v>
      </c>
      <c r="M23" s="1">
        <f>IF($B23=Analysis!$C$47, M22 * (1 - Analysis!$C$48),
    IF($B23=Analysis!$C$52, M22 * (1 - Analysis!$C$53),
    IF($B23=Analysis!$C$58, M22 * (1 - Analysis!$C$60),
    L23)))</f>
        <v>131467.92324122589</v>
      </c>
      <c r="N23" s="1">
        <f>Analysis!$C$3*12*(1+O23)+P23</f>
        <v>-61200</v>
      </c>
      <c r="O23" s="64">
        <f>IF(OR($B23=Analysis!$C$47,$B23=Analysis!$C$52,$B23=Analysis!$C$58),-Analysis!$C$49,0)</f>
        <v>0</v>
      </c>
      <c r="P23" s="1">
        <f>IF($B23&lt;Analysis!$C$47,0,IF($B23-Analysis!$C$47&lt;=3,Analysis!$C$40+Analysis!$C$44,IF($B23-Analysis!$C$47&lt;=10,Analysis!$C$41+Analysis!$C$44,IF($B23-Analysis!$C$47&lt;=18,Analysis!$C$42+Analysis!$C$44,IF($B23-Analysis!$C$47&lt;=25,Analysis!$C$43+Analysis!$C$44,0)))) + IF(AND($B23&gt;=Analysis!$C$52, $B23-Analysis!$C$52&lt;=3),Analysis!$C$40+Analysis!$C$44,IF(AND($B23&gt;=Analysis!$C$52, $B23-Analysis!$C$52&lt;=10),Analysis!$C$41+Analysis!$C$44,IF(AND($B23&gt;=Analysis!$C$52, $B23-Analysis!$C$52&lt;=18),Analysis!$C$42+Analysis!$C$44,IF(AND($B23&gt;=Analysis!$C$52, $B23-Analysis!$C$52&lt;=25),Analysis!$C$43+Analysis!$C$44,0)))) + Analysis!$C$57*IF(AND($B23&gt;=Analysis!$C$58, $B23-Analysis!$C$58&lt;=3),Analysis!$C$40+Analysis!$C$44,IF(AND($B23&gt;=Analysis!$C$58, $B23-Analysis!$C$58&lt;=10),Analysis!$C$41+Analysis!$C$44,IF(AND($B23&gt;=Analysis!$C$58, $B23-Analysis!$C$58&lt;=18),Analysis!$C$42+Analysis!$C$44,IF(AND($B23&gt;=Analysis!$C$58, $B23-Analysis!$C$58&lt;=25),Analysis!$C$43+Analysis!$C$44,0)))))</f>
        <v>-13200</v>
      </c>
      <c r="Q23" s="1">
        <f t="shared" si="43"/>
        <v>0</v>
      </c>
      <c r="R23" s="1">
        <f>IF(AND(AND(B23=Analysis!C$35,Analysis!C$34&lt;&gt;0),AND(B23=Analysis!C$37,Analysis!C$36&lt;&gt;0)),Analysis!C$34+Analysis!C$36,IF(AND(B23=Analysis!C$35,Analysis!C$34&lt;&gt;0),Analysis!C$34,IF(AND(B23=Analysis!C$37,Analysis!C$36&lt;&gt;0),Analysis!C$36,0)))</f>
        <v>0</v>
      </c>
      <c r="S23" s="64">
        <f t="shared" si="12"/>
        <v>0.02</v>
      </c>
      <c r="T23" s="64">
        <f>IF($B23&lt;Analysis!$C$13, ((1+IF($B23-$B$2&lt;10,Analysis!$C$11,IF($B23-$B$2&lt;20,(Analysis!$C$11+Analysis!$C$12)/2,Analysis!$C$12)))/(1+$S23)-1),IF($B23=Analysis!$C$13,-Analysis!$C$14,-$S23))</f>
        <v>0</v>
      </c>
      <c r="U23" s="64">
        <f>IF($B23=$B$2,((1+Analysis!$C$16)/(1+$S23))-1,IF(B23&lt;Analysis!$C$13,U22-((Analysis!$C$16-Analysis!$C$17)/(Analysis!$C$13-$B$2)),((1+Analysis!$C$17)/(1+$S22))-1))</f>
        <v>4.2431372549019783E-2</v>
      </c>
      <c r="V23" s="64">
        <f t="shared" si="13"/>
        <v>0.26374999999999998</v>
      </c>
      <c r="W23" s="36"/>
      <c r="X23" s="1">
        <f t="shared" si="14"/>
        <v>-29115.674178309906</v>
      </c>
      <c r="Y23" s="64">
        <f t="shared" si="15"/>
        <v>2.941176470588247E-2</v>
      </c>
      <c r="Z23" s="1">
        <f t="shared" si="16"/>
        <v>-3960</v>
      </c>
      <c r="AA23" s="64">
        <f t="shared" si="17"/>
        <v>0</v>
      </c>
      <c r="AB23" s="40"/>
      <c r="AC23" s="1">
        <f t="shared" si="3"/>
        <v>-107475.67417830991</v>
      </c>
      <c r="AD23" s="1">
        <f t="shared" si="4"/>
        <v>131467.92324122589</v>
      </c>
      <c r="AE23" s="1">
        <f t="shared" si="18"/>
        <v>23992.249062915973</v>
      </c>
      <c r="AF23" s="1">
        <f>IF(AE23 &lt; 0,
    IF(AF22 + AE23 &gt; 0,
        AF22 + AE23, IF(AK22-ABS(AF22 + AE23)*(1+$V23) &gt;= AF22 + AE23,
        0, AF22 + AE23)),
    MIN(AF22 + AE23, Analysis!$C$7))+IF(AF22&lt;0, AF22*Analysis!$C$9,0)</f>
        <v>24000</v>
      </c>
      <c r="AG23" s="40"/>
      <c r="AH23" s="1">
        <f t="shared" si="19"/>
        <v>46389.59959983905</v>
      </c>
      <c r="AI23" s="1">
        <f>IF(AE23 &gt;= 0,
    MAX(0, AF22 + AE23 - Analysis!$C$7),
    0)</f>
        <v>23992.249062915973</v>
      </c>
      <c r="AJ23" s="1">
        <f t="shared" si="44"/>
        <v>671232.50536624528</v>
      </c>
      <c r="AK23" s="1">
        <f t="shared" si="20"/>
        <v>1163667.2366441698</v>
      </c>
      <c r="AL23" s="1">
        <f t="shared" si="5"/>
        <v>1033787.5762696172</v>
      </c>
      <c r="AM23" s="36"/>
      <c r="AN23" s="1">
        <f t="shared" si="45"/>
        <v>1635918.561786352</v>
      </c>
      <c r="AO23" s="64">
        <f t="shared" si="21"/>
        <v>2.941176470588247E-2</v>
      </c>
      <c r="AP23" s="1">
        <f>IF($B23=Analysis!$C$66,(AN23*(1+Analysis!$C$23+Analysis!$C$24+Analysis!$C$25))-IF($B23=$B$2,(Analysis!$C$6-Analysis!$C$7+Analysis!$C$68), ($CG22-Analysis!$C$7+AY23)),0)</f>
        <v>0</v>
      </c>
      <c r="AQ23" s="65">
        <f>IF($B23=Analysis!$C$66,NPER(AU23,-AX23,-AP23),0)</f>
        <v>0</v>
      </c>
      <c r="AR23" s="64">
        <f>IF($B23=Analysis!$C$66,Analysis!$C$73,0)</f>
        <v>0</v>
      </c>
      <c r="AS23" s="1">
        <f>IF($B23&lt;Analysis!$C$66,0,IF($B23=Analysis!$C$66,-AP23*AR23,IF(AX23&gt;=0,0,AX23-AV23)))</f>
        <v>-39331.492613924813</v>
      </c>
      <c r="AT23" s="1">
        <f>IF($B23&lt;Analysis!$C$66,0,IF($B23=Analysis!$C$66,-AP23-AS23,MIN(0,AT22-AS23)))</f>
        <v>-310289.2745772968</v>
      </c>
      <c r="AU23" s="64">
        <f>IF($B23&lt;Analysis!$C$66,0,IF($B23=Analysis!$C$66,Analysis!$C$72,IF(($B23-Analysis!$C$66)&lt;LOOKUP(Analysis!$C$66,$B:$B,AQ:AQ),AU22,0)))</f>
        <v>3.6999999999999998E-2</v>
      </c>
      <c r="AV23" s="1">
        <f>IF($B23&lt;Analysis!$C$66,0,IF($B23=Analysis!$C$66,-AU23*AP23,AU22*AT22))</f>
        <v>-12935.968386075201</v>
      </c>
      <c r="AW23" s="1">
        <f>IF($B23&lt;Analysis!$C$66,0,IF($B23=Analysis!$C$66,PMT(AU23,AQ23,AP23)*AQ23-AX23-AT23,IF(($B23-Analysis!$C$66+1)&lt;LOOKUP(Analysis!$C$66,$B:$B,AQ:AQ),IF(AW22-AV23&lt;0, AW22-AV23,0),0)))</f>
        <v>-46509.708213011749</v>
      </c>
      <c r="AX23" s="1">
        <f>IF($B23&lt;Analysis!$C$66,0,IF($B23=Analysis!$C$66,AS23+AV23,IF(AT22&lt;0,IF(AT22&gt;LOOKUP(Analysis!$C$66,$B:$B,AX:AX), AT22*(1+AU22),AX22),0)))</f>
        <v>-52267.46100000001</v>
      </c>
      <c r="AY23" s="1">
        <f>IF($B23=Analysis!$C$66,Analysis!$C$68,0)</f>
        <v>0</v>
      </c>
      <c r="AZ23" s="1">
        <f>IF($B23=Analysis!$C$66,PMT(AU23,BA23,AY23)*BA23,0)</f>
        <v>0</v>
      </c>
      <c r="BA23" s="7">
        <f>IF($B23=Analysis!$C$66,Analysis!$C$70,0)</f>
        <v>0</v>
      </c>
      <c r="BB23" s="1">
        <f>IF($B23&lt;Analysis!$C$66,0,IF($B23=Analysis!$C$66,AZ23/BA23,IF(($B23-Analysis!$C$66)&lt;LOOKUP(Analysis!$C$66,$B:$B,BA:BA),BB22,0)))</f>
        <v>0</v>
      </c>
      <c r="BC23" s="1">
        <f>IF($B23&lt;Analysis!$C$66,0,IF($B23=Analysis!$C$66,BA23*BB23-BB23,IF(($B23-Analysis!$C$66)&lt;Analysis!$C$70,BC22-BB23,0)))</f>
        <v>0</v>
      </c>
      <c r="BD23" s="42"/>
      <c r="BE23" s="1">
        <f>IF($B23&lt;Analysis!$C$66,0,-BF23*AN23)</f>
        <v>-4907.7556853590559</v>
      </c>
      <c r="BF23" s="64">
        <f>IF($B23&lt;Analysis!$C$66,0,Analysis!$C$78)</f>
        <v>3.0000000000000001E-3</v>
      </c>
      <c r="BG23" s="1">
        <f>IF($B23&lt;Analysis!$C$66,0,-BH23*AN23)</f>
        <v>-12269.389213397639</v>
      </c>
      <c r="BH23" s="64">
        <f>IF($B23&lt;Analysis!$C$66,0,Analysis!$C$79)</f>
        <v>7.4999999999999997E-3</v>
      </c>
      <c r="BI23" s="1">
        <f>IF($B23&lt;Analysis!$C$66,0,MIN(Analysis!$C$80*12,SUM(BJ23:BN23)))</f>
        <v>-3960</v>
      </c>
      <c r="BJ23" s="1">
        <f>IF($B23&lt;Analysis!$C$66,0,Analysis!$C$81*12)</f>
        <v>-900</v>
      </c>
      <c r="BK23" s="1">
        <f>IF($B23&lt;Analysis!$C$66,0,Analysis!$C$82*12)</f>
        <v>-1500</v>
      </c>
      <c r="BL23" s="1">
        <f>IF($B23&lt;Analysis!$C$66,0,Analysis!$C$83*12)</f>
        <v>-480</v>
      </c>
      <c r="BM23" s="1">
        <f>IF($B23&lt;Analysis!$C$66,0,Analysis!$C$84*12)</f>
        <v>-480</v>
      </c>
      <c r="BN23" s="1">
        <f>IF($B23&lt;Analysis!$C$66,0,Analysis!$C$85*12)</f>
        <v>-600</v>
      </c>
      <c r="BO23" s="1">
        <v>0</v>
      </c>
      <c r="BP23" s="1">
        <f>-BO23*Analysis!$C$28</f>
        <v>0</v>
      </c>
      <c r="BQ23" s="42"/>
      <c r="BR23" s="1">
        <f t="shared" si="22"/>
        <v>-208579.61662775988</v>
      </c>
      <c r="BS23" s="64">
        <f>IF($B23&lt;Analysis!C$66,0,Analysis!C$31)</f>
        <v>0.1275</v>
      </c>
      <c r="BT23" s="1">
        <f>IF($B23&lt;Analysis!$C$66,0,AN23+BR23)</f>
        <v>1427338.945158592</v>
      </c>
      <c r="BU23" s="1">
        <f>IF($B23-Analysis!$C$66&gt;3,0,IF($AN23&gt;LOOKUP(Analysis!$C$66,$B:$B, AN:AN),$V23*(LOOKUP(Analysis!$C$66,$B:$B, AN:AN)-AN23),0))</f>
        <v>0</v>
      </c>
      <c r="BV23" s="1">
        <f t="shared" si="23"/>
        <v>1427338.945158592</v>
      </c>
      <c r="BW23" s="42"/>
      <c r="BX23" s="1">
        <f>IF($B23&lt;Analysis!$C$66,$P23+$N23+$X23+$Z23,$P23+$N23+AS23+AV23+BB23+BE23+BG23+MAX(BI23,SUM(BJ23:BN23))+BP23)</f>
        <v>-147804.60589875671</v>
      </c>
      <c r="BY23" s="1">
        <f t="shared" si="24"/>
        <v>131467.92324122589</v>
      </c>
      <c r="BZ23" s="1">
        <f t="shared" si="46"/>
        <v>-16336.682657530822</v>
      </c>
      <c r="CA23" s="1">
        <f>IF(BZ23 &lt; 0,
    IF(CA22 + BZ23 &gt; 0,
        CA22 + BZ23, IF(CF22-ABS(CA22 + BZ23)*(1+$V23) &gt;= CA22 + BZ23,
        0, CA22 + BZ23)),
    MIN(CA22 + BZ23, Analysis!$C$7))+IF(CA22&lt;0, CA22*Analysis!$C$9,0)</f>
        <v>-1139278.0287899238</v>
      </c>
      <c r="CB23" s="42"/>
      <c r="CC23" s="1">
        <f t="shared" si="47"/>
        <v>0</v>
      </c>
      <c r="CD23" s="1">
        <f>IF(BZ23 &gt;= 0,
    MAX(0, CA22 + BZ23 - Analysis!$C$7),
    0)</f>
        <v>0</v>
      </c>
      <c r="CE23" s="1">
        <f>IF($B23=Analysis!$C$66,0,MAX(0, CE22 + CD23 - IF(BZ23 &lt; 0, MIN(ABS(BZ23), CE22 + CD23), 0)))</f>
        <v>0</v>
      </c>
      <c r="CF23" s="1">
        <f>IF($B23=Analysis!$C$66,0,IF(BZ23 &lt; 0,
    IF(BZ23 + CA22 &lt; 0,
        MAX(0, CF22 - (ABS(BZ23 + CA22) * (1+$V22))),
        CF22 + CC23),
    CF22 + CD23 + CC23))</f>
        <v>0</v>
      </c>
      <c r="CG23" s="1">
        <f t="shared" si="25"/>
        <v>0</v>
      </c>
      <c r="CH23" s="36"/>
      <c r="CI23" s="1">
        <f>IF(OR($B23&lt;Analysis!$C$100, $B23&gt;=Analysis!$C$130),0,X23)</f>
        <v>-29115.674178309906</v>
      </c>
      <c r="CJ23" s="1">
        <f>IF(OR($B23&lt;Analysis!$C$100, $B23&gt;=Analysis!$C$130),0,Z23)</f>
        <v>-3960</v>
      </c>
      <c r="CK23" s="1">
        <f t="shared" si="26"/>
        <v>955082.34236425674</v>
      </c>
      <c r="CL23" s="64">
        <f t="shared" si="48"/>
        <v>2.941176470588247E-2</v>
      </c>
      <c r="CM23" s="1">
        <f>IF($B23=Analysis!$C$100,(CK23*(1+Analysis!$C$23+Analysis!$C$24+Analysis!$C$25))-IF($B23=$B$2,(Analysis!$C$6-Analysis!$C$7+Analysis!$C$105), (FU22-Analysis!$C$7+CV23)),0)</f>
        <v>0</v>
      </c>
      <c r="CN23" s="65">
        <f>IF($B23=Analysis!$C$100,NPER(CR23,-CU23,-CM23),0)</f>
        <v>0</v>
      </c>
      <c r="CO23" s="64">
        <f>IF($B23=Analysis!$C$100,Analysis!$C$103,0)</f>
        <v>0</v>
      </c>
      <c r="CP23" s="1">
        <f>IF(OR($B23&lt;Analysis!$C$100, $B23&gt;=Analysis!$C$101),0,IF($B23=Analysis!$C$100,-CM23*CO23,IF(CU23&gt;=0,0,CU23-CS23)))</f>
        <v>-21605.837667720898</v>
      </c>
      <c r="CQ23" s="1">
        <f>IF(OR($B23&lt;Analysis!$C$100, $B23&gt;=Analysis!$C$101),0,IF($B23=Analysis!$C$100,-CM23-CP23,MIN(0,CQ22-CP23)))</f>
        <v>-170450.17239387651</v>
      </c>
      <c r="CR23" s="64">
        <f>IF(OR($B23&lt;Analysis!$C$100, $B23&gt;=Analysis!$C$101),0,IF($B23=Analysis!$C$100,Analysis!$C$102,IF(($B23-Analysis!$C$100)&lt;LOOKUP(Analysis!$C$100,$B:$B,CN:CN),CR22,0)))</f>
        <v>3.6999999999999998E-2</v>
      </c>
      <c r="CS23" s="1">
        <f>IF(OR($B23&lt;Analysis!$C$100, $B23&gt;=Analysis!$C$101),0,IF($B23=Analysis!$C$100,-CR23*CM23,CR22*CQ22))</f>
        <v>-7106.0723722791035</v>
      </c>
      <c r="CT23" s="1">
        <f>IF(OR($B23&lt;Analysis!$C$100, $B23&gt;=Analysis!$C$101),0,IF($B23=Analysis!$C$100,PMT(CR23,CN23,CM23)*CN23-CU23-CQ23,IF(($B23-Analysis!$C$100+1)&lt;LOOKUP(Analysis!$C$100,$B:$B,CN:CN),IF(CT22-CS23&lt;0, CT22-CS23,0),0)))</f>
        <v>-25549.022903535402</v>
      </c>
      <c r="CU23" s="1">
        <f>IF(OR($B23&lt;Analysis!$C$100, $B23&gt;=Analysis!$C$101),0,IF($B23=Analysis!$C$100,CP23+CS23,IF(CQ22&lt;0,IF(CQ22&gt;LOOKUP(Analysis!$C$100,$B:$B,CU:CU), CQ22*(1+CR22),CU22),0)))</f>
        <v>-28711.910040000002</v>
      </c>
      <c r="CV23" s="1">
        <f>IF($B23=Analysis!$C$100,Analysis!$C$105,0)</f>
        <v>0</v>
      </c>
      <c r="CW23" s="1">
        <f>IF($B23=Analysis!$C$100,PMT(CR23,CX23,CV23)*CX23,0)</f>
        <v>0</v>
      </c>
      <c r="CX23" s="7">
        <f>IF($B23=Analysis!$C$100,Analysis!$C$107,0)</f>
        <v>0</v>
      </c>
      <c r="CY23" s="1">
        <f>IF(OR($B23&lt;Analysis!$C$100, $B23&gt;=Analysis!$C$101),0,IF($B23=Analysis!$C$100,CW23/CX23,IF(($B23-Analysis!$C$100)&lt;LOOKUP(Analysis!$C$100,$B:$B,CX:CX),CY22,0)))</f>
        <v>0</v>
      </c>
      <c r="CZ23" s="1">
        <f>IF(OR($B23&lt;Analysis!$C$100, $B23&gt;=Analysis!$C$101),0,IF($B23=Analysis!$C$100,CX23*CY23-CY23,IF(($B23-Analysis!$C$100)&lt;Analysis!$C$107,CZ22-CY23,0)))</f>
        <v>0</v>
      </c>
      <c r="DA23" s="53"/>
      <c r="DB23" s="1">
        <f>IF(OR($B23&lt;Analysis!$C$100, $B23&gt;=Analysis!$C$101),0,IF($B23=2025,(Analysis!$C$109*12),IF($B23=Analysis!$C$100,(Analysis!$C$109*12)*(1+DC23)^($B23-$B$2),DB22*(1+DC23))))</f>
        <v>25476.214906021178</v>
      </c>
      <c r="DC23" s="64">
        <f>IF(OR($B23&lt;Analysis!$C$100, $B23&gt;=Analysis!$C$101),0,((1+Analysis!$C$114)/(1+$S23))-1)</f>
        <v>2.941176470588247E-2</v>
      </c>
      <c r="DD23" s="1">
        <f t="shared" si="6"/>
        <v>32301.461933113947</v>
      </c>
      <c r="DE23" s="1">
        <f t="shared" si="27"/>
        <v>-2865.2470270927702</v>
      </c>
      <c r="DF23" s="64">
        <f>IF(OR($B23&lt;Analysis!$C$100, $B23&gt;=Analysis!$C$101),0,Analysis!$C$118)</f>
        <v>3.0000000000000001E-3</v>
      </c>
      <c r="DG23" s="1">
        <f t="shared" si="28"/>
        <v>-7163.1175677319252</v>
      </c>
      <c r="DH23" s="64">
        <f>IF(OR($B23&lt;Analysis!$C$100, $B23&gt;=Analysis!$C$101),0,Analysis!$C$119)</f>
        <v>7.4999999999999997E-3</v>
      </c>
      <c r="DI23" s="1">
        <f>IF(OR($B23&lt;Analysis!$C$100, $B23&gt;=Analysis!$C$101),0,MIN(Analysis!$C$120*12,SUM(DJ23:DN23)))</f>
        <v>-3960</v>
      </c>
      <c r="DJ23" s="1">
        <f>IF(OR($B23&lt;Analysis!$C$100, $B23&gt;=Analysis!$C$101),0,Analysis!$C$121*12)</f>
        <v>-900</v>
      </c>
      <c r="DK23" s="1">
        <f>IF(OR($B23&lt;Analysis!$C$100, $B23&gt;=Analysis!$C$101),0,Analysis!$C$122*12)</f>
        <v>-1500</v>
      </c>
      <c r="DL23" s="1">
        <f>IF(OR($B23&lt;Analysis!$C$100, $B23&gt;=Analysis!$C$101),0,Analysis!$C$123*12)</f>
        <v>-480</v>
      </c>
      <c r="DM23" s="1">
        <f>IF(OR($B23&lt;Analysis!$C$100, $B23&gt;=Analysis!$C$101),0,Analysis!$C$124*12)</f>
        <v>-480</v>
      </c>
      <c r="DN23" s="1">
        <f>IF(OR($B23&lt;Analysis!$C$100, $B23&gt;=Analysis!$C$101),0,Analysis!$C$125*12)</f>
        <v>-600</v>
      </c>
      <c r="DO23" s="64">
        <f>IF(OR($B23&lt;Analysis!$C$100, $B23&gt;=Analysis!$C$101),0,Analysis!$C$113)</f>
        <v>0.02</v>
      </c>
      <c r="DP23" s="1">
        <f>-DO23*LOOKUP(Analysis!$C$100,$B:$B,CK:CK)</f>
        <v>-10392</v>
      </c>
      <c r="DQ23" s="1">
        <f>-Analysis!$C$117*DB23</f>
        <v>-1910.7161179515883</v>
      </c>
      <c r="DR23" s="1">
        <f t="shared" si="29"/>
        <v>-26291.080712776286</v>
      </c>
      <c r="DS23" s="1">
        <f>MIN(0,-(DB23+DR23)*Analysis!$C$28)-CS23*Analysis!$C$28</f>
        <v>3148.7006681568705</v>
      </c>
      <c r="DT23" s="1">
        <f>-Analysis!$C$116*DD23/12</f>
        <v>-2691.7884944261623</v>
      </c>
      <c r="DU23" s="53"/>
      <c r="DV23" s="1">
        <f t="shared" si="30"/>
        <v>-121772.99865144273</v>
      </c>
      <c r="DW23" s="64">
        <f>IF(OR($B23&lt;Analysis!$C$100, $B23&gt;=Analysis!$C$101),0,IF($B23=Analysis!$C$100,Analysis!$C$31,DW22))</f>
        <v>0.1275</v>
      </c>
      <c r="DX23" s="1">
        <f>IF(OR($B23&lt;Analysis!$C$100, $B23&gt;=Analysis!$C$101),0,CK23+DV23)</f>
        <v>833309.34371281404</v>
      </c>
      <c r="DY23" s="1">
        <f>IF(OR($B23&lt;Analysis!$C$100, $B23&gt;=Analysis!$C$101),0,IF($B23-Analysis!$C$100&gt;3,0,IF(CK23&gt;LOOKUP(Analysis!$C$100,$B:$B, CK:CK),$V23*(LOOKUP(Analysis!$C$100,$B:$B, CK:CK)-CK23),0)))</f>
        <v>0</v>
      </c>
      <c r="DZ23" s="1">
        <f t="shared" si="49"/>
        <v>833309.34371281404</v>
      </c>
      <c r="EA23" s="53"/>
      <c r="EB23" s="1">
        <f t="shared" si="31"/>
        <v>1268296.4130703183</v>
      </c>
      <c r="EC23" s="64">
        <f t="shared" si="50"/>
        <v>2.941176470588247E-2</v>
      </c>
      <c r="ED23" s="1">
        <f>MAX(0,IF($B23=Analysis!$C$130,(EB23*(1+Analysis!$C$23+Analysis!$C$24+Analysis!$C$25))-(IF($B23=$B$2,(Analysis!$C$6-Analysis!$C$7+Analysis!$C$132), (FU22-Analysis!$C$7+EM23)) + IF($B23=Analysis!$C$101,DZ22+CQ22+CT22+CZ22,0)),0))</f>
        <v>0</v>
      </c>
      <c r="EE23" s="65">
        <f>IF($B23=Analysis!$C$130,IF(ED23&gt;0,NPER(EI23,-EL23,-ED23),0),0)</f>
        <v>0</v>
      </c>
      <c r="EF23" s="64">
        <f>IF($B23=Analysis!$C$130,Analysis!$C$137,0)</f>
        <v>0</v>
      </c>
      <c r="EG23" s="1">
        <f>IF($B23&lt;Analysis!$C$130,0,IF($B23=Analysis!$C$130,-ED23*EF23,IF(EL23&gt;=0,0,EL23-EJ23)))</f>
        <v>0</v>
      </c>
      <c r="EH23" s="1">
        <f>IF($B23&lt;Analysis!$C$130,0,IF($B23=Analysis!$C$130,-ED23-EG23,MIN(0,EH22-EG23)))</f>
        <v>0</v>
      </c>
      <c r="EI23" s="64">
        <f>IF($B23&lt;Analysis!$C$130,0,IF($B23=Analysis!$C$130,Analysis!$C$136,IF(($B23-Analysis!$C$130)&lt;LOOKUP(Analysis!$C$130,$B:$B,EE:EE),EI22,0)))</f>
        <v>0</v>
      </c>
      <c r="EJ23" s="1">
        <f>IF($B23&lt;Analysis!$C$130,0,IF($B23=Analysis!$C$130,-EI23*ED23,EI22*EH22))</f>
        <v>0</v>
      </c>
      <c r="EK23" s="1">
        <f>IF(OR($B23&lt;Analysis!$C$130, ED23=0),0,IF($B23=Analysis!$C$130,PMT(EI23,EE23,ED23)*EE23-EL23-EH23,IF(($B23-Analysis!$C$130+1)&lt;LOOKUP(Analysis!$C$130,$B:$B,EE:EE),IF(EK22-EJ23&lt;0, EK22-EJ23,0),0)))</f>
        <v>0</v>
      </c>
      <c r="EL23" s="1">
        <f>IF($B23&lt;Analysis!$C$130,0,IF($B23=Analysis!$C$130,EG23+EJ23,IF(EH22&lt;0,IF(EH22&gt;LOOKUP(Analysis!$C$130,$B:$B,EL:EL), EH22*(1+EI22),EL22),0)))</f>
        <v>0</v>
      </c>
      <c r="EM23" s="1">
        <f>IF($B23=Analysis!$C$130,Analysis!$C$132,0)</f>
        <v>0</v>
      </c>
      <c r="EN23" s="1">
        <f>IF($B23=Analysis!$C$130,PMT(EI23,EO23,EM23)*EO23,0)</f>
        <v>0</v>
      </c>
      <c r="EO23" s="7">
        <f>IF($B23=Analysis!$C$130,Analysis!$C$134,0)</f>
        <v>0</v>
      </c>
      <c r="EP23" s="1">
        <f>IF($B23&lt;Analysis!$C$130,0,IF($B23=Analysis!$C$130,EN23/EO23,IF(($B23-Analysis!$C$130)&lt;LOOKUP(Analysis!$C$130,$B:$B,EO:EO),EP22,0)))</f>
        <v>0</v>
      </c>
      <c r="EQ23" s="1">
        <f>IF($B23&lt;Analysis!$C$130,0,IF($B23=Analysis!$C$130,EO23*EP23-EP23,IF(($B23-Analysis!$C$130)&lt;Analysis!$C$134,EQ22-EP23,0)))</f>
        <v>0</v>
      </c>
      <c r="ER23" s="53"/>
      <c r="ES23" s="1">
        <f>IF($B23&lt;Analysis!$C$130,0,-ET23*EB23)</f>
        <v>0</v>
      </c>
      <c r="ET23" s="64">
        <f>IF($B23&lt;Analysis!$C$130,0,Analysis!$C$142)</f>
        <v>0</v>
      </c>
      <c r="EU23" s="1">
        <f>IF($B23&lt;Analysis!$C$130,0,-EV23*EB23)</f>
        <v>0</v>
      </c>
      <c r="EV23" s="64">
        <f>IF($B23&lt;Analysis!$C$130,0,Analysis!$C$143)</f>
        <v>0</v>
      </c>
      <c r="EW23" s="1">
        <f>IF($B23&lt;Analysis!$C$130,0,MIN(Analysis!$C$144*12,SUM(EX23:FB23)))</f>
        <v>0</v>
      </c>
      <c r="EX23" s="1">
        <f>IF($B23&lt;Analysis!$C$130,0,Analysis!$C$145*12)</f>
        <v>0</v>
      </c>
      <c r="EY23" s="1">
        <f>IF($B23&lt;Analysis!$C$130,0,Analysis!$C$146*12)</f>
        <v>0</v>
      </c>
      <c r="EZ23" s="1">
        <f>IF($B23&lt;Analysis!$C$130,0,Analysis!$C$147*12)</f>
        <v>0</v>
      </c>
      <c r="FA23" s="1">
        <f>IF($B23&lt;Analysis!$C$130,0,Analysis!$C$148*12)</f>
        <v>0</v>
      </c>
      <c r="FB23" s="1">
        <f>IF($B23&lt;Analysis!$C$130,0,Analysis!$C$149*12)</f>
        <v>0</v>
      </c>
      <c r="FC23" s="1">
        <v>0</v>
      </c>
      <c r="FD23" s="1">
        <f>-FC23*Analysis!$C$28</f>
        <v>0</v>
      </c>
      <c r="FE23" s="53"/>
      <c r="FF23" s="1">
        <f t="shared" si="32"/>
        <v>0</v>
      </c>
      <c r="FG23" s="64">
        <f>IF($B23&lt;Analysis!$C$130,0,Analysis!$C$31)</f>
        <v>0</v>
      </c>
      <c r="FH23" s="1">
        <f>IF($B23&lt;Analysis!$C$130,0,EB23+FF23)</f>
        <v>0</v>
      </c>
      <c r="FI23" s="1">
        <f>IF($B23-Analysis!$C$130&gt;3,0,IF(EB23&gt;LOOKUP(Analysis!$C$130,$B:$B, EB:EB),$V23*(LOOKUP(Analysis!$C$130,$B:$B, EB:EB)-EB23),0))</f>
        <v>0</v>
      </c>
      <c r="FJ23" s="1">
        <f t="shared" si="33"/>
        <v>0</v>
      </c>
      <c r="FK23" s="53"/>
      <c r="FL23" s="1">
        <f>$P23+$N23+IF($B23&lt;Analysis!$C$130,$X23+$Z23,0)+CP23+CS23+CY23+DE23+DG23+MIN(DI23,SUM(DJ23:DN23))+DQ23+DS23+DT23+EG23+EJ23+EP23+ES23+EU23+MIN(EW23,SUM(EX23:FB23))+FD23</f>
        <v>-151629.75275735548</v>
      </c>
      <c r="FM23" s="1">
        <f>$M23+$R23+DD23+IF(AND($B23&lt;&gt;Analysis!$C$130,$B23=Analysis!$C$101),DZ22+CQ22+CT22+CZ22,0)</f>
        <v>163769.38517433984</v>
      </c>
      <c r="FN23" s="1">
        <f t="shared" si="34"/>
        <v>12139.632416984357</v>
      </c>
      <c r="FO23" s="1">
        <f>IF(FN23 &lt; 0,
    IF(FO22 + FN23 &gt; 0,
        FO22 + FN23, IF(FT22-ABS(FO22 + FN23)*(1+$V23) &gt;= FO22 + FN23,
        0, FO22 + FN23)),
    MIN(FO22 + FN23, Analysis!$C$7))+IF(FO22&lt;0, FO22*Analysis!$C$9,0)</f>
        <v>24000</v>
      </c>
      <c r="FP23" s="53"/>
      <c r="FQ23" s="1">
        <f t="shared" si="51"/>
        <v>16612.317947183452</v>
      </c>
      <c r="FR23" s="1">
        <f>IF(OR($B23=Analysis!$C$100, $B23=Analysis!$C$130),0,IF(FN23 &gt;= 0,
    MAX(0, FO22 + FN23 - Analysis!$C$7),
    0))</f>
        <v>12139.632416984357</v>
      </c>
      <c r="FS23" s="1">
        <f>IF(OR($B23=Analysis!$C$100, $B23=Analysis!$C$130),0,MAX(0, FS22 + FR23 - IF(FN23 &lt; 0, MIN(ABS(FN23), FS22 + FR23), 0)))</f>
        <v>309822.93444323353</v>
      </c>
      <c r="FT23" s="1">
        <f>IF(OR($B23=Analysis!$C$100, $B23=Analysis!$C$130),0,IF(FN23 &lt; 0,
    IF(FN23 + FO22 &lt; 0,
        MAX(0, FT22 - (ABS(FN23 + FO22) * (1+$V22))),
        FT22 + FQ23),
    FT22 + FR23 + FQ23))</f>
        <v>420262.21621738066</v>
      </c>
      <c r="FU23" s="1">
        <f t="shared" si="57"/>
        <v>391133.85564944934</v>
      </c>
      <c r="FV23" s="36"/>
      <c r="FW23" s="1">
        <f t="shared" si="52"/>
        <v>955082.34236425674</v>
      </c>
      <c r="FX23" s="64">
        <f t="shared" si="53"/>
        <v>2.941176470588247E-2</v>
      </c>
      <c r="FY23" s="1">
        <f>IF($B23=Analysis!$C$159,(FW23*(1+Analysis!$C$23+Analysis!$C$24+Analysis!$C$25))-IF($B23=$B$2,(Analysis!$C$6-Analysis!$C$7+Analysis!$C$165), (HW22-Analysis!$C$7+GH23)),0)</f>
        <v>0</v>
      </c>
      <c r="FZ23" s="65">
        <f>IF($B23=Analysis!$C$159,NPER(GD23,-GG23,-FY23),0)</f>
        <v>0</v>
      </c>
      <c r="GA23" s="64">
        <f>IF($B23=Analysis!$C$159,Analysis!$C$161,0)</f>
        <v>0</v>
      </c>
      <c r="GB23" s="1">
        <f>IF($B23&lt;Analysis!$C$159,0,IF($B23=Analysis!$C$159,-FY23*GA23,IF(GG23&gt;=0,0,GG23-GE23)))</f>
        <v>-21605.837667720898</v>
      </c>
      <c r="GC23" s="1">
        <f>IF($B23&lt;Analysis!$C$159,0,IF($B23=Analysis!$C$159,-FY23-GB23,MIN(0,GC22-GB23)))</f>
        <v>-170450.17239387651</v>
      </c>
      <c r="GD23" s="64">
        <f>IF($B23&lt;Analysis!$C$159,0,IF($B23=Analysis!$C$159,Analysis!$C$160,IF(($B23-Analysis!$C$159)&lt;LOOKUP(Analysis!$C$159,$B:$B,FZ:FZ),GD22,0)))</f>
        <v>3.6999999999999998E-2</v>
      </c>
      <c r="GE23" s="1">
        <f>IF($B23&lt;Analysis!$C$159,0,IF($B23=Analysis!$C$159,-GD23*FY23,GD22*GC22))</f>
        <v>-7106.0723722791035</v>
      </c>
      <c r="GF23" s="1">
        <f>IF($B23&lt;Analysis!$C$159,0,IF($B23=Analysis!$C$159,PMT(GD23,FZ23,FY23)*FZ23-GG23-GC23,IF(($B23-Analysis!$C$159+1)&lt;LOOKUP(Analysis!$C$159,$B:$B,FZ:FZ),IF(GF22-GE23&lt;0, GF22-GE23,0),0)))</f>
        <v>-25549.022903535402</v>
      </c>
      <c r="GG23" s="1">
        <f>IF($B23&lt;Analysis!$C$159,0,IF($B23=Analysis!$C$159,GB23+GE23,IF(GC22&lt;0,IF(GC22&gt;LOOKUP(Analysis!$C$159,$B:$B,GG:GG), GC22*(1+GD22),GG22),0)))</f>
        <v>-28711.910040000002</v>
      </c>
      <c r="GH23" s="1">
        <f>IF($B23=Analysis!$C$159,Analysis!$C$165,0)</f>
        <v>0</v>
      </c>
      <c r="GI23" s="1">
        <f>IF($B23=Analysis!$C$159,PMT(GD23,GJ23,GH23)*GJ23,0)</f>
        <v>0</v>
      </c>
      <c r="GJ23" s="7">
        <f>IF($B23=Analysis!$C$159,Analysis!$C$167,0)</f>
        <v>0</v>
      </c>
      <c r="GK23" s="1">
        <f>IF($B23&lt;Analysis!$C$159,0,IF($B23=Analysis!$C$159,GI23/GJ23,IF(($B23-Analysis!$C$159)&lt;LOOKUP(Analysis!$C$159,$B:$B,GJ:GJ),GK22,0)))</f>
        <v>0</v>
      </c>
      <c r="GL23" s="1">
        <f>IF($B23&lt;Analysis!$C$159,0,IF($B23=Analysis!$C$159,GJ23*GK23-GK23,IF(($B23-Analysis!$C$159)&lt;Analysis!$C$167,GL22-GK23,0)))</f>
        <v>0</v>
      </c>
      <c r="GM23" s="38"/>
      <c r="GN23" s="1">
        <f>IF($B23&lt;Analysis!$C$159,0,IF($B23=2025,(Analysis!$C$109*12),IF($B23=Analysis!$C$159,(Analysis!$C$109*12)*(1+GO23)^($B23-$B$2),GN22*(1+GO23))))</f>
        <v>25476.214906021178</v>
      </c>
      <c r="GO23" s="64">
        <f>IF($B23&lt;Analysis!$C$159,0,((1+Analysis!$C$174)/(1+$S23))-1)</f>
        <v>2.941176470588247E-2</v>
      </c>
      <c r="GP23" s="1">
        <f t="shared" si="7"/>
        <v>32301.461933113947</v>
      </c>
      <c r="GQ23" s="1">
        <f t="shared" si="36"/>
        <v>-2865.2470270927702</v>
      </c>
      <c r="GR23" s="64">
        <f>IF($B23&lt;Analysis!$C$159,0,Analysis!$C$178)</f>
        <v>3.0000000000000001E-3</v>
      </c>
      <c r="GS23" s="1">
        <f t="shared" si="37"/>
        <v>-7163.1175677319252</v>
      </c>
      <c r="GT23" s="64">
        <f>IF($B23&lt;Analysis!$C$159,0,Analysis!$C$179)</f>
        <v>7.4999999999999997E-3</v>
      </c>
      <c r="GU23" s="1">
        <f>IF($B23&lt;Analysis!$C$159,0,MIN(Analysis!$C$180*12,SUM(GV23:GZ23)))</f>
        <v>-3960</v>
      </c>
      <c r="GV23" s="1">
        <f>IF($B23&lt;Analysis!$C$159,0,Analysis!$C$181*12)</f>
        <v>-900</v>
      </c>
      <c r="GW23" s="1">
        <f>IF($B23&lt;Analysis!$C$159,0,Analysis!$C$182*12)</f>
        <v>-1500</v>
      </c>
      <c r="GX23" s="1">
        <f>IF($B23&lt;Analysis!$C$159,0,Analysis!$C$183*12)</f>
        <v>-480</v>
      </c>
      <c r="GY23" s="1">
        <f>IF($B23&lt;Analysis!$C$159,0,Analysis!$C$184*12)</f>
        <v>-480</v>
      </c>
      <c r="GZ23" s="1">
        <f>IF($B23&lt;Analysis!$C$159,0,Analysis!$C$185*12)</f>
        <v>-600</v>
      </c>
      <c r="HA23" s="64">
        <f>IF($B23&lt;Analysis!$C$159,0,Analysis!$C$173)</f>
        <v>0.02</v>
      </c>
      <c r="HB23" s="1">
        <f>-HA23*LOOKUP(Analysis!$C$159,$B:$B,FW:FW)</f>
        <v>-10392</v>
      </c>
      <c r="HC23" s="1">
        <f>-Analysis!$C$177*GN23</f>
        <v>-1910.7161179515883</v>
      </c>
      <c r="HD23" s="1">
        <f t="shared" si="38"/>
        <v>-26291.080712776286</v>
      </c>
      <c r="HE23" s="1">
        <f>MIN(0,-(GN23+HD23)*Analysis!$C$28)-GE23*Analysis!$C$28</f>
        <v>3148.7006681568705</v>
      </c>
      <c r="HF23" s="1">
        <f>-Analysis!$C$176*GP23/12</f>
        <v>-2691.7884944261623</v>
      </c>
      <c r="HG23" s="38"/>
      <c r="HH23" s="1">
        <f>IF($B23&lt;Analysis!$C$159,0,-$HI23*$FW23)</f>
        <v>-121772.99865144273</v>
      </c>
      <c r="HI23" s="64">
        <f>IF($B23&lt;Analysis!$C$159,0,IF($B23=Analysis!$C$159,Analysis!$C$31,HI22))</f>
        <v>0.1275</v>
      </c>
      <c r="HJ23" s="1">
        <f>IF($B23&lt;Analysis!$C$159,0,$FW23+HH23)</f>
        <v>833309.34371281404</v>
      </c>
      <c r="HK23" s="1">
        <f>IF($B23-Analysis!$C$159&gt;10,0,IF($FW23&gt;LOOKUP(Analysis!$C$159,$B:$B, FW:FW),$V23*(LOOKUP(Analysis!$C$159,$B:$B, FW:FW)-FW23),0))</f>
        <v>0</v>
      </c>
      <c r="HL23" s="1">
        <f t="shared" si="39"/>
        <v>833309.34371281404</v>
      </c>
      <c r="HM23" s="38"/>
      <c r="HN23" s="1">
        <f t="shared" si="40"/>
        <v>-151629.75275735548</v>
      </c>
      <c r="HO23" s="1">
        <f t="shared" si="8"/>
        <v>163769.38517433984</v>
      </c>
      <c r="HP23" s="1">
        <f t="shared" si="41"/>
        <v>12139.632416984357</v>
      </c>
      <c r="HQ23" s="1">
        <f>IF(HP23 &lt; 0,
    IF(HQ22 + HP23 &gt; 0,
        HQ22 + HP23, IF(HV22-ABS(HQ22 + HP23)*(1+$V23) &gt;= HQ22 + HP23,
        0, HQ22 + HP23)),
    MIN(HQ22 + HP23, Analysis!$C$7))+IF(HQ22&lt;0, HQ22*Analysis!$C$9,0)</f>
        <v>24000</v>
      </c>
      <c r="HR23" s="38"/>
      <c r="HS23" s="1">
        <f t="shared" si="54"/>
        <v>16612.317947183452</v>
      </c>
      <c r="HT23" s="1">
        <f>IF($B23=Analysis!$C$159,0,IF(HP23 &gt;= 0,
    MAX(0, HQ22 + HP23 - Analysis!$C$7),
    0))</f>
        <v>12139.632416984357</v>
      </c>
      <c r="HU23" s="1">
        <f>IF($B23=Analysis!$C$159,0,MAX(0, HU22 + HT23 - IF(HP23 &lt; 0, MIN(ABS(HP23), HU22 + HT23), 0)))</f>
        <v>309822.93444323353</v>
      </c>
      <c r="HV23" s="1">
        <f>IF($B23=Analysis!$C$159,0,IF(HP23 &lt; 0,
    IF(HP23 + HQ22 &lt; 0,
        MAX(0, HV22 - (ABS(HP23 + HQ22) * (1+$V22))),
        HV22 + HS23),
    HV22 + HT23 + HS23))</f>
        <v>420262.21621738066</v>
      </c>
      <c r="HW23" s="1">
        <f t="shared" si="58"/>
        <v>391133.85564944934</v>
      </c>
      <c r="HX23" s="36"/>
    </row>
    <row r="24" spans="1:232" x14ac:dyDescent="0.35">
      <c r="A24">
        <f t="shared" si="0"/>
        <v>57</v>
      </c>
      <c r="B24">
        <v>2047</v>
      </c>
      <c r="C24" s="1">
        <f>IF($B24&lt;Analysis!C$66,0,$AN24)+$AT24+$AW24+$BC24+$CF24+$CA24</f>
        <v>132240.12791855936</v>
      </c>
      <c r="D24" s="1">
        <f>IF($B24&lt;Analysis!C$66, 0, BV24)+AT24+AW24+BC24+CG24+CA24</f>
        <v>-82474.183315899456</v>
      </c>
      <c r="E24" s="1">
        <f t="shared" si="1"/>
        <v>1258184.282270076</v>
      </c>
      <c r="F24" s="1">
        <f t="shared" si="9"/>
        <v>1115807.8462413133</v>
      </c>
      <c r="G24" s="1">
        <f>IF(AND($B24&gt;=Analysis!$C$100, $B24&lt;Analysis!$C$101),$CK24,0)+IF($B24&gt;=Analysis!$C$130,EB24,0)+CQ24+CT24+CZ24+EH24+EK24+EQ24+$FO24+$FT24</f>
        <v>1288601.8100452404</v>
      </c>
      <c r="H24" s="1">
        <f t="shared" si="10"/>
        <v>1129605.6407734028</v>
      </c>
      <c r="I24" s="1">
        <f>IF($B24&lt;Analysis!$C$159,0,$FW24)+$GC24+$GF24+$GL24+$HQ24+$HV24</f>
        <v>1288601.8100452404</v>
      </c>
      <c r="J24" s="1">
        <f t="shared" si="2"/>
        <v>1129605.6407734028</v>
      </c>
      <c r="K24" s="36"/>
      <c r="L24" s="1">
        <f t="shared" si="11"/>
        <v>131467.92324122589</v>
      </c>
      <c r="M24" s="1">
        <f>IF($B24=Analysis!$C$47, M23 * (1 - Analysis!$C$48),
    IF($B24=Analysis!$C$52, M23 * (1 - Analysis!$C$53),
    IF($B24=Analysis!$C$58, M23 * (1 - Analysis!$C$60),
    L24)))</f>
        <v>131467.92324122589</v>
      </c>
      <c r="N24" s="1">
        <f>Analysis!$C$3*12*(1+O24)+P24</f>
        <v>-61200</v>
      </c>
      <c r="O24" s="64">
        <f>IF(OR($B24=Analysis!$C$47,$B24=Analysis!$C$52,$B24=Analysis!$C$58),-Analysis!$C$49,0)</f>
        <v>0</v>
      </c>
      <c r="P24" s="1">
        <f>IF($B24&lt;Analysis!$C$47,0,IF($B24-Analysis!$C$47&lt;=3,Analysis!$C$40+Analysis!$C$44,IF($B24-Analysis!$C$47&lt;=10,Analysis!$C$41+Analysis!$C$44,IF($B24-Analysis!$C$47&lt;=18,Analysis!$C$42+Analysis!$C$44,IF($B24-Analysis!$C$47&lt;=25,Analysis!$C$43+Analysis!$C$44,0)))) + IF(AND($B24&gt;=Analysis!$C$52, $B24-Analysis!$C$52&lt;=3),Analysis!$C$40+Analysis!$C$44,IF(AND($B24&gt;=Analysis!$C$52, $B24-Analysis!$C$52&lt;=10),Analysis!$C$41+Analysis!$C$44,IF(AND($B24&gt;=Analysis!$C$52, $B24-Analysis!$C$52&lt;=18),Analysis!$C$42+Analysis!$C$44,IF(AND($B24&gt;=Analysis!$C$52, $B24-Analysis!$C$52&lt;=25),Analysis!$C$43+Analysis!$C$44,0)))) + Analysis!$C$57*IF(AND($B24&gt;=Analysis!$C$58, $B24-Analysis!$C$58&lt;=3),Analysis!$C$40+Analysis!$C$44,IF(AND($B24&gt;=Analysis!$C$58, $B24-Analysis!$C$58&lt;=10),Analysis!$C$41+Analysis!$C$44,IF(AND($B24&gt;=Analysis!$C$58, $B24-Analysis!$C$58&lt;=18),Analysis!$C$42+Analysis!$C$44,IF(AND($B24&gt;=Analysis!$C$58, $B24-Analysis!$C$58&lt;=25),Analysis!$C$43+Analysis!$C$44,0)))))</f>
        <v>-13200</v>
      </c>
      <c r="Q24" s="1">
        <f t="shared" si="43"/>
        <v>0</v>
      </c>
      <c r="R24" s="1">
        <f>IF(AND(AND(B24=Analysis!C$35,Analysis!C$34&lt;&gt;0),AND(B24=Analysis!C$37,Analysis!C$36&lt;&gt;0)),Analysis!C$34+Analysis!C$36,IF(AND(B24=Analysis!C$35,Analysis!C$34&lt;&gt;0),Analysis!C$34,IF(AND(B24=Analysis!C$37,Analysis!C$36&lt;&gt;0),Analysis!C$36,0)))</f>
        <v>0</v>
      </c>
      <c r="S24" s="64">
        <f t="shared" si="12"/>
        <v>0.02</v>
      </c>
      <c r="T24" s="64">
        <f>IF($B24&lt;Analysis!$C$13, ((1+IF($B24-$B$2&lt;10,Analysis!$C$11,IF($B24-$B$2&lt;20,(Analysis!$C$11+Analysis!$C$12)/2,Analysis!$C$12)))/(1+$S24)-1),IF($B24=Analysis!$C$13,-Analysis!$C$14,-$S24))</f>
        <v>0</v>
      </c>
      <c r="U24" s="64">
        <f>IF($B24=$B$2,((1+Analysis!$C$16)/(1+$S24))-1,IF(B24&lt;Analysis!$C$13,U23-((Analysis!$C$16-Analysis!$C$17)/(Analysis!$C$13-$B$2)),((1+Analysis!$C$17)/(1+$S23))-1))</f>
        <v>4.0717086834734066E-2</v>
      </c>
      <c r="V24" s="64">
        <f t="shared" si="13"/>
        <v>0.26374999999999998</v>
      </c>
      <c r="W24" s="36"/>
      <c r="X24" s="1">
        <f t="shared" si="14"/>
        <v>-29972.017536495496</v>
      </c>
      <c r="Y24" s="64">
        <f t="shared" si="15"/>
        <v>2.941176470588247E-2</v>
      </c>
      <c r="Z24" s="1">
        <f t="shared" si="16"/>
        <v>-3960</v>
      </c>
      <c r="AA24" s="64">
        <f t="shared" si="17"/>
        <v>0</v>
      </c>
      <c r="AB24" s="40"/>
      <c r="AC24" s="1">
        <f t="shared" si="3"/>
        <v>-108332.01753649549</v>
      </c>
      <c r="AD24" s="1">
        <f t="shared" si="4"/>
        <v>131467.92324122589</v>
      </c>
      <c r="AE24" s="1">
        <f t="shared" si="18"/>
        <v>23135.905704730394</v>
      </c>
      <c r="AF24" s="1">
        <f>IF(AE24 &lt; 0,
    IF(AF23 + AE24 &gt; 0,
        AF23 + AE24, IF(AK23-ABS(AF23 + AE24)*(1+$V24) &gt;= AF23 + AE24,
        0, AF23 + AE24)),
    MIN(AF23 + AE24, Analysis!$C$7))+IF(AF23&lt;0, AF23*Analysis!$C$9,0)</f>
        <v>24000</v>
      </c>
      <c r="AG24" s="40"/>
      <c r="AH24" s="1">
        <f t="shared" si="19"/>
        <v>47381.139921175694</v>
      </c>
      <c r="AI24" s="1">
        <f>IF(AE24 &gt;= 0,
    MAX(0, AF23 + AE24 - Analysis!$C$7),
    0)</f>
        <v>23135.905704730394</v>
      </c>
      <c r="AJ24" s="1">
        <f t="shared" si="44"/>
        <v>694368.41107097571</v>
      </c>
      <c r="AK24" s="1">
        <f t="shared" si="20"/>
        <v>1234184.282270076</v>
      </c>
      <c r="AL24" s="1">
        <f t="shared" si="5"/>
        <v>1091807.8462413133</v>
      </c>
      <c r="AM24" s="36"/>
      <c r="AN24" s="1">
        <f t="shared" si="45"/>
        <v>1684033.8136035977</v>
      </c>
      <c r="AO24" s="64">
        <f t="shared" si="21"/>
        <v>2.941176470588247E-2</v>
      </c>
      <c r="AP24" s="1">
        <f>IF($B24=Analysis!$C$66,(AN24*(1+Analysis!$C$23+Analysis!$C$24+Analysis!$C$25))-IF($B24=$B$2,(Analysis!$C$6-Analysis!$C$7+Analysis!$C$68), ($CG23-Analysis!$C$7+AY24)),0)</f>
        <v>0</v>
      </c>
      <c r="AQ24" s="65">
        <f>IF($B24=Analysis!$C$66,NPER(AU24,-AX24,-AP24),0)</f>
        <v>0</v>
      </c>
      <c r="AR24" s="64">
        <f>IF($B24=Analysis!$C$66,Analysis!$C$73,0)</f>
        <v>0</v>
      </c>
      <c r="AS24" s="1">
        <f>IF($B24&lt;Analysis!$C$66,0,IF($B24=Analysis!$C$66,-AP24*AR24,IF(AX24&gt;=0,0,AX24-AV24)))</f>
        <v>-40786.757840640028</v>
      </c>
      <c r="AT24" s="1">
        <f>IF($B24&lt;Analysis!$C$66,0,IF($B24=Analysis!$C$66,-AP24-AS24,MIN(0,AT23-AS24)))</f>
        <v>-269502.51673665678</v>
      </c>
      <c r="AU24" s="64">
        <f>IF($B24&lt;Analysis!$C$66,0,IF($B24=Analysis!$C$66,Analysis!$C$72,IF(($B24-Analysis!$C$66)&lt;LOOKUP(Analysis!$C$66,$B:$B,AQ:AQ),AU23,0)))</f>
        <v>3.6999999999999998E-2</v>
      </c>
      <c r="AV24" s="1">
        <f>IF($B24&lt;Analysis!$C$66,0,IF($B24=Analysis!$C$66,-AU24*AP24,AU23*AT23))</f>
        <v>-11480.70315935998</v>
      </c>
      <c r="AW24" s="1">
        <f>IF($B24&lt;Analysis!$C$66,0,IF($B24=Analysis!$C$66,PMT(AU24,AQ24,AP24)*AQ24-AX24-AT24,IF(($B24-Analysis!$C$66+1)&lt;LOOKUP(Analysis!$C$66,$B:$B,AQ:AQ),IF(AW23-AV24&lt;0, AW23-AV24,0),0)))</f>
        <v>-35029.005053651767</v>
      </c>
      <c r="AX24" s="1">
        <f>IF($B24&lt;Analysis!$C$66,0,IF($B24=Analysis!$C$66,AS24+AV24,IF(AT23&lt;0,IF(AT23&gt;LOOKUP(Analysis!$C$66,$B:$B,AX:AX), AT23*(1+AU23),AX23),0)))</f>
        <v>-52267.46100000001</v>
      </c>
      <c r="AY24" s="1">
        <f>IF($B24=Analysis!$C$66,Analysis!$C$68,0)</f>
        <v>0</v>
      </c>
      <c r="AZ24" s="1">
        <f>IF($B24=Analysis!$C$66,PMT(AU24,BA24,AY24)*BA24,0)</f>
        <v>0</v>
      </c>
      <c r="BA24" s="7">
        <f>IF($B24=Analysis!$C$66,Analysis!$C$70,0)</f>
        <v>0</v>
      </c>
      <c r="BB24" s="1">
        <f>IF($B24&lt;Analysis!$C$66,0,IF($B24=Analysis!$C$66,AZ24/BA24,IF(($B24-Analysis!$C$66)&lt;LOOKUP(Analysis!$C$66,$B:$B,BA:BA),BB23,0)))</f>
        <v>0</v>
      </c>
      <c r="BC24" s="1">
        <f>IF($B24&lt;Analysis!$C$66,0,IF($B24=Analysis!$C$66,BA24*BB24-BB24,IF(($B24-Analysis!$C$66)&lt;Analysis!$C$70,BC23-BB24,0)))</f>
        <v>0</v>
      </c>
      <c r="BD24" s="42"/>
      <c r="BE24" s="1">
        <f>IF($B24&lt;Analysis!$C$66,0,-BF24*AN24)</f>
        <v>-5052.1014408107931</v>
      </c>
      <c r="BF24" s="64">
        <f>IF($B24&lt;Analysis!$C$66,0,Analysis!$C$78)</f>
        <v>3.0000000000000001E-3</v>
      </c>
      <c r="BG24" s="1">
        <f>IF($B24&lt;Analysis!$C$66,0,-BH24*AN24)</f>
        <v>-12630.253602026982</v>
      </c>
      <c r="BH24" s="64">
        <f>IF($B24&lt;Analysis!$C$66,0,Analysis!$C$79)</f>
        <v>7.4999999999999997E-3</v>
      </c>
      <c r="BI24" s="1">
        <f>IF($B24&lt;Analysis!$C$66,0,MIN(Analysis!$C$80*12,SUM(BJ24:BN24)))</f>
        <v>-3960</v>
      </c>
      <c r="BJ24" s="1">
        <f>IF($B24&lt;Analysis!$C$66,0,Analysis!$C$81*12)</f>
        <v>-900</v>
      </c>
      <c r="BK24" s="1">
        <f>IF($B24&lt;Analysis!$C$66,0,Analysis!$C$82*12)</f>
        <v>-1500</v>
      </c>
      <c r="BL24" s="1">
        <f>IF($B24&lt;Analysis!$C$66,0,Analysis!$C$83*12)</f>
        <v>-480</v>
      </c>
      <c r="BM24" s="1">
        <f>IF($B24&lt;Analysis!$C$66,0,Analysis!$C$84*12)</f>
        <v>-480</v>
      </c>
      <c r="BN24" s="1">
        <f>IF($B24&lt;Analysis!$C$66,0,Analysis!$C$85*12)</f>
        <v>-600</v>
      </c>
      <c r="BO24" s="1">
        <v>0</v>
      </c>
      <c r="BP24" s="1">
        <f>-BO24*Analysis!$C$28</f>
        <v>0</v>
      </c>
      <c r="BQ24" s="42"/>
      <c r="BR24" s="1">
        <f t="shared" si="22"/>
        <v>-214714.3112344587</v>
      </c>
      <c r="BS24" s="64">
        <f>IF($B24&lt;Analysis!C$66,0,Analysis!C$31)</f>
        <v>0.1275</v>
      </c>
      <c r="BT24" s="1">
        <f>IF($B24&lt;Analysis!$C$66,0,AN24+BR24)</f>
        <v>1469319.5023691389</v>
      </c>
      <c r="BU24" s="1">
        <f>IF($B24-Analysis!$C$66&gt;3,0,IF($AN24&gt;LOOKUP(Analysis!$C$66,$B:$B, AN:AN),$V24*(LOOKUP(Analysis!$C$66,$B:$B, AN:AN)-AN24),0))</f>
        <v>0</v>
      </c>
      <c r="BV24" s="1">
        <f t="shared" si="23"/>
        <v>1469319.5023691389</v>
      </c>
      <c r="BW24" s="42"/>
      <c r="BX24" s="1">
        <f>IF($B24&lt;Analysis!$C$66,$P24+$N24+$X24+$Z24,$P24+$N24+AS24+AV24+BB24+BE24+BG24+MAX(BI24,SUM(BJ24:BN24))+BP24)</f>
        <v>-148309.8160428378</v>
      </c>
      <c r="BY24" s="1">
        <f t="shared" si="24"/>
        <v>131467.92324122589</v>
      </c>
      <c r="BZ24" s="1">
        <f t="shared" si="46"/>
        <v>-16841.892801611917</v>
      </c>
      <c r="CA24" s="1">
        <f>IF(BZ24 &lt; 0,
    IF(CA23 + BZ24 &gt; 0,
        CA23 + BZ24, IF(CF23-ABS(CA23 + BZ24)*(1+$V24) &gt;= CA23 + BZ24,
        0, CA23 + BZ24)),
    MIN(CA23 + BZ24, Analysis!$C$7))+IF(CA23&lt;0, CA23*Analysis!$C$9,0)</f>
        <v>-1247262.1638947297</v>
      </c>
      <c r="CB24" s="42"/>
      <c r="CC24" s="1">
        <f t="shared" si="47"/>
        <v>0</v>
      </c>
      <c r="CD24" s="1">
        <f>IF(BZ24 &gt;= 0,
    MAX(0, CA23 + BZ24 - Analysis!$C$7),
    0)</f>
        <v>0</v>
      </c>
      <c r="CE24" s="1">
        <f>IF($B24=Analysis!$C$66,0,MAX(0, CE23 + CD24 - IF(BZ24 &lt; 0, MIN(ABS(BZ24), CE23 + CD24), 0)))</f>
        <v>0</v>
      </c>
      <c r="CF24" s="1">
        <f>IF($B24=Analysis!$C$66,0,IF(BZ24 &lt; 0,
    IF(BZ24 + CA23 &lt; 0,
        MAX(0, CF23 - (ABS(BZ24 + CA23) * (1+$V23))),
        CF23 + CC24),
    CF23 + CD24 + CC24))</f>
        <v>0</v>
      </c>
      <c r="CG24" s="1">
        <f t="shared" si="25"/>
        <v>0</v>
      </c>
      <c r="CH24" s="36"/>
      <c r="CI24" s="1">
        <f>IF(OR($B24&lt;Analysis!$C$100, $B24&gt;=Analysis!$C$130),0,X24)</f>
        <v>-29972.017536495496</v>
      </c>
      <c r="CJ24" s="1">
        <f>IF(OR($B24&lt;Analysis!$C$100, $B24&gt;=Analysis!$C$130),0,Z24)</f>
        <v>-3960</v>
      </c>
      <c r="CK24" s="1">
        <f t="shared" si="26"/>
        <v>983172.99949261732</v>
      </c>
      <c r="CL24" s="64">
        <f t="shared" si="48"/>
        <v>2.941176470588247E-2</v>
      </c>
      <c r="CM24" s="1">
        <f>IF($B24=Analysis!$C$100,(CK24*(1+Analysis!$C$23+Analysis!$C$24+Analysis!$C$25))-IF($B24=$B$2,(Analysis!$C$6-Analysis!$C$7+Analysis!$C$105), (FU23-Analysis!$C$7+CV24)),0)</f>
        <v>0</v>
      </c>
      <c r="CN24" s="65">
        <f>IF($B24=Analysis!$C$100,NPER(CR24,-CU24,-CM24),0)</f>
        <v>0</v>
      </c>
      <c r="CO24" s="64">
        <f>IF($B24=Analysis!$C$100,Analysis!$C$103,0)</f>
        <v>0</v>
      </c>
      <c r="CP24" s="1">
        <f>IF(OR($B24&lt;Analysis!$C$100, $B24&gt;=Analysis!$C$101),0,IF($B24=Analysis!$C$100,-CM24*CO24,IF(CU24&gt;=0,0,CU24-CS24)))</f>
        <v>-22405.25366142657</v>
      </c>
      <c r="CQ24" s="1">
        <f>IF(OR($B24&lt;Analysis!$C$100, $B24&gt;=Analysis!$C$101),0,IF($B24=Analysis!$C$100,-CM24-CP24,MIN(0,CQ23-CP24)))</f>
        <v>-148044.91873244994</v>
      </c>
      <c r="CR24" s="64">
        <f>IF(OR($B24&lt;Analysis!$C$100, $B24&gt;=Analysis!$C$101),0,IF($B24=Analysis!$C$100,Analysis!$C$102,IF(($B24-Analysis!$C$100)&lt;LOOKUP(Analysis!$C$100,$B:$B,CN:CN),CR23,0)))</f>
        <v>3.6999999999999998E-2</v>
      </c>
      <c r="CS24" s="1">
        <f>IF(OR($B24&lt;Analysis!$C$100, $B24&gt;=Analysis!$C$101),0,IF($B24=Analysis!$C$100,-CR24*CM24,CR23*CQ23))</f>
        <v>-6306.6563785734306</v>
      </c>
      <c r="CT24" s="1">
        <f>IF(OR($B24&lt;Analysis!$C$100, $B24&gt;=Analysis!$C$101),0,IF($B24=Analysis!$C$100,PMT(CR24,CN24,CM24)*CN24-CU24-CQ24,IF(($B24-Analysis!$C$100+1)&lt;LOOKUP(Analysis!$C$100,$B:$B,CN:CN),IF(CT23-CS24&lt;0, CT23-CS24,0),0)))</f>
        <v>-19242.366524961973</v>
      </c>
      <c r="CU24" s="1">
        <f>IF(OR($B24&lt;Analysis!$C$100, $B24&gt;=Analysis!$C$101),0,IF($B24=Analysis!$C$100,CP24+CS24,IF(CQ23&lt;0,IF(CQ23&gt;LOOKUP(Analysis!$C$100,$B:$B,CU:CU), CQ23*(1+CR23),CU23),0)))</f>
        <v>-28711.910040000002</v>
      </c>
      <c r="CV24" s="1">
        <f>IF($B24=Analysis!$C$100,Analysis!$C$105,0)</f>
        <v>0</v>
      </c>
      <c r="CW24" s="1">
        <f>IF($B24=Analysis!$C$100,PMT(CR24,CX24,CV24)*CX24,0)</f>
        <v>0</v>
      </c>
      <c r="CX24" s="7">
        <f>IF($B24=Analysis!$C$100,Analysis!$C$107,0)</f>
        <v>0</v>
      </c>
      <c r="CY24" s="1">
        <f>IF(OR($B24&lt;Analysis!$C$100, $B24&gt;=Analysis!$C$101),0,IF($B24=Analysis!$C$100,CW24/CX24,IF(($B24-Analysis!$C$100)&lt;LOOKUP(Analysis!$C$100,$B:$B,CX:CX),CY23,0)))</f>
        <v>0</v>
      </c>
      <c r="CZ24" s="1">
        <f>IF(OR($B24&lt;Analysis!$C$100, $B24&gt;=Analysis!$C$101),0,IF($B24=Analysis!$C$100,CX24*CY24-CY24,IF(($B24-Analysis!$C$100)&lt;Analysis!$C$107,CZ23-CY24,0)))</f>
        <v>0</v>
      </c>
      <c r="DA24" s="53"/>
      <c r="DB24" s="1">
        <f>IF(OR($B24&lt;Analysis!$C$100, $B24&gt;=Analysis!$C$101),0,IF($B24=2025,(Analysis!$C$109*12),IF($B24=Analysis!$C$100,(Analysis!$C$109*12)*(1+DC24)^($B24-$B$2),DB23*(1+DC24))))</f>
        <v>26225.515344433566</v>
      </c>
      <c r="DC24" s="64">
        <f>IF(OR($B24&lt;Analysis!$C$100, $B24&gt;=Analysis!$C$101),0,((1+Analysis!$C$114)/(1+$S24))-1)</f>
        <v>2.941176470588247E-2</v>
      </c>
      <c r="DD24" s="1">
        <f t="shared" si="6"/>
        <v>33135.034342911422</v>
      </c>
      <c r="DE24" s="1">
        <f t="shared" si="27"/>
        <v>-2949.5189984778522</v>
      </c>
      <c r="DF24" s="64">
        <f>IF(OR($B24&lt;Analysis!$C$100, $B24&gt;=Analysis!$C$101),0,Analysis!$C$118)</f>
        <v>3.0000000000000001E-3</v>
      </c>
      <c r="DG24" s="1">
        <f t="shared" si="28"/>
        <v>-7373.7974961946293</v>
      </c>
      <c r="DH24" s="64">
        <f>IF(OR($B24&lt;Analysis!$C$100, $B24&gt;=Analysis!$C$101),0,Analysis!$C$119)</f>
        <v>7.4999999999999997E-3</v>
      </c>
      <c r="DI24" s="1">
        <f>IF(OR($B24&lt;Analysis!$C$100, $B24&gt;=Analysis!$C$101),0,MIN(Analysis!$C$120*12,SUM(DJ24:DN24)))</f>
        <v>-3960</v>
      </c>
      <c r="DJ24" s="1">
        <f>IF(OR($B24&lt;Analysis!$C$100, $B24&gt;=Analysis!$C$101),0,Analysis!$C$121*12)</f>
        <v>-900</v>
      </c>
      <c r="DK24" s="1">
        <f>IF(OR($B24&lt;Analysis!$C$100, $B24&gt;=Analysis!$C$101),0,Analysis!$C$122*12)</f>
        <v>-1500</v>
      </c>
      <c r="DL24" s="1">
        <f>IF(OR($B24&lt;Analysis!$C$100, $B24&gt;=Analysis!$C$101),0,Analysis!$C$123*12)</f>
        <v>-480</v>
      </c>
      <c r="DM24" s="1">
        <f>IF(OR($B24&lt;Analysis!$C$100, $B24&gt;=Analysis!$C$101),0,Analysis!$C$124*12)</f>
        <v>-480</v>
      </c>
      <c r="DN24" s="1">
        <f>IF(OR($B24&lt;Analysis!$C$100, $B24&gt;=Analysis!$C$101),0,Analysis!$C$125*12)</f>
        <v>-600</v>
      </c>
      <c r="DO24" s="64">
        <f>IF(OR($B24&lt;Analysis!$C$100, $B24&gt;=Analysis!$C$101),0,Analysis!$C$113)</f>
        <v>0.02</v>
      </c>
      <c r="DP24" s="1">
        <f>-DO24*LOOKUP(Analysis!$C$100,$B:$B,CK:CK)</f>
        <v>-10392</v>
      </c>
      <c r="DQ24" s="1">
        <f>-Analysis!$C$117*DB24</f>
        <v>-1966.9136508325173</v>
      </c>
      <c r="DR24" s="1">
        <f t="shared" si="29"/>
        <v>-26642.230145504996</v>
      </c>
      <c r="DS24" s="1">
        <f>MIN(0,-(DB24+DR24)*Analysis!$C$28)-CS24*Analysis!$C$28</f>
        <v>2794.4794413458867</v>
      </c>
      <c r="DT24" s="1">
        <f>-Analysis!$C$116*DD24/12</f>
        <v>-2761.252861909285</v>
      </c>
      <c r="DU24" s="53"/>
      <c r="DV24" s="1">
        <f t="shared" si="30"/>
        <v>-125354.55743530871</v>
      </c>
      <c r="DW24" s="64">
        <f>IF(OR($B24&lt;Analysis!$C$100, $B24&gt;=Analysis!$C$101),0,IF($B24=Analysis!$C$100,Analysis!$C$31,DW23))</f>
        <v>0.1275</v>
      </c>
      <c r="DX24" s="1">
        <f>IF(OR($B24&lt;Analysis!$C$100, $B24&gt;=Analysis!$C$101),0,CK24+DV24)</f>
        <v>857818.44205730862</v>
      </c>
      <c r="DY24" s="1">
        <f>IF(OR($B24&lt;Analysis!$C$100, $B24&gt;=Analysis!$C$101),0,IF($B24-Analysis!$C$100&gt;3,0,IF(CK24&gt;LOOKUP(Analysis!$C$100,$B:$B, CK:CK),$V24*(LOOKUP(Analysis!$C$100,$B:$B, CK:CK)-CK24),0)))</f>
        <v>0</v>
      </c>
      <c r="DZ24" s="1">
        <f t="shared" si="49"/>
        <v>857818.44205730862</v>
      </c>
      <c r="EA24" s="53"/>
      <c r="EB24" s="1">
        <f t="shared" si="31"/>
        <v>1305599.2487488573</v>
      </c>
      <c r="EC24" s="64">
        <f t="shared" si="50"/>
        <v>2.941176470588247E-2</v>
      </c>
      <c r="ED24" s="1">
        <f>MAX(0,IF($B24=Analysis!$C$130,(EB24*(1+Analysis!$C$23+Analysis!$C$24+Analysis!$C$25))-(IF($B24=$B$2,(Analysis!$C$6-Analysis!$C$7+Analysis!$C$132), (FU23-Analysis!$C$7+EM24)) + IF($B24=Analysis!$C$101,DZ23+CQ23+CT23+CZ23,0)),0))</f>
        <v>0</v>
      </c>
      <c r="EE24" s="65">
        <f>IF($B24=Analysis!$C$130,IF(ED24&gt;0,NPER(EI24,-EL24,-ED24),0),0)</f>
        <v>0</v>
      </c>
      <c r="EF24" s="64">
        <f>IF($B24=Analysis!$C$130,Analysis!$C$137,0)</f>
        <v>0</v>
      </c>
      <c r="EG24" s="1">
        <f>IF($B24&lt;Analysis!$C$130,0,IF($B24=Analysis!$C$130,-ED24*EF24,IF(EL24&gt;=0,0,EL24-EJ24)))</f>
        <v>0</v>
      </c>
      <c r="EH24" s="1">
        <f>IF($B24&lt;Analysis!$C$130,0,IF($B24=Analysis!$C$130,-ED24-EG24,MIN(0,EH23-EG24)))</f>
        <v>0</v>
      </c>
      <c r="EI24" s="64">
        <f>IF($B24&lt;Analysis!$C$130,0,IF($B24=Analysis!$C$130,Analysis!$C$136,IF(($B24-Analysis!$C$130)&lt;LOOKUP(Analysis!$C$130,$B:$B,EE:EE),EI23,0)))</f>
        <v>0</v>
      </c>
      <c r="EJ24" s="1">
        <f>IF($B24&lt;Analysis!$C$130,0,IF($B24=Analysis!$C$130,-EI24*ED24,EI23*EH23))</f>
        <v>0</v>
      </c>
      <c r="EK24" s="1">
        <f>IF(OR($B24&lt;Analysis!$C$130, ED24=0),0,IF($B24=Analysis!$C$130,PMT(EI24,EE24,ED24)*EE24-EL24-EH24,IF(($B24-Analysis!$C$130+1)&lt;LOOKUP(Analysis!$C$130,$B:$B,EE:EE),IF(EK23-EJ24&lt;0, EK23-EJ24,0),0)))</f>
        <v>0</v>
      </c>
      <c r="EL24" s="1">
        <f>IF($B24&lt;Analysis!$C$130,0,IF($B24=Analysis!$C$130,EG24+EJ24,IF(EH23&lt;0,IF(EH23&gt;LOOKUP(Analysis!$C$130,$B:$B,EL:EL), EH23*(1+EI23),EL23),0)))</f>
        <v>0</v>
      </c>
      <c r="EM24" s="1">
        <f>IF($B24=Analysis!$C$130,Analysis!$C$132,0)</f>
        <v>0</v>
      </c>
      <c r="EN24" s="1">
        <f>IF($B24=Analysis!$C$130,PMT(EI24,EO24,EM24)*EO24,0)</f>
        <v>0</v>
      </c>
      <c r="EO24" s="7">
        <f>IF($B24=Analysis!$C$130,Analysis!$C$134,0)</f>
        <v>0</v>
      </c>
      <c r="EP24" s="1">
        <f>IF($B24&lt;Analysis!$C$130,0,IF($B24=Analysis!$C$130,EN24/EO24,IF(($B24-Analysis!$C$130)&lt;LOOKUP(Analysis!$C$130,$B:$B,EO:EO),EP23,0)))</f>
        <v>0</v>
      </c>
      <c r="EQ24" s="1">
        <f>IF($B24&lt;Analysis!$C$130,0,IF($B24=Analysis!$C$130,EO24*EP24-EP24,IF(($B24-Analysis!$C$130)&lt;Analysis!$C$134,EQ23-EP24,0)))</f>
        <v>0</v>
      </c>
      <c r="ER24" s="53"/>
      <c r="ES24" s="1">
        <f>IF($B24&lt;Analysis!$C$130,0,-ET24*EB24)</f>
        <v>0</v>
      </c>
      <c r="ET24" s="64">
        <f>IF($B24&lt;Analysis!$C$130,0,Analysis!$C$142)</f>
        <v>0</v>
      </c>
      <c r="EU24" s="1">
        <f>IF($B24&lt;Analysis!$C$130,0,-EV24*EB24)</f>
        <v>0</v>
      </c>
      <c r="EV24" s="64">
        <f>IF($B24&lt;Analysis!$C$130,0,Analysis!$C$143)</f>
        <v>0</v>
      </c>
      <c r="EW24" s="1">
        <f>IF($B24&lt;Analysis!$C$130,0,MIN(Analysis!$C$144*12,SUM(EX24:FB24)))</f>
        <v>0</v>
      </c>
      <c r="EX24" s="1">
        <f>IF($B24&lt;Analysis!$C$130,0,Analysis!$C$145*12)</f>
        <v>0</v>
      </c>
      <c r="EY24" s="1">
        <f>IF($B24&lt;Analysis!$C$130,0,Analysis!$C$146*12)</f>
        <v>0</v>
      </c>
      <c r="EZ24" s="1">
        <f>IF($B24&lt;Analysis!$C$130,0,Analysis!$C$147*12)</f>
        <v>0</v>
      </c>
      <c r="FA24" s="1">
        <f>IF($B24&lt;Analysis!$C$130,0,Analysis!$C$148*12)</f>
        <v>0</v>
      </c>
      <c r="FB24" s="1">
        <f>IF($B24&lt;Analysis!$C$130,0,Analysis!$C$149*12)</f>
        <v>0</v>
      </c>
      <c r="FC24" s="1">
        <v>0</v>
      </c>
      <c r="FD24" s="1">
        <f>-FC24*Analysis!$C$28</f>
        <v>0</v>
      </c>
      <c r="FE24" s="53"/>
      <c r="FF24" s="1">
        <f t="shared" si="32"/>
        <v>0</v>
      </c>
      <c r="FG24" s="64">
        <f>IF($B24&lt;Analysis!$C$130,0,Analysis!$C$31)</f>
        <v>0</v>
      </c>
      <c r="FH24" s="1">
        <f>IF($B24&lt;Analysis!$C$130,0,EB24+FF24)</f>
        <v>0</v>
      </c>
      <c r="FI24" s="1">
        <f>IF($B24-Analysis!$C$130&gt;3,0,IF(EB24&gt;LOOKUP(Analysis!$C$130,$B:$B, EB:EB),$V24*(LOOKUP(Analysis!$C$130,$B:$B, EB:EB)-EB24),0))</f>
        <v>0</v>
      </c>
      <c r="FJ24" s="1">
        <f t="shared" si="33"/>
        <v>0</v>
      </c>
      <c r="FK24" s="53"/>
      <c r="FL24" s="1">
        <f>$P24+$N24+IF($B24&lt;Analysis!$C$130,$X24+$Z24,0)+CP24+CS24+CY24+DE24+DG24+MIN(DI24,SUM(DJ24:DN24))+DQ24+DS24+DT24+EG24+EJ24+EP24+ES24+EU24+MIN(EW24,SUM(EX24:FB24))+FD24</f>
        <v>-153260.93114256387</v>
      </c>
      <c r="FM24" s="1">
        <f>$M24+$R24+DD24+IF(AND($B24&lt;&gt;Analysis!$C$130,$B24=Analysis!$C$101),DZ23+CQ23+CT23+CZ23,0)</f>
        <v>164602.9575841373</v>
      </c>
      <c r="FN24" s="1">
        <f t="shared" si="34"/>
        <v>11342.026441573427</v>
      </c>
      <c r="FO24" s="1">
        <f>IF(FN24 &lt; 0,
    IF(FO23 + FN24 &gt; 0,
        FO23 + FN24, IF(FT23-ABS(FO23 + FN24)*(1+$V24) &gt;= FO23 + FN24,
        0, FO23 + FN24)),
    MIN(FO23 + FN24, Analysis!$C$7))+IF(FO23&lt;0, FO23*Analysis!$C$9,0)</f>
        <v>24000</v>
      </c>
      <c r="FP24" s="53"/>
      <c r="FQ24" s="1">
        <f t="shared" si="51"/>
        <v>17111.853151080872</v>
      </c>
      <c r="FR24" s="1">
        <f>IF(OR($B24=Analysis!$C$100, $B24=Analysis!$C$130),0,IF(FN24 &gt;= 0,
    MAX(0, FO23 + FN24 - Analysis!$C$7),
    0))</f>
        <v>11342.026441573427</v>
      </c>
      <c r="FS24" s="1">
        <f>IF(OR($B24=Analysis!$C$100, $B24=Analysis!$C$130),0,MAX(0, FS23 + FR24 - IF(FN24 &lt; 0, MIN(ABS(FN24), FS23 + FR24), 0)))</f>
        <v>321164.96088480693</v>
      </c>
      <c r="FT24" s="1">
        <f>IF(OR($B24=Analysis!$C$100, $B24=Analysis!$C$130),0,IF(FN24 &lt; 0,
    IF(FN24 + FO23 &lt; 0,
        MAX(0, FT23 - (ABS(FN24 + FO23) * (1+$V23))),
        FT23 + FQ24),
    FT23 + FR24 + FQ24))</f>
        <v>448716.09581003501</v>
      </c>
      <c r="FU24" s="1">
        <f t="shared" si="57"/>
        <v>415074.48397350614</v>
      </c>
      <c r="FV24" s="36"/>
      <c r="FW24" s="1">
        <f t="shared" si="52"/>
        <v>983172.99949261732</v>
      </c>
      <c r="FX24" s="64">
        <f t="shared" si="53"/>
        <v>2.941176470588247E-2</v>
      </c>
      <c r="FY24" s="1">
        <f>IF($B24=Analysis!$C$159,(FW24*(1+Analysis!$C$23+Analysis!$C$24+Analysis!$C$25))-IF($B24=$B$2,(Analysis!$C$6-Analysis!$C$7+Analysis!$C$165), (HW23-Analysis!$C$7+GH24)),0)</f>
        <v>0</v>
      </c>
      <c r="FZ24" s="65">
        <f>IF($B24=Analysis!$C$159,NPER(GD24,-GG24,-FY24),0)</f>
        <v>0</v>
      </c>
      <c r="GA24" s="64">
        <f>IF($B24=Analysis!$C$159,Analysis!$C$161,0)</f>
        <v>0</v>
      </c>
      <c r="GB24" s="1">
        <f>IF($B24&lt;Analysis!$C$159,0,IF($B24=Analysis!$C$159,-FY24*GA24,IF(GG24&gt;=0,0,GG24-GE24)))</f>
        <v>-22405.25366142657</v>
      </c>
      <c r="GC24" s="1">
        <f>IF($B24&lt;Analysis!$C$159,0,IF($B24=Analysis!$C$159,-FY24-GB24,MIN(0,GC23-GB24)))</f>
        <v>-148044.91873244994</v>
      </c>
      <c r="GD24" s="64">
        <f>IF($B24&lt;Analysis!$C$159,0,IF($B24=Analysis!$C$159,Analysis!$C$160,IF(($B24-Analysis!$C$159)&lt;LOOKUP(Analysis!$C$159,$B:$B,FZ:FZ),GD23,0)))</f>
        <v>3.6999999999999998E-2</v>
      </c>
      <c r="GE24" s="1">
        <f>IF($B24&lt;Analysis!$C$159,0,IF($B24=Analysis!$C$159,-GD24*FY24,GD23*GC23))</f>
        <v>-6306.6563785734306</v>
      </c>
      <c r="GF24" s="1">
        <f>IF($B24&lt;Analysis!$C$159,0,IF($B24=Analysis!$C$159,PMT(GD24,FZ24,FY24)*FZ24-GG24-GC24,IF(($B24-Analysis!$C$159+1)&lt;LOOKUP(Analysis!$C$159,$B:$B,FZ:FZ),IF(GF23-GE24&lt;0, GF23-GE24,0),0)))</f>
        <v>-19242.366524961973</v>
      </c>
      <c r="GG24" s="1">
        <f>IF($B24&lt;Analysis!$C$159,0,IF($B24=Analysis!$C$159,GB24+GE24,IF(GC23&lt;0,IF(GC23&gt;LOOKUP(Analysis!$C$159,$B:$B,GG:GG), GC23*(1+GD23),GG23),0)))</f>
        <v>-28711.910040000002</v>
      </c>
      <c r="GH24" s="1">
        <f>IF($B24=Analysis!$C$159,Analysis!$C$165,0)</f>
        <v>0</v>
      </c>
      <c r="GI24" s="1">
        <f>IF($B24=Analysis!$C$159,PMT(GD24,GJ24,GH24)*GJ24,0)</f>
        <v>0</v>
      </c>
      <c r="GJ24" s="7">
        <f>IF($B24=Analysis!$C$159,Analysis!$C$167,0)</f>
        <v>0</v>
      </c>
      <c r="GK24" s="1">
        <f>IF($B24&lt;Analysis!$C$159,0,IF($B24=Analysis!$C$159,GI24/GJ24,IF(($B24-Analysis!$C$159)&lt;LOOKUP(Analysis!$C$159,$B:$B,GJ:GJ),GK23,0)))</f>
        <v>0</v>
      </c>
      <c r="GL24" s="1">
        <f>IF($B24&lt;Analysis!$C$159,0,IF($B24=Analysis!$C$159,GJ24*GK24-GK24,IF(($B24-Analysis!$C$159)&lt;Analysis!$C$167,GL23-GK24,0)))</f>
        <v>0</v>
      </c>
      <c r="GM24" s="38"/>
      <c r="GN24" s="1">
        <f>IF($B24&lt;Analysis!$C$159,0,IF($B24=2025,(Analysis!$C$109*12),IF($B24=Analysis!$C$159,(Analysis!$C$109*12)*(1+GO24)^($B24-$B$2),GN23*(1+GO24))))</f>
        <v>26225.515344433566</v>
      </c>
      <c r="GO24" s="64">
        <f>IF($B24&lt;Analysis!$C$159,0,((1+Analysis!$C$174)/(1+$S24))-1)</f>
        <v>2.941176470588247E-2</v>
      </c>
      <c r="GP24" s="1">
        <f t="shared" si="7"/>
        <v>33135.034342911422</v>
      </c>
      <c r="GQ24" s="1">
        <f t="shared" si="36"/>
        <v>-2949.5189984778522</v>
      </c>
      <c r="GR24" s="64">
        <f>IF($B24&lt;Analysis!$C$159,0,Analysis!$C$178)</f>
        <v>3.0000000000000001E-3</v>
      </c>
      <c r="GS24" s="1">
        <f t="shared" si="37"/>
        <v>-7373.7974961946293</v>
      </c>
      <c r="GT24" s="64">
        <f>IF($B24&lt;Analysis!$C$159,0,Analysis!$C$179)</f>
        <v>7.4999999999999997E-3</v>
      </c>
      <c r="GU24" s="1">
        <f>IF($B24&lt;Analysis!$C$159,0,MIN(Analysis!$C$180*12,SUM(GV24:GZ24)))</f>
        <v>-3960</v>
      </c>
      <c r="GV24" s="1">
        <f>IF($B24&lt;Analysis!$C$159,0,Analysis!$C$181*12)</f>
        <v>-900</v>
      </c>
      <c r="GW24" s="1">
        <f>IF($B24&lt;Analysis!$C$159,0,Analysis!$C$182*12)</f>
        <v>-1500</v>
      </c>
      <c r="GX24" s="1">
        <f>IF($B24&lt;Analysis!$C$159,0,Analysis!$C$183*12)</f>
        <v>-480</v>
      </c>
      <c r="GY24" s="1">
        <f>IF($B24&lt;Analysis!$C$159,0,Analysis!$C$184*12)</f>
        <v>-480</v>
      </c>
      <c r="GZ24" s="1">
        <f>IF($B24&lt;Analysis!$C$159,0,Analysis!$C$185*12)</f>
        <v>-600</v>
      </c>
      <c r="HA24" s="64">
        <f>IF($B24&lt;Analysis!$C$159,0,Analysis!$C$173)</f>
        <v>0.02</v>
      </c>
      <c r="HB24" s="1">
        <f>-HA24*LOOKUP(Analysis!$C$159,$B:$B,FW:FW)</f>
        <v>-10392</v>
      </c>
      <c r="HC24" s="1">
        <f>-Analysis!$C$177*GN24</f>
        <v>-1966.9136508325173</v>
      </c>
      <c r="HD24" s="1">
        <f t="shared" si="38"/>
        <v>-26642.230145504996</v>
      </c>
      <c r="HE24" s="1">
        <f>MIN(0,-(GN24+HD24)*Analysis!$C$28)-GE24*Analysis!$C$28</f>
        <v>2794.4794413458867</v>
      </c>
      <c r="HF24" s="1">
        <f>-Analysis!$C$176*GP24/12</f>
        <v>-2761.252861909285</v>
      </c>
      <c r="HG24" s="38"/>
      <c r="HH24" s="1">
        <f>IF($B24&lt;Analysis!$C$159,0,-$HI24*$FW24)</f>
        <v>-125354.55743530871</v>
      </c>
      <c r="HI24" s="64">
        <f>IF($B24&lt;Analysis!$C$159,0,IF($B24=Analysis!$C$159,Analysis!$C$31,HI23))</f>
        <v>0.1275</v>
      </c>
      <c r="HJ24" s="1">
        <f>IF($B24&lt;Analysis!$C$159,0,$FW24+HH24)</f>
        <v>857818.44205730862</v>
      </c>
      <c r="HK24" s="1">
        <f>IF($B24-Analysis!$C$159&gt;10,0,IF($FW24&gt;LOOKUP(Analysis!$C$159,$B:$B, FW:FW),$V24*(LOOKUP(Analysis!$C$159,$B:$B, FW:FW)-FW24),0))</f>
        <v>0</v>
      </c>
      <c r="HL24" s="1">
        <f t="shared" si="39"/>
        <v>857818.44205730862</v>
      </c>
      <c r="HM24" s="38"/>
      <c r="HN24" s="1">
        <f t="shared" si="40"/>
        <v>-153260.93114256387</v>
      </c>
      <c r="HO24" s="1">
        <f t="shared" si="8"/>
        <v>164602.9575841373</v>
      </c>
      <c r="HP24" s="1">
        <f t="shared" si="41"/>
        <v>11342.026441573427</v>
      </c>
      <c r="HQ24" s="1">
        <f>IF(HP24 &lt; 0,
    IF(HQ23 + HP24 &gt; 0,
        HQ23 + HP24, IF(HV23-ABS(HQ23 + HP24)*(1+$V24) &gt;= HQ23 + HP24,
        0, HQ23 + HP24)),
    MIN(HQ23 + HP24, Analysis!$C$7))+IF(HQ23&lt;0, HQ23*Analysis!$C$9,0)</f>
        <v>24000</v>
      </c>
      <c r="HR24" s="38"/>
      <c r="HS24" s="1">
        <f t="shared" si="54"/>
        <v>17111.853151080872</v>
      </c>
      <c r="HT24" s="1">
        <f>IF($B24=Analysis!$C$159,0,IF(HP24 &gt;= 0,
    MAX(0, HQ23 + HP24 - Analysis!$C$7),
    0))</f>
        <v>11342.026441573427</v>
      </c>
      <c r="HU24" s="1">
        <f>IF($B24=Analysis!$C$159,0,MAX(0, HU23 + HT24 - IF(HP24 &lt; 0, MIN(ABS(HP24), HU23 + HT24), 0)))</f>
        <v>321164.96088480693</v>
      </c>
      <c r="HV24" s="1">
        <f>IF($B24=Analysis!$C$159,0,IF(HP24 &lt; 0,
    IF(HP24 + HQ23 &lt; 0,
        MAX(0, HV23 - (ABS(HP24 + HQ23) * (1+$V23))),
        HV23 + HS24),
    HV23 + HT24 + HS24))</f>
        <v>448716.09581003501</v>
      </c>
      <c r="HW24" s="1">
        <f t="shared" si="58"/>
        <v>415074.48397350614</v>
      </c>
      <c r="HX24" s="36"/>
    </row>
    <row r="25" spans="1:232" x14ac:dyDescent="0.35">
      <c r="A25">
        <f t="shared" si="0"/>
        <v>58</v>
      </c>
      <c r="B25">
        <v>2048</v>
      </c>
      <c r="C25" s="1">
        <f>IF($B25&lt;Analysis!C$66,0,$AN25)+$AT25+$AW25+$BC25+$CF25+$CA25</f>
        <v>116895.06002186215</v>
      </c>
      <c r="D25" s="1">
        <f>IF($B25&lt;Analysis!C$66, 0, BV25)+AT25+AW25+BC25+CG25+CA25</f>
        <v>-104134.37801361014</v>
      </c>
      <c r="E25" s="1">
        <f t="shared" si="1"/>
        <v>1328575.3021546253</v>
      </c>
      <c r="F25" s="1">
        <f t="shared" si="9"/>
        <v>1173502.8262425456</v>
      </c>
      <c r="G25" s="1">
        <f>IF(AND($B25&gt;=Analysis!$C$100, $B25&lt;Analysis!$C$101),$CK25,0)+IF($B25&gt;=Analysis!$C$130,EB25,0)+CQ25+CT25+CZ25+EH25+EK25+EQ25+$FO25+$FT25</f>
        <v>1374250.0312087873</v>
      </c>
      <c r="H25" s="1">
        <f t="shared" si="10"/>
        <v>1206951.0257388859</v>
      </c>
      <c r="I25" s="1">
        <f>IF($B25&lt;Analysis!$C$159,0,$FW25)+$GC25+$GF25+$GL25+$HQ25+$HV25</f>
        <v>1374250.0312087873</v>
      </c>
      <c r="J25" s="1">
        <f t="shared" si="2"/>
        <v>1206951.0257388859</v>
      </c>
      <c r="K25" s="36"/>
      <c r="L25" s="1">
        <f t="shared" si="11"/>
        <v>131467.92324122589</v>
      </c>
      <c r="M25" s="1">
        <f>IF($B25=Analysis!$C$47, M24 * (1 - Analysis!$C$48),
    IF($B25=Analysis!$C$52, M24 * (1 - Analysis!$C$53),
    IF($B25=Analysis!$C$58, M24 * (1 - Analysis!$C$60),
    L25)))</f>
        <v>131467.92324122589</v>
      </c>
      <c r="N25" s="1">
        <f>Analysis!$C$3*12*(1+O25)+P25</f>
        <v>-61200</v>
      </c>
      <c r="O25" s="64">
        <f>IF(OR($B25=Analysis!$C$47,$B25=Analysis!$C$52,$B25=Analysis!$C$58),-Analysis!$C$49,0)</f>
        <v>0</v>
      </c>
      <c r="P25" s="1">
        <f>IF($B25&lt;Analysis!$C$47,0,IF($B25-Analysis!$C$47&lt;=3,Analysis!$C$40+Analysis!$C$44,IF($B25-Analysis!$C$47&lt;=10,Analysis!$C$41+Analysis!$C$44,IF($B25-Analysis!$C$47&lt;=18,Analysis!$C$42+Analysis!$C$44,IF($B25-Analysis!$C$47&lt;=25,Analysis!$C$43+Analysis!$C$44,0)))) + IF(AND($B25&gt;=Analysis!$C$52, $B25-Analysis!$C$52&lt;=3),Analysis!$C$40+Analysis!$C$44,IF(AND($B25&gt;=Analysis!$C$52, $B25-Analysis!$C$52&lt;=10),Analysis!$C$41+Analysis!$C$44,IF(AND($B25&gt;=Analysis!$C$52, $B25-Analysis!$C$52&lt;=18),Analysis!$C$42+Analysis!$C$44,IF(AND($B25&gt;=Analysis!$C$52, $B25-Analysis!$C$52&lt;=25),Analysis!$C$43+Analysis!$C$44,0)))) + Analysis!$C$57*IF(AND($B25&gt;=Analysis!$C$58, $B25-Analysis!$C$58&lt;=3),Analysis!$C$40+Analysis!$C$44,IF(AND($B25&gt;=Analysis!$C$58, $B25-Analysis!$C$58&lt;=10),Analysis!$C$41+Analysis!$C$44,IF(AND($B25&gt;=Analysis!$C$58, $B25-Analysis!$C$58&lt;=18),Analysis!$C$42+Analysis!$C$44,IF(AND($B25&gt;=Analysis!$C$58, $B25-Analysis!$C$58&lt;=25),Analysis!$C$43+Analysis!$C$44,0)))))</f>
        <v>-13200</v>
      </c>
      <c r="Q25" s="1">
        <f t="shared" si="43"/>
        <v>0</v>
      </c>
      <c r="R25" s="1">
        <f>IF(AND(AND(B25=Analysis!C$35,Analysis!C$34&lt;&gt;0),AND(B25=Analysis!C$37,Analysis!C$36&lt;&gt;0)),Analysis!C$34+Analysis!C$36,IF(AND(B25=Analysis!C$35,Analysis!C$34&lt;&gt;0),Analysis!C$34,IF(AND(B25=Analysis!C$37,Analysis!C$36&lt;&gt;0),Analysis!C$36,0)))</f>
        <v>0</v>
      </c>
      <c r="S25" s="64">
        <f t="shared" si="12"/>
        <v>0.02</v>
      </c>
      <c r="T25" s="64">
        <f>IF($B25&lt;Analysis!$C$13, ((1+IF($B25-$B$2&lt;10,Analysis!$C$11,IF($B25-$B$2&lt;20,(Analysis!$C$11+Analysis!$C$12)/2,Analysis!$C$12)))/(1+$S25)-1),IF($B25=Analysis!$C$13,-Analysis!$C$14,-$S25))</f>
        <v>0</v>
      </c>
      <c r="U25" s="64">
        <f>IF($B25=$B$2,((1+Analysis!$C$16)/(1+$S25))-1,IF(B25&lt;Analysis!$C$13,U24-((Analysis!$C$16-Analysis!$C$17)/(Analysis!$C$13-$B$2)),((1+Analysis!$C$17)/(1+$S24))-1))</f>
        <v>3.9002801120448349E-2</v>
      </c>
      <c r="V25" s="64">
        <f t="shared" si="13"/>
        <v>0.26374999999999998</v>
      </c>
      <c r="W25" s="36"/>
      <c r="X25" s="1">
        <f t="shared" si="14"/>
        <v>-30853.547464039486</v>
      </c>
      <c r="Y25" s="64">
        <f t="shared" si="15"/>
        <v>2.941176470588247E-2</v>
      </c>
      <c r="Z25" s="1">
        <f t="shared" si="16"/>
        <v>-3960</v>
      </c>
      <c r="AA25" s="64">
        <f t="shared" si="17"/>
        <v>0</v>
      </c>
      <c r="AB25" s="40"/>
      <c r="AC25" s="1">
        <f t="shared" si="3"/>
        <v>-109213.54746403948</v>
      </c>
      <c r="AD25" s="1">
        <f t="shared" si="4"/>
        <v>131467.92324122589</v>
      </c>
      <c r="AE25" s="1">
        <f t="shared" si="18"/>
        <v>22254.375777186404</v>
      </c>
      <c r="AF25" s="1">
        <f>IF(AE25 &lt; 0,
    IF(AF24 + AE25 &gt; 0,
        AF24 + AE25, IF(AK24-ABS(AF24 + AE25)*(1+$V25) &gt;= AF24 + AE25,
        0, AF24 + AE25)),
    MIN(AF24 + AE25, Analysis!$C$7))+IF(AF24&lt;0, AF24*Analysis!$C$9,0)</f>
        <v>24000</v>
      </c>
      <c r="AG25" s="40"/>
      <c r="AH25" s="1">
        <f t="shared" si="19"/>
        <v>48136.644107363063</v>
      </c>
      <c r="AI25" s="1">
        <f>IF(AE25 &gt;= 0,
    MAX(0, AF24 + AE25 - Analysis!$C$7),
    0)</f>
        <v>22254.375777186404</v>
      </c>
      <c r="AJ25" s="1">
        <f t="shared" si="44"/>
        <v>716622.78684816207</v>
      </c>
      <c r="AK25" s="1">
        <f t="shared" si="20"/>
        <v>1304575.3021546253</v>
      </c>
      <c r="AL25" s="1">
        <f t="shared" si="5"/>
        <v>1149502.8262425456</v>
      </c>
      <c r="AM25" s="36"/>
      <c r="AN25" s="1">
        <f t="shared" si="45"/>
        <v>1733564.2198860566</v>
      </c>
      <c r="AO25" s="64">
        <f t="shared" si="21"/>
        <v>2.941176470588247E-2</v>
      </c>
      <c r="AP25" s="1">
        <f>IF($B25=Analysis!$C$66,(AN25*(1+Analysis!$C$23+Analysis!$C$24+Analysis!$C$25))-IF($B25=$B$2,(Analysis!$C$6-Analysis!$C$7+Analysis!$C$68), ($CG24-Analysis!$C$7+AY25)),0)</f>
        <v>0</v>
      </c>
      <c r="AQ25" s="65">
        <f>IF($B25=Analysis!$C$66,NPER(AU25,-AX25,-AP25),0)</f>
        <v>0</v>
      </c>
      <c r="AR25" s="64">
        <f>IF($B25=Analysis!$C$66,Analysis!$C$73,0)</f>
        <v>0</v>
      </c>
      <c r="AS25" s="1">
        <f>IF($B25&lt;Analysis!$C$66,0,IF($B25=Analysis!$C$66,-AP25*AR25,IF(AX25&gt;=0,0,AX25-AV25)))</f>
        <v>-42295.86788074371</v>
      </c>
      <c r="AT25" s="1">
        <f>IF($B25&lt;Analysis!$C$66,0,IF($B25=Analysis!$C$66,-AP25-AS25,MIN(0,AT24-AS25)))</f>
        <v>-227206.64885591308</v>
      </c>
      <c r="AU25" s="64">
        <f>IF($B25&lt;Analysis!$C$66,0,IF($B25=Analysis!$C$66,Analysis!$C$72,IF(($B25-Analysis!$C$66)&lt;LOOKUP(Analysis!$C$66,$B:$B,AQ:AQ),AU24,0)))</f>
        <v>3.6999999999999998E-2</v>
      </c>
      <c r="AV25" s="1">
        <f>IF($B25&lt;Analysis!$C$66,0,IF($B25=Analysis!$C$66,-AU25*AP25,AU24*AT24))</f>
        <v>-9971.5931192563003</v>
      </c>
      <c r="AW25" s="1">
        <f>IF($B25&lt;Analysis!$C$66,0,IF($B25=Analysis!$C$66,PMT(AU25,AQ25,AP25)*AQ25-AX25-AT25,IF(($B25-Analysis!$C$66+1)&lt;LOOKUP(Analysis!$C$66,$B:$B,AQ:AQ),IF(AW24-AV25&lt;0, AW24-AV25,0),0)))</f>
        <v>-25057.411934395466</v>
      </c>
      <c r="AX25" s="1">
        <f>IF($B25&lt;Analysis!$C$66,0,IF($B25=Analysis!$C$66,AS25+AV25,IF(AT24&lt;0,IF(AT24&gt;LOOKUP(Analysis!$C$66,$B:$B,AX:AX), AT24*(1+AU24),AX24),0)))</f>
        <v>-52267.46100000001</v>
      </c>
      <c r="AY25" s="1">
        <f>IF($B25=Analysis!$C$66,Analysis!$C$68,0)</f>
        <v>0</v>
      </c>
      <c r="AZ25" s="1">
        <f>IF($B25=Analysis!$C$66,PMT(AU25,BA25,AY25)*BA25,0)</f>
        <v>0</v>
      </c>
      <c r="BA25" s="7">
        <f>IF($B25=Analysis!$C$66,Analysis!$C$70,0)</f>
        <v>0</v>
      </c>
      <c r="BB25" s="1">
        <f>IF($B25&lt;Analysis!$C$66,0,IF($B25=Analysis!$C$66,AZ25/BA25,IF(($B25-Analysis!$C$66)&lt;LOOKUP(Analysis!$C$66,$B:$B,BA:BA),BB24,0)))</f>
        <v>0</v>
      </c>
      <c r="BC25" s="1">
        <f>IF($B25&lt;Analysis!$C$66,0,IF($B25=Analysis!$C$66,BA25*BB25-BB25,IF(($B25-Analysis!$C$66)&lt;Analysis!$C$70,BC24-BB25,0)))</f>
        <v>0</v>
      </c>
      <c r="BD25" s="42"/>
      <c r="BE25" s="1">
        <f>IF($B25&lt;Analysis!$C$66,0,-BF25*AN25)</f>
        <v>-5200.6926596581698</v>
      </c>
      <c r="BF25" s="64">
        <f>IF($B25&lt;Analysis!$C$66,0,Analysis!$C$78)</f>
        <v>3.0000000000000001E-3</v>
      </c>
      <c r="BG25" s="1">
        <f>IF($B25&lt;Analysis!$C$66,0,-BH25*AN25)</f>
        <v>-13001.731649145424</v>
      </c>
      <c r="BH25" s="64">
        <f>IF($B25&lt;Analysis!$C$66,0,Analysis!$C$79)</f>
        <v>7.4999999999999997E-3</v>
      </c>
      <c r="BI25" s="1">
        <f>IF($B25&lt;Analysis!$C$66,0,MIN(Analysis!$C$80*12,SUM(BJ25:BN25)))</f>
        <v>-3960</v>
      </c>
      <c r="BJ25" s="1">
        <f>IF($B25&lt;Analysis!$C$66,0,Analysis!$C$81*12)</f>
        <v>-900</v>
      </c>
      <c r="BK25" s="1">
        <f>IF($B25&lt;Analysis!$C$66,0,Analysis!$C$82*12)</f>
        <v>-1500</v>
      </c>
      <c r="BL25" s="1">
        <f>IF($B25&lt;Analysis!$C$66,0,Analysis!$C$83*12)</f>
        <v>-480</v>
      </c>
      <c r="BM25" s="1">
        <f>IF($B25&lt;Analysis!$C$66,0,Analysis!$C$84*12)</f>
        <v>-480</v>
      </c>
      <c r="BN25" s="1">
        <f>IF($B25&lt;Analysis!$C$66,0,Analysis!$C$85*12)</f>
        <v>-600</v>
      </c>
      <c r="BO25" s="1">
        <v>0</v>
      </c>
      <c r="BP25" s="1">
        <f>-BO25*Analysis!$C$28</f>
        <v>0</v>
      </c>
      <c r="BQ25" s="42"/>
      <c r="BR25" s="1">
        <f t="shared" si="22"/>
        <v>-221029.43803547221</v>
      </c>
      <c r="BS25" s="64">
        <f>IF($B25&lt;Analysis!C$66,0,Analysis!C$31)</f>
        <v>0.1275</v>
      </c>
      <c r="BT25" s="1">
        <f>IF($B25&lt;Analysis!$C$66,0,AN25+BR25)</f>
        <v>1512534.7818505843</v>
      </c>
      <c r="BU25" s="1">
        <f>IF($B25-Analysis!$C$66&gt;3,0,IF($AN25&gt;LOOKUP(Analysis!$C$66,$B:$B, AN:AN),$V25*(LOOKUP(Analysis!$C$66,$B:$B, AN:AN)-AN25),0))</f>
        <v>0</v>
      </c>
      <c r="BV25" s="1">
        <f t="shared" si="23"/>
        <v>1512534.7818505843</v>
      </c>
      <c r="BW25" s="42"/>
      <c r="BX25" s="1">
        <f>IF($B25&lt;Analysis!$C$66,$P25+$N25+$X25+$Z25,$P25+$N25+AS25+AV25+BB25+BE25+BG25+MAX(BI25,SUM(BJ25:BN25))+BP25)</f>
        <v>-148829.88530880361</v>
      </c>
      <c r="BY25" s="1">
        <f t="shared" si="24"/>
        <v>131467.92324122589</v>
      </c>
      <c r="BZ25" s="1">
        <f t="shared" si="46"/>
        <v>-17361.962067577726</v>
      </c>
      <c r="CA25" s="1">
        <f>IF(BZ25 &lt; 0,
    IF(CA24 + BZ25 &gt; 0,
        CA24 + BZ25, IF(CF24-ABS(CA24 + BZ25)*(1+$V25) &gt;= CA24 + BZ25,
        0, CA24 + BZ25)),
    MIN(CA24 + BZ25, Analysis!$C$7))+IF(CA24&lt;0, CA24*Analysis!$C$9,0)</f>
        <v>-1364405.0990738859</v>
      </c>
      <c r="CB25" s="42"/>
      <c r="CC25" s="1">
        <f t="shared" si="47"/>
        <v>0</v>
      </c>
      <c r="CD25" s="1">
        <f>IF(BZ25 &gt;= 0,
    MAX(0, CA24 + BZ25 - Analysis!$C$7),
    0)</f>
        <v>0</v>
      </c>
      <c r="CE25" s="1">
        <f>IF($B25=Analysis!$C$66,0,MAX(0, CE24 + CD25 - IF(BZ25 &lt; 0, MIN(ABS(BZ25), CE24 + CD25), 0)))</f>
        <v>0</v>
      </c>
      <c r="CF25" s="1">
        <f>IF($B25=Analysis!$C$66,0,IF(BZ25 &lt; 0,
    IF(BZ25 + CA24 &lt; 0,
        MAX(0, CF24 - (ABS(BZ25 + CA24) * (1+$V24))),
        CF24 + CC25),
    CF24 + CD25 + CC25))</f>
        <v>0</v>
      </c>
      <c r="CG25" s="1">
        <f t="shared" si="25"/>
        <v>0</v>
      </c>
      <c r="CH25" s="36"/>
      <c r="CI25" s="1">
        <f>IF(OR($B25&lt;Analysis!$C$100, $B25&gt;=Analysis!$C$130),0,X25)</f>
        <v>-30853.547464039486</v>
      </c>
      <c r="CJ25" s="1">
        <f>IF(OR($B25&lt;Analysis!$C$100, $B25&gt;=Analysis!$C$130),0,Z25)</f>
        <v>-3960</v>
      </c>
      <c r="CK25" s="1">
        <f t="shared" si="26"/>
        <v>1012089.8524188709</v>
      </c>
      <c r="CL25" s="64">
        <f t="shared" si="48"/>
        <v>2.941176470588247E-2</v>
      </c>
      <c r="CM25" s="1">
        <f>IF($B25=Analysis!$C$100,(CK25*(1+Analysis!$C$23+Analysis!$C$24+Analysis!$C$25))-IF($B25=$B$2,(Analysis!$C$6-Analysis!$C$7+Analysis!$C$105), (FU24-Analysis!$C$7+CV25)),0)</f>
        <v>0</v>
      </c>
      <c r="CN25" s="65">
        <f>IF($B25=Analysis!$C$100,NPER(CR25,-CU25,-CM25),0)</f>
        <v>0</v>
      </c>
      <c r="CO25" s="64">
        <f>IF($B25=Analysis!$C$100,Analysis!$C$103,0)</f>
        <v>0</v>
      </c>
      <c r="CP25" s="1">
        <f>IF(OR($B25&lt;Analysis!$C$100, $B25&gt;=Analysis!$C$101),0,IF($B25=Analysis!$C$100,-CM25*CO25,IF(CU25&gt;=0,0,CU25-CS25)))</f>
        <v>-23234.248046899356</v>
      </c>
      <c r="CQ25" s="1">
        <f>IF(OR($B25&lt;Analysis!$C$100, $B25&gt;=Analysis!$C$101),0,IF($B25=Analysis!$C$100,-CM25-CP25,MIN(0,CQ24-CP25)))</f>
        <v>-124810.67068555058</v>
      </c>
      <c r="CR25" s="64">
        <f>IF(OR($B25&lt;Analysis!$C$100, $B25&gt;=Analysis!$C$101),0,IF($B25=Analysis!$C$100,Analysis!$C$102,IF(($B25-Analysis!$C$100)&lt;LOOKUP(Analysis!$C$100,$B:$B,CN:CN),CR24,0)))</f>
        <v>3.6999999999999998E-2</v>
      </c>
      <c r="CS25" s="1">
        <f>IF(OR($B25&lt;Analysis!$C$100, $B25&gt;=Analysis!$C$101),0,IF($B25=Analysis!$C$100,-CR25*CM25,CR24*CQ24))</f>
        <v>-5477.6619931006471</v>
      </c>
      <c r="CT25" s="1">
        <f>IF(OR($B25&lt;Analysis!$C$100, $B25&gt;=Analysis!$C$101),0,IF($B25=Analysis!$C$100,PMT(CR25,CN25,CM25)*CN25-CU25-CQ25,IF(($B25-Analysis!$C$100+1)&lt;LOOKUP(Analysis!$C$100,$B:$B,CN:CN),IF(CT24-CS25&lt;0, CT24-CS25,0),0)))</f>
        <v>-13764.704531861327</v>
      </c>
      <c r="CU25" s="1">
        <f>IF(OR($B25&lt;Analysis!$C$100, $B25&gt;=Analysis!$C$101),0,IF($B25=Analysis!$C$100,CP25+CS25,IF(CQ24&lt;0,IF(CQ24&gt;LOOKUP(Analysis!$C$100,$B:$B,CU:CU), CQ24*(1+CR24),CU24),0)))</f>
        <v>-28711.910040000002</v>
      </c>
      <c r="CV25" s="1">
        <f>IF($B25=Analysis!$C$100,Analysis!$C$105,0)</f>
        <v>0</v>
      </c>
      <c r="CW25" s="1">
        <f>IF($B25=Analysis!$C$100,PMT(CR25,CX25,CV25)*CX25,0)</f>
        <v>0</v>
      </c>
      <c r="CX25" s="7">
        <f>IF($B25=Analysis!$C$100,Analysis!$C$107,0)</f>
        <v>0</v>
      </c>
      <c r="CY25" s="1">
        <f>IF(OR($B25&lt;Analysis!$C$100, $B25&gt;=Analysis!$C$101),0,IF($B25=Analysis!$C$100,CW25/CX25,IF(($B25-Analysis!$C$100)&lt;LOOKUP(Analysis!$C$100,$B:$B,CX:CX),CY24,0)))</f>
        <v>0</v>
      </c>
      <c r="CZ25" s="1">
        <f>IF(OR($B25&lt;Analysis!$C$100, $B25&gt;=Analysis!$C$101),0,IF($B25=Analysis!$C$100,CX25*CY25-CY25,IF(($B25-Analysis!$C$100)&lt;Analysis!$C$107,CZ24-CY25,0)))</f>
        <v>0</v>
      </c>
      <c r="DA25" s="53"/>
      <c r="DB25" s="1">
        <f>IF(OR($B25&lt;Analysis!$C$100, $B25&gt;=Analysis!$C$101),0,IF($B25=2025,(Analysis!$C$109*12),IF($B25=Analysis!$C$100,(Analysis!$C$109*12)*(1+DC25)^($B25-$B$2),DB24*(1+DC25))))</f>
        <v>26996.854031034556</v>
      </c>
      <c r="DC25" s="64">
        <f>IF(OR($B25&lt;Analysis!$C$100, $B25&gt;=Analysis!$C$101),0,((1+Analysis!$C$114)/(1+$S25))-1)</f>
        <v>2.941176470588247E-2</v>
      </c>
      <c r="DD25" s="1">
        <f t="shared" si="6"/>
        <v>33993.123588291171</v>
      </c>
      <c r="DE25" s="1">
        <f t="shared" si="27"/>
        <v>-3036.2695572566126</v>
      </c>
      <c r="DF25" s="64">
        <f>IF(OR($B25&lt;Analysis!$C$100, $B25&gt;=Analysis!$C$101),0,Analysis!$C$118)</f>
        <v>3.0000000000000001E-3</v>
      </c>
      <c r="DG25" s="1">
        <f t="shared" si="28"/>
        <v>-7590.6738931415312</v>
      </c>
      <c r="DH25" s="64">
        <f>IF(OR($B25&lt;Analysis!$C$100, $B25&gt;=Analysis!$C$101),0,Analysis!$C$119)</f>
        <v>7.4999999999999997E-3</v>
      </c>
      <c r="DI25" s="1">
        <f>IF(OR($B25&lt;Analysis!$C$100, $B25&gt;=Analysis!$C$101),0,MIN(Analysis!$C$120*12,SUM(DJ25:DN25)))</f>
        <v>-3960</v>
      </c>
      <c r="DJ25" s="1">
        <f>IF(OR($B25&lt;Analysis!$C$100, $B25&gt;=Analysis!$C$101),0,Analysis!$C$121*12)</f>
        <v>-900</v>
      </c>
      <c r="DK25" s="1">
        <f>IF(OR($B25&lt;Analysis!$C$100, $B25&gt;=Analysis!$C$101),0,Analysis!$C$122*12)</f>
        <v>-1500</v>
      </c>
      <c r="DL25" s="1">
        <f>IF(OR($B25&lt;Analysis!$C$100, $B25&gt;=Analysis!$C$101),0,Analysis!$C$123*12)</f>
        <v>-480</v>
      </c>
      <c r="DM25" s="1">
        <f>IF(OR($B25&lt;Analysis!$C$100, $B25&gt;=Analysis!$C$101),0,Analysis!$C$124*12)</f>
        <v>-480</v>
      </c>
      <c r="DN25" s="1">
        <f>IF(OR($B25&lt;Analysis!$C$100, $B25&gt;=Analysis!$C$101),0,Analysis!$C$125*12)</f>
        <v>-600</v>
      </c>
      <c r="DO25" s="64">
        <f>IF(OR($B25&lt;Analysis!$C$100, $B25&gt;=Analysis!$C$101),0,Analysis!$C$113)</f>
        <v>0.02</v>
      </c>
      <c r="DP25" s="1">
        <f>-DO25*LOOKUP(Analysis!$C$100,$B:$B,CK:CK)</f>
        <v>-10392</v>
      </c>
      <c r="DQ25" s="1">
        <f>-Analysis!$C$117*DB25</f>
        <v>-2024.7640523275916</v>
      </c>
      <c r="DR25" s="1">
        <f t="shared" si="29"/>
        <v>-27003.707502725734</v>
      </c>
      <c r="DS25" s="1">
        <f>MIN(0,-(DB25+DR25)*Analysis!$C$28)-CS25*Analysis!$C$28</f>
        <v>2427.1520291428965</v>
      </c>
      <c r="DT25" s="1">
        <f>-Analysis!$C$116*DD25/12</f>
        <v>-2832.7602990242644</v>
      </c>
      <c r="DU25" s="53"/>
      <c r="DV25" s="1">
        <f t="shared" si="30"/>
        <v>-129041.45618340604</v>
      </c>
      <c r="DW25" s="64">
        <f>IF(OR($B25&lt;Analysis!$C$100, $B25&gt;=Analysis!$C$101),0,IF($B25=Analysis!$C$100,Analysis!$C$31,DW24))</f>
        <v>0.1275</v>
      </c>
      <c r="DX25" s="1">
        <f>IF(OR($B25&lt;Analysis!$C$100, $B25&gt;=Analysis!$C$101),0,CK25+DV25)</f>
        <v>883048.39623546484</v>
      </c>
      <c r="DY25" s="1">
        <f>IF(OR($B25&lt;Analysis!$C$100, $B25&gt;=Analysis!$C$101),0,IF($B25-Analysis!$C$100&gt;3,0,IF(CK25&gt;LOOKUP(Analysis!$C$100,$B:$B, CK:CK),$V25*(LOOKUP(Analysis!$C$100,$B:$B, CK:CK)-CK25),0)))</f>
        <v>0</v>
      </c>
      <c r="DZ25" s="1">
        <f t="shared" si="49"/>
        <v>883048.39623546484</v>
      </c>
      <c r="EA25" s="53"/>
      <c r="EB25" s="1">
        <f t="shared" si="31"/>
        <v>1343999.2266532355</v>
      </c>
      <c r="EC25" s="64">
        <f t="shared" si="50"/>
        <v>2.941176470588247E-2</v>
      </c>
      <c r="ED25" s="1">
        <f>MAX(0,IF($B25=Analysis!$C$130,(EB25*(1+Analysis!$C$23+Analysis!$C$24+Analysis!$C$25))-(IF($B25=$B$2,(Analysis!$C$6-Analysis!$C$7+Analysis!$C$132), (FU24-Analysis!$C$7+EM25)) + IF($B25=Analysis!$C$101,DZ24+CQ24+CT24+CZ24,0)),0))</f>
        <v>0</v>
      </c>
      <c r="EE25" s="65">
        <f>IF($B25=Analysis!$C$130,IF(ED25&gt;0,NPER(EI25,-EL25,-ED25),0),0)</f>
        <v>0</v>
      </c>
      <c r="EF25" s="64">
        <f>IF($B25=Analysis!$C$130,Analysis!$C$137,0)</f>
        <v>0</v>
      </c>
      <c r="EG25" s="1">
        <f>IF($B25&lt;Analysis!$C$130,0,IF($B25=Analysis!$C$130,-ED25*EF25,IF(EL25&gt;=0,0,EL25-EJ25)))</f>
        <v>0</v>
      </c>
      <c r="EH25" s="1">
        <f>IF($B25&lt;Analysis!$C$130,0,IF($B25=Analysis!$C$130,-ED25-EG25,MIN(0,EH24-EG25)))</f>
        <v>0</v>
      </c>
      <c r="EI25" s="64">
        <f>IF($B25&lt;Analysis!$C$130,0,IF($B25=Analysis!$C$130,Analysis!$C$136,IF(($B25-Analysis!$C$130)&lt;LOOKUP(Analysis!$C$130,$B:$B,EE:EE),EI24,0)))</f>
        <v>0</v>
      </c>
      <c r="EJ25" s="1">
        <f>IF($B25&lt;Analysis!$C$130,0,IF($B25=Analysis!$C$130,-EI25*ED25,EI24*EH24))</f>
        <v>0</v>
      </c>
      <c r="EK25" s="1">
        <f>IF(OR($B25&lt;Analysis!$C$130, ED25=0),0,IF($B25=Analysis!$C$130,PMT(EI25,EE25,ED25)*EE25-EL25-EH25,IF(($B25-Analysis!$C$130+1)&lt;LOOKUP(Analysis!$C$130,$B:$B,EE:EE),IF(EK24-EJ25&lt;0, EK24-EJ25,0),0)))</f>
        <v>0</v>
      </c>
      <c r="EL25" s="1">
        <f>IF($B25&lt;Analysis!$C$130,0,IF($B25=Analysis!$C$130,EG25+EJ25,IF(EH24&lt;0,IF(EH24&gt;LOOKUP(Analysis!$C$130,$B:$B,EL:EL), EH24*(1+EI24),EL24),0)))</f>
        <v>0</v>
      </c>
      <c r="EM25" s="1">
        <f>IF($B25=Analysis!$C$130,Analysis!$C$132,0)</f>
        <v>0</v>
      </c>
      <c r="EN25" s="1">
        <f>IF($B25=Analysis!$C$130,PMT(EI25,EO25,EM25)*EO25,0)</f>
        <v>0</v>
      </c>
      <c r="EO25" s="7">
        <f>IF($B25=Analysis!$C$130,Analysis!$C$134,0)</f>
        <v>0</v>
      </c>
      <c r="EP25" s="1">
        <f>IF($B25&lt;Analysis!$C$130,0,IF($B25=Analysis!$C$130,EN25/EO25,IF(($B25-Analysis!$C$130)&lt;LOOKUP(Analysis!$C$130,$B:$B,EO:EO),EP24,0)))</f>
        <v>0</v>
      </c>
      <c r="EQ25" s="1">
        <f>IF($B25&lt;Analysis!$C$130,0,IF($B25=Analysis!$C$130,EO25*EP25-EP25,IF(($B25-Analysis!$C$130)&lt;Analysis!$C$134,EQ24-EP25,0)))</f>
        <v>0</v>
      </c>
      <c r="ER25" s="53"/>
      <c r="ES25" s="1">
        <f>IF($B25&lt;Analysis!$C$130,0,-ET25*EB25)</f>
        <v>0</v>
      </c>
      <c r="ET25" s="64">
        <f>IF($B25&lt;Analysis!$C$130,0,Analysis!$C$142)</f>
        <v>0</v>
      </c>
      <c r="EU25" s="1">
        <f>IF($B25&lt;Analysis!$C$130,0,-EV25*EB25)</f>
        <v>0</v>
      </c>
      <c r="EV25" s="64">
        <f>IF($B25&lt;Analysis!$C$130,0,Analysis!$C$143)</f>
        <v>0</v>
      </c>
      <c r="EW25" s="1">
        <f>IF($B25&lt;Analysis!$C$130,0,MIN(Analysis!$C$144*12,SUM(EX25:FB25)))</f>
        <v>0</v>
      </c>
      <c r="EX25" s="1">
        <f>IF($B25&lt;Analysis!$C$130,0,Analysis!$C$145*12)</f>
        <v>0</v>
      </c>
      <c r="EY25" s="1">
        <f>IF($B25&lt;Analysis!$C$130,0,Analysis!$C$146*12)</f>
        <v>0</v>
      </c>
      <c r="EZ25" s="1">
        <f>IF($B25&lt;Analysis!$C$130,0,Analysis!$C$147*12)</f>
        <v>0</v>
      </c>
      <c r="FA25" s="1">
        <f>IF($B25&lt;Analysis!$C$130,0,Analysis!$C$148*12)</f>
        <v>0</v>
      </c>
      <c r="FB25" s="1">
        <f>IF($B25&lt;Analysis!$C$130,0,Analysis!$C$149*12)</f>
        <v>0</v>
      </c>
      <c r="FC25" s="1">
        <v>0</v>
      </c>
      <c r="FD25" s="1">
        <f>-FC25*Analysis!$C$28</f>
        <v>0</v>
      </c>
      <c r="FE25" s="53"/>
      <c r="FF25" s="1">
        <f t="shared" si="32"/>
        <v>0</v>
      </c>
      <c r="FG25" s="64">
        <f>IF($B25&lt;Analysis!$C$130,0,Analysis!$C$31)</f>
        <v>0</v>
      </c>
      <c r="FH25" s="1">
        <f>IF($B25&lt;Analysis!$C$130,0,EB25+FF25)</f>
        <v>0</v>
      </c>
      <c r="FI25" s="1">
        <f>IF($B25-Analysis!$C$130&gt;3,0,IF(EB25&gt;LOOKUP(Analysis!$C$130,$B:$B, EB:EB),$V25*(LOOKUP(Analysis!$C$130,$B:$B, EB:EB)-EB25),0))</f>
        <v>0</v>
      </c>
      <c r="FJ25" s="1">
        <f t="shared" si="33"/>
        <v>0</v>
      </c>
      <c r="FK25" s="53"/>
      <c r="FL25" s="1">
        <f>$P25+$N25+IF($B25&lt;Analysis!$C$130,$X25+$Z25,0)+CP25+CS25+CY25+DE25+DG25+MIN(DI25,SUM(DJ25:DN25))+DQ25+DS25+DT25+EG25+EJ25+EP25+ES25+EU25+MIN(EW25,SUM(EX25:FB25))+FD25</f>
        <v>-154942.77327664659</v>
      </c>
      <c r="FM25" s="1">
        <f>$M25+$R25+DD25+IF(AND($B25&lt;&gt;Analysis!$C$130,$B25=Analysis!$C$101),DZ24+CQ24+CT24+CZ24,0)</f>
        <v>165461.04682951706</v>
      </c>
      <c r="FN25" s="1">
        <f t="shared" si="34"/>
        <v>10518.273552870465</v>
      </c>
      <c r="FO25" s="1">
        <f>IF(FN25 &lt; 0,
    IF(FO24 + FN25 &gt; 0,
        FO24 + FN25, IF(FT24-ABS(FO24 + FN25)*(1+$V25) &gt;= FO24 + FN25,
        0, FO24 + FN25)),
    MIN(FO24 + FN25, Analysis!$C$7))+IF(FO24&lt;0, FO24*Analysis!$C$9,0)</f>
        <v>24000</v>
      </c>
      <c r="FP25" s="53"/>
      <c r="FQ25" s="1">
        <f t="shared" si="51"/>
        <v>17501.184644422843</v>
      </c>
      <c r="FR25" s="1">
        <f>IF(OR($B25=Analysis!$C$100, $B25=Analysis!$C$130),0,IF(FN25 &gt;= 0,
    MAX(0, FO24 + FN25 - Analysis!$C$7),
    0))</f>
        <v>10518.273552870465</v>
      </c>
      <c r="FS25" s="1">
        <f>IF(OR($B25=Analysis!$C$100, $B25=Analysis!$C$130),0,MAX(0, FS24 + FR25 - IF(FN25 &lt; 0, MIN(ABS(FN25), FS24 + FR25), 0)))</f>
        <v>331683.23443767743</v>
      </c>
      <c r="FT25" s="1">
        <f>IF(OR($B25=Analysis!$C$100, $B25=Analysis!$C$130),0,IF(FN25 &lt; 0,
    IF(FN25 + FO24 &lt; 0,
        MAX(0, FT24 - (ABS(FN25 + FO24) * (1+$V24))),
        FT24 + FQ25),
    FT24 + FR25 + FQ25))</f>
        <v>476735.55400732835</v>
      </c>
      <c r="FU25" s="1">
        <f t="shared" si="57"/>
        <v>438478.00472083292</v>
      </c>
      <c r="FV25" s="36"/>
      <c r="FW25" s="1">
        <f t="shared" si="52"/>
        <v>1012089.8524188709</v>
      </c>
      <c r="FX25" s="64">
        <f t="shared" si="53"/>
        <v>2.941176470588247E-2</v>
      </c>
      <c r="FY25" s="1">
        <f>IF($B25=Analysis!$C$159,(FW25*(1+Analysis!$C$23+Analysis!$C$24+Analysis!$C$25))-IF($B25=$B$2,(Analysis!$C$6-Analysis!$C$7+Analysis!$C$165), (HW24-Analysis!$C$7+GH25)),0)</f>
        <v>0</v>
      </c>
      <c r="FZ25" s="65">
        <f>IF($B25=Analysis!$C$159,NPER(GD25,-GG25,-FY25),0)</f>
        <v>0</v>
      </c>
      <c r="GA25" s="64">
        <f>IF($B25=Analysis!$C$159,Analysis!$C$161,0)</f>
        <v>0</v>
      </c>
      <c r="GB25" s="1">
        <f>IF($B25&lt;Analysis!$C$159,0,IF($B25=Analysis!$C$159,-FY25*GA25,IF(GG25&gt;=0,0,GG25-GE25)))</f>
        <v>-23234.248046899356</v>
      </c>
      <c r="GC25" s="1">
        <f>IF($B25&lt;Analysis!$C$159,0,IF($B25=Analysis!$C$159,-FY25-GB25,MIN(0,GC24-GB25)))</f>
        <v>-124810.67068555058</v>
      </c>
      <c r="GD25" s="64">
        <f>IF($B25&lt;Analysis!$C$159,0,IF($B25=Analysis!$C$159,Analysis!$C$160,IF(($B25-Analysis!$C$159)&lt;LOOKUP(Analysis!$C$159,$B:$B,FZ:FZ),GD24,0)))</f>
        <v>3.6999999999999998E-2</v>
      </c>
      <c r="GE25" s="1">
        <f>IF($B25&lt;Analysis!$C$159,0,IF($B25=Analysis!$C$159,-GD25*FY25,GD24*GC24))</f>
        <v>-5477.6619931006471</v>
      </c>
      <c r="GF25" s="1">
        <f>IF($B25&lt;Analysis!$C$159,0,IF($B25=Analysis!$C$159,PMT(GD25,FZ25,FY25)*FZ25-GG25-GC25,IF(($B25-Analysis!$C$159+1)&lt;LOOKUP(Analysis!$C$159,$B:$B,FZ:FZ),IF(GF24-GE25&lt;0, GF24-GE25,0),0)))</f>
        <v>-13764.704531861327</v>
      </c>
      <c r="GG25" s="1">
        <f>IF($B25&lt;Analysis!$C$159,0,IF($B25=Analysis!$C$159,GB25+GE25,IF(GC24&lt;0,IF(GC24&gt;LOOKUP(Analysis!$C$159,$B:$B,GG:GG), GC24*(1+GD24),GG24),0)))</f>
        <v>-28711.910040000002</v>
      </c>
      <c r="GH25" s="1">
        <f>IF($B25=Analysis!$C$159,Analysis!$C$165,0)</f>
        <v>0</v>
      </c>
      <c r="GI25" s="1">
        <f>IF($B25=Analysis!$C$159,PMT(GD25,GJ25,GH25)*GJ25,0)</f>
        <v>0</v>
      </c>
      <c r="GJ25" s="7">
        <f>IF($B25=Analysis!$C$159,Analysis!$C$167,0)</f>
        <v>0</v>
      </c>
      <c r="GK25" s="1">
        <f>IF($B25&lt;Analysis!$C$159,0,IF($B25=Analysis!$C$159,GI25/GJ25,IF(($B25-Analysis!$C$159)&lt;LOOKUP(Analysis!$C$159,$B:$B,GJ:GJ),GK24,0)))</f>
        <v>0</v>
      </c>
      <c r="GL25" s="1">
        <f>IF($B25&lt;Analysis!$C$159,0,IF($B25=Analysis!$C$159,GJ25*GK25-GK25,IF(($B25-Analysis!$C$159)&lt;Analysis!$C$167,GL24-GK25,0)))</f>
        <v>0</v>
      </c>
      <c r="GM25" s="38"/>
      <c r="GN25" s="1">
        <f>IF($B25&lt;Analysis!$C$159,0,IF($B25=2025,(Analysis!$C$109*12),IF($B25=Analysis!$C$159,(Analysis!$C$109*12)*(1+GO25)^($B25-$B$2),GN24*(1+GO25))))</f>
        <v>26996.854031034556</v>
      </c>
      <c r="GO25" s="64">
        <f>IF($B25&lt;Analysis!$C$159,0,((1+Analysis!$C$174)/(1+$S25))-1)</f>
        <v>2.941176470588247E-2</v>
      </c>
      <c r="GP25" s="1">
        <f t="shared" si="7"/>
        <v>33993.123588291171</v>
      </c>
      <c r="GQ25" s="1">
        <f t="shared" si="36"/>
        <v>-3036.2695572566126</v>
      </c>
      <c r="GR25" s="64">
        <f>IF($B25&lt;Analysis!$C$159,0,Analysis!$C$178)</f>
        <v>3.0000000000000001E-3</v>
      </c>
      <c r="GS25" s="1">
        <f t="shared" si="37"/>
        <v>-7590.6738931415312</v>
      </c>
      <c r="GT25" s="64">
        <f>IF($B25&lt;Analysis!$C$159,0,Analysis!$C$179)</f>
        <v>7.4999999999999997E-3</v>
      </c>
      <c r="GU25" s="1">
        <f>IF($B25&lt;Analysis!$C$159,0,MIN(Analysis!$C$180*12,SUM(GV25:GZ25)))</f>
        <v>-3960</v>
      </c>
      <c r="GV25" s="1">
        <f>IF($B25&lt;Analysis!$C$159,0,Analysis!$C$181*12)</f>
        <v>-900</v>
      </c>
      <c r="GW25" s="1">
        <f>IF($B25&lt;Analysis!$C$159,0,Analysis!$C$182*12)</f>
        <v>-1500</v>
      </c>
      <c r="GX25" s="1">
        <f>IF($B25&lt;Analysis!$C$159,0,Analysis!$C$183*12)</f>
        <v>-480</v>
      </c>
      <c r="GY25" s="1">
        <f>IF($B25&lt;Analysis!$C$159,0,Analysis!$C$184*12)</f>
        <v>-480</v>
      </c>
      <c r="GZ25" s="1">
        <f>IF($B25&lt;Analysis!$C$159,0,Analysis!$C$185*12)</f>
        <v>-600</v>
      </c>
      <c r="HA25" s="64">
        <f>IF($B25&lt;Analysis!$C$159,0,Analysis!$C$173)</f>
        <v>0.02</v>
      </c>
      <c r="HB25" s="1">
        <f>-HA25*LOOKUP(Analysis!$C$159,$B:$B,FW:FW)</f>
        <v>-10392</v>
      </c>
      <c r="HC25" s="1">
        <f>-Analysis!$C$177*GN25</f>
        <v>-2024.7640523275916</v>
      </c>
      <c r="HD25" s="1">
        <f t="shared" si="38"/>
        <v>-27003.707502725734</v>
      </c>
      <c r="HE25" s="1">
        <f>MIN(0,-(GN25+HD25)*Analysis!$C$28)-GE25*Analysis!$C$28</f>
        <v>2427.1520291428965</v>
      </c>
      <c r="HF25" s="1">
        <f>-Analysis!$C$176*GP25/12</f>
        <v>-2832.7602990242644</v>
      </c>
      <c r="HG25" s="38"/>
      <c r="HH25" s="1">
        <f>IF($B25&lt;Analysis!$C$159,0,-$HI25*$FW25)</f>
        <v>-129041.45618340604</v>
      </c>
      <c r="HI25" s="64">
        <f>IF($B25&lt;Analysis!$C$159,0,IF($B25=Analysis!$C$159,Analysis!$C$31,HI24))</f>
        <v>0.1275</v>
      </c>
      <c r="HJ25" s="1">
        <f>IF($B25&lt;Analysis!$C$159,0,$FW25+HH25)</f>
        <v>883048.39623546484</v>
      </c>
      <c r="HK25" s="1">
        <f>IF($B25-Analysis!$C$159&gt;10,0,IF($FW25&gt;LOOKUP(Analysis!$C$159,$B:$B, FW:FW),$V25*(LOOKUP(Analysis!$C$159,$B:$B, FW:FW)-FW25),0))</f>
        <v>0</v>
      </c>
      <c r="HL25" s="1">
        <f t="shared" si="39"/>
        <v>883048.39623546484</v>
      </c>
      <c r="HM25" s="38"/>
      <c r="HN25" s="1">
        <f t="shared" si="40"/>
        <v>-154942.77327664659</v>
      </c>
      <c r="HO25" s="1">
        <f t="shared" si="8"/>
        <v>165461.04682951706</v>
      </c>
      <c r="HP25" s="1">
        <f t="shared" si="41"/>
        <v>10518.273552870465</v>
      </c>
      <c r="HQ25" s="1">
        <f>IF(HP25 &lt; 0,
    IF(HQ24 + HP25 &gt; 0,
        HQ24 + HP25, IF(HV24-ABS(HQ24 + HP25)*(1+$V25) &gt;= HQ24 + HP25,
        0, HQ24 + HP25)),
    MIN(HQ24 + HP25, Analysis!$C$7))+IF(HQ24&lt;0, HQ24*Analysis!$C$9,0)</f>
        <v>24000</v>
      </c>
      <c r="HR25" s="38"/>
      <c r="HS25" s="1">
        <f t="shared" si="54"/>
        <v>17501.184644422843</v>
      </c>
      <c r="HT25" s="1">
        <f>IF($B25=Analysis!$C$159,0,IF(HP25 &gt;= 0,
    MAX(0, HQ24 + HP25 - Analysis!$C$7),
    0))</f>
        <v>10518.273552870465</v>
      </c>
      <c r="HU25" s="1">
        <f>IF($B25=Analysis!$C$159,0,MAX(0, HU24 + HT25 - IF(HP25 &lt; 0, MIN(ABS(HP25), HU24 + HT25), 0)))</f>
        <v>331683.23443767743</v>
      </c>
      <c r="HV25" s="1">
        <f>IF($B25=Analysis!$C$159,0,IF(HP25 &lt; 0,
    IF(HP25 + HQ24 &lt; 0,
        MAX(0, HV24 - (ABS(HP25 + HQ24) * (1+$V24))),
        HV24 + HS25),
    HV24 + HT25 + HS25))</f>
        <v>476735.55400732835</v>
      </c>
      <c r="HW25" s="1">
        <f t="shared" si="58"/>
        <v>438478.00472083292</v>
      </c>
      <c r="HX25" s="36"/>
    </row>
    <row r="26" spans="1:232" x14ac:dyDescent="0.35">
      <c r="A26">
        <f t="shared" si="0"/>
        <v>59</v>
      </c>
      <c r="B26">
        <v>2049</v>
      </c>
      <c r="C26" s="1">
        <f>IF($B26&lt;Analysis!C$66,0,$AN26)+$AT26+$AW26+$BC26+$CF26+$CA26</f>
        <v>93099.968545351876</v>
      </c>
      <c r="D26" s="1">
        <f>IF($B26&lt;Analysis!C$66, 0, BV26)+AT26+AW26+BC26+CG26+CA26</f>
        <v>-134430.33531469316</v>
      </c>
      <c r="E26" s="1">
        <f t="shared" si="1"/>
        <v>1398567.8969063496</v>
      </c>
      <c r="F26" s="1">
        <f t="shared" si="9"/>
        <v>1230665.1238825696</v>
      </c>
      <c r="G26" s="1">
        <f>IF(AND($B26&gt;=Analysis!$C$100, $B26&lt;Analysis!$C$101),$CK26,0)+IF($B26&gt;=Analysis!$C$130,EB26,0)+CQ26+CT26+CZ26+EH26+EK26+EQ26+$FO26+$FT26</f>
        <v>1459989.6419315622</v>
      </c>
      <c r="H26" s="1">
        <f t="shared" si="10"/>
        <v>1284206.6787880817</v>
      </c>
      <c r="I26" s="1">
        <f>IF($B26&lt;Analysis!$C$159,0,$FW26)+$GC26+$GF26+$GL26+$HQ26+$HV26</f>
        <v>1459989.6419315622</v>
      </c>
      <c r="J26" s="1">
        <f t="shared" si="2"/>
        <v>1284206.6787880817</v>
      </c>
      <c r="K26" s="36"/>
      <c r="L26" s="1">
        <f t="shared" si="11"/>
        <v>131467.92324122589</v>
      </c>
      <c r="M26" s="1">
        <f>IF($B26=Analysis!$C$47, M25 * (1 - Analysis!$C$48),
    IF($B26=Analysis!$C$52, M25 * (1 - Analysis!$C$53),
    IF($B26=Analysis!$C$58, M25 * (1 - Analysis!$C$60),
    L26)))</f>
        <v>131467.92324122589</v>
      </c>
      <c r="N26" s="1">
        <f>Analysis!$C$3*12*(1+O26)+P26</f>
        <v>-61200</v>
      </c>
      <c r="O26" s="64">
        <f>IF(OR($B26=Analysis!$C$47,$B26=Analysis!$C$52,$B26=Analysis!$C$58),-Analysis!$C$49,0)</f>
        <v>0</v>
      </c>
      <c r="P26" s="1">
        <f>IF($B26&lt;Analysis!$C$47,0,IF($B26-Analysis!$C$47&lt;=3,Analysis!$C$40+Analysis!$C$44,IF($B26-Analysis!$C$47&lt;=10,Analysis!$C$41+Analysis!$C$44,IF($B26-Analysis!$C$47&lt;=18,Analysis!$C$42+Analysis!$C$44,IF($B26-Analysis!$C$47&lt;=25,Analysis!$C$43+Analysis!$C$44,0)))) + IF(AND($B26&gt;=Analysis!$C$52, $B26-Analysis!$C$52&lt;=3),Analysis!$C$40+Analysis!$C$44,IF(AND($B26&gt;=Analysis!$C$52, $B26-Analysis!$C$52&lt;=10),Analysis!$C$41+Analysis!$C$44,IF(AND($B26&gt;=Analysis!$C$52, $B26-Analysis!$C$52&lt;=18),Analysis!$C$42+Analysis!$C$44,IF(AND($B26&gt;=Analysis!$C$52, $B26-Analysis!$C$52&lt;=25),Analysis!$C$43+Analysis!$C$44,0)))) + Analysis!$C$57*IF(AND($B26&gt;=Analysis!$C$58, $B26-Analysis!$C$58&lt;=3),Analysis!$C$40+Analysis!$C$44,IF(AND($B26&gt;=Analysis!$C$58, $B26-Analysis!$C$58&lt;=10),Analysis!$C$41+Analysis!$C$44,IF(AND($B26&gt;=Analysis!$C$58, $B26-Analysis!$C$58&lt;=18),Analysis!$C$42+Analysis!$C$44,IF(AND($B26&gt;=Analysis!$C$58, $B26-Analysis!$C$58&lt;=25),Analysis!$C$43+Analysis!$C$44,0)))))</f>
        <v>-13200</v>
      </c>
      <c r="Q26" s="1">
        <f t="shared" si="43"/>
        <v>0</v>
      </c>
      <c r="R26" s="1">
        <f>IF(AND(AND(B26=Analysis!C$35,Analysis!C$34&lt;&gt;0),AND(B26=Analysis!C$37,Analysis!C$36&lt;&gt;0)),Analysis!C$34+Analysis!C$36,IF(AND(B26=Analysis!C$35,Analysis!C$34&lt;&gt;0),Analysis!C$34,IF(AND(B26=Analysis!C$37,Analysis!C$36&lt;&gt;0),Analysis!C$36,0)))</f>
        <v>0</v>
      </c>
      <c r="S26" s="64">
        <f t="shared" si="12"/>
        <v>0.02</v>
      </c>
      <c r="T26" s="64">
        <f>IF($B26&lt;Analysis!$C$13, ((1+IF($B26-$B$2&lt;10,Analysis!$C$11,IF($B26-$B$2&lt;20,(Analysis!$C$11+Analysis!$C$12)/2,Analysis!$C$12)))/(1+$S26)-1),IF($B26=Analysis!$C$13,-Analysis!$C$14,-$S26))</f>
        <v>0</v>
      </c>
      <c r="U26" s="64">
        <f>IF($B26=$B$2,((1+Analysis!$C$16)/(1+$S26))-1,IF(B26&lt;Analysis!$C$13,U25-((Analysis!$C$16-Analysis!$C$17)/(Analysis!$C$13-$B$2)),((1+Analysis!$C$17)/(1+$S25))-1))</f>
        <v>3.7288515406162633E-2</v>
      </c>
      <c r="V26" s="64">
        <f t="shared" si="13"/>
        <v>0.26374999999999998</v>
      </c>
      <c r="W26" s="36"/>
      <c r="X26" s="1">
        <f t="shared" si="14"/>
        <v>-31761.00474239359</v>
      </c>
      <c r="Y26" s="64">
        <f t="shared" si="15"/>
        <v>2.941176470588247E-2</v>
      </c>
      <c r="Z26" s="1">
        <f t="shared" si="16"/>
        <v>-3960</v>
      </c>
      <c r="AA26" s="64">
        <f t="shared" si="17"/>
        <v>0</v>
      </c>
      <c r="AB26" s="40"/>
      <c r="AC26" s="1">
        <f t="shared" si="3"/>
        <v>-110121.00474239359</v>
      </c>
      <c r="AD26" s="1">
        <f t="shared" si="4"/>
        <v>131467.92324122589</v>
      </c>
      <c r="AE26" s="1">
        <f t="shared" si="18"/>
        <v>21346.918498832296</v>
      </c>
      <c r="AF26" s="1">
        <f>IF(AE26 &lt; 0,
    IF(AF25 + AE26 &gt; 0,
        AF25 + AE26, IF(AK25-ABS(AF25 + AE26)*(1+$V26) &gt;= AF25 + AE26,
        0, AF25 + AE26)),
    MIN(AF25 + AE26, Analysis!$C$7))+IF(AF25&lt;0, AF25*Analysis!$C$9,0)</f>
        <v>24000</v>
      </c>
      <c r="AG26" s="40"/>
      <c r="AH26" s="1">
        <f t="shared" si="19"/>
        <v>48645.676252892015</v>
      </c>
      <c r="AI26" s="1">
        <f>IF(AE26 &gt;= 0,
    MAX(0, AF25 + AE26 - Analysis!$C$7),
    0)</f>
        <v>21346.918498832296</v>
      </c>
      <c r="AJ26" s="1">
        <f t="shared" si="44"/>
        <v>737969.70534699433</v>
      </c>
      <c r="AK26" s="1">
        <f t="shared" si="20"/>
        <v>1374567.8969063496</v>
      </c>
      <c r="AL26" s="1">
        <f t="shared" si="5"/>
        <v>1206665.1238825696</v>
      </c>
      <c r="AM26" s="36"/>
      <c r="AN26" s="1">
        <f t="shared" si="45"/>
        <v>1784551.4028238819</v>
      </c>
      <c r="AO26" s="64">
        <f t="shared" si="21"/>
        <v>2.941176470588247E-2</v>
      </c>
      <c r="AP26" s="1">
        <f>IF($B26=Analysis!$C$66,(AN26*(1+Analysis!$C$23+Analysis!$C$24+Analysis!$C$25))-IF($B26=$B$2,(Analysis!$C$6-Analysis!$C$7+Analysis!$C$68), ($CG25-Analysis!$C$7+AY26)),0)</f>
        <v>0</v>
      </c>
      <c r="AQ26" s="65">
        <f>IF($B26=Analysis!$C$66,NPER(AU26,-AX26,-AP26),0)</f>
        <v>0</v>
      </c>
      <c r="AR26" s="64">
        <f>IF($B26=Analysis!$C$66,Analysis!$C$73,0)</f>
        <v>0</v>
      </c>
      <c r="AS26" s="1">
        <f>IF($B26&lt;Analysis!$C$66,0,IF($B26=Analysis!$C$66,-AP26*AR26,IF(AX26&gt;=0,0,AX26-AV26)))</f>
        <v>-43860.81499233123</v>
      </c>
      <c r="AT26" s="1">
        <f>IF($B26&lt;Analysis!$C$66,0,IF($B26=Analysis!$C$66,-AP26-AS26,MIN(0,AT25-AS26)))</f>
        <v>-183345.83386358185</v>
      </c>
      <c r="AU26" s="64">
        <f>IF($B26&lt;Analysis!$C$66,0,IF($B26=Analysis!$C$66,Analysis!$C$72,IF(($B26-Analysis!$C$66)&lt;LOOKUP(Analysis!$C$66,$B:$B,AQ:AQ),AU25,0)))</f>
        <v>3.6999999999999998E-2</v>
      </c>
      <c r="AV26" s="1">
        <f>IF($B26&lt;Analysis!$C$66,0,IF($B26=Analysis!$C$66,-AU26*AP26,AU25*AT25))</f>
        <v>-8406.6460076687836</v>
      </c>
      <c r="AW26" s="1">
        <f>IF($B26&lt;Analysis!$C$66,0,IF($B26=Analysis!$C$66,PMT(AU26,AQ26,AP26)*AQ26-AX26-AT26,IF(($B26-Analysis!$C$66+1)&lt;LOOKUP(Analysis!$C$66,$B:$B,AQ:AQ),IF(AW25-AV26&lt;0, AW25-AV26,0),0)))</f>
        <v>-16650.765926726683</v>
      </c>
      <c r="AX26" s="1">
        <f>IF($B26&lt;Analysis!$C$66,0,IF($B26=Analysis!$C$66,AS26+AV26,IF(AT25&lt;0,IF(AT25&gt;LOOKUP(Analysis!$C$66,$B:$B,AX:AX), AT25*(1+AU25),AX25),0)))</f>
        <v>-52267.46100000001</v>
      </c>
      <c r="AY26" s="1">
        <f>IF($B26=Analysis!$C$66,Analysis!$C$68,0)</f>
        <v>0</v>
      </c>
      <c r="AZ26" s="1">
        <f>IF($B26=Analysis!$C$66,PMT(AU26,BA26,AY26)*BA26,0)</f>
        <v>0</v>
      </c>
      <c r="BA26" s="7">
        <f>IF($B26=Analysis!$C$66,Analysis!$C$70,0)</f>
        <v>0</v>
      </c>
      <c r="BB26" s="1">
        <f>IF($B26&lt;Analysis!$C$66,0,IF($B26=Analysis!$C$66,AZ26/BA26,IF(($B26-Analysis!$C$66)&lt;LOOKUP(Analysis!$C$66,$B:$B,BA:BA),BB25,0)))</f>
        <v>0</v>
      </c>
      <c r="BC26" s="1">
        <f>IF($B26&lt;Analysis!$C$66,0,IF($B26=Analysis!$C$66,BA26*BB26-BB26,IF(($B26-Analysis!$C$66)&lt;Analysis!$C$70,BC25-BB26,0)))</f>
        <v>0</v>
      </c>
      <c r="BD26" s="42"/>
      <c r="BE26" s="1">
        <f>IF($B26&lt;Analysis!$C$66,0,-BF26*AN26)</f>
        <v>-5353.6542084716457</v>
      </c>
      <c r="BF26" s="64">
        <f>IF($B26&lt;Analysis!$C$66,0,Analysis!$C$78)</f>
        <v>3.0000000000000001E-3</v>
      </c>
      <c r="BG26" s="1">
        <f>IF($B26&lt;Analysis!$C$66,0,-BH26*AN26)</f>
        <v>-13384.135521179114</v>
      </c>
      <c r="BH26" s="64">
        <f>IF($B26&lt;Analysis!$C$66,0,Analysis!$C$79)</f>
        <v>7.4999999999999997E-3</v>
      </c>
      <c r="BI26" s="1">
        <f>IF($B26&lt;Analysis!$C$66,0,MIN(Analysis!$C$80*12,SUM(BJ26:BN26)))</f>
        <v>-3960</v>
      </c>
      <c r="BJ26" s="1">
        <f>IF($B26&lt;Analysis!$C$66,0,Analysis!$C$81*12)</f>
        <v>-900</v>
      </c>
      <c r="BK26" s="1">
        <f>IF($B26&lt;Analysis!$C$66,0,Analysis!$C$82*12)</f>
        <v>-1500</v>
      </c>
      <c r="BL26" s="1">
        <f>IF($B26&lt;Analysis!$C$66,0,Analysis!$C$83*12)</f>
        <v>-480</v>
      </c>
      <c r="BM26" s="1">
        <f>IF($B26&lt;Analysis!$C$66,0,Analysis!$C$84*12)</f>
        <v>-480</v>
      </c>
      <c r="BN26" s="1">
        <f>IF($B26&lt;Analysis!$C$66,0,Analysis!$C$85*12)</f>
        <v>-600</v>
      </c>
      <c r="BO26" s="1">
        <v>0</v>
      </c>
      <c r="BP26" s="1">
        <f>-BO26*Analysis!$C$28</f>
        <v>0</v>
      </c>
      <c r="BQ26" s="42"/>
      <c r="BR26" s="1">
        <f t="shared" si="22"/>
        <v>-227530.30386004495</v>
      </c>
      <c r="BS26" s="64">
        <f>IF($B26&lt;Analysis!C$66,0,Analysis!C$31)</f>
        <v>0.1275</v>
      </c>
      <c r="BT26" s="1">
        <f>IF($B26&lt;Analysis!$C$66,0,AN26+BR26)</f>
        <v>1557021.0989638369</v>
      </c>
      <c r="BU26" s="1">
        <f>IF($B26-Analysis!$C$66&gt;3,0,IF($AN26&gt;LOOKUP(Analysis!$C$66,$B:$B, AN:AN),$V26*(LOOKUP(Analysis!$C$66,$B:$B, AN:AN)-AN26),0))</f>
        <v>0</v>
      </c>
      <c r="BV26" s="1">
        <f t="shared" si="23"/>
        <v>1557021.0989638369</v>
      </c>
      <c r="BW26" s="42"/>
      <c r="BX26" s="1">
        <f>IF($B26&lt;Analysis!$C$66,$P26+$N26+$X26+$Z26,$P26+$N26+AS26+AV26+BB26+BE26+BG26+MAX(BI26,SUM(BJ26:BN26))+BP26)</f>
        <v>-149365.25072965078</v>
      </c>
      <c r="BY26" s="1">
        <f t="shared" si="24"/>
        <v>131467.92324122589</v>
      </c>
      <c r="BZ26" s="1">
        <f t="shared" si="46"/>
        <v>-17897.327488424897</v>
      </c>
      <c r="CA26" s="1">
        <f>IF(BZ26 &lt; 0,
    IF(CA25 + BZ26 &gt; 0,
        CA25 + BZ26, IF(CF25-ABS(CA25 + BZ26)*(1+$V26) &gt;= CA25 + BZ26,
        0, CA25 + BZ26)),
    MIN(CA25 + BZ26, Analysis!$C$7))+IF(CA25&lt;0, CA25*Analysis!$C$9,0)</f>
        <v>-1491454.8344882217</v>
      </c>
      <c r="CB26" s="42"/>
      <c r="CC26" s="1">
        <f t="shared" si="47"/>
        <v>0</v>
      </c>
      <c r="CD26" s="1">
        <f>IF(BZ26 &gt;= 0,
    MAX(0, CA25 + BZ26 - Analysis!$C$7),
    0)</f>
        <v>0</v>
      </c>
      <c r="CE26" s="1">
        <f>IF($B26=Analysis!$C$66,0,MAX(0, CE25 + CD26 - IF(BZ26 &lt; 0, MIN(ABS(BZ26), CE25 + CD26), 0)))</f>
        <v>0</v>
      </c>
      <c r="CF26" s="1">
        <f>IF($B26=Analysis!$C$66,0,IF(BZ26 &lt; 0,
    IF(BZ26 + CA25 &lt; 0,
        MAX(0, CF25 - (ABS(BZ26 + CA25) * (1+$V25))),
        CF25 + CC26),
    CF25 + CD26 + CC26))</f>
        <v>0</v>
      </c>
      <c r="CG26" s="1">
        <f t="shared" si="25"/>
        <v>0</v>
      </c>
      <c r="CH26" s="36"/>
      <c r="CI26" s="1">
        <f>IF(OR($B26&lt;Analysis!$C$100, $B26&gt;=Analysis!$C$130),0,X26)</f>
        <v>-31761.00474239359</v>
      </c>
      <c r="CJ26" s="1">
        <f>IF(OR($B26&lt;Analysis!$C$100, $B26&gt;=Analysis!$C$130),0,Z26)</f>
        <v>-3960</v>
      </c>
      <c r="CK26" s="1">
        <f t="shared" si="26"/>
        <v>1041857.201019426</v>
      </c>
      <c r="CL26" s="64">
        <f t="shared" si="48"/>
        <v>2.941176470588247E-2</v>
      </c>
      <c r="CM26" s="1">
        <f>IF($B26=Analysis!$C$100,(CK26*(1+Analysis!$C$23+Analysis!$C$24+Analysis!$C$25))-IF($B26=$B$2,(Analysis!$C$6-Analysis!$C$7+Analysis!$C$105), (FU25-Analysis!$C$7+CV26)),0)</f>
        <v>0</v>
      </c>
      <c r="CN26" s="65">
        <f>IF($B26=Analysis!$C$100,NPER(CR26,-CU26,-CM26),0)</f>
        <v>0</v>
      </c>
      <c r="CO26" s="64">
        <f>IF($B26=Analysis!$C$100,Analysis!$C$103,0)</f>
        <v>0</v>
      </c>
      <c r="CP26" s="1">
        <f>IF(OR($B26&lt;Analysis!$C$100, $B26&gt;=Analysis!$C$101),0,IF($B26=Analysis!$C$100,-CM26*CO26,IF(CU26&gt;=0,0,CU26-CS26)))</f>
        <v>-24093.915224634631</v>
      </c>
      <c r="CQ26" s="1">
        <f>IF(OR($B26&lt;Analysis!$C$100, $B26&gt;=Analysis!$C$101),0,IF($B26=Analysis!$C$100,-CM26-CP26,MIN(0,CQ25-CP26)))</f>
        <v>-100716.75546091594</v>
      </c>
      <c r="CR26" s="64">
        <f>IF(OR($B26&lt;Analysis!$C$100, $B26&gt;=Analysis!$C$101),0,IF($B26=Analysis!$C$100,Analysis!$C$102,IF(($B26-Analysis!$C$100)&lt;LOOKUP(Analysis!$C$100,$B:$B,CN:CN),CR25,0)))</f>
        <v>3.6999999999999998E-2</v>
      </c>
      <c r="CS26" s="1">
        <f>IF(OR($B26&lt;Analysis!$C$100, $B26&gt;=Analysis!$C$101),0,IF($B26=Analysis!$C$100,-CR26*CM26,CR25*CQ25))</f>
        <v>-4617.9948153653713</v>
      </c>
      <c r="CT26" s="1">
        <f>IF(OR($B26&lt;Analysis!$C$100, $B26&gt;=Analysis!$C$101),0,IF($B26=Analysis!$C$100,PMT(CR26,CN26,CM26)*CN26-CU26-CQ26,IF(($B26-Analysis!$C$100+1)&lt;LOOKUP(Analysis!$C$100,$B:$B,CN:CN),IF(CT25-CS26&lt;0, CT25-CS26,0),0)))</f>
        <v>-9146.7097164959559</v>
      </c>
      <c r="CU26" s="1">
        <f>IF(OR($B26&lt;Analysis!$C$100, $B26&gt;=Analysis!$C$101),0,IF($B26=Analysis!$C$100,CP26+CS26,IF(CQ25&lt;0,IF(CQ25&gt;LOOKUP(Analysis!$C$100,$B:$B,CU:CU), CQ25*(1+CR25),CU25),0)))</f>
        <v>-28711.910040000002</v>
      </c>
      <c r="CV26" s="1">
        <f>IF($B26=Analysis!$C$100,Analysis!$C$105,0)</f>
        <v>0</v>
      </c>
      <c r="CW26" s="1">
        <f>IF($B26=Analysis!$C$100,PMT(CR26,CX26,CV26)*CX26,0)</f>
        <v>0</v>
      </c>
      <c r="CX26" s="7">
        <f>IF($B26=Analysis!$C$100,Analysis!$C$107,0)</f>
        <v>0</v>
      </c>
      <c r="CY26" s="1">
        <f>IF(OR($B26&lt;Analysis!$C$100, $B26&gt;=Analysis!$C$101),0,IF($B26=Analysis!$C$100,CW26/CX26,IF(($B26-Analysis!$C$100)&lt;LOOKUP(Analysis!$C$100,$B:$B,CX:CX),CY25,0)))</f>
        <v>0</v>
      </c>
      <c r="CZ26" s="1">
        <f>IF(OR($B26&lt;Analysis!$C$100, $B26&gt;=Analysis!$C$101),0,IF($B26=Analysis!$C$100,CX26*CY26-CY26,IF(($B26-Analysis!$C$100)&lt;Analysis!$C$107,CZ25-CY26,0)))</f>
        <v>0</v>
      </c>
      <c r="DA26" s="53"/>
      <c r="DB26" s="1">
        <f>IF(OR($B26&lt;Analysis!$C$100, $B26&gt;=Analysis!$C$101),0,IF($B26=2025,(Analysis!$C$109*12),IF($B26=Analysis!$C$100,(Analysis!$C$109*12)*(1+DC26)^($B26-$B$2),DB25*(1+DC26))))</f>
        <v>27790.879149594399</v>
      </c>
      <c r="DC26" s="64">
        <f>IF(OR($B26&lt;Analysis!$C$100, $B26&gt;=Analysis!$C$101),0,((1+Analysis!$C$114)/(1+$S26))-1)</f>
        <v>2.941176470588247E-2</v>
      </c>
      <c r="DD26" s="1">
        <f t="shared" si="6"/>
        <v>34876.45075265268</v>
      </c>
      <c r="DE26" s="1">
        <f t="shared" si="27"/>
        <v>-3125.571603058278</v>
      </c>
      <c r="DF26" s="64">
        <f>IF(OR($B26&lt;Analysis!$C$100, $B26&gt;=Analysis!$C$101),0,Analysis!$C$118)</f>
        <v>3.0000000000000001E-3</v>
      </c>
      <c r="DG26" s="1">
        <f t="shared" si="28"/>
        <v>-7813.9290076456946</v>
      </c>
      <c r="DH26" s="64">
        <f>IF(OR($B26&lt;Analysis!$C$100, $B26&gt;=Analysis!$C$101),0,Analysis!$C$119)</f>
        <v>7.4999999999999997E-3</v>
      </c>
      <c r="DI26" s="1">
        <f>IF(OR($B26&lt;Analysis!$C$100, $B26&gt;=Analysis!$C$101),0,MIN(Analysis!$C$120*12,SUM(DJ26:DN26)))</f>
        <v>-3960</v>
      </c>
      <c r="DJ26" s="1">
        <f>IF(OR($B26&lt;Analysis!$C$100, $B26&gt;=Analysis!$C$101),0,Analysis!$C$121*12)</f>
        <v>-900</v>
      </c>
      <c r="DK26" s="1">
        <f>IF(OR($B26&lt;Analysis!$C$100, $B26&gt;=Analysis!$C$101),0,Analysis!$C$122*12)</f>
        <v>-1500</v>
      </c>
      <c r="DL26" s="1">
        <f>IF(OR($B26&lt;Analysis!$C$100, $B26&gt;=Analysis!$C$101),0,Analysis!$C$123*12)</f>
        <v>-480</v>
      </c>
      <c r="DM26" s="1">
        <f>IF(OR($B26&lt;Analysis!$C$100, $B26&gt;=Analysis!$C$101),0,Analysis!$C$124*12)</f>
        <v>-480</v>
      </c>
      <c r="DN26" s="1">
        <f>IF(OR($B26&lt;Analysis!$C$100, $B26&gt;=Analysis!$C$101),0,Analysis!$C$125*12)</f>
        <v>-600</v>
      </c>
      <c r="DO26" s="64">
        <f>IF(OR($B26&lt;Analysis!$C$100, $B26&gt;=Analysis!$C$101),0,Analysis!$C$113)</f>
        <v>0.02</v>
      </c>
      <c r="DP26" s="1">
        <f>-DO26*LOOKUP(Analysis!$C$100,$B:$B,CK:CK)</f>
        <v>-10392</v>
      </c>
      <c r="DQ26" s="1">
        <f>-Analysis!$C$117*DB26</f>
        <v>-2084.3159362195797</v>
      </c>
      <c r="DR26" s="1">
        <f t="shared" si="29"/>
        <v>-27375.816546923554</v>
      </c>
      <c r="DS26" s="1">
        <f>MIN(0,-(DB26+DR26)*Analysis!$C$28)-CS26*Analysis!$C$28</f>
        <v>1862.3192634449442</v>
      </c>
      <c r="DT26" s="1">
        <f>-Analysis!$C$116*DD26/12</f>
        <v>-2906.37089605439</v>
      </c>
      <c r="DU26" s="53"/>
      <c r="DV26" s="1">
        <f t="shared" si="30"/>
        <v>-132836.79312997681</v>
      </c>
      <c r="DW26" s="64">
        <f>IF(OR($B26&lt;Analysis!$C$100, $B26&gt;=Analysis!$C$101),0,IF($B26=Analysis!$C$100,Analysis!$C$31,DW25))</f>
        <v>0.1275</v>
      </c>
      <c r="DX26" s="1">
        <f>IF(OR($B26&lt;Analysis!$C$100, $B26&gt;=Analysis!$C$101),0,CK26+DV26)</f>
        <v>909020.40788944915</v>
      </c>
      <c r="DY26" s="1">
        <f>IF(OR($B26&lt;Analysis!$C$100, $B26&gt;=Analysis!$C$101),0,IF($B26-Analysis!$C$100&gt;3,0,IF(CK26&gt;LOOKUP(Analysis!$C$100,$B:$B, CK:CK),$V26*(LOOKUP(Analysis!$C$100,$B:$B, CK:CK)-CK26),0)))</f>
        <v>0</v>
      </c>
      <c r="DZ26" s="1">
        <f t="shared" si="49"/>
        <v>909020.40788944915</v>
      </c>
      <c r="EA26" s="53"/>
      <c r="EB26" s="1">
        <f t="shared" si="31"/>
        <v>1383528.6156724484</v>
      </c>
      <c r="EC26" s="64">
        <f t="shared" si="50"/>
        <v>2.941176470588247E-2</v>
      </c>
      <c r="ED26" s="1">
        <f>MAX(0,IF($B26=Analysis!$C$130,(EB26*(1+Analysis!$C$23+Analysis!$C$24+Analysis!$C$25))-(IF($B26=$B$2,(Analysis!$C$6-Analysis!$C$7+Analysis!$C$132), (FU25-Analysis!$C$7+EM26)) + IF($B26=Analysis!$C$101,DZ25+CQ25+CT25+CZ25,0)),0))</f>
        <v>0</v>
      </c>
      <c r="EE26" s="65">
        <f>IF($B26=Analysis!$C$130,IF(ED26&gt;0,NPER(EI26,-EL26,-ED26),0),0)</f>
        <v>0</v>
      </c>
      <c r="EF26" s="64">
        <f>IF($B26=Analysis!$C$130,Analysis!$C$137,0)</f>
        <v>0</v>
      </c>
      <c r="EG26" s="1">
        <f>IF($B26&lt;Analysis!$C$130,0,IF($B26=Analysis!$C$130,-ED26*EF26,IF(EL26&gt;=0,0,EL26-EJ26)))</f>
        <v>0</v>
      </c>
      <c r="EH26" s="1">
        <f>IF($B26&lt;Analysis!$C$130,0,IF($B26=Analysis!$C$130,-ED26-EG26,MIN(0,EH25-EG26)))</f>
        <v>0</v>
      </c>
      <c r="EI26" s="64">
        <f>IF($B26&lt;Analysis!$C$130,0,IF($B26=Analysis!$C$130,Analysis!$C$136,IF(($B26-Analysis!$C$130)&lt;LOOKUP(Analysis!$C$130,$B:$B,EE:EE),EI25,0)))</f>
        <v>0</v>
      </c>
      <c r="EJ26" s="1">
        <f>IF($B26&lt;Analysis!$C$130,0,IF($B26=Analysis!$C$130,-EI26*ED26,EI25*EH25))</f>
        <v>0</v>
      </c>
      <c r="EK26" s="1">
        <f>IF(OR($B26&lt;Analysis!$C$130, ED26=0),0,IF($B26=Analysis!$C$130,PMT(EI26,EE26,ED26)*EE26-EL26-EH26,IF(($B26-Analysis!$C$130+1)&lt;LOOKUP(Analysis!$C$130,$B:$B,EE:EE),IF(EK25-EJ26&lt;0, EK25-EJ26,0),0)))</f>
        <v>0</v>
      </c>
      <c r="EL26" s="1">
        <f>IF($B26&lt;Analysis!$C$130,0,IF($B26=Analysis!$C$130,EG26+EJ26,IF(EH25&lt;0,IF(EH25&gt;LOOKUP(Analysis!$C$130,$B:$B,EL:EL), EH25*(1+EI25),EL25),0)))</f>
        <v>0</v>
      </c>
      <c r="EM26" s="1">
        <f>IF($B26=Analysis!$C$130,Analysis!$C$132,0)</f>
        <v>0</v>
      </c>
      <c r="EN26" s="1">
        <f>IF($B26=Analysis!$C$130,PMT(EI26,EO26,EM26)*EO26,0)</f>
        <v>0</v>
      </c>
      <c r="EO26" s="7">
        <f>IF($B26=Analysis!$C$130,Analysis!$C$134,0)</f>
        <v>0</v>
      </c>
      <c r="EP26" s="1">
        <f>IF($B26&lt;Analysis!$C$130,0,IF($B26=Analysis!$C$130,EN26/EO26,IF(($B26-Analysis!$C$130)&lt;LOOKUP(Analysis!$C$130,$B:$B,EO:EO),EP25,0)))</f>
        <v>0</v>
      </c>
      <c r="EQ26" s="1">
        <f>IF($B26&lt;Analysis!$C$130,0,IF($B26=Analysis!$C$130,EO26*EP26-EP26,IF(($B26-Analysis!$C$130)&lt;Analysis!$C$134,EQ25-EP26,0)))</f>
        <v>0</v>
      </c>
      <c r="ER26" s="53"/>
      <c r="ES26" s="1">
        <f>IF($B26&lt;Analysis!$C$130,0,-ET26*EB26)</f>
        <v>0</v>
      </c>
      <c r="ET26" s="64">
        <f>IF($B26&lt;Analysis!$C$130,0,Analysis!$C$142)</f>
        <v>0</v>
      </c>
      <c r="EU26" s="1">
        <f>IF($B26&lt;Analysis!$C$130,0,-EV26*EB26)</f>
        <v>0</v>
      </c>
      <c r="EV26" s="64">
        <f>IF($B26&lt;Analysis!$C$130,0,Analysis!$C$143)</f>
        <v>0</v>
      </c>
      <c r="EW26" s="1">
        <f>IF($B26&lt;Analysis!$C$130,0,MIN(Analysis!$C$144*12,SUM(EX26:FB26)))</f>
        <v>0</v>
      </c>
      <c r="EX26" s="1">
        <f>IF($B26&lt;Analysis!$C$130,0,Analysis!$C$145*12)</f>
        <v>0</v>
      </c>
      <c r="EY26" s="1">
        <f>IF($B26&lt;Analysis!$C$130,0,Analysis!$C$146*12)</f>
        <v>0</v>
      </c>
      <c r="EZ26" s="1">
        <f>IF($B26&lt;Analysis!$C$130,0,Analysis!$C$147*12)</f>
        <v>0</v>
      </c>
      <c r="FA26" s="1">
        <f>IF($B26&lt;Analysis!$C$130,0,Analysis!$C$148*12)</f>
        <v>0</v>
      </c>
      <c r="FB26" s="1">
        <f>IF($B26&lt;Analysis!$C$130,0,Analysis!$C$149*12)</f>
        <v>0</v>
      </c>
      <c r="FC26" s="1">
        <v>0</v>
      </c>
      <c r="FD26" s="1">
        <f>-FC26*Analysis!$C$28</f>
        <v>0</v>
      </c>
      <c r="FE26" s="53"/>
      <c r="FF26" s="1">
        <f t="shared" si="32"/>
        <v>0</v>
      </c>
      <c r="FG26" s="64">
        <f>IF($B26&lt;Analysis!$C$130,0,Analysis!$C$31)</f>
        <v>0</v>
      </c>
      <c r="FH26" s="1">
        <f>IF($B26&lt;Analysis!$C$130,0,EB26+FF26)</f>
        <v>0</v>
      </c>
      <c r="FI26" s="1">
        <f>IF($B26-Analysis!$C$130&gt;3,0,IF(EB26&gt;LOOKUP(Analysis!$C$130,$B:$B, EB:EB),$V26*(LOOKUP(Analysis!$C$130,$B:$B, EB:EB)-EB26),0))</f>
        <v>0</v>
      </c>
      <c r="FJ26" s="1">
        <f t="shared" si="33"/>
        <v>0</v>
      </c>
      <c r="FK26" s="53"/>
      <c r="FL26" s="1">
        <f>$P26+$N26+IF($B26&lt;Analysis!$C$130,$X26+$Z26,0)+CP26+CS26+CY26+DE26+DG26+MIN(DI26,SUM(DJ26:DN26))+DQ26+DS26+DT26+EG26+EJ26+EP26+ES26+EU26+MIN(EW26,SUM(EX26:FB26))+FD26</f>
        <v>-156860.78296192663</v>
      </c>
      <c r="FM26" s="1">
        <f>$M26+$R26+DD26+IF(AND($B26&lt;&gt;Analysis!$C$130,$B26=Analysis!$C$101),DZ25+CQ25+CT25+CZ25,0)</f>
        <v>166344.37399387857</v>
      </c>
      <c r="FN26" s="1">
        <f t="shared" si="34"/>
        <v>9483.5910319519462</v>
      </c>
      <c r="FO26" s="1">
        <f>IF(FN26 &lt; 0,
    IF(FO25 + FN26 &gt; 0,
        FO25 + FN26, IF(FT25-ABS(FO25 + FN26)*(1+$V26) &gt;= FO25 + FN26,
        0, FO25 + FN26)),
    MIN(FO25 + FN26, Analysis!$C$7))+IF(FO25&lt;0, FO25*Analysis!$C$9,0)</f>
        <v>24000</v>
      </c>
      <c r="FP26" s="53"/>
      <c r="FQ26" s="1">
        <f t="shared" si="51"/>
        <v>17776.761050267742</v>
      </c>
      <c r="FR26" s="1">
        <f>IF(OR($B26=Analysis!$C$100, $B26=Analysis!$C$130),0,IF(FN26 &gt;= 0,
    MAX(0, FO25 + FN26 - Analysis!$C$7),
    0))</f>
        <v>9483.5910319519462</v>
      </c>
      <c r="FS26" s="1">
        <f>IF(OR($B26=Analysis!$C$100, $B26=Analysis!$C$130),0,MAX(0, FS25 + FR26 - IF(FN26 &lt; 0, MIN(ABS(FN26), FS25 + FR26), 0)))</f>
        <v>341166.82546962937</v>
      </c>
      <c r="FT26" s="1">
        <f>IF(OR($B26=Analysis!$C$100, $B26=Analysis!$C$130),0,IF(FN26 &lt; 0,
    IF(FN26 + FO25 &lt; 0,
        MAX(0, FT25 - (ABS(FN26 + FO25) * (1+$V25))),
        FT25 + FQ26),
    FT25 + FR26 + FQ26))</f>
        <v>503995.90608954802</v>
      </c>
      <c r="FU26" s="1">
        <f t="shared" si="57"/>
        <v>461049.7360760445</v>
      </c>
      <c r="FV26" s="36"/>
      <c r="FW26" s="1">
        <f t="shared" si="52"/>
        <v>1041857.201019426</v>
      </c>
      <c r="FX26" s="64">
        <f t="shared" si="53"/>
        <v>2.941176470588247E-2</v>
      </c>
      <c r="FY26" s="1">
        <f>IF($B26=Analysis!$C$159,(FW26*(1+Analysis!$C$23+Analysis!$C$24+Analysis!$C$25))-IF($B26=$B$2,(Analysis!$C$6-Analysis!$C$7+Analysis!$C$165), (HW25-Analysis!$C$7+GH26)),0)</f>
        <v>0</v>
      </c>
      <c r="FZ26" s="65">
        <f>IF($B26=Analysis!$C$159,NPER(GD26,-GG26,-FY26),0)</f>
        <v>0</v>
      </c>
      <c r="GA26" s="64">
        <f>IF($B26=Analysis!$C$159,Analysis!$C$161,0)</f>
        <v>0</v>
      </c>
      <c r="GB26" s="1">
        <f>IF($B26&lt;Analysis!$C$159,0,IF($B26=Analysis!$C$159,-FY26*GA26,IF(GG26&gt;=0,0,GG26-GE26)))</f>
        <v>-24093.915224634631</v>
      </c>
      <c r="GC26" s="1">
        <f>IF($B26&lt;Analysis!$C$159,0,IF($B26=Analysis!$C$159,-FY26-GB26,MIN(0,GC25-GB26)))</f>
        <v>-100716.75546091594</v>
      </c>
      <c r="GD26" s="64">
        <f>IF($B26&lt;Analysis!$C$159,0,IF($B26=Analysis!$C$159,Analysis!$C$160,IF(($B26-Analysis!$C$159)&lt;LOOKUP(Analysis!$C$159,$B:$B,FZ:FZ),GD25,0)))</f>
        <v>3.6999999999999998E-2</v>
      </c>
      <c r="GE26" s="1">
        <f>IF($B26&lt;Analysis!$C$159,0,IF($B26=Analysis!$C$159,-GD26*FY26,GD25*GC25))</f>
        <v>-4617.9948153653713</v>
      </c>
      <c r="GF26" s="1">
        <f>IF($B26&lt;Analysis!$C$159,0,IF($B26=Analysis!$C$159,PMT(GD26,FZ26,FY26)*FZ26-GG26-GC26,IF(($B26-Analysis!$C$159+1)&lt;LOOKUP(Analysis!$C$159,$B:$B,FZ:FZ),IF(GF25-GE26&lt;0, GF25-GE26,0),0)))</f>
        <v>-9146.7097164959559</v>
      </c>
      <c r="GG26" s="1">
        <f>IF($B26&lt;Analysis!$C$159,0,IF($B26=Analysis!$C$159,GB26+GE26,IF(GC25&lt;0,IF(GC25&gt;LOOKUP(Analysis!$C$159,$B:$B,GG:GG), GC25*(1+GD25),GG25),0)))</f>
        <v>-28711.910040000002</v>
      </c>
      <c r="GH26" s="1">
        <f>IF($B26=Analysis!$C$159,Analysis!$C$165,0)</f>
        <v>0</v>
      </c>
      <c r="GI26" s="1">
        <f>IF($B26=Analysis!$C$159,PMT(GD26,GJ26,GH26)*GJ26,0)</f>
        <v>0</v>
      </c>
      <c r="GJ26" s="7">
        <f>IF($B26=Analysis!$C$159,Analysis!$C$167,0)</f>
        <v>0</v>
      </c>
      <c r="GK26" s="1">
        <f>IF($B26&lt;Analysis!$C$159,0,IF($B26=Analysis!$C$159,GI26/GJ26,IF(($B26-Analysis!$C$159)&lt;LOOKUP(Analysis!$C$159,$B:$B,GJ:GJ),GK25,0)))</f>
        <v>0</v>
      </c>
      <c r="GL26" s="1">
        <f>IF($B26&lt;Analysis!$C$159,0,IF($B26=Analysis!$C$159,GJ26*GK26-GK26,IF(($B26-Analysis!$C$159)&lt;Analysis!$C$167,GL25-GK26,0)))</f>
        <v>0</v>
      </c>
      <c r="GM26" s="38"/>
      <c r="GN26" s="1">
        <f>IF($B26&lt;Analysis!$C$159,0,IF($B26=2025,(Analysis!$C$109*12),IF($B26=Analysis!$C$159,(Analysis!$C$109*12)*(1+GO26)^($B26-$B$2),GN25*(1+GO26))))</f>
        <v>27790.879149594399</v>
      </c>
      <c r="GO26" s="64">
        <f>IF($B26&lt;Analysis!$C$159,0,((1+Analysis!$C$174)/(1+$S26))-1)</f>
        <v>2.941176470588247E-2</v>
      </c>
      <c r="GP26" s="1">
        <f t="shared" si="7"/>
        <v>34876.45075265268</v>
      </c>
      <c r="GQ26" s="1">
        <f t="shared" si="36"/>
        <v>-3125.571603058278</v>
      </c>
      <c r="GR26" s="64">
        <f>IF($B26&lt;Analysis!$C$159,0,Analysis!$C$178)</f>
        <v>3.0000000000000001E-3</v>
      </c>
      <c r="GS26" s="1">
        <f t="shared" si="37"/>
        <v>-7813.9290076456946</v>
      </c>
      <c r="GT26" s="64">
        <f>IF($B26&lt;Analysis!$C$159,0,Analysis!$C$179)</f>
        <v>7.4999999999999997E-3</v>
      </c>
      <c r="GU26" s="1">
        <f>IF($B26&lt;Analysis!$C$159,0,MIN(Analysis!$C$180*12,SUM(GV26:GZ26)))</f>
        <v>-3960</v>
      </c>
      <c r="GV26" s="1">
        <f>IF($B26&lt;Analysis!$C$159,0,Analysis!$C$181*12)</f>
        <v>-900</v>
      </c>
      <c r="GW26" s="1">
        <f>IF($B26&lt;Analysis!$C$159,0,Analysis!$C$182*12)</f>
        <v>-1500</v>
      </c>
      <c r="GX26" s="1">
        <f>IF($B26&lt;Analysis!$C$159,0,Analysis!$C$183*12)</f>
        <v>-480</v>
      </c>
      <c r="GY26" s="1">
        <f>IF($B26&lt;Analysis!$C$159,0,Analysis!$C$184*12)</f>
        <v>-480</v>
      </c>
      <c r="GZ26" s="1">
        <f>IF($B26&lt;Analysis!$C$159,0,Analysis!$C$185*12)</f>
        <v>-600</v>
      </c>
      <c r="HA26" s="64">
        <f>IF($B26&lt;Analysis!$C$159,0,Analysis!$C$173)</f>
        <v>0.02</v>
      </c>
      <c r="HB26" s="1">
        <f>-HA26*LOOKUP(Analysis!$C$159,$B:$B,FW:FW)</f>
        <v>-10392</v>
      </c>
      <c r="HC26" s="1">
        <f>-Analysis!$C$177*GN26</f>
        <v>-2084.3159362195797</v>
      </c>
      <c r="HD26" s="1">
        <f t="shared" si="38"/>
        <v>-27375.816546923554</v>
      </c>
      <c r="HE26" s="1">
        <f>MIN(0,-(GN26+HD26)*Analysis!$C$28)-GE26*Analysis!$C$28</f>
        <v>1862.3192634449442</v>
      </c>
      <c r="HF26" s="1">
        <f>-Analysis!$C$176*GP26/12</f>
        <v>-2906.37089605439</v>
      </c>
      <c r="HG26" s="38"/>
      <c r="HH26" s="1">
        <f>IF($B26&lt;Analysis!$C$159,0,-$HI26*$FW26)</f>
        <v>-132836.79312997681</v>
      </c>
      <c r="HI26" s="64">
        <f>IF($B26&lt;Analysis!$C$159,0,IF($B26=Analysis!$C$159,Analysis!$C$31,HI25))</f>
        <v>0.1275</v>
      </c>
      <c r="HJ26" s="1">
        <f>IF($B26&lt;Analysis!$C$159,0,$FW26+HH26)</f>
        <v>909020.40788944915</v>
      </c>
      <c r="HK26" s="1">
        <f>IF($B26-Analysis!$C$159&gt;10,0,IF($FW26&gt;LOOKUP(Analysis!$C$159,$B:$B, FW:FW),$V26*(LOOKUP(Analysis!$C$159,$B:$B, FW:FW)-FW26),0))</f>
        <v>0</v>
      </c>
      <c r="HL26" s="1">
        <f t="shared" si="39"/>
        <v>909020.40788944915</v>
      </c>
      <c r="HM26" s="38"/>
      <c r="HN26" s="1">
        <f t="shared" si="40"/>
        <v>-156860.78296192663</v>
      </c>
      <c r="HO26" s="1">
        <f t="shared" si="8"/>
        <v>166344.37399387857</v>
      </c>
      <c r="HP26" s="1">
        <f t="shared" si="41"/>
        <v>9483.5910319519462</v>
      </c>
      <c r="HQ26" s="1">
        <f>IF(HP26 &lt; 0,
    IF(HQ25 + HP26 &gt; 0,
        HQ25 + HP26, IF(HV25-ABS(HQ25 + HP26)*(1+$V26) &gt;= HQ25 + HP26,
        0, HQ25 + HP26)),
    MIN(HQ25 + HP26, Analysis!$C$7))+IF(HQ25&lt;0, HQ25*Analysis!$C$9,0)</f>
        <v>24000</v>
      </c>
      <c r="HR26" s="38"/>
      <c r="HS26" s="1">
        <f t="shared" si="54"/>
        <v>17776.761050267742</v>
      </c>
      <c r="HT26" s="1">
        <f>IF($B26=Analysis!$C$159,0,IF(HP26 &gt;= 0,
    MAX(0, HQ25 + HP26 - Analysis!$C$7),
    0))</f>
        <v>9483.5910319519462</v>
      </c>
      <c r="HU26" s="1">
        <f>IF($B26=Analysis!$C$159,0,MAX(0, HU25 + HT26 - IF(HP26 &lt; 0, MIN(ABS(HP26), HU25 + HT26), 0)))</f>
        <v>341166.82546962937</v>
      </c>
      <c r="HV26" s="1">
        <f>IF($B26=Analysis!$C$159,0,IF(HP26 &lt; 0,
    IF(HP26 + HQ25 &lt; 0,
        MAX(0, HV25 - (ABS(HP26 + HQ25) * (1+$V25))),
        HV25 + HS26),
    HV25 + HT26 + HS26))</f>
        <v>503995.90608954802</v>
      </c>
      <c r="HW26" s="1">
        <f t="shared" si="58"/>
        <v>461049.7360760445</v>
      </c>
      <c r="HX26" s="36"/>
    </row>
    <row r="27" spans="1:232" x14ac:dyDescent="0.35">
      <c r="A27">
        <f t="shared" si="0"/>
        <v>60</v>
      </c>
      <c r="B27">
        <v>2050</v>
      </c>
      <c r="C27" s="1">
        <f>IF($B27&lt;Analysis!C$66,0,$AN27)+$AT27+$AW27+$BC27+$CF27+$CA27</f>
        <v>60089.409800640773</v>
      </c>
      <c r="D27" s="1">
        <f>IF($B27&lt;Analysis!C$66, 0, BV27)+AT27+AW27+BC27+CG27+CA27</f>
        <v>-174132.9618199938</v>
      </c>
      <c r="E27" s="1">
        <f t="shared" si="1"/>
        <v>1467879.8622985028</v>
      </c>
      <c r="F27" s="1">
        <f t="shared" si="9"/>
        <v>1287079.9268330564</v>
      </c>
      <c r="G27" s="1">
        <f>IF(AND($B27&gt;=Analysis!$C$100, $B27&lt;Analysis!$C$101),$CK27,0)+IF($B27&gt;=Analysis!$C$130,EB27,0)+CQ27+CT27+CZ27+EH27+EK27+EQ27+$FO27+$FT27</f>
        <v>1545686.1370346779</v>
      </c>
      <c r="H27" s="1">
        <f t="shared" si="10"/>
        <v>1361267.3654463796</v>
      </c>
      <c r="I27" s="1">
        <f>IF($B27&lt;Analysis!$C$159,0,$FW27)+$GC27+$GF27+$GL27+$HQ27+$HV27</f>
        <v>1545686.1370346779</v>
      </c>
      <c r="J27" s="1">
        <f t="shared" si="2"/>
        <v>1361267.3654463796</v>
      </c>
      <c r="K27" s="36"/>
      <c r="L27" s="1">
        <f t="shared" si="11"/>
        <v>131467.92324122589</v>
      </c>
      <c r="M27" s="1">
        <f>IF($B27=Analysis!$C$47, M26 * (1 - Analysis!$C$48),
    IF($B27=Analysis!$C$52, M26 * (1 - Analysis!$C$53),
    IF($B27=Analysis!$C$58, M26 * (1 - Analysis!$C$60),
    L27)))</f>
        <v>131467.92324122589</v>
      </c>
      <c r="N27" s="1">
        <f>Analysis!$C$3*12*(1+O27)+P27</f>
        <v>-61200</v>
      </c>
      <c r="O27" s="64">
        <f>IF(OR($B27=Analysis!$C$47,$B27=Analysis!$C$52,$B27=Analysis!$C$58),-Analysis!$C$49,0)</f>
        <v>0</v>
      </c>
      <c r="P27" s="1">
        <f>IF($B27&lt;Analysis!$C$47,0,IF($B27-Analysis!$C$47&lt;=3,Analysis!$C$40+Analysis!$C$44,IF($B27-Analysis!$C$47&lt;=10,Analysis!$C$41+Analysis!$C$44,IF($B27-Analysis!$C$47&lt;=18,Analysis!$C$42+Analysis!$C$44,IF($B27-Analysis!$C$47&lt;=25,Analysis!$C$43+Analysis!$C$44,0)))) + IF(AND($B27&gt;=Analysis!$C$52, $B27-Analysis!$C$52&lt;=3),Analysis!$C$40+Analysis!$C$44,IF(AND($B27&gt;=Analysis!$C$52, $B27-Analysis!$C$52&lt;=10),Analysis!$C$41+Analysis!$C$44,IF(AND($B27&gt;=Analysis!$C$52, $B27-Analysis!$C$52&lt;=18),Analysis!$C$42+Analysis!$C$44,IF(AND($B27&gt;=Analysis!$C$52, $B27-Analysis!$C$52&lt;=25),Analysis!$C$43+Analysis!$C$44,0)))) + Analysis!$C$57*IF(AND($B27&gt;=Analysis!$C$58, $B27-Analysis!$C$58&lt;=3),Analysis!$C$40+Analysis!$C$44,IF(AND($B27&gt;=Analysis!$C$58, $B27-Analysis!$C$58&lt;=10),Analysis!$C$41+Analysis!$C$44,IF(AND($B27&gt;=Analysis!$C$58, $B27-Analysis!$C$58&lt;=18),Analysis!$C$42+Analysis!$C$44,IF(AND($B27&gt;=Analysis!$C$58, $B27-Analysis!$C$58&lt;=25),Analysis!$C$43+Analysis!$C$44,0)))))</f>
        <v>-13200</v>
      </c>
      <c r="Q27" s="1">
        <f t="shared" si="43"/>
        <v>0</v>
      </c>
      <c r="R27" s="1">
        <f>IF(AND(AND(B27=Analysis!C$35,Analysis!C$34&lt;&gt;0),AND(B27=Analysis!C$37,Analysis!C$36&lt;&gt;0)),Analysis!C$34+Analysis!C$36,IF(AND(B27=Analysis!C$35,Analysis!C$34&lt;&gt;0),Analysis!C$34,IF(AND(B27=Analysis!C$37,Analysis!C$36&lt;&gt;0),Analysis!C$36,0)))</f>
        <v>0</v>
      </c>
      <c r="S27" s="64">
        <f t="shared" si="12"/>
        <v>0.02</v>
      </c>
      <c r="T27" s="64">
        <f>IF($B27&lt;Analysis!$C$13, ((1+IF($B27-$B$2&lt;10,Analysis!$C$11,IF($B27-$B$2&lt;20,(Analysis!$C$11+Analysis!$C$12)/2,Analysis!$C$12)))/(1+$S27)-1),IF($B27=Analysis!$C$13,-Analysis!$C$14,-$S27))</f>
        <v>0</v>
      </c>
      <c r="U27" s="64">
        <f>IF($B27=$B$2,((1+Analysis!$C$16)/(1+$S27))-1,IF(B27&lt;Analysis!$C$13,U26-((Analysis!$C$16-Analysis!$C$17)/(Analysis!$C$13-$B$2)),((1+Analysis!$C$17)/(1+$S26))-1))</f>
        <v>3.5574229691876916E-2</v>
      </c>
      <c r="V27" s="64">
        <f t="shared" si="13"/>
        <v>0.26374999999999998</v>
      </c>
      <c r="W27" s="36"/>
      <c r="X27" s="1">
        <f t="shared" si="14"/>
        <v>-32695.151940699288</v>
      </c>
      <c r="Y27" s="64">
        <f t="shared" si="15"/>
        <v>2.941176470588247E-2</v>
      </c>
      <c r="Z27" s="1">
        <f t="shared" si="16"/>
        <v>-3960</v>
      </c>
      <c r="AA27" s="64">
        <f t="shared" si="17"/>
        <v>0</v>
      </c>
      <c r="AB27" s="40"/>
      <c r="AC27" s="1">
        <f t="shared" si="3"/>
        <v>-111055.15194069929</v>
      </c>
      <c r="AD27" s="1">
        <f t="shared" si="4"/>
        <v>131467.92324122589</v>
      </c>
      <c r="AE27" s="1">
        <f t="shared" si="18"/>
        <v>20412.771300526598</v>
      </c>
      <c r="AF27" s="1">
        <f>IF(AE27 &lt; 0,
    IF(AF26 + AE27 &gt; 0,
        AF26 + AE27, IF(AK26-ABS(AF26 + AE27)*(1+$V27) &gt;= AF26 + AE27,
        0, AF26 + AE27)),
    MIN(AF26 + AE27, Analysis!$C$7))+IF(AF26&lt;0, AF26*Analysis!$C$9,0)</f>
        <v>24000</v>
      </c>
      <c r="AG27" s="40"/>
      <c r="AH27" s="1">
        <f t="shared" si="19"/>
        <v>48899.194091626669</v>
      </c>
      <c r="AI27" s="1">
        <f>IF(AE27 &gt;= 0,
    MAX(0, AF26 + AE27 - Analysis!$C$7),
    0)</f>
        <v>20412.771300526598</v>
      </c>
      <c r="AJ27" s="1">
        <f t="shared" si="44"/>
        <v>758382.4766475209</v>
      </c>
      <c r="AK27" s="1">
        <f t="shared" si="20"/>
        <v>1443879.8622985028</v>
      </c>
      <c r="AL27" s="1">
        <f t="shared" si="5"/>
        <v>1263079.9268330564</v>
      </c>
      <c r="AM27" s="36"/>
      <c r="AN27" s="1">
        <f t="shared" si="45"/>
        <v>1837038.2087892904</v>
      </c>
      <c r="AO27" s="64">
        <f t="shared" si="21"/>
        <v>2.941176470588247E-2</v>
      </c>
      <c r="AP27" s="1">
        <f>IF($B27=Analysis!$C$66,(AN27*(1+Analysis!$C$23+Analysis!$C$24+Analysis!$C$25))-IF($B27=$B$2,(Analysis!$C$6-Analysis!$C$7+Analysis!$C$68), ($CG26-Analysis!$C$7+AY27)),0)</f>
        <v>0</v>
      </c>
      <c r="AQ27" s="65">
        <f>IF($B27=Analysis!$C$66,NPER(AU27,-AX27,-AP27),0)</f>
        <v>0</v>
      </c>
      <c r="AR27" s="64">
        <f>IF($B27=Analysis!$C$66,Analysis!$C$73,0)</f>
        <v>0</v>
      </c>
      <c r="AS27" s="1">
        <f>IF($B27&lt;Analysis!$C$66,0,IF($B27=Analysis!$C$66,-AP27*AR27,IF(AX27&gt;=0,0,AX27-AV27)))</f>
        <v>-45483.665147047483</v>
      </c>
      <c r="AT27" s="1">
        <f>IF($B27&lt;Analysis!$C$66,0,IF($B27=Analysis!$C$66,-AP27-AS27,MIN(0,AT26-AS27)))</f>
        <v>-137862.16871653436</v>
      </c>
      <c r="AU27" s="64">
        <f>IF($B27&lt;Analysis!$C$66,0,IF($B27=Analysis!$C$66,Analysis!$C$72,IF(($B27-Analysis!$C$66)&lt;LOOKUP(Analysis!$C$66,$B:$B,AQ:AQ),AU26,0)))</f>
        <v>3.6999999999999998E-2</v>
      </c>
      <c r="AV27" s="1">
        <f>IF($B27&lt;Analysis!$C$66,0,IF($B27=Analysis!$C$66,-AU27*AP27,AU26*AT26))</f>
        <v>-6783.7958529525285</v>
      </c>
      <c r="AW27" s="1">
        <f>IF($B27&lt;Analysis!$C$66,0,IF($B27=Analysis!$C$66,PMT(AU27,AQ27,AP27)*AQ27-AX27-AT27,IF(($B27-Analysis!$C$66+1)&lt;LOOKUP(Analysis!$C$66,$B:$B,AQ:AQ),IF(AW26-AV27&lt;0, AW26-AV27,0),0)))</f>
        <v>-9866.970073774155</v>
      </c>
      <c r="AX27" s="1">
        <f>IF($B27&lt;Analysis!$C$66,0,IF($B27=Analysis!$C$66,AS27+AV27,IF(AT26&lt;0,IF(AT26&gt;LOOKUP(Analysis!$C$66,$B:$B,AX:AX), AT26*(1+AU26),AX26),0)))</f>
        <v>-52267.46100000001</v>
      </c>
      <c r="AY27" s="1">
        <f>IF($B27=Analysis!$C$66,Analysis!$C$68,0)</f>
        <v>0</v>
      </c>
      <c r="AZ27" s="1">
        <f>IF($B27=Analysis!$C$66,PMT(AU27,BA27,AY27)*BA27,0)</f>
        <v>0</v>
      </c>
      <c r="BA27" s="7">
        <f>IF($B27=Analysis!$C$66,Analysis!$C$70,0)</f>
        <v>0</v>
      </c>
      <c r="BB27" s="1">
        <f>IF($B27&lt;Analysis!$C$66,0,IF($B27=Analysis!$C$66,AZ27/BA27,IF(($B27-Analysis!$C$66)&lt;LOOKUP(Analysis!$C$66,$B:$B,BA:BA),BB26,0)))</f>
        <v>0</v>
      </c>
      <c r="BC27" s="1">
        <f>IF($B27&lt;Analysis!$C$66,0,IF($B27=Analysis!$C$66,BA27*BB27-BB27,IF(($B27-Analysis!$C$66)&lt;Analysis!$C$70,BC26-BB27,0)))</f>
        <v>0</v>
      </c>
      <c r="BD27" s="42"/>
      <c r="BE27" s="1">
        <f>IF($B27&lt;Analysis!$C$66,0,-BF27*AN27)</f>
        <v>-5511.1146263678711</v>
      </c>
      <c r="BF27" s="64">
        <f>IF($B27&lt;Analysis!$C$66,0,Analysis!$C$78)</f>
        <v>3.0000000000000001E-3</v>
      </c>
      <c r="BG27" s="1">
        <f>IF($B27&lt;Analysis!$C$66,0,-BH27*AN27)</f>
        <v>-13777.786565919678</v>
      </c>
      <c r="BH27" s="64">
        <f>IF($B27&lt;Analysis!$C$66,0,Analysis!$C$79)</f>
        <v>7.4999999999999997E-3</v>
      </c>
      <c r="BI27" s="1">
        <f>IF($B27&lt;Analysis!$C$66,0,MIN(Analysis!$C$80*12,SUM(BJ27:BN27)))</f>
        <v>-3960</v>
      </c>
      <c r="BJ27" s="1">
        <f>IF($B27&lt;Analysis!$C$66,0,Analysis!$C$81*12)</f>
        <v>-900</v>
      </c>
      <c r="BK27" s="1">
        <f>IF($B27&lt;Analysis!$C$66,0,Analysis!$C$82*12)</f>
        <v>-1500</v>
      </c>
      <c r="BL27" s="1">
        <f>IF($B27&lt;Analysis!$C$66,0,Analysis!$C$83*12)</f>
        <v>-480</v>
      </c>
      <c r="BM27" s="1">
        <f>IF($B27&lt;Analysis!$C$66,0,Analysis!$C$84*12)</f>
        <v>-480</v>
      </c>
      <c r="BN27" s="1">
        <f>IF($B27&lt;Analysis!$C$66,0,Analysis!$C$85*12)</f>
        <v>-600</v>
      </c>
      <c r="BO27" s="1">
        <v>0</v>
      </c>
      <c r="BP27" s="1">
        <f>-BO27*Analysis!$C$28</f>
        <v>0</v>
      </c>
      <c r="BQ27" s="42"/>
      <c r="BR27" s="1">
        <f t="shared" si="22"/>
        <v>-234222.37162063454</v>
      </c>
      <c r="BS27" s="64">
        <f>IF($B27&lt;Analysis!C$66,0,Analysis!C$31)</f>
        <v>0.1275</v>
      </c>
      <c r="BT27" s="1">
        <f>IF($B27&lt;Analysis!$C$66,0,AN27+BR27)</f>
        <v>1602815.8371686558</v>
      </c>
      <c r="BU27" s="1">
        <f>IF($B27-Analysis!$C$66&gt;3,0,IF($AN27&gt;LOOKUP(Analysis!$C$66,$B:$B, AN:AN),$V27*(LOOKUP(Analysis!$C$66,$B:$B, AN:AN)-AN27),0))</f>
        <v>0</v>
      </c>
      <c r="BV27" s="1">
        <f t="shared" si="23"/>
        <v>1602815.8371686558</v>
      </c>
      <c r="BW27" s="42"/>
      <c r="BX27" s="1">
        <f>IF($B27&lt;Analysis!$C$66,$P27+$N27+$X27+$Z27,$P27+$N27+AS27+AV27+BB27+BE27+BG27+MAX(BI27,SUM(BJ27:BN27))+BP27)</f>
        <v>-149916.36219228758</v>
      </c>
      <c r="BY27" s="1">
        <f t="shared" si="24"/>
        <v>131467.92324122589</v>
      </c>
      <c r="BZ27" s="1">
        <f t="shared" si="46"/>
        <v>-18448.438951061689</v>
      </c>
      <c r="CA27" s="1">
        <f>IF(BZ27 &lt; 0,
    IF(CA26 + BZ27 &gt; 0,
        CA26 + BZ27, IF(CF26-ABS(CA26 + BZ27)*(1+$V27) &gt;= CA26 + BZ27,
        0, CA26 + BZ27)),
    MIN(CA26 + BZ27, Analysis!$C$7))+IF(CA26&lt;0, CA26*Analysis!$C$9,0)</f>
        <v>-1629219.6601983411</v>
      </c>
      <c r="CB27" s="42"/>
      <c r="CC27" s="1">
        <f t="shared" si="47"/>
        <v>0</v>
      </c>
      <c r="CD27" s="1">
        <f>IF(BZ27 &gt;= 0,
    MAX(0, CA26 + BZ27 - Analysis!$C$7),
    0)</f>
        <v>0</v>
      </c>
      <c r="CE27" s="1">
        <f>IF($B27=Analysis!$C$66,0,MAX(0, CE26 + CD27 - IF(BZ27 &lt; 0, MIN(ABS(BZ27), CE26 + CD27), 0)))</f>
        <v>0</v>
      </c>
      <c r="CF27" s="1">
        <f>IF($B27=Analysis!$C$66,0,IF(BZ27 &lt; 0,
    IF(BZ27 + CA26 &lt; 0,
        MAX(0, CF26 - (ABS(BZ27 + CA26) * (1+$V26))),
        CF26 + CC27),
    CF26 + CD27 + CC27))</f>
        <v>0</v>
      </c>
      <c r="CG27" s="1">
        <f t="shared" si="25"/>
        <v>0</v>
      </c>
      <c r="CH27" s="36"/>
      <c r="CI27" s="1">
        <f>IF(OR($B27&lt;Analysis!$C$100, $B27&gt;=Analysis!$C$130),0,X27)</f>
        <v>-32695.151940699288</v>
      </c>
      <c r="CJ27" s="1">
        <f>IF(OR($B27&lt;Analysis!$C$100, $B27&gt;=Analysis!$C$130),0,Z27)</f>
        <v>-3960</v>
      </c>
      <c r="CK27" s="1">
        <f t="shared" si="26"/>
        <v>1072500.0598729386</v>
      </c>
      <c r="CL27" s="64">
        <f t="shared" si="48"/>
        <v>2.941176470588247E-2</v>
      </c>
      <c r="CM27" s="1">
        <f>IF($B27=Analysis!$C$100,(CK27*(1+Analysis!$C$23+Analysis!$C$24+Analysis!$C$25))-IF($B27=$B$2,(Analysis!$C$6-Analysis!$C$7+Analysis!$C$105), (FU26-Analysis!$C$7+CV27)),0)</f>
        <v>0</v>
      </c>
      <c r="CN27" s="65">
        <f>IF($B27=Analysis!$C$100,NPER(CR27,-CU27,-CM27),0)</f>
        <v>0</v>
      </c>
      <c r="CO27" s="64">
        <f>IF($B27=Analysis!$C$100,Analysis!$C$103,0)</f>
        <v>0</v>
      </c>
      <c r="CP27" s="1">
        <f>IF(OR($B27&lt;Analysis!$C$100, $B27&gt;=Analysis!$C$101),0,IF($B27=Analysis!$C$100,-CM27*CO27,IF(CU27&gt;=0,0,CU27-CS27)))</f>
        <v>-24985.390087946114</v>
      </c>
      <c r="CQ27" s="1">
        <f>IF(OR($B27&lt;Analysis!$C$100, $B27&gt;=Analysis!$C$101),0,IF($B27=Analysis!$C$100,-CM27-CP27,MIN(0,CQ26-CP27)))</f>
        <v>-75731.365372969827</v>
      </c>
      <c r="CR27" s="64">
        <f>IF(OR($B27&lt;Analysis!$C$100, $B27&gt;=Analysis!$C$101),0,IF($B27=Analysis!$C$100,Analysis!$C$102,IF(($B27-Analysis!$C$100)&lt;LOOKUP(Analysis!$C$100,$B:$B,CN:CN),CR26,0)))</f>
        <v>3.6999999999999998E-2</v>
      </c>
      <c r="CS27" s="1">
        <f>IF(OR($B27&lt;Analysis!$C$100, $B27&gt;=Analysis!$C$101),0,IF($B27=Analysis!$C$100,-CR27*CM27,CR26*CQ26))</f>
        <v>-3726.5199520538895</v>
      </c>
      <c r="CT27" s="1">
        <f>IF(OR($B27&lt;Analysis!$C$100, $B27&gt;=Analysis!$C$101),0,IF($B27=Analysis!$C$100,PMT(CR27,CN27,CM27)*CN27-CU27-CQ27,IF(($B27-Analysis!$C$100+1)&lt;LOOKUP(Analysis!$C$100,$B:$B,CN:CN),IF(CT26-CS27&lt;0, CT26-CS27,0),0)))</f>
        <v>-5420.189764442066</v>
      </c>
      <c r="CU27" s="1">
        <f>IF(OR($B27&lt;Analysis!$C$100, $B27&gt;=Analysis!$C$101),0,IF($B27=Analysis!$C$100,CP27+CS27,IF(CQ26&lt;0,IF(CQ26&gt;LOOKUP(Analysis!$C$100,$B:$B,CU:CU), CQ26*(1+CR26),CU26),0)))</f>
        <v>-28711.910040000002</v>
      </c>
      <c r="CV27" s="1">
        <f>IF($B27=Analysis!$C$100,Analysis!$C$105,0)</f>
        <v>0</v>
      </c>
      <c r="CW27" s="1">
        <f>IF($B27=Analysis!$C$100,PMT(CR27,CX27,CV27)*CX27,0)</f>
        <v>0</v>
      </c>
      <c r="CX27" s="7">
        <f>IF($B27=Analysis!$C$100,Analysis!$C$107,0)</f>
        <v>0</v>
      </c>
      <c r="CY27" s="1">
        <f>IF(OR($B27&lt;Analysis!$C$100, $B27&gt;=Analysis!$C$101),0,IF($B27=Analysis!$C$100,CW27/CX27,IF(($B27-Analysis!$C$100)&lt;LOOKUP(Analysis!$C$100,$B:$B,CX:CX),CY26,0)))</f>
        <v>0</v>
      </c>
      <c r="CZ27" s="1">
        <f>IF(OR($B27&lt;Analysis!$C$100, $B27&gt;=Analysis!$C$101),0,IF($B27=Analysis!$C$100,CX27*CY27-CY27,IF(($B27-Analysis!$C$100)&lt;Analysis!$C$107,CZ26-CY27,0)))</f>
        <v>0</v>
      </c>
      <c r="DA27" s="53"/>
      <c r="DB27" s="1">
        <f>IF(OR($B27&lt;Analysis!$C$100, $B27&gt;=Analysis!$C$101),0,IF($B27=2025,(Analysis!$C$109*12),IF($B27=Analysis!$C$100,(Analysis!$C$109*12)*(1+DC27)^($B27-$B$2),DB26*(1+DC27))))</f>
        <v>28608.257948111885</v>
      </c>
      <c r="DC27" s="64">
        <f>IF(OR($B27&lt;Analysis!$C$100, $B27&gt;=Analysis!$C$101),0,((1+Analysis!$C$114)/(1+$S27))-1)</f>
        <v>2.941176470588247E-2</v>
      </c>
      <c r="DD27" s="1">
        <f t="shared" si="6"/>
        <v>35785.758127730704</v>
      </c>
      <c r="DE27" s="1">
        <f t="shared" si="27"/>
        <v>-3217.5001796188158</v>
      </c>
      <c r="DF27" s="64">
        <f>IF(OR($B27&lt;Analysis!$C$100, $B27&gt;=Analysis!$C$101),0,Analysis!$C$118)</f>
        <v>3.0000000000000001E-3</v>
      </c>
      <c r="DG27" s="1">
        <f t="shared" si="28"/>
        <v>-8043.7504490470392</v>
      </c>
      <c r="DH27" s="64">
        <f>IF(OR($B27&lt;Analysis!$C$100, $B27&gt;=Analysis!$C$101),0,Analysis!$C$119)</f>
        <v>7.4999999999999997E-3</v>
      </c>
      <c r="DI27" s="1">
        <f>IF(OR($B27&lt;Analysis!$C$100, $B27&gt;=Analysis!$C$101),0,MIN(Analysis!$C$120*12,SUM(DJ27:DN27)))</f>
        <v>-3960</v>
      </c>
      <c r="DJ27" s="1">
        <f>IF(OR($B27&lt;Analysis!$C$100, $B27&gt;=Analysis!$C$101),0,Analysis!$C$121*12)</f>
        <v>-900</v>
      </c>
      <c r="DK27" s="1">
        <f>IF(OR($B27&lt;Analysis!$C$100, $B27&gt;=Analysis!$C$101),0,Analysis!$C$122*12)</f>
        <v>-1500</v>
      </c>
      <c r="DL27" s="1">
        <f>IF(OR($B27&lt;Analysis!$C$100, $B27&gt;=Analysis!$C$101),0,Analysis!$C$123*12)</f>
        <v>-480</v>
      </c>
      <c r="DM27" s="1">
        <f>IF(OR($B27&lt;Analysis!$C$100, $B27&gt;=Analysis!$C$101),0,Analysis!$C$124*12)</f>
        <v>-480</v>
      </c>
      <c r="DN27" s="1">
        <f>IF(OR($B27&lt;Analysis!$C$100, $B27&gt;=Analysis!$C$101),0,Analysis!$C$125*12)</f>
        <v>-600</v>
      </c>
      <c r="DO27" s="64">
        <f>IF(OR($B27&lt;Analysis!$C$100, $B27&gt;=Analysis!$C$101),0,Analysis!$C$113)</f>
        <v>0.02</v>
      </c>
      <c r="DP27" s="1">
        <f>-DO27*LOOKUP(Analysis!$C$100,$B:$B,CK:CK)</f>
        <v>-10392</v>
      </c>
      <c r="DQ27" s="1">
        <f>-Analysis!$C$117*DB27</f>
        <v>-2145.6193461083913</v>
      </c>
      <c r="DR27" s="1">
        <f t="shared" si="29"/>
        <v>-27758.869974774243</v>
      </c>
      <c r="DS27" s="1">
        <f>MIN(0,-(DB27+DR27)*Analysis!$C$28)-CS27*Analysis!$C$28</f>
        <v>1274.8571797691693</v>
      </c>
      <c r="DT27" s="1">
        <f>-Analysis!$C$116*DD27/12</f>
        <v>-2982.1465106442251</v>
      </c>
      <c r="DU27" s="53"/>
      <c r="DV27" s="1">
        <f t="shared" si="30"/>
        <v>-136743.75763379966</v>
      </c>
      <c r="DW27" s="64">
        <f>IF(OR($B27&lt;Analysis!$C$100, $B27&gt;=Analysis!$C$101),0,IF($B27=Analysis!$C$100,Analysis!$C$31,DW26))</f>
        <v>0.1275</v>
      </c>
      <c r="DX27" s="1">
        <f>IF(OR($B27&lt;Analysis!$C$100, $B27&gt;=Analysis!$C$101),0,CK27+DV27)</f>
        <v>935756.30223913887</v>
      </c>
      <c r="DY27" s="1">
        <f>IF(OR($B27&lt;Analysis!$C$100, $B27&gt;=Analysis!$C$101),0,IF($B27-Analysis!$C$100&gt;3,0,IF(CK27&gt;LOOKUP(Analysis!$C$100,$B:$B, CK:CK),$V27*(LOOKUP(Analysis!$C$100,$B:$B, CK:CK)-CK27),0)))</f>
        <v>0</v>
      </c>
      <c r="DZ27" s="1">
        <f t="shared" si="49"/>
        <v>935756.30223913887</v>
      </c>
      <c r="EA27" s="53"/>
      <c r="EB27" s="1">
        <f t="shared" si="31"/>
        <v>1424220.6337804617</v>
      </c>
      <c r="EC27" s="64">
        <f t="shared" si="50"/>
        <v>2.941176470588247E-2</v>
      </c>
      <c r="ED27" s="1">
        <f>MAX(0,IF($B27=Analysis!$C$130,(EB27*(1+Analysis!$C$23+Analysis!$C$24+Analysis!$C$25))-(IF($B27=$B$2,(Analysis!$C$6-Analysis!$C$7+Analysis!$C$132), (FU26-Analysis!$C$7+EM27)) + IF($B27=Analysis!$C$101,DZ26+CQ26+CT26+CZ26,0)),0))</f>
        <v>0</v>
      </c>
      <c r="EE27" s="65">
        <f>IF($B27=Analysis!$C$130,IF(ED27&gt;0,NPER(EI27,-EL27,-ED27),0),0)</f>
        <v>0</v>
      </c>
      <c r="EF27" s="64">
        <f>IF($B27=Analysis!$C$130,Analysis!$C$137,0)</f>
        <v>0</v>
      </c>
      <c r="EG27" s="1">
        <f>IF($B27&lt;Analysis!$C$130,0,IF($B27=Analysis!$C$130,-ED27*EF27,IF(EL27&gt;=0,0,EL27-EJ27)))</f>
        <v>0</v>
      </c>
      <c r="EH27" s="1">
        <f>IF($B27&lt;Analysis!$C$130,0,IF($B27=Analysis!$C$130,-ED27-EG27,MIN(0,EH26-EG27)))</f>
        <v>0</v>
      </c>
      <c r="EI27" s="64">
        <f>IF($B27&lt;Analysis!$C$130,0,IF($B27=Analysis!$C$130,Analysis!$C$136,IF(($B27-Analysis!$C$130)&lt;LOOKUP(Analysis!$C$130,$B:$B,EE:EE),EI26,0)))</f>
        <v>0</v>
      </c>
      <c r="EJ27" s="1">
        <f>IF($B27&lt;Analysis!$C$130,0,IF($B27=Analysis!$C$130,-EI27*ED27,EI26*EH26))</f>
        <v>0</v>
      </c>
      <c r="EK27" s="1">
        <f>IF(OR($B27&lt;Analysis!$C$130, ED27=0),0,IF($B27=Analysis!$C$130,PMT(EI27,EE27,ED27)*EE27-EL27-EH27,IF(($B27-Analysis!$C$130+1)&lt;LOOKUP(Analysis!$C$130,$B:$B,EE:EE),IF(EK26-EJ27&lt;0, EK26-EJ27,0),0)))</f>
        <v>0</v>
      </c>
      <c r="EL27" s="1">
        <f>IF($B27&lt;Analysis!$C$130,0,IF($B27=Analysis!$C$130,EG27+EJ27,IF(EH26&lt;0,IF(EH26&gt;LOOKUP(Analysis!$C$130,$B:$B,EL:EL), EH26*(1+EI26),EL26),0)))</f>
        <v>0</v>
      </c>
      <c r="EM27" s="1">
        <f>IF($B27=Analysis!$C$130,Analysis!$C$132,0)</f>
        <v>0</v>
      </c>
      <c r="EN27" s="1">
        <f>IF($B27=Analysis!$C$130,PMT(EI27,EO27,EM27)*EO27,0)</f>
        <v>0</v>
      </c>
      <c r="EO27" s="7">
        <f>IF($B27=Analysis!$C$130,Analysis!$C$134,0)</f>
        <v>0</v>
      </c>
      <c r="EP27" s="1">
        <f>IF($B27&lt;Analysis!$C$130,0,IF($B27=Analysis!$C$130,EN27/EO27,IF(($B27-Analysis!$C$130)&lt;LOOKUP(Analysis!$C$130,$B:$B,EO:EO),EP26,0)))</f>
        <v>0</v>
      </c>
      <c r="EQ27" s="1">
        <f>IF($B27&lt;Analysis!$C$130,0,IF($B27=Analysis!$C$130,EO27*EP27-EP27,IF(($B27-Analysis!$C$130)&lt;Analysis!$C$134,EQ26-EP27,0)))</f>
        <v>0</v>
      </c>
      <c r="ER27" s="53"/>
      <c r="ES27" s="1">
        <f>IF($B27&lt;Analysis!$C$130,0,-ET27*EB27)</f>
        <v>0</v>
      </c>
      <c r="ET27" s="64">
        <f>IF($B27&lt;Analysis!$C$130,0,Analysis!$C$142)</f>
        <v>0</v>
      </c>
      <c r="EU27" s="1">
        <f>IF($B27&lt;Analysis!$C$130,0,-EV27*EB27)</f>
        <v>0</v>
      </c>
      <c r="EV27" s="64">
        <f>IF($B27&lt;Analysis!$C$130,0,Analysis!$C$143)</f>
        <v>0</v>
      </c>
      <c r="EW27" s="1">
        <f>IF($B27&lt;Analysis!$C$130,0,MIN(Analysis!$C$144*12,SUM(EX27:FB27)))</f>
        <v>0</v>
      </c>
      <c r="EX27" s="1">
        <f>IF($B27&lt;Analysis!$C$130,0,Analysis!$C$145*12)</f>
        <v>0</v>
      </c>
      <c r="EY27" s="1">
        <f>IF($B27&lt;Analysis!$C$130,0,Analysis!$C$146*12)</f>
        <v>0</v>
      </c>
      <c r="EZ27" s="1">
        <f>IF($B27&lt;Analysis!$C$130,0,Analysis!$C$147*12)</f>
        <v>0</v>
      </c>
      <c r="FA27" s="1">
        <f>IF($B27&lt;Analysis!$C$130,0,Analysis!$C$148*12)</f>
        <v>0</v>
      </c>
      <c r="FB27" s="1">
        <f>IF($B27&lt;Analysis!$C$130,0,Analysis!$C$149*12)</f>
        <v>0</v>
      </c>
      <c r="FC27" s="1">
        <v>0</v>
      </c>
      <c r="FD27" s="1">
        <f>-FC27*Analysis!$C$28</f>
        <v>0</v>
      </c>
      <c r="FE27" s="53"/>
      <c r="FF27" s="1">
        <f t="shared" si="32"/>
        <v>0</v>
      </c>
      <c r="FG27" s="64">
        <f>IF($B27&lt;Analysis!$C$130,0,Analysis!$C$31)</f>
        <v>0</v>
      </c>
      <c r="FH27" s="1">
        <f>IF($B27&lt;Analysis!$C$130,0,EB27+FF27)</f>
        <v>0</v>
      </c>
      <c r="FI27" s="1">
        <f>IF($B27-Analysis!$C$130&gt;3,0,IF(EB27&gt;LOOKUP(Analysis!$C$130,$B:$B, EB:EB),$V27*(LOOKUP(Analysis!$C$130,$B:$B, EB:EB)-EB27),0))</f>
        <v>0</v>
      </c>
      <c r="FJ27" s="1">
        <f t="shared" si="33"/>
        <v>0</v>
      </c>
      <c r="FK27" s="53"/>
      <c r="FL27" s="1">
        <f>$P27+$N27+IF($B27&lt;Analysis!$C$130,$X27+$Z27,0)+CP27+CS27+CY27+DE27+DG27+MIN(DI27,SUM(DJ27:DN27))+DQ27+DS27+DT27+EG27+EJ27+EP27+ES27+EU27+MIN(EW27,SUM(EX27:FB27))+FD27</f>
        <v>-158841.22128634865</v>
      </c>
      <c r="FM27" s="1">
        <f>$M27+$R27+DD27+IF(AND($B27&lt;&gt;Analysis!$C$130,$B27=Analysis!$C$101),DZ26+CQ26+CT26+CZ26,0)</f>
        <v>167253.68136895658</v>
      </c>
      <c r="FN27" s="1">
        <f t="shared" si="34"/>
        <v>8412.4600826079259</v>
      </c>
      <c r="FO27" s="1">
        <f>IF(FN27 &lt; 0,
    IF(FO26 + FN27 &gt; 0,
        FO26 + FN27, IF(FT26-ABS(FO26 + FN27)*(1+$V27) &gt;= FO26 + FN27,
        0, FO26 + FN27)),
    MIN(FO26 + FN27, Analysis!$C$7))+IF(FO26&lt;0, FO26*Analysis!$C$9,0)</f>
        <v>24000</v>
      </c>
      <c r="FP27" s="53"/>
      <c r="FQ27" s="1">
        <f t="shared" si="51"/>
        <v>17929.266126995208</v>
      </c>
      <c r="FR27" s="1">
        <f>IF(OR($B27=Analysis!$C$100, $B27=Analysis!$C$130),0,IF(FN27 &gt;= 0,
    MAX(0, FO26 + FN27 - Analysis!$C$7),
    0))</f>
        <v>8412.4600826079259</v>
      </c>
      <c r="FS27" s="1">
        <f>IF(OR($B27=Analysis!$C$100, $B27=Analysis!$C$130),0,MAX(0, FS26 + FR27 - IF(FN27 &lt; 0, MIN(ABS(FN27), FS26 + FR27), 0)))</f>
        <v>349579.2855522373</v>
      </c>
      <c r="FT27" s="1">
        <f>IF(OR($B27=Analysis!$C$100, $B27=Analysis!$C$130),0,IF(FN27 &lt; 0,
    IF(FN27 + FO26 &lt; 0,
        MAX(0, FT26 - (ABS(FN27 + FO26) * (1+$V26))),
        FT26 + FQ27),
    FT26 + FR27 + FQ27))</f>
        <v>530337.63229915116</v>
      </c>
      <c r="FU27" s="1">
        <f t="shared" si="57"/>
        <v>482662.61834465264</v>
      </c>
      <c r="FV27" s="36"/>
      <c r="FW27" s="1">
        <f t="shared" si="52"/>
        <v>1072500.0598729386</v>
      </c>
      <c r="FX27" s="64">
        <f t="shared" si="53"/>
        <v>2.941176470588247E-2</v>
      </c>
      <c r="FY27" s="1">
        <f>IF($B27=Analysis!$C$159,(FW27*(1+Analysis!$C$23+Analysis!$C$24+Analysis!$C$25))-IF($B27=$B$2,(Analysis!$C$6-Analysis!$C$7+Analysis!$C$165), (HW26-Analysis!$C$7+GH27)),0)</f>
        <v>0</v>
      </c>
      <c r="FZ27" s="65">
        <f>IF($B27=Analysis!$C$159,NPER(GD27,-GG27,-FY27),0)</f>
        <v>0</v>
      </c>
      <c r="GA27" s="64">
        <f>IF($B27=Analysis!$C$159,Analysis!$C$161,0)</f>
        <v>0</v>
      </c>
      <c r="GB27" s="1">
        <f>IF($B27&lt;Analysis!$C$159,0,IF($B27=Analysis!$C$159,-FY27*GA27,IF(GG27&gt;=0,0,GG27-GE27)))</f>
        <v>-24985.390087946114</v>
      </c>
      <c r="GC27" s="1">
        <f>IF($B27&lt;Analysis!$C$159,0,IF($B27=Analysis!$C$159,-FY27-GB27,MIN(0,GC26-GB27)))</f>
        <v>-75731.365372969827</v>
      </c>
      <c r="GD27" s="64">
        <f>IF($B27&lt;Analysis!$C$159,0,IF($B27=Analysis!$C$159,Analysis!$C$160,IF(($B27-Analysis!$C$159)&lt;LOOKUP(Analysis!$C$159,$B:$B,FZ:FZ),GD26,0)))</f>
        <v>3.6999999999999998E-2</v>
      </c>
      <c r="GE27" s="1">
        <f>IF($B27&lt;Analysis!$C$159,0,IF($B27=Analysis!$C$159,-GD27*FY27,GD26*GC26))</f>
        <v>-3726.5199520538895</v>
      </c>
      <c r="GF27" s="1">
        <f>IF($B27&lt;Analysis!$C$159,0,IF($B27=Analysis!$C$159,PMT(GD27,FZ27,FY27)*FZ27-GG27-GC27,IF(($B27-Analysis!$C$159+1)&lt;LOOKUP(Analysis!$C$159,$B:$B,FZ:FZ),IF(GF26-GE27&lt;0, GF26-GE27,0),0)))</f>
        <v>-5420.189764442066</v>
      </c>
      <c r="GG27" s="1">
        <f>IF($B27&lt;Analysis!$C$159,0,IF($B27=Analysis!$C$159,GB27+GE27,IF(GC26&lt;0,IF(GC26&gt;LOOKUP(Analysis!$C$159,$B:$B,GG:GG), GC26*(1+GD26),GG26),0)))</f>
        <v>-28711.910040000002</v>
      </c>
      <c r="GH27" s="1">
        <f>IF($B27=Analysis!$C$159,Analysis!$C$165,0)</f>
        <v>0</v>
      </c>
      <c r="GI27" s="1">
        <f>IF($B27=Analysis!$C$159,PMT(GD27,GJ27,GH27)*GJ27,0)</f>
        <v>0</v>
      </c>
      <c r="GJ27" s="7">
        <f>IF($B27=Analysis!$C$159,Analysis!$C$167,0)</f>
        <v>0</v>
      </c>
      <c r="GK27" s="1">
        <f>IF($B27&lt;Analysis!$C$159,0,IF($B27=Analysis!$C$159,GI27/GJ27,IF(($B27-Analysis!$C$159)&lt;LOOKUP(Analysis!$C$159,$B:$B,GJ:GJ),GK26,0)))</f>
        <v>0</v>
      </c>
      <c r="GL27" s="1">
        <f>IF($B27&lt;Analysis!$C$159,0,IF($B27=Analysis!$C$159,GJ27*GK27-GK27,IF(($B27-Analysis!$C$159)&lt;Analysis!$C$167,GL26-GK27,0)))</f>
        <v>0</v>
      </c>
      <c r="GM27" s="38"/>
      <c r="GN27" s="1">
        <f>IF($B27&lt;Analysis!$C$159,0,IF($B27=2025,(Analysis!$C$109*12),IF($B27=Analysis!$C$159,(Analysis!$C$109*12)*(1+GO27)^($B27-$B$2),GN26*(1+GO27))))</f>
        <v>28608.257948111885</v>
      </c>
      <c r="GO27" s="64">
        <f>IF($B27&lt;Analysis!$C$159,0,((1+Analysis!$C$174)/(1+$S27))-1)</f>
        <v>2.941176470588247E-2</v>
      </c>
      <c r="GP27" s="1">
        <f t="shared" si="7"/>
        <v>35785.758127730704</v>
      </c>
      <c r="GQ27" s="1">
        <f t="shared" si="36"/>
        <v>-3217.5001796188158</v>
      </c>
      <c r="GR27" s="64">
        <f>IF($B27&lt;Analysis!$C$159,0,Analysis!$C$178)</f>
        <v>3.0000000000000001E-3</v>
      </c>
      <c r="GS27" s="1">
        <f t="shared" si="37"/>
        <v>-8043.7504490470392</v>
      </c>
      <c r="GT27" s="64">
        <f>IF($B27&lt;Analysis!$C$159,0,Analysis!$C$179)</f>
        <v>7.4999999999999997E-3</v>
      </c>
      <c r="GU27" s="1">
        <f>IF($B27&lt;Analysis!$C$159,0,MIN(Analysis!$C$180*12,SUM(GV27:GZ27)))</f>
        <v>-3960</v>
      </c>
      <c r="GV27" s="1">
        <f>IF($B27&lt;Analysis!$C$159,0,Analysis!$C$181*12)</f>
        <v>-900</v>
      </c>
      <c r="GW27" s="1">
        <f>IF($B27&lt;Analysis!$C$159,0,Analysis!$C$182*12)</f>
        <v>-1500</v>
      </c>
      <c r="GX27" s="1">
        <f>IF($B27&lt;Analysis!$C$159,0,Analysis!$C$183*12)</f>
        <v>-480</v>
      </c>
      <c r="GY27" s="1">
        <f>IF($B27&lt;Analysis!$C$159,0,Analysis!$C$184*12)</f>
        <v>-480</v>
      </c>
      <c r="GZ27" s="1">
        <f>IF($B27&lt;Analysis!$C$159,0,Analysis!$C$185*12)</f>
        <v>-600</v>
      </c>
      <c r="HA27" s="64">
        <f>IF($B27&lt;Analysis!$C$159,0,Analysis!$C$173)</f>
        <v>0.02</v>
      </c>
      <c r="HB27" s="1">
        <f>-HA27*LOOKUP(Analysis!$C$159,$B:$B,FW:FW)</f>
        <v>-10392</v>
      </c>
      <c r="HC27" s="1">
        <f>-Analysis!$C$177*GN27</f>
        <v>-2145.6193461083913</v>
      </c>
      <c r="HD27" s="1">
        <f t="shared" si="38"/>
        <v>-27758.869974774243</v>
      </c>
      <c r="HE27" s="1">
        <f>MIN(0,-(GN27+HD27)*Analysis!$C$28)-GE27*Analysis!$C$28</f>
        <v>1274.8571797691693</v>
      </c>
      <c r="HF27" s="1">
        <f>-Analysis!$C$176*GP27/12</f>
        <v>-2982.1465106442251</v>
      </c>
      <c r="HG27" s="38"/>
      <c r="HH27" s="1">
        <f>IF($B27&lt;Analysis!$C$159,0,-$HI27*$FW27)</f>
        <v>-136743.75763379966</v>
      </c>
      <c r="HI27" s="64">
        <f>IF($B27&lt;Analysis!$C$159,0,IF($B27=Analysis!$C$159,Analysis!$C$31,HI26))</f>
        <v>0.1275</v>
      </c>
      <c r="HJ27" s="1">
        <f>IF($B27&lt;Analysis!$C$159,0,$FW27+HH27)</f>
        <v>935756.30223913887</v>
      </c>
      <c r="HK27" s="1">
        <f>IF($B27-Analysis!$C$159&gt;10,0,IF($FW27&gt;LOOKUP(Analysis!$C$159,$B:$B, FW:FW),$V27*(LOOKUP(Analysis!$C$159,$B:$B, FW:FW)-FW27),0))</f>
        <v>0</v>
      </c>
      <c r="HL27" s="1">
        <f t="shared" si="39"/>
        <v>935756.30223913887</v>
      </c>
      <c r="HM27" s="38"/>
      <c r="HN27" s="1">
        <f t="shared" si="40"/>
        <v>-158841.22128634865</v>
      </c>
      <c r="HO27" s="1">
        <f t="shared" si="8"/>
        <v>167253.68136895658</v>
      </c>
      <c r="HP27" s="1">
        <f t="shared" si="41"/>
        <v>8412.4600826079259</v>
      </c>
      <c r="HQ27" s="1">
        <f>IF(HP27 &lt; 0,
    IF(HQ26 + HP27 &gt; 0,
        HQ26 + HP27, IF(HV26-ABS(HQ26 + HP27)*(1+$V27) &gt;= HQ26 + HP27,
        0, HQ26 + HP27)),
    MIN(HQ26 + HP27, Analysis!$C$7))+IF(HQ26&lt;0, HQ26*Analysis!$C$9,0)</f>
        <v>24000</v>
      </c>
      <c r="HR27" s="38"/>
      <c r="HS27" s="1">
        <f t="shared" si="54"/>
        <v>17929.266126995208</v>
      </c>
      <c r="HT27" s="1">
        <f>IF($B27=Analysis!$C$159,0,IF(HP27 &gt;= 0,
    MAX(0, HQ26 + HP27 - Analysis!$C$7),
    0))</f>
        <v>8412.4600826079259</v>
      </c>
      <c r="HU27" s="1">
        <f>IF($B27=Analysis!$C$159,0,MAX(0, HU26 + HT27 - IF(HP27 &lt; 0, MIN(ABS(HP27), HU26 + HT27), 0)))</f>
        <v>349579.2855522373</v>
      </c>
      <c r="HV27" s="1">
        <f>IF($B27=Analysis!$C$159,0,IF(HP27 &lt; 0,
    IF(HP27 + HQ26 &lt; 0,
        MAX(0, HV26 - (ABS(HP27 + HQ26) * (1+$V26))),
        HV26 + HS27),
    HV26 + HT27 + HS27))</f>
        <v>530337.63229915116</v>
      </c>
      <c r="HW27" s="1">
        <f t="shared" si="58"/>
        <v>482662.61834465264</v>
      </c>
      <c r="HX27" s="36"/>
    </row>
    <row r="28" spans="1:232" x14ac:dyDescent="0.35">
      <c r="A28">
        <f t="shared" si="0"/>
        <v>61</v>
      </c>
      <c r="B28">
        <v>2051</v>
      </c>
      <c r="C28" s="1">
        <f>IF($B28&lt;Analysis!C$66,0,$AN28)+$AT28+$AW28+$BC28+$CF28+$CA28</f>
        <v>30234.073963035829</v>
      </c>
      <c r="D28" s="1">
        <f>IF($B28&lt;Analysis!C$66, 0, BV28)+AT28+AW28+BC28+CG28+CA28</f>
        <v>-210877.19094055868</v>
      </c>
      <c r="E28" s="1">
        <f t="shared" si="1"/>
        <v>1549420.702730926</v>
      </c>
      <c r="F28" s="1">
        <f t="shared" si="9"/>
        <v>1355726.1111988723</v>
      </c>
      <c r="G28" s="1">
        <f>IF(AND($B28&gt;=Analysis!$C$100, $B28&lt;Analysis!$C$101),$CK28,0)+IF($B28&gt;=Analysis!$C$130,EB28,0)+CQ28+CT28+CZ28+EH28+EK28+EQ28+$FO28+$FT28</f>
        <v>1644406.1968354913</v>
      </c>
      <c r="H28" s="1">
        <f t="shared" si="10"/>
        <v>1451229.3378583207</v>
      </c>
      <c r="I28" s="1">
        <f>IF($B28&lt;Analysis!$C$159,0,$FW28)+$GC28+$GF28+$GL28+$HQ28+$HV28</f>
        <v>1644406.1968354913</v>
      </c>
      <c r="J28" s="1">
        <f t="shared" si="2"/>
        <v>1451229.3378583207</v>
      </c>
      <c r="K28" s="36"/>
      <c r="L28" s="1">
        <f t="shared" si="11"/>
        <v>131467.92324122589</v>
      </c>
      <c r="M28" s="1">
        <f>IF($B28=Analysis!$C$47, M27 * (1 - Analysis!$C$48),
    IF($B28=Analysis!$C$52, M27 * (1 - Analysis!$C$53),
    IF($B28=Analysis!$C$58, M27 * (1 - Analysis!$C$60),
    L28)))</f>
        <v>131467.92324122589</v>
      </c>
      <c r="N28" s="1">
        <f>Analysis!$C$3*12*(1+O28)+P28</f>
        <v>-54600</v>
      </c>
      <c r="O28" s="64">
        <f>IF(OR($B28=Analysis!$C$47,$B28=Analysis!$C$52,$B28=Analysis!$C$58),-Analysis!$C$49,0)</f>
        <v>0</v>
      </c>
      <c r="P28" s="1">
        <f>IF($B28&lt;Analysis!$C$47,0,IF($B28-Analysis!$C$47&lt;=3,Analysis!$C$40+Analysis!$C$44,IF($B28-Analysis!$C$47&lt;=10,Analysis!$C$41+Analysis!$C$44,IF($B28-Analysis!$C$47&lt;=18,Analysis!$C$42+Analysis!$C$44,IF($B28-Analysis!$C$47&lt;=25,Analysis!$C$43+Analysis!$C$44,0)))) + IF(AND($B28&gt;=Analysis!$C$52, $B28-Analysis!$C$52&lt;=3),Analysis!$C$40+Analysis!$C$44,IF(AND($B28&gt;=Analysis!$C$52, $B28-Analysis!$C$52&lt;=10),Analysis!$C$41+Analysis!$C$44,IF(AND($B28&gt;=Analysis!$C$52, $B28-Analysis!$C$52&lt;=18),Analysis!$C$42+Analysis!$C$44,IF(AND($B28&gt;=Analysis!$C$52, $B28-Analysis!$C$52&lt;=25),Analysis!$C$43+Analysis!$C$44,0)))) + Analysis!$C$57*IF(AND($B28&gt;=Analysis!$C$58, $B28-Analysis!$C$58&lt;=3),Analysis!$C$40+Analysis!$C$44,IF(AND($B28&gt;=Analysis!$C$58, $B28-Analysis!$C$58&lt;=10),Analysis!$C$41+Analysis!$C$44,IF(AND($B28&gt;=Analysis!$C$58, $B28-Analysis!$C$58&lt;=18),Analysis!$C$42+Analysis!$C$44,IF(AND($B28&gt;=Analysis!$C$58, $B28-Analysis!$C$58&lt;=25),Analysis!$C$43+Analysis!$C$44,0)))))</f>
        <v>-6600</v>
      </c>
      <c r="Q28" s="1">
        <f t="shared" si="43"/>
        <v>0</v>
      </c>
      <c r="R28" s="1">
        <f>IF(AND(AND(B28=Analysis!C$35,Analysis!C$34&lt;&gt;0),AND(B28=Analysis!C$37,Analysis!C$36&lt;&gt;0)),Analysis!C$34+Analysis!C$36,IF(AND(B28=Analysis!C$35,Analysis!C$34&lt;&gt;0),Analysis!C$34,IF(AND(B28=Analysis!C$37,Analysis!C$36&lt;&gt;0),Analysis!C$36,0)))</f>
        <v>0</v>
      </c>
      <c r="S28" s="64">
        <f t="shared" si="12"/>
        <v>0.02</v>
      </c>
      <c r="T28" s="64">
        <f>IF($B28&lt;Analysis!$C$13, ((1+IF($B28-$B$2&lt;10,Analysis!$C$11,IF($B28-$B$2&lt;20,(Analysis!$C$11+Analysis!$C$12)/2,Analysis!$C$12)))/(1+$S28)-1),IF($B28=Analysis!$C$13,-Analysis!$C$14,-$S28))</f>
        <v>0</v>
      </c>
      <c r="U28" s="64">
        <f>IF($B28=$B$2,((1+Analysis!$C$16)/(1+$S28))-1,IF(B28&lt;Analysis!$C$13,U27-((Analysis!$C$16-Analysis!$C$17)/(Analysis!$C$13-$B$2)),((1+Analysis!$C$17)/(1+$S27))-1))</f>
        <v>3.3859943977591199E-2</v>
      </c>
      <c r="V28" s="64">
        <f t="shared" si="13"/>
        <v>0.26374999999999998</v>
      </c>
      <c r="W28" s="36"/>
      <c r="X28" s="1">
        <f t="shared" si="14"/>
        <v>-33656.774056602211</v>
      </c>
      <c r="Y28" s="64">
        <f t="shared" si="15"/>
        <v>2.941176470588247E-2</v>
      </c>
      <c r="Z28" s="1">
        <f t="shared" si="16"/>
        <v>-3960</v>
      </c>
      <c r="AA28" s="64">
        <f t="shared" si="17"/>
        <v>0</v>
      </c>
      <c r="AB28" s="40"/>
      <c r="AC28" s="1">
        <f t="shared" si="3"/>
        <v>-98816.774056602211</v>
      </c>
      <c r="AD28" s="1">
        <f t="shared" si="4"/>
        <v>131467.92324122589</v>
      </c>
      <c r="AE28" s="1">
        <f t="shared" si="18"/>
        <v>32651.149184623675</v>
      </c>
      <c r="AF28" s="1">
        <f>IF(AE28 &lt; 0,
    IF(AF27 + AE28 &gt; 0,
        AF27 + AE28, IF(AK27-ABS(AF27 + AE28)*(1+$V28) &gt;= AF27 + AE28,
        0, AF27 + AE28)),
    MIN(AF27 + AE28, Analysis!$C$7))+IF(AF27&lt;0, AF27*Analysis!$C$9,0)</f>
        <v>24000</v>
      </c>
      <c r="AG28" s="40"/>
      <c r="AH28" s="1">
        <f t="shared" si="19"/>
        <v>48889.691247799397</v>
      </c>
      <c r="AI28" s="1">
        <f>IF(AE28 &gt;= 0,
    MAX(0, AF27 + AE28 - Analysis!$C$7),
    0)</f>
        <v>32651.149184623675</v>
      </c>
      <c r="AJ28" s="1">
        <f t="shared" si="44"/>
        <v>791033.62583214464</v>
      </c>
      <c r="AK28" s="1">
        <f t="shared" si="20"/>
        <v>1525420.702730926</v>
      </c>
      <c r="AL28" s="1">
        <f t="shared" si="5"/>
        <v>1331726.1111988723</v>
      </c>
      <c r="AM28" s="36"/>
      <c r="AN28" s="1">
        <f t="shared" si="45"/>
        <v>1891068.7443419169</v>
      </c>
      <c r="AO28" s="64">
        <f t="shared" si="21"/>
        <v>2.941176470588247E-2</v>
      </c>
      <c r="AP28" s="1">
        <f>IF($B28=Analysis!$C$66,(AN28*(1+Analysis!$C$23+Analysis!$C$24+Analysis!$C$25))-IF($B28=$B$2,(Analysis!$C$6-Analysis!$C$7+Analysis!$C$68), ($CG27-Analysis!$C$7+AY28)),0)</f>
        <v>0</v>
      </c>
      <c r="AQ28" s="65">
        <f>IF($B28=Analysis!$C$66,NPER(AU28,-AX28,-AP28),0)</f>
        <v>0</v>
      </c>
      <c r="AR28" s="64">
        <f>IF($B28=Analysis!$C$66,Analysis!$C$73,0)</f>
        <v>0</v>
      </c>
      <c r="AS28" s="1">
        <f>IF($B28&lt;Analysis!$C$66,0,IF($B28=Analysis!$C$66,-AP28*AR28,IF(AX28&gt;=0,0,AX28-AV28)))</f>
        <v>-47166.560757488238</v>
      </c>
      <c r="AT28" s="1">
        <f>IF($B28&lt;Analysis!$C$66,0,IF($B28=Analysis!$C$66,-AP28-AS28,MIN(0,AT27-AS28)))</f>
        <v>-90695.607959046116</v>
      </c>
      <c r="AU28" s="64">
        <f>IF($B28&lt;Analysis!$C$66,0,IF($B28=Analysis!$C$66,Analysis!$C$72,IF(($B28-Analysis!$C$66)&lt;LOOKUP(Analysis!$C$66,$B:$B,AQ:AQ),AU27,0)))</f>
        <v>3.6999999999999998E-2</v>
      </c>
      <c r="AV28" s="1">
        <f>IF($B28&lt;Analysis!$C$66,0,IF($B28=Analysis!$C$66,-AU28*AP28,AU27*AT27))</f>
        <v>-5100.9002425117715</v>
      </c>
      <c r="AW28" s="1">
        <f>IF($B28&lt;Analysis!$C$66,0,IF($B28=Analysis!$C$66,PMT(AU28,AQ28,AP28)*AQ28-AX28-AT28,IF(($B28-Analysis!$C$66+1)&lt;LOOKUP(Analysis!$C$66,$B:$B,AQ:AQ),IF(AW27-AV28&lt;0, AW27-AV28,0),0)))</f>
        <v>-4766.0698312623836</v>
      </c>
      <c r="AX28" s="1">
        <f>IF($B28&lt;Analysis!$C$66,0,IF($B28=Analysis!$C$66,AS28+AV28,IF(AT27&lt;0,IF(AT27&gt;LOOKUP(Analysis!$C$66,$B:$B,AX:AX), AT27*(1+AU27),AX27),0)))</f>
        <v>-52267.46100000001</v>
      </c>
      <c r="AY28" s="1">
        <f>IF($B28=Analysis!$C$66,Analysis!$C$68,0)</f>
        <v>0</v>
      </c>
      <c r="AZ28" s="1">
        <f>IF($B28=Analysis!$C$66,PMT(AU28,BA28,AY28)*BA28,0)</f>
        <v>0</v>
      </c>
      <c r="BA28" s="7">
        <f>IF($B28=Analysis!$C$66,Analysis!$C$70,0)</f>
        <v>0</v>
      </c>
      <c r="BB28" s="1">
        <f>IF($B28&lt;Analysis!$C$66,0,IF($B28=Analysis!$C$66,AZ28/BA28,IF(($B28-Analysis!$C$66)&lt;LOOKUP(Analysis!$C$66,$B:$B,BA:BA),BB27,0)))</f>
        <v>0</v>
      </c>
      <c r="BC28" s="1">
        <f>IF($B28&lt;Analysis!$C$66,0,IF($B28=Analysis!$C$66,BA28*BB28-BB28,IF(($B28-Analysis!$C$66)&lt;Analysis!$C$70,BC27-BB28,0)))</f>
        <v>0</v>
      </c>
      <c r="BD28" s="42"/>
      <c r="BE28" s="1">
        <f>IF($B28&lt;Analysis!$C$66,0,-BF28*AN28)</f>
        <v>-5673.2062330257504</v>
      </c>
      <c r="BF28" s="64">
        <f>IF($B28&lt;Analysis!$C$66,0,Analysis!$C$78)</f>
        <v>3.0000000000000001E-3</v>
      </c>
      <c r="BG28" s="1">
        <f>IF($B28&lt;Analysis!$C$66,0,-BH28*AN28)</f>
        <v>-14183.015582564376</v>
      </c>
      <c r="BH28" s="64">
        <f>IF($B28&lt;Analysis!$C$66,0,Analysis!$C$79)</f>
        <v>7.4999999999999997E-3</v>
      </c>
      <c r="BI28" s="1">
        <f>IF($B28&lt;Analysis!$C$66,0,MIN(Analysis!$C$80*12,SUM(BJ28:BN28)))</f>
        <v>-3960</v>
      </c>
      <c r="BJ28" s="1">
        <f>IF($B28&lt;Analysis!$C$66,0,Analysis!$C$81*12)</f>
        <v>-900</v>
      </c>
      <c r="BK28" s="1">
        <f>IF($B28&lt;Analysis!$C$66,0,Analysis!$C$82*12)</f>
        <v>-1500</v>
      </c>
      <c r="BL28" s="1">
        <f>IF($B28&lt;Analysis!$C$66,0,Analysis!$C$83*12)</f>
        <v>-480</v>
      </c>
      <c r="BM28" s="1">
        <f>IF($B28&lt;Analysis!$C$66,0,Analysis!$C$84*12)</f>
        <v>-480</v>
      </c>
      <c r="BN28" s="1">
        <f>IF($B28&lt;Analysis!$C$66,0,Analysis!$C$85*12)</f>
        <v>-600</v>
      </c>
      <c r="BO28" s="1">
        <v>0</v>
      </c>
      <c r="BP28" s="1">
        <f>-BO28*Analysis!$C$28</f>
        <v>0</v>
      </c>
      <c r="BQ28" s="42"/>
      <c r="BR28" s="1">
        <f t="shared" si="22"/>
        <v>-241111.26490359442</v>
      </c>
      <c r="BS28" s="64">
        <f>IF($B28&lt;Analysis!C$66,0,Analysis!C$31)</f>
        <v>0.1275</v>
      </c>
      <c r="BT28" s="1">
        <f>IF($B28&lt;Analysis!$C$66,0,AN28+BR28)</f>
        <v>1649957.4794383224</v>
      </c>
      <c r="BU28" s="1">
        <f>IF($B28-Analysis!$C$66&gt;3,0,IF($AN28&gt;LOOKUP(Analysis!$C$66,$B:$B, AN:AN),$V28*(LOOKUP(Analysis!$C$66,$B:$B, AN:AN)-AN28),0))</f>
        <v>0</v>
      </c>
      <c r="BV28" s="1">
        <f t="shared" si="23"/>
        <v>1649957.4794383224</v>
      </c>
      <c r="BW28" s="42"/>
      <c r="BX28" s="1">
        <f>IF($B28&lt;Analysis!$C$66,$P28+$N28+$X28+$Z28,$P28+$N28+AS28+AV28+BB28+BE28+BG28+MAX(BI28,SUM(BJ28:BN28))+BP28)</f>
        <v>-137283.68281559015</v>
      </c>
      <c r="BY28" s="1">
        <f t="shared" si="24"/>
        <v>131467.92324122589</v>
      </c>
      <c r="BZ28" s="1">
        <f t="shared" si="46"/>
        <v>-5815.7595743642596</v>
      </c>
      <c r="CA28" s="1">
        <f>IF(BZ28 &lt; 0,
    IF(CA27 + BZ28 &gt; 0,
        CA27 + BZ28, IF(CF27-ABS(CA27 + BZ28)*(1+$V28) &gt;= CA27 + BZ28,
        0, CA27 + BZ28)),
    MIN(CA27 + BZ28, Analysis!$C$7))+IF(CA27&lt;0, CA27*Analysis!$C$9,0)</f>
        <v>-1765372.9925885727</v>
      </c>
      <c r="CB28" s="42"/>
      <c r="CC28" s="1">
        <f t="shared" si="47"/>
        <v>0</v>
      </c>
      <c r="CD28" s="1">
        <f>IF(BZ28 &gt;= 0,
    MAX(0, CA27 + BZ28 - Analysis!$C$7),
    0)</f>
        <v>0</v>
      </c>
      <c r="CE28" s="1">
        <f>IF($B28=Analysis!$C$66,0,MAX(0, CE27 + CD28 - IF(BZ28 &lt; 0, MIN(ABS(BZ28), CE27 + CD28), 0)))</f>
        <v>0</v>
      </c>
      <c r="CF28" s="1">
        <f>IF($B28=Analysis!$C$66,0,IF(BZ28 &lt; 0,
    IF(BZ28 + CA27 &lt; 0,
        MAX(0, CF27 - (ABS(BZ28 + CA27) * (1+$V27))),
        CF27 + CC28),
    CF27 + CD28 + CC28))</f>
        <v>0</v>
      </c>
      <c r="CG28" s="1">
        <f t="shared" si="25"/>
        <v>0</v>
      </c>
      <c r="CH28" s="36"/>
      <c r="CI28" s="1">
        <f>IF(OR($B28&lt;Analysis!$C$100, $B28&gt;=Analysis!$C$130),0,X28)</f>
        <v>-33656.774056602211</v>
      </c>
      <c r="CJ28" s="1">
        <f>IF(OR($B28&lt;Analysis!$C$100, $B28&gt;=Analysis!$C$130),0,Z28)</f>
        <v>-3960</v>
      </c>
      <c r="CK28" s="1">
        <f t="shared" si="26"/>
        <v>1104044.1792809663</v>
      </c>
      <c r="CL28" s="64">
        <f t="shared" si="48"/>
        <v>2.941176470588247E-2</v>
      </c>
      <c r="CM28" s="1">
        <f>IF($B28=Analysis!$C$100,(CK28*(1+Analysis!$C$23+Analysis!$C$24+Analysis!$C$25))-IF($B28=$B$2,(Analysis!$C$6-Analysis!$C$7+Analysis!$C$105), (FU27-Analysis!$C$7+CV28)),0)</f>
        <v>0</v>
      </c>
      <c r="CN28" s="65">
        <f>IF($B28=Analysis!$C$100,NPER(CR28,-CU28,-CM28),0)</f>
        <v>0</v>
      </c>
      <c r="CO28" s="64">
        <f>IF($B28=Analysis!$C$100,Analysis!$C$103,0)</f>
        <v>0</v>
      </c>
      <c r="CP28" s="1">
        <f>IF(OR($B28&lt;Analysis!$C$100, $B28&gt;=Analysis!$C$101),0,IF($B28=Analysis!$C$100,-CM28*CO28,IF(CU28&gt;=0,0,CU28-CS28)))</f>
        <v>-25909.849521200118</v>
      </c>
      <c r="CQ28" s="1">
        <f>IF(OR($B28&lt;Analysis!$C$100, $B28&gt;=Analysis!$C$101),0,IF($B28=Analysis!$C$100,-CM28-CP28,MIN(0,CQ27-CP28)))</f>
        <v>-49821.515851769713</v>
      </c>
      <c r="CR28" s="64">
        <f>IF(OR($B28&lt;Analysis!$C$100, $B28&gt;=Analysis!$C$101),0,IF($B28=Analysis!$C$100,Analysis!$C$102,IF(($B28-Analysis!$C$100)&lt;LOOKUP(Analysis!$C$100,$B:$B,CN:CN),CR27,0)))</f>
        <v>3.6999999999999998E-2</v>
      </c>
      <c r="CS28" s="1">
        <f>IF(OR($B28&lt;Analysis!$C$100, $B28&gt;=Analysis!$C$101),0,IF($B28=Analysis!$C$100,-CR28*CM28,CR27*CQ27))</f>
        <v>-2802.0605187998835</v>
      </c>
      <c r="CT28" s="1">
        <f>IF(OR($B28&lt;Analysis!$C$100, $B28&gt;=Analysis!$C$101),0,IF($B28=Analysis!$C$100,PMT(CR28,CN28,CM28)*CN28-CU28-CQ28,IF(($B28-Analysis!$C$100+1)&lt;LOOKUP(Analysis!$C$100,$B:$B,CN:CN),IF(CT27-CS28&lt;0, CT27-CS28,0),0)))</f>
        <v>-2618.1292456421825</v>
      </c>
      <c r="CU28" s="1">
        <f>IF(OR($B28&lt;Analysis!$C$100, $B28&gt;=Analysis!$C$101),0,IF($B28=Analysis!$C$100,CP28+CS28,IF(CQ27&lt;0,IF(CQ27&gt;LOOKUP(Analysis!$C$100,$B:$B,CU:CU), CQ27*(1+CR27),CU27),0)))</f>
        <v>-28711.910040000002</v>
      </c>
      <c r="CV28" s="1">
        <f>IF($B28=Analysis!$C$100,Analysis!$C$105,0)</f>
        <v>0</v>
      </c>
      <c r="CW28" s="1">
        <f>IF($B28=Analysis!$C$100,PMT(CR28,CX28,CV28)*CX28,0)</f>
        <v>0</v>
      </c>
      <c r="CX28" s="7">
        <f>IF($B28=Analysis!$C$100,Analysis!$C$107,0)</f>
        <v>0</v>
      </c>
      <c r="CY28" s="1">
        <f>IF(OR($B28&lt;Analysis!$C$100, $B28&gt;=Analysis!$C$101),0,IF($B28=Analysis!$C$100,CW28/CX28,IF(($B28-Analysis!$C$100)&lt;LOOKUP(Analysis!$C$100,$B:$B,CX:CX),CY27,0)))</f>
        <v>0</v>
      </c>
      <c r="CZ28" s="1">
        <f>IF(OR($B28&lt;Analysis!$C$100, $B28&gt;=Analysis!$C$101),0,IF($B28=Analysis!$C$100,CX28*CY28-CY28,IF(($B28-Analysis!$C$100)&lt;Analysis!$C$107,CZ27-CY28,0)))</f>
        <v>0</v>
      </c>
      <c r="DA28" s="53"/>
      <c r="DB28" s="1">
        <f>IF(OR($B28&lt;Analysis!$C$100, $B28&gt;=Analysis!$C$101),0,IF($B28=2025,(Analysis!$C$109*12),IF($B28=Analysis!$C$100,(Analysis!$C$109*12)*(1+DC28)^($B28-$B$2),DB27*(1+DC28))))</f>
        <v>29449.677299526942</v>
      </c>
      <c r="DC28" s="64">
        <f>IF(OR($B28&lt;Analysis!$C$100, $B28&gt;=Analysis!$C$101),0,((1+Analysis!$C$114)/(1+$S28))-1)</f>
        <v>2.941176470588247E-2</v>
      </c>
      <c r="DD28" s="1">
        <f t="shared" si="6"/>
        <v>36721.809837369838</v>
      </c>
      <c r="DE28" s="1">
        <f t="shared" si="27"/>
        <v>-3312.1325378428987</v>
      </c>
      <c r="DF28" s="64">
        <f>IF(OR($B28&lt;Analysis!$C$100, $B28&gt;=Analysis!$C$101),0,Analysis!$C$118)</f>
        <v>3.0000000000000001E-3</v>
      </c>
      <c r="DG28" s="1">
        <f t="shared" si="28"/>
        <v>-8280.3313446072461</v>
      </c>
      <c r="DH28" s="64">
        <f>IF(OR($B28&lt;Analysis!$C$100, $B28&gt;=Analysis!$C$101),0,Analysis!$C$119)</f>
        <v>7.4999999999999997E-3</v>
      </c>
      <c r="DI28" s="1">
        <f>IF(OR($B28&lt;Analysis!$C$100, $B28&gt;=Analysis!$C$101),0,MIN(Analysis!$C$120*12,SUM(DJ28:DN28)))</f>
        <v>-3960</v>
      </c>
      <c r="DJ28" s="1">
        <f>IF(OR($B28&lt;Analysis!$C$100, $B28&gt;=Analysis!$C$101),0,Analysis!$C$121*12)</f>
        <v>-900</v>
      </c>
      <c r="DK28" s="1">
        <f>IF(OR($B28&lt;Analysis!$C$100, $B28&gt;=Analysis!$C$101),0,Analysis!$C$122*12)</f>
        <v>-1500</v>
      </c>
      <c r="DL28" s="1">
        <f>IF(OR($B28&lt;Analysis!$C$100, $B28&gt;=Analysis!$C$101),0,Analysis!$C$123*12)</f>
        <v>-480</v>
      </c>
      <c r="DM28" s="1">
        <f>IF(OR($B28&lt;Analysis!$C$100, $B28&gt;=Analysis!$C$101),0,Analysis!$C$124*12)</f>
        <v>-480</v>
      </c>
      <c r="DN28" s="1">
        <f>IF(OR($B28&lt;Analysis!$C$100, $B28&gt;=Analysis!$C$101),0,Analysis!$C$125*12)</f>
        <v>-600</v>
      </c>
      <c r="DO28" s="64">
        <f>IF(OR($B28&lt;Analysis!$C$100, $B28&gt;=Analysis!$C$101),0,Analysis!$C$113)</f>
        <v>0.02</v>
      </c>
      <c r="DP28" s="1">
        <f>-DO28*LOOKUP(Analysis!$C$100,$B:$B,CK:CK)</f>
        <v>-10392</v>
      </c>
      <c r="DQ28" s="1">
        <f>-Analysis!$C$117*DB28</f>
        <v>-2208.7257974645204</v>
      </c>
      <c r="DR28" s="1">
        <f t="shared" si="29"/>
        <v>-28153.189679914667</v>
      </c>
      <c r="DS28" s="1">
        <f>MIN(0,-(DB28+DR28)*Analysis!$C$28)-CS28*Analysis!$C$28</f>
        <v>667.1193516300292</v>
      </c>
      <c r="DT28" s="1">
        <f>-Analysis!$C$116*DD28/12</f>
        <v>-3060.1508197808198</v>
      </c>
      <c r="DU28" s="53"/>
      <c r="DV28" s="1">
        <f t="shared" si="30"/>
        <v>-140765.6328583232</v>
      </c>
      <c r="DW28" s="64">
        <f>IF(OR($B28&lt;Analysis!$C$100, $B28&gt;=Analysis!$C$101),0,IF($B28=Analysis!$C$100,Analysis!$C$31,DW27))</f>
        <v>0.1275</v>
      </c>
      <c r="DX28" s="1">
        <f>IF(OR($B28&lt;Analysis!$C$100, $B28&gt;=Analysis!$C$101),0,CK28+DV28)</f>
        <v>963278.54642264312</v>
      </c>
      <c r="DY28" s="1">
        <f>IF(OR($B28&lt;Analysis!$C$100, $B28&gt;=Analysis!$C$101),0,IF($B28-Analysis!$C$100&gt;3,0,IF(CK28&gt;LOOKUP(Analysis!$C$100,$B:$B, CK:CK),$V28*(LOOKUP(Analysis!$C$100,$B:$B, CK:CK)-CK28),0)))</f>
        <v>0</v>
      </c>
      <c r="DZ28" s="1">
        <f t="shared" si="49"/>
        <v>963278.54642264312</v>
      </c>
      <c r="EA28" s="53"/>
      <c r="EB28" s="1">
        <f t="shared" si="31"/>
        <v>1466109.4759504755</v>
      </c>
      <c r="EC28" s="64">
        <f t="shared" si="50"/>
        <v>2.941176470588247E-2</v>
      </c>
      <c r="ED28" s="1">
        <f>MAX(0,IF($B28=Analysis!$C$130,(EB28*(1+Analysis!$C$23+Analysis!$C$24+Analysis!$C$25))-(IF($B28=$B$2,(Analysis!$C$6-Analysis!$C$7+Analysis!$C$132), (FU27-Analysis!$C$7+EM28)) + IF($B28=Analysis!$C$101,DZ27+CQ27+CT27+CZ27,0)),0))</f>
        <v>0</v>
      </c>
      <c r="EE28" s="65">
        <f>IF($B28=Analysis!$C$130,IF(ED28&gt;0,NPER(EI28,-EL28,-ED28),0),0)</f>
        <v>0</v>
      </c>
      <c r="EF28" s="64">
        <f>IF($B28=Analysis!$C$130,Analysis!$C$137,0)</f>
        <v>0</v>
      </c>
      <c r="EG28" s="1">
        <f>IF($B28&lt;Analysis!$C$130,0,IF($B28=Analysis!$C$130,-ED28*EF28,IF(EL28&gt;=0,0,EL28-EJ28)))</f>
        <v>0</v>
      </c>
      <c r="EH28" s="1">
        <f>IF($B28&lt;Analysis!$C$130,0,IF($B28=Analysis!$C$130,-ED28-EG28,MIN(0,EH27-EG28)))</f>
        <v>0</v>
      </c>
      <c r="EI28" s="64">
        <f>IF($B28&lt;Analysis!$C$130,0,IF($B28=Analysis!$C$130,Analysis!$C$136,IF(($B28-Analysis!$C$130)&lt;LOOKUP(Analysis!$C$130,$B:$B,EE:EE),EI27,0)))</f>
        <v>0</v>
      </c>
      <c r="EJ28" s="1">
        <f>IF($B28&lt;Analysis!$C$130,0,IF($B28=Analysis!$C$130,-EI28*ED28,EI27*EH27))</f>
        <v>0</v>
      </c>
      <c r="EK28" s="1">
        <f>IF(OR($B28&lt;Analysis!$C$130, ED28=0),0,IF($B28=Analysis!$C$130,PMT(EI28,EE28,ED28)*EE28-EL28-EH28,IF(($B28-Analysis!$C$130+1)&lt;LOOKUP(Analysis!$C$130,$B:$B,EE:EE),IF(EK27-EJ28&lt;0, EK27-EJ28,0),0)))</f>
        <v>0</v>
      </c>
      <c r="EL28" s="1">
        <f>IF($B28&lt;Analysis!$C$130,0,IF($B28=Analysis!$C$130,EG28+EJ28,IF(EH27&lt;0,IF(EH27&gt;LOOKUP(Analysis!$C$130,$B:$B,EL:EL), EH27*(1+EI27),EL27),0)))</f>
        <v>0</v>
      </c>
      <c r="EM28" s="1">
        <f>IF($B28=Analysis!$C$130,Analysis!$C$132,0)</f>
        <v>0</v>
      </c>
      <c r="EN28" s="1">
        <f>IF($B28=Analysis!$C$130,PMT(EI28,EO28,EM28)*EO28,0)</f>
        <v>0</v>
      </c>
      <c r="EO28" s="7">
        <f>IF($B28=Analysis!$C$130,Analysis!$C$134,0)</f>
        <v>0</v>
      </c>
      <c r="EP28" s="1">
        <f>IF($B28&lt;Analysis!$C$130,0,IF($B28=Analysis!$C$130,EN28/EO28,IF(($B28-Analysis!$C$130)&lt;LOOKUP(Analysis!$C$130,$B:$B,EO:EO),EP27,0)))</f>
        <v>0</v>
      </c>
      <c r="EQ28" s="1">
        <f>IF($B28&lt;Analysis!$C$130,0,IF($B28=Analysis!$C$130,EO28*EP28-EP28,IF(($B28-Analysis!$C$130)&lt;Analysis!$C$134,EQ27-EP28,0)))</f>
        <v>0</v>
      </c>
      <c r="ER28" s="53"/>
      <c r="ES28" s="1">
        <f>IF($B28&lt;Analysis!$C$130,0,-ET28*EB28)</f>
        <v>0</v>
      </c>
      <c r="ET28" s="64">
        <f>IF($B28&lt;Analysis!$C$130,0,Analysis!$C$142)</f>
        <v>0</v>
      </c>
      <c r="EU28" s="1">
        <f>IF($B28&lt;Analysis!$C$130,0,-EV28*EB28)</f>
        <v>0</v>
      </c>
      <c r="EV28" s="64">
        <f>IF($B28&lt;Analysis!$C$130,0,Analysis!$C$143)</f>
        <v>0</v>
      </c>
      <c r="EW28" s="1">
        <f>IF($B28&lt;Analysis!$C$130,0,MIN(Analysis!$C$144*12,SUM(EX28:FB28)))</f>
        <v>0</v>
      </c>
      <c r="EX28" s="1">
        <f>IF($B28&lt;Analysis!$C$130,0,Analysis!$C$145*12)</f>
        <v>0</v>
      </c>
      <c r="EY28" s="1">
        <f>IF($B28&lt;Analysis!$C$130,0,Analysis!$C$146*12)</f>
        <v>0</v>
      </c>
      <c r="EZ28" s="1">
        <f>IF($B28&lt;Analysis!$C$130,0,Analysis!$C$147*12)</f>
        <v>0</v>
      </c>
      <c r="FA28" s="1">
        <f>IF($B28&lt;Analysis!$C$130,0,Analysis!$C$148*12)</f>
        <v>0</v>
      </c>
      <c r="FB28" s="1">
        <f>IF($B28&lt;Analysis!$C$130,0,Analysis!$C$149*12)</f>
        <v>0</v>
      </c>
      <c r="FC28" s="1">
        <v>0</v>
      </c>
      <c r="FD28" s="1">
        <f>-FC28*Analysis!$C$28</f>
        <v>0</v>
      </c>
      <c r="FE28" s="53"/>
      <c r="FF28" s="1">
        <f t="shared" si="32"/>
        <v>0</v>
      </c>
      <c r="FG28" s="64">
        <f>IF($B28&lt;Analysis!$C$130,0,Analysis!$C$31)</f>
        <v>0</v>
      </c>
      <c r="FH28" s="1">
        <f>IF($B28&lt;Analysis!$C$130,0,EB28+FF28)</f>
        <v>0</v>
      </c>
      <c r="FI28" s="1">
        <f>IF($B28-Analysis!$C$130&gt;3,0,IF(EB28&gt;LOOKUP(Analysis!$C$130,$B:$B, EB:EB),$V28*(LOOKUP(Analysis!$C$130,$B:$B, EB:EB)-EB28),0))</f>
        <v>0</v>
      </c>
      <c r="FJ28" s="1">
        <f t="shared" si="33"/>
        <v>0</v>
      </c>
      <c r="FK28" s="53"/>
      <c r="FL28" s="1">
        <f>$P28+$N28+IF($B28&lt;Analysis!$C$130,$X28+$Z28,0)+CP28+CS28+CY28+DE28+DG28+MIN(DI28,SUM(DJ28:DN28))+DQ28+DS28+DT28+EG28+EJ28+EP28+ES28+EU28+MIN(EW28,SUM(EX28:FB28))+FD28</f>
        <v>-147682.90524466767</v>
      </c>
      <c r="FM28" s="1">
        <f>$M28+$R28+DD28+IF(AND($B28&lt;&gt;Analysis!$C$130,$B28=Analysis!$C$101),DZ27+CQ27+CT27+CZ27,0)</f>
        <v>168189.73307859572</v>
      </c>
      <c r="FN28" s="1">
        <f t="shared" si="34"/>
        <v>20506.827833928051</v>
      </c>
      <c r="FO28" s="1">
        <f>IF(FN28 &lt; 0,
    IF(FO27 + FN28 &gt; 0,
        FO27 + FN28, IF(FT27-ABS(FO27 + FN28)*(1+$V28) &gt;= FO27 + FN28,
        0, FO27 + FN28)),
    MIN(FO27 + FN28, Analysis!$C$7))+IF(FO27&lt;0, FO27*Analysis!$C$9,0)</f>
        <v>24000</v>
      </c>
      <c r="FP28" s="53"/>
      <c r="FQ28" s="1">
        <f t="shared" si="51"/>
        <v>17957.202518857619</v>
      </c>
      <c r="FR28" s="1">
        <f>IF(OR($B28=Analysis!$C$100, $B28=Analysis!$C$130),0,IF(FN28 &gt;= 0,
    MAX(0, FO27 + FN28 - Analysis!$C$7),
    0))</f>
        <v>20506.827833928051</v>
      </c>
      <c r="FS28" s="1">
        <f>IF(OR($B28=Analysis!$C$100, $B28=Analysis!$C$130),0,MAX(0, FS27 + FR28 - IF(FN28 &lt; 0, MIN(ABS(FN28), FS27 + FR28), 0)))</f>
        <v>370086.11338616535</v>
      </c>
      <c r="FT28" s="1">
        <f>IF(OR($B28=Analysis!$C$100, $B28=Analysis!$C$130),0,IF(FN28 &lt; 0,
    IF(FN28 + FO27 &lt; 0,
        MAX(0, FT27 - (ABS(FN28 + FO27) * (1+$V27))),
        FT27 + FQ28),
    FT27 + FR28 + FQ28))</f>
        <v>568801.66265193687</v>
      </c>
      <c r="FU28" s="1">
        <f t="shared" si="57"/>
        <v>516390.43653308961</v>
      </c>
      <c r="FV28" s="36"/>
      <c r="FW28" s="1">
        <f t="shared" si="52"/>
        <v>1104044.1792809663</v>
      </c>
      <c r="FX28" s="64">
        <f t="shared" si="53"/>
        <v>2.941176470588247E-2</v>
      </c>
      <c r="FY28" s="1">
        <f>IF($B28=Analysis!$C$159,(FW28*(1+Analysis!$C$23+Analysis!$C$24+Analysis!$C$25))-IF($B28=$B$2,(Analysis!$C$6-Analysis!$C$7+Analysis!$C$165), (HW27-Analysis!$C$7+GH28)),0)</f>
        <v>0</v>
      </c>
      <c r="FZ28" s="65">
        <f>IF($B28=Analysis!$C$159,NPER(GD28,-GG28,-FY28),0)</f>
        <v>0</v>
      </c>
      <c r="GA28" s="64">
        <f>IF($B28=Analysis!$C$159,Analysis!$C$161,0)</f>
        <v>0</v>
      </c>
      <c r="GB28" s="1">
        <f>IF($B28&lt;Analysis!$C$159,0,IF($B28=Analysis!$C$159,-FY28*GA28,IF(GG28&gt;=0,0,GG28-GE28)))</f>
        <v>-25909.849521200118</v>
      </c>
      <c r="GC28" s="1">
        <f>IF($B28&lt;Analysis!$C$159,0,IF($B28=Analysis!$C$159,-FY28-GB28,MIN(0,GC27-GB28)))</f>
        <v>-49821.515851769713</v>
      </c>
      <c r="GD28" s="64">
        <f>IF($B28&lt;Analysis!$C$159,0,IF($B28=Analysis!$C$159,Analysis!$C$160,IF(($B28-Analysis!$C$159)&lt;LOOKUP(Analysis!$C$159,$B:$B,FZ:FZ),GD27,0)))</f>
        <v>3.6999999999999998E-2</v>
      </c>
      <c r="GE28" s="1">
        <f>IF($B28&lt;Analysis!$C$159,0,IF($B28=Analysis!$C$159,-GD28*FY28,GD27*GC27))</f>
        <v>-2802.0605187998835</v>
      </c>
      <c r="GF28" s="1">
        <f>IF($B28&lt;Analysis!$C$159,0,IF($B28=Analysis!$C$159,PMT(GD28,FZ28,FY28)*FZ28-GG28-GC28,IF(($B28-Analysis!$C$159+1)&lt;LOOKUP(Analysis!$C$159,$B:$B,FZ:FZ),IF(GF27-GE28&lt;0, GF27-GE28,0),0)))</f>
        <v>-2618.1292456421825</v>
      </c>
      <c r="GG28" s="1">
        <f>IF($B28&lt;Analysis!$C$159,0,IF($B28=Analysis!$C$159,GB28+GE28,IF(GC27&lt;0,IF(GC27&gt;LOOKUP(Analysis!$C$159,$B:$B,GG:GG), GC27*(1+GD27),GG27),0)))</f>
        <v>-28711.910040000002</v>
      </c>
      <c r="GH28" s="1">
        <f>IF($B28=Analysis!$C$159,Analysis!$C$165,0)</f>
        <v>0</v>
      </c>
      <c r="GI28" s="1">
        <f>IF($B28=Analysis!$C$159,PMT(GD28,GJ28,GH28)*GJ28,0)</f>
        <v>0</v>
      </c>
      <c r="GJ28" s="7">
        <f>IF($B28=Analysis!$C$159,Analysis!$C$167,0)</f>
        <v>0</v>
      </c>
      <c r="GK28" s="1">
        <f>IF($B28&lt;Analysis!$C$159,0,IF($B28=Analysis!$C$159,GI28/GJ28,IF(($B28-Analysis!$C$159)&lt;LOOKUP(Analysis!$C$159,$B:$B,GJ:GJ),GK27,0)))</f>
        <v>0</v>
      </c>
      <c r="GL28" s="1">
        <f>IF($B28&lt;Analysis!$C$159,0,IF($B28=Analysis!$C$159,GJ28*GK28-GK28,IF(($B28-Analysis!$C$159)&lt;Analysis!$C$167,GL27-GK28,0)))</f>
        <v>0</v>
      </c>
      <c r="GM28" s="38"/>
      <c r="GN28" s="1">
        <f>IF($B28&lt;Analysis!$C$159,0,IF($B28=2025,(Analysis!$C$109*12),IF($B28=Analysis!$C$159,(Analysis!$C$109*12)*(1+GO28)^($B28-$B$2),GN27*(1+GO28))))</f>
        <v>29449.677299526942</v>
      </c>
      <c r="GO28" s="64">
        <f>IF($B28&lt;Analysis!$C$159,0,((1+Analysis!$C$174)/(1+$S28))-1)</f>
        <v>2.941176470588247E-2</v>
      </c>
      <c r="GP28" s="1">
        <f t="shared" si="7"/>
        <v>36721.809837369838</v>
      </c>
      <c r="GQ28" s="1">
        <f t="shared" si="36"/>
        <v>-3312.1325378428987</v>
      </c>
      <c r="GR28" s="64">
        <f>IF($B28&lt;Analysis!$C$159,0,Analysis!$C$178)</f>
        <v>3.0000000000000001E-3</v>
      </c>
      <c r="GS28" s="1">
        <f t="shared" si="37"/>
        <v>-8280.3313446072461</v>
      </c>
      <c r="GT28" s="64">
        <f>IF($B28&lt;Analysis!$C$159,0,Analysis!$C$179)</f>
        <v>7.4999999999999997E-3</v>
      </c>
      <c r="GU28" s="1">
        <f>IF($B28&lt;Analysis!$C$159,0,MIN(Analysis!$C$180*12,SUM(GV28:GZ28)))</f>
        <v>-3960</v>
      </c>
      <c r="GV28" s="1">
        <f>IF($B28&lt;Analysis!$C$159,0,Analysis!$C$181*12)</f>
        <v>-900</v>
      </c>
      <c r="GW28" s="1">
        <f>IF($B28&lt;Analysis!$C$159,0,Analysis!$C$182*12)</f>
        <v>-1500</v>
      </c>
      <c r="GX28" s="1">
        <f>IF($B28&lt;Analysis!$C$159,0,Analysis!$C$183*12)</f>
        <v>-480</v>
      </c>
      <c r="GY28" s="1">
        <f>IF($B28&lt;Analysis!$C$159,0,Analysis!$C$184*12)</f>
        <v>-480</v>
      </c>
      <c r="GZ28" s="1">
        <f>IF($B28&lt;Analysis!$C$159,0,Analysis!$C$185*12)</f>
        <v>-600</v>
      </c>
      <c r="HA28" s="64">
        <f>IF($B28&lt;Analysis!$C$159,0,Analysis!$C$173)</f>
        <v>0.02</v>
      </c>
      <c r="HB28" s="1">
        <f>-HA28*LOOKUP(Analysis!$C$159,$B:$B,FW:FW)</f>
        <v>-10392</v>
      </c>
      <c r="HC28" s="1">
        <f>-Analysis!$C$177*GN28</f>
        <v>-2208.7257974645204</v>
      </c>
      <c r="HD28" s="1">
        <f t="shared" si="38"/>
        <v>-28153.189679914667</v>
      </c>
      <c r="HE28" s="1">
        <f>MIN(0,-(GN28+HD28)*Analysis!$C$28)-GE28*Analysis!$C$28</f>
        <v>667.1193516300292</v>
      </c>
      <c r="HF28" s="1">
        <f>-Analysis!$C$176*GP28/12</f>
        <v>-3060.1508197808198</v>
      </c>
      <c r="HG28" s="38"/>
      <c r="HH28" s="1">
        <f>IF($B28&lt;Analysis!$C$159,0,-$HI28*$FW28)</f>
        <v>-140765.6328583232</v>
      </c>
      <c r="HI28" s="64">
        <f>IF($B28&lt;Analysis!$C$159,0,IF($B28=Analysis!$C$159,Analysis!$C$31,HI27))</f>
        <v>0.1275</v>
      </c>
      <c r="HJ28" s="1">
        <f>IF($B28&lt;Analysis!$C$159,0,$FW28+HH28)</f>
        <v>963278.54642264312</v>
      </c>
      <c r="HK28" s="1">
        <f>IF($B28-Analysis!$C$159&gt;10,0,IF($FW28&gt;LOOKUP(Analysis!$C$159,$B:$B, FW:FW),$V28*(LOOKUP(Analysis!$C$159,$B:$B, FW:FW)-FW28),0))</f>
        <v>0</v>
      </c>
      <c r="HL28" s="1">
        <f t="shared" si="39"/>
        <v>963278.54642264312</v>
      </c>
      <c r="HM28" s="38"/>
      <c r="HN28" s="1">
        <f t="shared" si="40"/>
        <v>-147682.90524466767</v>
      </c>
      <c r="HO28" s="1">
        <f t="shared" si="8"/>
        <v>168189.73307859572</v>
      </c>
      <c r="HP28" s="1">
        <f t="shared" si="41"/>
        <v>20506.827833928051</v>
      </c>
      <c r="HQ28" s="1">
        <f>IF(HP28 &lt; 0,
    IF(HQ27 + HP28 &gt; 0,
        HQ27 + HP28, IF(HV27-ABS(HQ27 + HP28)*(1+$V28) &gt;= HQ27 + HP28,
        0, HQ27 + HP28)),
    MIN(HQ27 + HP28, Analysis!$C$7))+IF(HQ27&lt;0, HQ27*Analysis!$C$9,0)</f>
        <v>24000</v>
      </c>
      <c r="HR28" s="38"/>
      <c r="HS28" s="1">
        <f t="shared" si="54"/>
        <v>17957.202518857619</v>
      </c>
      <c r="HT28" s="1">
        <f>IF($B28=Analysis!$C$159,0,IF(HP28 &gt;= 0,
    MAX(0, HQ27 + HP28 - Analysis!$C$7),
    0))</f>
        <v>20506.827833928051</v>
      </c>
      <c r="HU28" s="1">
        <f>IF($B28=Analysis!$C$159,0,MAX(0, HU27 + HT28 - IF(HP28 &lt; 0, MIN(ABS(HP28), HU27 + HT28), 0)))</f>
        <v>370086.11338616535</v>
      </c>
      <c r="HV28" s="1">
        <f>IF($B28=Analysis!$C$159,0,IF(HP28 &lt; 0,
    IF(HP28 + HQ27 &lt; 0,
        MAX(0, HV27 - (ABS(HP28 + HQ27) * (1+$V27))),
        HV27 + HS28),
    HV27 + HT28 + HS28))</f>
        <v>568801.66265193687</v>
      </c>
      <c r="HW28" s="1">
        <f t="shared" si="58"/>
        <v>516390.43653308961</v>
      </c>
      <c r="HX28" s="36"/>
    </row>
    <row r="29" spans="1:232" x14ac:dyDescent="0.35">
      <c r="A29">
        <f t="shared" si="0"/>
        <v>62</v>
      </c>
      <c r="B29">
        <v>2052</v>
      </c>
      <c r="C29" s="1">
        <f>IF($B29&lt;Analysis!C$66,0,$AN29)+$AT29+$AW29+$BC29+$CF29+$CA29</f>
        <v>-9508.4015911691822</v>
      </c>
      <c r="D29" s="1">
        <f>IF($B29&lt;Analysis!C$66, 0, BV29)+AT29+AW29+BC29+CG29+CA29</f>
        <v>-257711.17428604583</v>
      </c>
      <c r="E29" s="1">
        <f t="shared" si="1"/>
        <v>1630117.5994139973</v>
      </c>
      <c r="F29" s="1">
        <f t="shared" si="9"/>
        <v>1423489.8545040097</v>
      </c>
      <c r="G29" s="1">
        <f>IF(AND($B29&gt;=Analysis!$C$100, $B29&lt;Analysis!$C$101),$CK29,0)+IF($B29&gt;=Analysis!$C$130,EB29,0)+CQ29+CT29+CZ29+EH29+EK29+EQ29+$FO29+$FT29</f>
        <v>1743240.0670048534</v>
      </c>
      <c r="H29" s="1">
        <f t="shared" si="10"/>
        <v>1541100.504460403</v>
      </c>
      <c r="I29" s="1">
        <f>IF($B29&lt;Analysis!$C$159,0,$FW29)+$GC29+$GF29+$GL29+$HQ29+$HV29</f>
        <v>1743240.0670048534</v>
      </c>
      <c r="J29" s="1">
        <f t="shared" si="2"/>
        <v>1541100.504460403</v>
      </c>
      <c r="K29" s="36"/>
      <c r="L29" s="1">
        <f t="shared" si="11"/>
        <v>131467.92324122589</v>
      </c>
      <c r="M29" s="1">
        <f>IF($B29=Analysis!$C$47, M28 * (1 - Analysis!$C$48),
    IF($B29=Analysis!$C$52, M28 * (1 - Analysis!$C$53),
    IF($B29=Analysis!$C$58, M28 * (1 - Analysis!$C$60),
    L29)))</f>
        <v>131467.92324122589</v>
      </c>
      <c r="N29" s="1">
        <f>Analysis!$C$3*12*(1+O29)+P29</f>
        <v>-54600</v>
      </c>
      <c r="O29" s="64">
        <f>IF(OR($B29=Analysis!$C$47,$B29=Analysis!$C$52,$B29=Analysis!$C$58),-Analysis!$C$49,0)</f>
        <v>0</v>
      </c>
      <c r="P29" s="1">
        <f>IF($B29&lt;Analysis!$C$47,0,IF($B29-Analysis!$C$47&lt;=3,Analysis!$C$40+Analysis!$C$44,IF($B29-Analysis!$C$47&lt;=10,Analysis!$C$41+Analysis!$C$44,IF($B29-Analysis!$C$47&lt;=18,Analysis!$C$42+Analysis!$C$44,IF($B29-Analysis!$C$47&lt;=25,Analysis!$C$43+Analysis!$C$44,0)))) + IF(AND($B29&gt;=Analysis!$C$52, $B29-Analysis!$C$52&lt;=3),Analysis!$C$40+Analysis!$C$44,IF(AND($B29&gt;=Analysis!$C$52, $B29-Analysis!$C$52&lt;=10),Analysis!$C$41+Analysis!$C$44,IF(AND($B29&gt;=Analysis!$C$52, $B29-Analysis!$C$52&lt;=18),Analysis!$C$42+Analysis!$C$44,IF(AND($B29&gt;=Analysis!$C$52, $B29-Analysis!$C$52&lt;=25),Analysis!$C$43+Analysis!$C$44,0)))) + Analysis!$C$57*IF(AND($B29&gt;=Analysis!$C$58, $B29-Analysis!$C$58&lt;=3),Analysis!$C$40+Analysis!$C$44,IF(AND($B29&gt;=Analysis!$C$58, $B29-Analysis!$C$58&lt;=10),Analysis!$C$41+Analysis!$C$44,IF(AND($B29&gt;=Analysis!$C$58, $B29-Analysis!$C$58&lt;=18),Analysis!$C$42+Analysis!$C$44,IF(AND($B29&gt;=Analysis!$C$58, $B29-Analysis!$C$58&lt;=25),Analysis!$C$43+Analysis!$C$44,0)))))</f>
        <v>-6600</v>
      </c>
      <c r="Q29" s="1">
        <f t="shared" si="43"/>
        <v>0</v>
      </c>
      <c r="R29" s="1">
        <f>IF(AND(AND(B29=Analysis!C$35,Analysis!C$34&lt;&gt;0),AND(B29=Analysis!C$37,Analysis!C$36&lt;&gt;0)),Analysis!C$34+Analysis!C$36,IF(AND(B29=Analysis!C$35,Analysis!C$34&lt;&gt;0),Analysis!C$34,IF(AND(B29=Analysis!C$37,Analysis!C$36&lt;&gt;0),Analysis!C$36,0)))</f>
        <v>0</v>
      </c>
      <c r="S29" s="64">
        <f t="shared" si="12"/>
        <v>0.02</v>
      </c>
      <c r="T29" s="64">
        <f>IF($B29&lt;Analysis!$C$13, ((1+IF($B29-$B$2&lt;10,Analysis!$C$11,IF($B29-$B$2&lt;20,(Analysis!$C$11+Analysis!$C$12)/2,Analysis!$C$12)))/(1+$S29)-1),IF($B29=Analysis!$C$13,-Analysis!$C$14,-$S29))</f>
        <v>0</v>
      </c>
      <c r="U29" s="64">
        <f>IF($B29=$B$2,((1+Analysis!$C$16)/(1+$S29))-1,IF(B29&lt;Analysis!$C$13,U28-((Analysis!$C$16-Analysis!$C$17)/(Analysis!$C$13-$B$2)),((1+Analysis!$C$17)/(1+$S28))-1))</f>
        <v>3.2145658263305482E-2</v>
      </c>
      <c r="V29" s="64">
        <f t="shared" si="13"/>
        <v>0.26374999999999998</v>
      </c>
      <c r="W29" s="36"/>
      <c r="X29" s="1">
        <f t="shared" si="14"/>
        <v>-34646.679175914047</v>
      </c>
      <c r="Y29" s="64">
        <f t="shared" si="15"/>
        <v>2.941176470588247E-2</v>
      </c>
      <c r="Z29" s="1">
        <f t="shared" si="16"/>
        <v>-3960</v>
      </c>
      <c r="AA29" s="64">
        <f t="shared" si="17"/>
        <v>0</v>
      </c>
      <c r="AB29" s="40"/>
      <c r="AC29" s="1">
        <f t="shared" si="3"/>
        <v>-99806.679175914047</v>
      </c>
      <c r="AD29" s="1">
        <f t="shared" si="4"/>
        <v>131467.92324122589</v>
      </c>
      <c r="AE29" s="1">
        <f t="shared" si="18"/>
        <v>31661.244065311839</v>
      </c>
      <c r="AF29" s="1">
        <f>IF(AE29 &lt; 0,
    IF(AF28 + AE29 &gt; 0,
        AF28 + AE29, IF(AK28-ABS(AF28 + AE29)*(1+$V29) &gt;= AF28 + AE29,
        0, AF28 + AE29)),
    MIN(AF28 + AE29, Analysis!$C$7))+IF(AF28&lt;0, AF28*Analysis!$C$9,0)</f>
        <v>24000</v>
      </c>
      <c r="AG29" s="40"/>
      <c r="AH29" s="1">
        <f t="shared" si="19"/>
        <v>49035.652617759646</v>
      </c>
      <c r="AI29" s="1">
        <f>IF(AE29 &gt;= 0,
    MAX(0, AF28 + AE29 - Analysis!$C$7),
    0)</f>
        <v>31661.244065311839</v>
      </c>
      <c r="AJ29" s="1">
        <f t="shared" si="44"/>
        <v>822694.86989745649</v>
      </c>
      <c r="AK29" s="1">
        <f t="shared" si="20"/>
        <v>1606117.5994139973</v>
      </c>
      <c r="AL29" s="1">
        <f t="shared" si="5"/>
        <v>1399489.8545040097</v>
      </c>
      <c r="AM29" s="36"/>
      <c r="AN29" s="1">
        <f t="shared" si="45"/>
        <v>1946688.41329315</v>
      </c>
      <c r="AO29" s="64">
        <f t="shared" si="21"/>
        <v>2.941176470588247E-2</v>
      </c>
      <c r="AP29" s="1">
        <f>IF($B29=Analysis!$C$66,(AN29*(1+Analysis!$C$23+Analysis!$C$24+Analysis!$C$25))-IF($B29=$B$2,(Analysis!$C$6-Analysis!$C$7+Analysis!$C$68), ($CG28-Analysis!$C$7+AY29)),0)</f>
        <v>0</v>
      </c>
      <c r="AQ29" s="65">
        <f>IF($B29=Analysis!$C$66,NPER(AU29,-AX29,-AP29),0)</f>
        <v>0</v>
      </c>
      <c r="AR29" s="64">
        <f>IF($B29=Analysis!$C$66,Analysis!$C$73,0)</f>
        <v>0</v>
      </c>
      <c r="AS29" s="1">
        <f>IF($B29&lt;Analysis!$C$66,0,IF($B29=Analysis!$C$66,-AP29*AR29,IF(AX29&gt;=0,0,AX29-AV29)))</f>
        <v>-48911.723505515307</v>
      </c>
      <c r="AT29" s="1">
        <f>IF($B29&lt;Analysis!$C$66,0,IF($B29=Analysis!$C$66,-AP29-AS29,MIN(0,AT28-AS29)))</f>
        <v>-41783.884453530809</v>
      </c>
      <c r="AU29" s="64">
        <f>IF($B29&lt;Analysis!$C$66,0,IF($B29=Analysis!$C$66,Analysis!$C$72,IF(($B29-Analysis!$C$66)&lt;LOOKUP(Analysis!$C$66,$B:$B,AQ:AQ),AU28,0)))</f>
        <v>3.6999999999999998E-2</v>
      </c>
      <c r="AV29" s="1">
        <f>IF($B29&lt;Analysis!$C$66,0,IF($B29=Analysis!$C$66,-AU29*AP29,AU28*AT28))</f>
        <v>-3355.7374944847061</v>
      </c>
      <c r="AW29" s="1">
        <f>IF($B29&lt;Analysis!$C$66,0,IF($B29=Analysis!$C$66,PMT(AU29,AQ29,AP29)*AQ29-AX29-AT29,IF(($B29-Analysis!$C$66+1)&lt;LOOKUP(Analysis!$C$66,$B:$B,AQ:AQ),IF(AW28-AV29&lt;0, AW28-AV29,0),0)))</f>
        <v>-1410.3323367776775</v>
      </c>
      <c r="AX29" s="1">
        <f>IF($B29&lt;Analysis!$C$66,0,IF($B29=Analysis!$C$66,AS29+AV29,IF(AT28&lt;0,IF(AT28&gt;LOOKUP(Analysis!$C$66,$B:$B,AX:AX), AT28*(1+AU28),AX28),0)))</f>
        <v>-52267.46100000001</v>
      </c>
      <c r="AY29" s="1">
        <f>IF($B29=Analysis!$C$66,Analysis!$C$68,0)</f>
        <v>0</v>
      </c>
      <c r="AZ29" s="1">
        <f>IF($B29=Analysis!$C$66,PMT(AU29,BA29,AY29)*BA29,0)</f>
        <v>0</v>
      </c>
      <c r="BA29" s="7">
        <f>IF($B29=Analysis!$C$66,Analysis!$C$70,0)</f>
        <v>0</v>
      </c>
      <c r="BB29" s="1">
        <f>IF($B29&lt;Analysis!$C$66,0,IF($B29=Analysis!$C$66,AZ29/BA29,IF(($B29-Analysis!$C$66)&lt;LOOKUP(Analysis!$C$66,$B:$B,BA:BA),BB28,0)))</f>
        <v>0</v>
      </c>
      <c r="BC29" s="1">
        <f>IF($B29&lt;Analysis!$C$66,0,IF($B29=Analysis!$C$66,BA29*BB29-BB29,IF(($B29-Analysis!$C$66)&lt;Analysis!$C$70,BC28-BB29,0)))</f>
        <v>0</v>
      </c>
      <c r="BD29" s="42"/>
      <c r="BE29" s="1">
        <f>IF($B29&lt;Analysis!$C$66,0,-BF29*AN29)</f>
        <v>-5840.06523987945</v>
      </c>
      <c r="BF29" s="64">
        <f>IF($B29&lt;Analysis!$C$66,0,Analysis!$C$78)</f>
        <v>3.0000000000000001E-3</v>
      </c>
      <c r="BG29" s="1">
        <f>IF($B29&lt;Analysis!$C$66,0,-BH29*AN29)</f>
        <v>-14600.163099698624</v>
      </c>
      <c r="BH29" s="64">
        <f>IF($B29&lt;Analysis!$C$66,0,Analysis!$C$79)</f>
        <v>7.4999999999999997E-3</v>
      </c>
      <c r="BI29" s="1">
        <f>IF($B29&lt;Analysis!$C$66,0,MIN(Analysis!$C$80*12,SUM(BJ29:BN29)))</f>
        <v>-3960</v>
      </c>
      <c r="BJ29" s="1">
        <f>IF($B29&lt;Analysis!$C$66,0,Analysis!$C$81*12)</f>
        <v>-900</v>
      </c>
      <c r="BK29" s="1">
        <f>IF($B29&lt;Analysis!$C$66,0,Analysis!$C$82*12)</f>
        <v>-1500</v>
      </c>
      <c r="BL29" s="1">
        <f>IF($B29&lt;Analysis!$C$66,0,Analysis!$C$83*12)</f>
        <v>-480</v>
      </c>
      <c r="BM29" s="1">
        <f>IF($B29&lt;Analysis!$C$66,0,Analysis!$C$84*12)</f>
        <v>-480</v>
      </c>
      <c r="BN29" s="1">
        <f>IF($B29&lt;Analysis!$C$66,0,Analysis!$C$85*12)</f>
        <v>-600</v>
      </c>
      <c r="BO29" s="1">
        <v>0</v>
      </c>
      <c r="BP29" s="1">
        <f>-BO29*Analysis!$C$28</f>
        <v>0</v>
      </c>
      <c r="BQ29" s="42"/>
      <c r="BR29" s="1">
        <f t="shared" si="22"/>
        <v>-248202.77269487662</v>
      </c>
      <c r="BS29" s="64">
        <f>IF($B29&lt;Analysis!C$66,0,Analysis!C$31)</f>
        <v>0.1275</v>
      </c>
      <c r="BT29" s="1">
        <f>IF($B29&lt;Analysis!$C$66,0,AN29+BR29)</f>
        <v>1698485.6405982734</v>
      </c>
      <c r="BU29" s="1">
        <f>IF($B29-Analysis!$C$66&gt;3,0,IF($AN29&gt;LOOKUP(Analysis!$C$66,$B:$B, AN:AN),$V29*(LOOKUP(Analysis!$C$66,$B:$B, AN:AN)-AN29),0))</f>
        <v>0</v>
      </c>
      <c r="BV29" s="1">
        <f t="shared" si="23"/>
        <v>1698485.6405982734</v>
      </c>
      <c r="BW29" s="42"/>
      <c r="BX29" s="1">
        <f>IF($B29&lt;Analysis!$C$66,$P29+$N29+$X29+$Z29,$P29+$N29+AS29+AV29+BB29+BE29+BG29+MAX(BI29,SUM(BJ29:BN29))+BP29)</f>
        <v>-137867.68933957809</v>
      </c>
      <c r="BY29" s="1">
        <f t="shared" si="24"/>
        <v>131467.92324122589</v>
      </c>
      <c r="BZ29" s="1">
        <f t="shared" si="46"/>
        <v>-6399.7660983522073</v>
      </c>
      <c r="CA29" s="1">
        <f>IF(BZ29 &lt; 0,
    IF(CA28 + BZ29 &gt; 0,
        CA28 + BZ29, IF(CF28-ABS(CA28 + BZ29)*(1+$V29) &gt;= CA28 + BZ29,
        0, CA28 + BZ29)),
    MIN(CA28 + BZ29, Analysis!$C$7))+IF(CA28&lt;0, CA28*Analysis!$C$9,0)</f>
        <v>-1913002.5980940107</v>
      </c>
      <c r="CB29" s="42"/>
      <c r="CC29" s="1">
        <f t="shared" si="47"/>
        <v>0</v>
      </c>
      <c r="CD29" s="1">
        <f>IF(BZ29 &gt;= 0,
    MAX(0, CA28 + BZ29 - Analysis!$C$7),
    0)</f>
        <v>0</v>
      </c>
      <c r="CE29" s="1">
        <f>IF($B29=Analysis!$C$66,0,MAX(0, CE28 + CD29 - IF(BZ29 &lt; 0, MIN(ABS(BZ29), CE28 + CD29), 0)))</f>
        <v>0</v>
      </c>
      <c r="CF29" s="1">
        <f>IF($B29=Analysis!$C$66,0,IF(BZ29 &lt; 0,
    IF(BZ29 + CA28 &lt; 0,
        MAX(0, CF28 - (ABS(BZ29 + CA28) * (1+$V28))),
        CF28 + CC29),
    CF28 + CD29 + CC29))</f>
        <v>0</v>
      </c>
      <c r="CG29" s="1">
        <f t="shared" si="25"/>
        <v>0</v>
      </c>
      <c r="CH29" s="36"/>
      <c r="CI29" s="1">
        <f>IF(OR($B29&lt;Analysis!$C$100, $B29&gt;=Analysis!$C$130),0,X29)</f>
        <v>-34646.679175914047</v>
      </c>
      <c r="CJ29" s="1">
        <f>IF(OR($B29&lt;Analysis!$C$100, $B29&gt;=Analysis!$C$130),0,Z29)</f>
        <v>-3960</v>
      </c>
      <c r="CK29" s="1">
        <f t="shared" si="26"/>
        <v>1136516.0669068771</v>
      </c>
      <c r="CL29" s="64">
        <f t="shared" si="48"/>
        <v>2.941176470588247E-2</v>
      </c>
      <c r="CM29" s="1">
        <f>IF($B29=Analysis!$C$100,(CK29*(1+Analysis!$C$23+Analysis!$C$24+Analysis!$C$25))-IF($B29=$B$2,(Analysis!$C$6-Analysis!$C$7+Analysis!$C$105), (FU28-Analysis!$C$7+CV29)),0)</f>
        <v>0</v>
      </c>
      <c r="CN29" s="65">
        <f>IF($B29=Analysis!$C$100,NPER(CR29,-CU29,-CM29),0)</f>
        <v>0</v>
      </c>
      <c r="CO29" s="64">
        <f>IF($B29=Analysis!$C$100,Analysis!$C$103,0)</f>
        <v>0</v>
      </c>
      <c r="CP29" s="1">
        <f>IF(OR($B29&lt;Analysis!$C$100, $B29&gt;=Analysis!$C$101),0,IF($B29=Analysis!$C$100,-CM29*CO29,IF(CU29&gt;=0,0,CU29-CS29)))</f>
        <v>-26868.513953484522</v>
      </c>
      <c r="CQ29" s="1">
        <f>IF(OR($B29&lt;Analysis!$C$100, $B29&gt;=Analysis!$C$101),0,IF($B29=Analysis!$C$100,-CM29-CP29,MIN(0,CQ28-CP29)))</f>
        <v>-22953.001898285191</v>
      </c>
      <c r="CR29" s="64">
        <f>IF(OR($B29&lt;Analysis!$C$100, $B29&gt;=Analysis!$C$101),0,IF($B29=Analysis!$C$100,Analysis!$C$102,IF(($B29-Analysis!$C$100)&lt;LOOKUP(Analysis!$C$100,$B:$B,CN:CN),CR28,0)))</f>
        <v>3.6999999999999998E-2</v>
      </c>
      <c r="CS29" s="1">
        <f>IF(OR($B29&lt;Analysis!$C$100, $B29&gt;=Analysis!$C$101),0,IF($B29=Analysis!$C$100,-CR29*CM29,CR28*CQ28))</f>
        <v>-1843.3960865154793</v>
      </c>
      <c r="CT29" s="1">
        <f>IF(OR($B29&lt;Analysis!$C$100, $B29&gt;=Analysis!$C$101),0,IF($B29=Analysis!$C$100,PMT(CR29,CN29,CM29)*CN29-CU29-CQ29,IF(($B29-Analysis!$C$100+1)&lt;LOOKUP(Analysis!$C$100,$B:$B,CN:CN),IF(CT28-CS29&lt;0, CT28-CS29,0),0)))</f>
        <v>-774.73315912670319</v>
      </c>
      <c r="CU29" s="1">
        <f>IF(OR($B29&lt;Analysis!$C$100, $B29&gt;=Analysis!$C$101),0,IF($B29=Analysis!$C$100,CP29+CS29,IF(CQ28&lt;0,IF(CQ28&gt;LOOKUP(Analysis!$C$100,$B:$B,CU:CU), CQ28*(1+CR28),CU28),0)))</f>
        <v>-28711.910040000002</v>
      </c>
      <c r="CV29" s="1">
        <f>IF($B29=Analysis!$C$100,Analysis!$C$105,0)</f>
        <v>0</v>
      </c>
      <c r="CW29" s="1">
        <f>IF($B29=Analysis!$C$100,PMT(CR29,CX29,CV29)*CX29,0)</f>
        <v>0</v>
      </c>
      <c r="CX29" s="7">
        <f>IF($B29=Analysis!$C$100,Analysis!$C$107,0)</f>
        <v>0</v>
      </c>
      <c r="CY29" s="1">
        <f>IF(OR($B29&lt;Analysis!$C$100, $B29&gt;=Analysis!$C$101),0,IF($B29=Analysis!$C$100,CW29/CX29,IF(($B29-Analysis!$C$100)&lt;LOOKUP(Analysis!$C$100,$B:$B,CX:CX),CY28,0)))</f>
        <v>0</v>
      </c>
      <c r="CZ29" s="1">
        <f>IF(OR($B29&lt;Analysis!$C$100, $B29&gt;=Analysis!$C$101),0,IF($B29=Analysis!$C$100,CX29*CY29-CY29,IF(($B29-Analysis!$C$100)&lt;Analysis!$C$107,CZ28-CY29,0)))</f>
        <v>0</v>
      </c>
      <c r="DA29" s="53"/>
      <c r="DB29" s="1">
        <f>IF(OR($B29&lt;Analysis!$C$100, $B29&gt;=Analysis!$C$101),0,IF($B29=2025,(Analysis!$C$109*12),IF($B29=Analysis!$C$100,(Analysis!$C$109*12)*(1+DC29)^($B29-$B$2),DB28*(1+DC29))))</f>
        <v>30315.844278924797</v>
      </c>
      <c r="DC29" s="64">
        <f>IF(OR($B29&lt;Analysis!$C$100, $B29&gt;=Analysis!$C$101),0,((1+Analysis!$C$114)/(1+$S29))-1)</f>
        <v>2.941176470588247E-2</v>
      </c>
      <c r="DD29" s="1">
        <f t="shared" si="6"/>
        <v>37685.392479645423</v>
      </c>
      <c r="DE29" s="1">
        <f t="shared" si="27"/>
        <v>-3409.5482007206315</v>
      </c>
      <c r="DF29" s="64">
        <f>IF(OR($B29&lt;Analysis!$C$100, $B29&gt;=Analysis!$C$101),0,Analysis!$C$118)</f>
        <v>3.0000000000000001E-3</v>
      </c>
      <c r="DG29" s="1">
        <f t="shared" si="28"/>
        <v>-8523.8705018015771</v>
      </c>
      <c r="DH29" s="64">
        <f>IF(OR($B29&lt;Analysis!$C$100, $B29&gt;=Analysis!$C$101),0,Analysis!$C$119)</f>
        <v>7.4999999999999997E-3</v>
      </c>
      <c r="DI29" s="1">
        <f>IF(OR($B29&lt;Analysis!$C$100, $B29&gt;=Analysis!$C$101),0,MIN(Analysis!$C$120*12,SUM(DJ29:DN29)))</f>
        <v>-3960</v>
      </c>
      <c r="DJ29" s="1">
        <f>IF(OR($B29&lt;Analysis!$C$100, $B29&gt;=Analysis!$C$101),0,Analysis!$C$121*12)</f>
        <v>-900</v>
      </c>
      <c r="DK29" s="1">
        <f>IF(OR($B29&lt;Analysis!$C$100, $B29&gt;=Analysis!$C$101),0,Analysis!$C$122*12)</f>
        <v>-1500</v>
      </c>
      <c r="DL29" s="1">
        <f>IF(OR($B29&lt;Analysis!$C$100, $B29&gt;=Analysis!$C$101),0,Analysis!$C$123*12)</f>
        <v>-480</v>
      </c>
      <c r="DM29" s="1">
        <f>IF(OR($B29&lt;Analysis!$C$100, $B29&gt;=Analysis!$C$101),0,Analysis!$C$124*12)</f>
        <v>-480</v>
      </c>
      <c r="DN29" s="1">
        <f>IF(OR($B29&lt;Analysis!$C$100, $B29&gt;=Analysis!$C$101),0,Analysis!$C$125*12)</f>
        <v>-600</v>
      </c>
      <c r="DO29" s="64">
        <f>IF(OR($B29&lt;Analysis!$C$100, $B29&gt;=Analysis!$C$101),0,Analysis!$C$113)</f>
        <v>0.02</v>
      </c>
      <c r="DP29" s="1">
        <f>-DO29*LOOKUP(Analysis!$C$100,$B:$B,CK:CK)</f>
        <v>-10392</v>
      </c>
      <c r="DQ29" s="1">
        <f>-Analysis!$C$117*DB29</f>
        <v>-2273.6883209193597</v>
      </c>
      <c r="DR29" s="1">
        <f t="shared" si="29"/>
        <v>-28559.107023441567</v>
      </c>
      <c r="DS29" s="1">
        <f>MIN(0,-(DB29+DR29)*Analysis!$C$28)-CS29*Analysis!$C$28</f>
        <v>38.398528030390025</v>
      </c>
      <c r="DT29" s="1">
        <f>-Analysis!$C$116*DD29/12</f>
        <v>-3140.4493733037853</v>
      </c>
      <c r="DU29" s="53"/>
      <c r="DV29" s="1">
        <f t="shared" si="30"/>
        <v>-144905.79853062684</v>
      </c>
      <c r="DW29" s="64">
        <f>IF(OR($B29&lt;Analysis!$C$100, $B29&gt;=Analysis!$C$101),0,IF($B29=Analysis!$C$100,Analysis!$C$31,DW28))</f>
        <v>0.1275</v>
      </c>
      <c r="DX29" s="1">
        <f>IF(OR($B29&lt;Analysis!$C$100, $B29&gt;=Analysis!$C$101),0,CK29+DV29)</f>
        <v>991610.26837625029</v>
      </c>
      <c r="DY29" s="1">
        <f>IF(OR($B29&lt;Analysis!$C$100, $B29&gt;=Analysis!$C$101),0,IF($B29-Analysis!$C$100&gt;3,0,IF(CK29&gt;LOOKUP(Analysis!$C$100,$B:$B, CK:CK),$V29*(LOOKUP(Analysis!$C$100,$B:$B, CK:CK)-CK29),0)))</f>
        <v>0</v>
      </c>
      <c r="DZ29" s="1">
        <f t="shared" si="49"/>
        <v>991610.26837625029</v>
      </c>
      <c r="EA29" s="53"/>
      <c r="EB29" s="1">
        <f t="shared" si="31"/>
        <v>1509230.3428901955</v>
      </c>
      <c r="EC29" s="64">
        <f t="shared" si="50"/>
        <v>2.941176470588247E-2</v>
      </c>
      <c r="ED29" s="1">
        <f>MAX(0,IF($B29=Analysis!$C$130,(EB29*(1+Analysis!$C$23+Analysis!$C$24+Analysis!$C$25))-(IF($B29=$B$2,(Analysis!$C$6-Analysis!$C$7+Analysis!$C$132), (FU28-Analysis!$C$7+EM29)) + IF($B29=Analysis!$C$101,DZ28+CQ28+CT28+CZ28,0)),0))</f>
        <v>0</v>
      </c>
      <c r="EE29" s="65">
        <f>IF($B29=Analysis!$C$130,IF(ED29&gt;0,NPER(EI29,-EL29,-ED29),0),0)</f>
        <v>0</v>
      </c>
      <c r="EF29" s="64">
        <f>IF($B29=Analysis!$C$130,Analysis!$C$137,0)</f>
        <v>0</v>
      </c>
      <c r="EG29" s="1">
        <f>IF($B29&lt;Analysis!$C$130,0,IF($B29=Analysis!$C$130,-ED29*EF29,IF(EL29&gt;=0,0,EL29-EJ29)))</f>
        <v>0</v>
      </c>
      <c r="EH29" s="1">
        <f>IF($B29&lt;Analysis!$C$130,0,IF($B29=Analysis!$C$130,-ED29-EG29,MIN(0,EH28-EG29)))</f>
        <v>0</v>
      </c>
      <c r="EI29" s="64">
        <f>IF($B29&lt;Analysis!$C$130,0,IF($B29=Analysis!$C$130,Analysis!$C$136,IF(($B29-Analysis!$C$130)&lt;LOOKUP(Analysis!$C$130,$B:$B,EE:EE),EI28,0)))</f>
        <v>0</v>
      </c>
      <c r="EJ29" s="1">
        <f>IF($B29&lt;Analysis!$C$130,0,IF($B29=Analysis!$C$130,-EI29*ED29,EI28*EH28))</f>
        <v>0</v>
      </c>
      <c r="EK29" s="1">
        <f>IF(OR($B29&lt;Analysis!$C$130, ED29=0),0,IF($B29=Analysis!$C$130,PMT(EI29,EE29,ED29)*EE29-EL29-EH29,IF(($B29-Analysis!$C$130+1)&lt;LOOKUP(Analysis!$C$130,$B:$B,EE:EE),IF(EK28-EJ29&lt;0, EK28-EJ29,0),0)))</f>
        <v>0</v>
      </c>
      <c r="EL29" s="1">
        <f>IF($B29&lt;Analysis!$C$130,0,IF($B29=Analysis!$C$130,EG29+EJ29,IF(EH28&lt;0,IF(EH28&gt;LOOKUP(Analysis!$C$130,$B:$B,EL:EL), EH28*(1+EI28),EL28),0)))</f>
        <v>0</v>
      </c>
      <c r="EM29" s="1">
        <f>IF($B29=Analysis!$C$130,Analysis!$C$132,0)</f>
        <v>0</v>
      </c>
      <c r="EN29" s="1">
        <f>IF($B29=Analysis!$C$130,PMT(EI29,EO29,EM29)*EO29,0)</f>
        <v>0</v>
      </c>
      <c r="EO29" s="7">
        <f>IF($B29=Analysis!$C$130,Analysis!$C$134,0)</f>
        <v>0</v>
      </c>
      <c r="EP29" s="1">
        <f>IF($B29&lt;Analysis!$C$130,0,IF($B29=Analysis!$C$130,EN29/EO29,IF(($B29-Analysis!$C$130)&lt;LOOKUP(Analysis!$C$130,$B:$B,EO:EO),EP28,0)))</f>
        <v>0</v>
      </c>
      <c r="EQ29" s="1">
        <f>IF($B29&lt;Analysis!$C$130,0,IF($B29=Analysis!$C$130,EO29*EP29-EP29,IF(($B29-Analysis!$C$130)&lt;Analysis!$C$134,EQ28-EP29,0)))</f>
        <v>0</v>
      </c>
      <c r="ER29" s="53"/>
      <c r="ES29" s="1">
        <f>IF($B29&lt;Analysis!$C$130,0,-ET29*EB29)</f>
        <v>0</v>
      </c>
      <c r="ET29" s="64">
        <f>IF($B29&lt;Analysis!$C$130,0,Analysis!$C$142)</f>
        <v>0</v>
      </c>
      <c r="EU29" s="1">
        <f>IF($B29&lt;Analysis!$C$130,0,-EV29*EB29)</f>
        <v>0</v>
      </c>
      <c r="EV29" s="64">
        <f>IF($B29&lt;Analysis!$C$130,0,Analysis!$C$143)</f>
        <v>0</v>
      </c>
      <c r="EW29" s="1">
        <f>IF($B29&lt;Analysis!$C$130,0,MIN(Analysis!$C$144*12,SUM(EX29:FB29)))</f>
        <v>0</v>
      </c>
      <c r="EX29" s="1">
        <f>IF($B29&lt;Analysis!$C$130,0,Analysis!$C$145*12)</f>
        <v>0</v>
      </c>
      <c r="EY29" s="1">
        <f>IF($B29&lt;Analysis!$C$130,0,Analysis!$C$146*12)</f>
        <v>0</v>
      </c>
      <c r="EZ29" s="1">
        <f>IF($B29&lt;Analysis!$C$130,0,Analysis!$C$147*12)</f>
        <v>0</v>
      </c>
      <c r="FA29" s="1">
        <f>IF($B29&lt;Analysis!$C$130,0,Analysis!$C$148*12)</f>
        <v>0</v>
      </c>
      <c r="FB29" s="1">
        <f>IF($B29&lt;Analysis!$C$130,0,Analysis!$C$149*12)</f>
        <v>0</v>
      </c>
      <c r="FC29" s="1">
        <v>0</v>
      </c>
      <c r="FD29" s="1">
        <f>-FC29*Analysis!$C$28</f>
        <v>0</v>
      </c>
      <c r="FE29" s="53"/>
      <c r="FF29" s="1">
        <f t="shared" si="32"/>
        <v>0</v>
      </c>
      <c r="FG29" s="64">
        <f>IF($B29&lt;Analysis!$C$130,0,Analysis!$C$31)</f>
        <v>0</v>
      </c>
      <c r="FH29" s="1">
        <f>IF($B29&lt;Analysis!$C$130,0,EB29+FF29)</f>
        <v>0</v>
      </c>
      <c r="FI29" s="1">
        <f>IF($B29-Analysis!$C$130&gt;3,0,IF(EB29&gt;LOOKUP(Analysis!$C$130,$B:$B, EB:EB),$V29*(LOOKUP(Analysis!$C$130,$B:$B, EB:EB)-EB29),0))</f>
        <v>0</v>
      </c>
      <c r="FJ29" s="1">
        <f t="shared" si="33"/>
        <v>0</v>
      </c>
      <c r="FK29" s="53"/>
      <c r="FL29" s="1">
        <f>$P29+$N29+IF($B29&lt;Analysis!$C$130,$X29+$Z29,0)+CP29+CS29+CY29+DE29+DG29+MIN(DI29,SUM(DJ29:DN29))+DQ29+DS29+DT29+EG29+EJ29+EP29+ES29+EU29+MIN(EW29,SUM(EX29:FB29))+FD29</f>
        <v>-149787.74708462899</v>
      </c>
      <c r="FM29" s="1">
        <f>$M29+$R29+DD29+IF(AND($B29&lt;&gt;Analysis!$C$130,$B29=Analysis!$C$101),DZ28+CQ28+CT28+CZ28,0)</f>
        <v>169153.31572087132</v>
      </c>
      <c r="FN29" s="1">
        <f t="shared" si="34"/>
        <v>19365.568636242329</v>
      </c>
      <c r="FO29" s="1">
        <f>IF(FN29 &lt; 0,
    IF(FO28 + FN29 &gt; 0,
        FO28 + FN29, IF(FT28-ABS(FO28 + FN29)*(1+$V29) &gt;= FO28 + FN29,
        0, FO28 + FN29)),
    MIN(FO28 + FN29, Analysis!$C$7))+IF(FO28&lt;0, FO28*Analysis!$C$9,0)</f>
        <v>24000</v>
      </c>
      <c r="FP29" s="53"/>
      <c r="FQ29" s="1">
        <f t="shared" si="51"/>
        <v>18284.503867209132</v>
      </c>
      <c r="FR29" s="1">
        <f>IF(OR($B29=Analysis!$C$100, $B29=Analysis!$C$130),0,IF(FN29 &gt;= 0,
    MAX(0, FO28 + FN29 - Analysis!$C$7),
    0))</f>
        <v>19365.568636242329</v>
      </c>
      <c r="FS29" s="1">
        <f>IF(OR($B29=Analysis!$C$100, $B29=Analysis!$C$130),0,MAX(0, FS28 + FR29 - IF(FN29 &lt; 0, MIN(ABS(FN29), FS28 + FR29), 0)))</f>
        <v>389451.68202240765</v>
      </c>
      <c r="FT29" s="1">
        <f>IF(OR($B29=Analysis!$C$100, $B29=Analysis!$C$130),0,IF(FN29 &lt; 0,
    IF(FN29 + FO28 &lt; 0,
        MAX(0, FT28 - (ABS(FN29 + FO28) * (1+$V28))),
        FT28 + FQ29),
    FT28 + FR29 + FQ29))</f>
        <v>606451.73515538825</v>
      </c>
      <c r="FU29" s="1">
        <f t="shared" si="57"/>
        <v>549217.97114156466</v>
      </c>
      <c r="FV29" s="36"/>
      <c r="FW29" s="1">
        <f t="shared" si="52"/>
        <v>1136516.0669068771</v>
      </c>
      <c r="FX29" s="64">
        <f t="shared" si="53"/>
        <v>2.941176470588247E-2</v>
      </c>
      <c r="FY29" s="1">
        <f>IF($B29=Analysis!$C$159,(FW29*(1+Analysis!$C$23+Analysis!$C$24+Analysis!$C$25))-IF($B29=$B$2,(Analysis!$C$6-Analysis!$C$7+Analysis!$C$165), (HW28-Analysis!$C$7+GH29)),0)</f>
        <v>0</v>
      </c>
      <c r="FZ29" s="65">
        <f>IF($B29=Analysis!$C$159,NPER(GD29,-GG29,-FY29),0)</f>
        <v>0</v>
      </c>
      <c r="GA29" s="64">
        <f>IF($B29=Analysis!$C$159,Analysis!$C$161,0)</f>
        <v>0</v>
      </c>
      <c r="GB29" s="1">
        <f>IF($B29&lt;Analysis!$C$159,0,IF($B29=Analysis!$C$159,-FY29*GA29,IF(GG29&gt;=0,0,GG29-GE29)))</f>
        <v>-26868.513953484522</v>
      </c>
      <c r="GC29" s="1">
        <f>IF($B29&lt;Analysis!$C$159,0,IF($B29=Analysis!$C$159,-FY29-GB29,MIN(0,GC28-GB29)))</f>
        <v>-22953.001898285191</v>
      </c>
      <c r="GD29" s="64">
        <f>IF($B29&lt;Analysis!$C$159,0,IF($B29=Analysis!$C$159,Analysis!$C$160,IF(($B29-Analysis!$C$159)&lt;LOOKUP(Analysis!$C$159,$B:$B,FZ:FZ),GD28,0)))</f>
        <v>3.6999999999999998E-2</v>
      </c>
      <c r="GE29" s="1">
        <f>IF($B29&lt;Analysis!$C$159,0,IF($B29=Analysis!$C$159,-GD29*FY29,GD28*GC28))</f>
        <v>-1843.3960865154793</v>
      </c>
      <c r="GF29" s="1">
        <f>IF($B29&lt;Analysis!$C$159,0,IF($B29=Analysis!$C$159,PMT(GD29,FZ29,FY29)*FZ29-GG29-GC29,IF(($B29-Analysis!$C$159+1)&lt;LOOKUP(Analysis!$C$159,$B:$B,FZ:FZ),IF(GF28-GE29&lt;0, GF28-GE29,0),0)))</f>
        <v>-774.73315912670319</v>
      </c>
      <c r="GG29" s="1">
        <f>IF($B29&lt;Analysis!$C$159,0,IF($B29=Analysis!$C$159,GB29+GE29,IF(GC28&lt;0,IF(GC28&gt;LOOKUP(Analysis!$C$159,$B:$B,GG:GG), GC28*(1+GD28),GG28),0)))</f>
        <v>-28711.910040000002</v>
      </c>
      <c r="GH29" s="1">
        <f>IF($B29=Analysis!$C$159,Analysis!$C$165,0)</f>
        <v>0</v>
      </c>
      <c r="GI29" s="1">
        <f>IF($B29=Analysis!$C$159,PMT(GD29,GJ29,GH29)*GJ29,0)</f>
        <v>0</v>
      </c>
      <c r="GJ29" s="7">
        <f>IF($B29=Analysis!$C$159,Analysis!$C$167,0)</f>
        <v>0</v>
      </c>
      <c r="GK29" s="1">
        <f>IF($B29&lt;Analysis!$C$159,0,IF($B29=Analysis!$C$159,GI29/GJ29,IF(($B29-Analysis!$C$159)&lt;LOOKUP(Analysis!$C$159,$B:$B,GJ:GJ),GK28,0)))</f>
        <v>0</v>
      </c>
      <c r="GL29" s="1">
        <f>IF($B29&lt;Analysis!$C$159,0,IF($B29=Analysis!$C$159,GJ29*GK29-GK29,IF(($B29-Analysis!$C$159)&lt;Analysis!$C$167,GL28-GK29,0)))</f>
        <v>0</v>
      </c>
      <c r="GM29" s="38"/>
      <c r="GN29" s="1">
        <f>IF($B29&lt;Analysis!$C$159,0,IF($B29=2025,(Analysis!$C$109*12),IF($B29=Analysis!$C$159,(Analysis!$C$109*12)*(1+GO29)^($B29-$B$2),GN28*(1+GO29))))</f>
        <v>30315.844278924797</v>
      </c>
      <c r="GO29" s="64">
        <f>IF($B29&lt;Analysis!$C$159,0,((1+Analysis!$C$174)/(1+$S29))-1)</f>
        <v>2.941176470588247E-2</v>
      </c>
      <c r="GP29" s="1">
        <f t="shared" si="7"/>
        <v>37685.392479645423</v>
      </c>
      <c r="GQ29" s="1">
        <f t="shared" si="36"/>
        <v>-3409.5482007206315</v>
      </c>
      <c r="GR29" s="64">
        <f>IF($B29&lt;Analysis!$C$159,0,Analysis!$C$178)</f>
        <v>3.0000000000000001E-3</v>
      </c>
      <c r="GS29" s="1">
        <f t="shared" si="37"/>
        <v>-8523.8705018015771</v>
      </c>
      <c r="GT29" s="64">
        <f>IF($B29&lt;Analysis!$C$159,0,Analysis!$C$179)</f>
        <v>7.4999999999999997E-3</v>
      </c>
      <c r="GU29" s="1">
        <f>IF($B29&lt;Analysis!$C$159,0,MIN(Analysis!$C$180*12,SUM(GV29:GZ29)))</f>
        <v>-3960</v>
      </c>
      <c r="GV29" s="1">
        <f>IF($B29&lt;Analysis!$C$159,0,Analysis!$C$181*12)</f>
        <v>-900</v>
      </c>
      <c r="GW29" s="1">
        <f>IF($B29&lt;Analysis!$C$159,0,Analysis!$C$182*12)</f>
        <v>-1500</v>
      </c>
      <c r="GX29" s="1">
        <f>IF($B29&lt;Analysis!$C$159,0,Analysis!$C$183*12)</f>
        <v>-480</v>
      </c>
      <c r="GY29" s="1">
        <f>IF($B29&lt;Analysis!$C$159,0,Analysis!$C$184*12)</f>
        <v>-480</v>
      </c>
      <c r="GZ29" s="1">
        <f>IF($B29&lt;Analysis!$C$159,0,Analysis!$C$185*12)</f>
        <v>-600</v>
      </c>
      <c r="HA29" s="64">
        <f>IF($B29&lt;Analysis!$C$159,0,Analysis!$C$173)</f>
        <v>0.02</v>
      </c>
      <c r="HB29" s="1">
        <f>-HA29*LOOKUP(Analysis!$C$159,$B:$B,FW:FW)</f>
        <v>-10392</v>
      </c>
      <c r="HC29" s="1">
        <f>-Analysis!$C$177*GN29</f>
        <v>-2273.6883209193597</v>
      </c>
      <c r="HD29" s="1">
        <f t="shared" si="38"/>
        <v>-28559.107023441567</v>
      </c>
      <c r="HE29" s="1">
        <f>MIN(0,-(GN29+HD29)*Analysis!$C$28)-GE29*Analysis!$C$28</f>
        <v>38.398528030390025</v>
      </c>
      <c r="HF29" s="1">
        <f>-Analysis!$C$176*GP29/12</f>
        <v>-3140.4493733037853</v>
      </c>
      <c r="HG29" s="38"/>
      <c r="HH29" s="1">
        <f>IF($B29&lt;Analysis!$C$159,0,-$HI29*$FW29)</f>
        <v>-144905.79853062684</v>
      </c>
      <c r="HI29" s="64">
        <f>IF($B29&lt;Analysis!$C$159,0,IF($B29=Analysis!$C$159,Analysis!$C$31,HI28))</f>
        <v>0.1275</v>
      </c>
      <c r="HJ29" s="1">
        <f>IF($B29&lt;Analysis!$C$159,0,$FW29+HH29)</f>
        <v>991610.26837625029</v>
      </c>
      <c r="HK29" s="1">
        <f>IF($B29-Analysis!$C$159&gt;10,0,IF($FW29&gt;LOOKUP(Analysis!$C$159,$B:$B, FW:FW),$V29*(LOOKUP(Analysis!$C$159,$B:$B, FW:FW)-FW29),0))</f>
        <v>0</v>
      </c>
      <c r="HL29" s="1">
        <f t="shared" si="39"/>
        <v>991610.26837625029</v>
      </c>
      <c r="HM29" s="38"/>
      <c r="HN29" s="1">
        <f t="shared" si="40"/>
        <v>-149787.74708462899</v>
      </c>
      <c r="HO29" s="1">
        <f t="shared" si="8"/>
        <v>169153.31572087132</v>
      </c>
      <c r="HP29" s="1">
        <f t="shared" si="41"/>
        <v>19365.568636242329</v>
      </c>
      <c r="HQ29" s="1">
        <f>IF(HP29 &lt; 0,
    IF(HQ28 + HP29 &gt; 0,
        HQ28 + HP29, IF(HV28-ABS(HQ28 + HP29)*(1+$V29) &gt;= HQ28 + HP29,
        0, HQ28 + HP29)),
    MIN(HQ28 + HP29, Analysis!$C$7))+IF(HQ28&lt;0, HQ28*Analysis!$C$9,0)</f>
        <v>24000</v>
      </c>
      <c r="HR29" s="38"/>
      <c r="HS29" s="1">
        <f t="shared" si="54"/>
        <v>18284.503867209132</v>
      </c>
      <c r="HT29" s="1">
        <f>IF($B29=Analysis!$C$159,0,IF(HP29 &gt;= 0,
    MAX(0, HQ28 + HP29 - Analysis!$C$7),
    0))</f>
        <v>19365.568636242329</v>
      </c>
      <c r="HU29" s="1">
        <f>IF($B29=Analysis!$C$159,0,MAX(0, HU28 + HT29 - IF(HP29 &lt; 0, MIN(ABS(HP29), HU28 + HT29), 0)))</f>
        <v>389451.68202240765</v>
      </c>
      <c r="HV29" s="1">
        <f>IF($B29=Analysis!$C$159,0,IF(HP29 &lt; 0,
    IF(HP29 + HQ28 &lt; 0,
        MAX(0, HV28 - (ABS(HP29 + HQ28) * (1+$V28))),
        HV28 + HS29),
    HV28 + HT29 + HS29))</f>
        <v>606451.73515538825</v>
      </c>
      <c r="HW29" s="1">
        <f t="shared" si="58"/>
        <v>549217.97114156466</v>
      </c>
      <c r="HX29" s="36"/>
    </row>
    <row r="30" spans="1:232" x14ac:dyDescent="0.35">
      <c r="A30">
        <f t="shared" si="0"/>
        <v>63</v>
      </c>
      <c r="B30">
        <v>2053</v>
      </c>
      <c r="C30" s="1">
        <f>IF($B30&lt;Analysis!C$66,0,$AN30)+$AT30+$AW30+$BC30+$CF30+$CA30</f>
        <v>-46962.227544057649</v>
      </c>
      <c r="D30" s="1">
        <f>IF($B30&lt;Analysis!C$66, 0, BV30)+AT30+AW30+BC30+CG30+CA30</f>
        <v>-302465.08178878366</v>
      </c>
      <c r="E30" s="1">
        <f t="shared" si="1"/>
        <v>1722836.1865288515</v>
      </c>
      <c r="F30" s="1">
        <f t="shared" si="9"/>
        <v>1503317.3008709399</v>
      </c>
      <c r="G30" s="1">
        <f>IF(AND($B30&gt;=Analysis!$C$100, $B30&lt;Analysis!$C$101),$CK30,0)+IF($B30&gt;=Analysis!$C$130,EB30,0)+CQ30+CT30+CZ30+EH30+EK30+EQ30+$FO30+$FT30</f>
        <v>1855147.0705926083</v>
      </c>
      <c r="H30" s="1">
        <f t="shared" si="10"/>
        <v>1643878.0246939529</v>
      </c>
      <c r="I30" s="1">
        <f>IF($B30&lt;Analysis!$C$159,0,$FW30)+$GC30+$GF30+$GL30+$HQ30+$HV30</f>
        <v>1855147.0705926083</v>
      </c>
      <c r="J30" s="1">
        <f t="shared" si="2"/>
        <v>1643878.0246939529</v>
      </c>
      <c r="K30" s="36"/>
      <c r="L30" s="1">
        <f t="shared" si="11"/>
        <v>131467.92324122589</v>
      </c>
      <c r="M30" s="1">
        <f>IF($B30=Analysis!$C$47, M29 * (1 - Analysis!$C$48),
    IF($B30=Analysis!$C$52, M29 * (1 - Analysis!$C$53),
    IF($B30=Analysis!$C$58, M29 * (1 - Analysis!$C$60),
    L30)))</f>
        <v>131467.92324122589</v>
      </c>
      <c r="N30" s="1">
        <f>Analysis!$C$3*12*(1+O30)+P30</f>
        <v>-48000</v>
      </c>
      <c r="O30" s="64">
        <f>IF(OR($B30=Analysis!$C$47,$B30=Analysis!$C$52,$B30=Analysis!$C$58),-Analysis!$C$49,0)</f>
        <v>0</v>
      </c>
      <c r="P30" s="1">
        <f>IF($B30&lt;Analysis!$C$47,0,IF($B30-Analysis!$C$47&lt;=3,Analysis!$C$40+Analysis!$C$44,IF($B30-Analysis!$C$47&lt;=10,Analysis!$C$41+Analysis!$C$44,IF($B30-Analysis!$C$47&lt;=18,Analysis!$C$42+Analysis!$C$44,IF($B30-Analysis!$C$47&lt;=25,Analysis!$C$43+Analysis!$C$44,0)))) + IF(AND($B30&gt;=Analysis!$C$52, $B30-Analysis!$C$52&lt;=3),Analysis!$C$40+Analysis!$C$44,IF(AND($B30&gt;=Analysis!$C$52, $B30-Analysis!$C$52&lt;=10),Analysis!$C$41+Analysis!$C$44,IF(AND($B30&gt;=Analysis!$C$52, $B30-Analysis!$C$52&lt;=18),Analysis!$C$42+Analysis!$C$44,IF(AND($B30&gt;=Analysis!$C$52, $B30-Analysis!$C$52&lt;=25),Analysis!$C$43+Analysis!$C$44,0)))) + Analysis!$C$57*IF(AND($B30&gt;=Analysis!$C$58, $B30-Analysis!$C$58&lt;=3),Analysis!$C$40+Analysis!$C$44,IF(AND($B30&gt;=Analysis!$C$58, $B30-Analysis!$C$58&lt;=10),Analysis!$C$41+Analysis!$C$44,IF(AND($B30&gt;=Analysis!$C$58, $B30-Analysis!$C$58&lt;=18),Analysis!$C$42+Analysis!$C$44,IF(AND($B30&gt;=Analysis!$C$58, $B30-Analysis!$C$58&lt;=25),Analysis!$C$43+Analysis!$C$44,0)))))</f>
        <v>0</v>
      </c>
      <c r="Q30" s="1">
        <f t="shared" si="43"/>
        <v>0</v>
      </c>
      <c r="R30" s="1">
        <f>IF(AND(AND(B30=Analysis!C$35,Analysis!C$34&lt;&gt;0),AND(B30=Analysis!C$37,Analysis!C$36&lt;&gt;0)),Analysis!C$34+Analysis!C$36,IF(AND(B30=Analysis!C$35,Analysis!C$34&lt;&gt;0),Analysis!C$34,IF(AND(B30=Analysis!C$37,Analysis!C$36&lt;&gt;0),Analysis!C$36,0)))</f>
        <v>0</v>
      </c>
      <c r="S30" s="64">
        <f t="shared" si="12"/>
        <v>0.02</v>
      </c>
      <c r="T30" s="64">
        <f>IF($B30&lt;Analysis!$C$13, ((1+IF($B30-$B$2&lt;10,Analysis!$C$11,IF($B30-$B$2&lt;20,(Analysis!$C$11+Analysis!$C$12)/2,Analysis!$C$12)))/(1+$S30)-1),IF($B30=Analysis!$C$13,-Analysis!$C$14,-$S30))</f>
        <v>0</v>
      </c>
      <c r="U30" s="64">
        <f>IF($B30=$B$2,((1+Analysis!$C$16)/(1+$S30))-1,IF(B30&lt;Analysis!$C$13,U29-((Analysis!$C$16-Analysis!$C$17)/(Analysis!$C$13-$B$2)),((1+Analysis!$C$17)/(1+$S29))-1))</f>
        <v>3.0431372549019769E-2</v>
      </c>
      <c r="V30" s="64">
        <f t="shared" si="13"/>
        <v>0.26374999999999998</v>
      </c>
      <c r="W30" s="36"/>
      <c r="X30" s="1">
        <f t="shared" si="14"/>
        <v>-35665.699151676228</v>
      </c>
      <c r="Y30" s="64">
        <f t="shared" si="15"/>
        <v>2.941176470588247E-2</v>
      </c>
      <c r="Z30" s="1">
        <f t="shared" si="16"/>
        <v>-3960</v>
      </c>
      <c r="AA30" s="64">
        <f t="shared" si="17"/>
        <v>0</v>
      </c>
      <c r="AB30" s="40"/>
      <c r="AC30" s="1">
        <f t="shared" si="3"/>
        <v>-87625.699151676235</v>
      </c>
      <c r="AD30" s="1">
        <f t="shared" si="4"/>
        <v>131467.92324122589</v>
      </c>
      <c r="AE30" s="1">
        <f t="shared" si="18"/>
        <v>43842.224089549651</v>
      </c>
      <c r="AF30" s="1">
        <f>IF(AE30 &lt; 0,
    IF(AF29 + AE30 &gt; 0,
        AF29 + AE30, IF(AK29-ABS(AF29 + AE30)*(1+$V30) &gt;= AF29 + AE30,
        0, AF29 + AE30)),
    MIN(AF29 + AE30, Analysis!$C$7))+IF(AF29&lt;0, AF29*Analysis!$C$9,0)</f>
        <v>24000</v>
      </c>
      <c r="AG30" s="40"/>
      <c r="AH30" s="1">
        <f t="shared" si="19"/>
        <v>48876.363025304643</v>
      </c>
      <c r="AI30" s="1">
        <f>IF(AE30 &gt;= 0,
    MAX(0, AF29 + AE30 - Analysis!$C$7),
    0)</f>
        <v>43842.224089549651</v>
      </c>
      <c r="AJ30" s="1">
        <f t="shared" si="44"/>
        <v>866537.09398700611</v>
      </c>
      <c r="AK30" s="1">
        <f t="shared" si="20"/>
        <v>1698836.1865288515</v>
      </c>
      <c r="AL30" s="1">
        <f t="shared" si="5"/>
        <v>1479317.3008709399</v>
      </c>
      <c r="AM30" s="36"/>
      <c r="AN30" s="1">
        <f t="shared" si="45"/>
        <v>2003943.9548605958</v>
      </c>
      <c r="AO30" s="64">
        <f t="shared" si="21"/>
        <v>2.941176470588247E-2</v>
      </c>
      <c r="AP30" s="1">
        <f>IF($B30=Analysis!$C$66,(AN30*(1+Analysis!$C$23+Analysis!$C$24+Analysis!$C$25))-IF($B30=$B$2,(Analysis!$C$6-Analysis!$C$7+Analysis!$C$68), ($CG29-Analysis!$C$7+AY30)),0)</f>
        <v>0</v>
      </c>
      <c r="AQ30" s="65">
        <f>IF($B30=Analysis!$C$66,NPER(AU30,-AX30,-AP30),0)</f>
        <v>0</v>
      </c>
      <c r="AR30" s="64">
        <f>IF($B30=Analysis!$C$66,Analysis!$C$73,0)</f>
        <v>0</v>
      </c>
      <c r="AS30" s="1">
        <f>IF($B30&lt;Analysis!$C$66,0,IF($B30=Analysis!$C$66,-AP30*AR30,IF(AX30&gt;=0,0,AX30-AV30)))</f>
        <v>-41783.884453530809</v>
      </c>
      <c r="AT30" s="1">
        <f>IF($B30&lt;Analysis!$C$66,0,IF($B30=Analysis!$C$66,-AP30-AS30,MIN(0,AT29-AS30)))</f>
        <v>0</v>
      </c>
      <c r="AU30" s="64">
        <f>IF($B30&lt;Analysis!$C$66,0,IF($B30=Analysis!$C$66,Analysis!$C$72,IF(($B30-Analysis!$C$66)&lt;LOOKUP(Analysis!$C$66,$B:$B,AQ:AQ),AU29,0)))</f>
        <v>3.6999999999999998E-2</v>
      </c>
      <c r="AV30" s="1">
        <f>IF($B30&lt;Analysis!$C$66,0,IF($B30=Analysis!$C$66,-AU30*AP30,AU29*AT29))</f>
        <v>-1546.0037247806399</v>
      </c>
      <c r="AW30" s="1">
        <f>IF($B30&lt;Analysis!$C$66,0,IF($B30=Analysis!$C$66,PMT(AU30,AQ30,AP30)*AQ30-AX30-AT30,IF(($B30-Analysis!$C$66+1)&lt;LOOKUP(Analysis!$C$66,$B:$B,AQ:AQ),IF(AW29-AV30&lt;0, AW29-AV30,0),0)))</f>
        <v>0</v>
      </c>
      <c r="AX30" s="1">
        <f>IF($B30&lt;Analysis!$C$66,0,IF($B30=Analysis!$C$66,AS30+AV30,IF(AT29&lt;0,IF(AT29&gt;LOOKUP(Analysis!$C$66,$B:$B,AX:AX), AT29*(1+AU29),AX29),0)))</f>
        <v>-43329.888178311448</v>
      </c>
      <c r="AY30" s="1">
        <f>IF($B30=Analysis!$C$66,Analysis!$C$68,0)</f>
        <v>0</v>
      </c>
      <c r="AZ30" s="1">
        <f>IF($B30=Analysis!$C$66,PMT(AU30,BA30,AY30)*BA30,0)</f>
        <v>0</v>
      </c>
      <c r="BA30" s="7">
        <f>IF($B30=Analysis!$C$66,Analysis!$C$70,0)</f>
        <v>0</v>
      </c>
      <c r="BB30" s="1">
        <f>IF($B30&lt;Analysis!$C$66,0,IF($B30=Analysis!$C$66,AZ30/BA30,IF(($B30-Analysis!$C$66)&lt;LOOKUP(Analysis!$C$66,$B:$B,BA:BA),BB29,0)))</f>
        <v>0</v>
      </c>
      <c r="BC30" s="1">
        <f>IF($B30&lt;Analysis!$C$66,0,IF($B30=Analysis!$C$66,BA30*BB30-BB30,IF(($B30-Analysis!$C$66)&lt;Analysis!$C$70,BC29-BB30,0)))</f>
        <v>0</v>
      </c>
      <c r="BD30" s="42"/>
      <c r="BE30" s="1">
        <f>IF($B30&lt;Analysis!$C$66,0,-BF30*AN30)</f>
        <v>-6011.8318645817872</v>
      </c>
      <c r="BF30" s="64">
        <f>IF($B30&lt;Analysis!$C$66,0,Analysis!$C$78)</f>
        <v>3.0000000000000001E-3</v>
      </c>
      <c r="BG30" s="1">
        <f>IF($B30&lt;Analysis!$C$66,0,-BH30*AN30)</f>
        <v>-15029.579661454467</v>
      </c>
      <c r="BH30" s="64">
        <f>IF($B30&lt;Analysis!$C$66,0,Analysis!$C$79)</f>
        <v>7.4999999999999997E-3</v>
      </c>
      <c r="BI30" s="1">
        <f>IF($B30&lt;Analysis!$C$66,0,MIN(Analysis!$C$80*12,SUM(BJ30:BN30)))</f>
        <v>-3960</v>
      </c>
      <c r="BJ30" s="1">
        <f>IF($B30&lt;Analysis!$C$66,0,Analysis!$C$81*12)</f>
        <v>-900</v>
      </c>
      <c r="BK30" s="1">
        <f>IF($B30&lt;Analysis!$C$66,0,Analysis!$C$82*12)</f>
        <v>-1500</v>
      </c>
      <c r="BL30" s="1">
        <f>IF($B30&lt;Analysis!$C$66,0,Analysis!$C$83*12)</f>
        <v>-480</v>
      </c>
      <c r="BM30" s="1">
        <f>IF($B30&lt;Analysis!$C$66,0,Analysis!$C$84*12)</f>
        <v>-480</v>
      </c>
      <c r="BN30" s="1">
        <f>IF($B30&lt;Analysis!$C$66,0,Analysis!$C$85*12)</f>
        <v>-600</v>
      </c>
      <c r="BO30" s="1">
        <v>0</v>
      </c>
      <c r="BP30" s="1">
        <f>-BO30*Analysis!$C$28</f>
        <v>0</v>
      </c>
      <c r="BQ30" s="42"/>
      <c r="BR30" s="1">
        <f t="shared" si="22"/>
        <v>-255502.85424472595</v>
      </c>
      <c r="BS30" s="64">
        <f>IF($B30&lt;Analysis!C$66,0,Analysis!C$31)</f>
        <v>0.1275</v>
      </c>
      <c r="BT30" s="1">
        <f>IF($B30&lt;Analysis!$C$66,0,AN30+BR30)</f>
        <v>1748441.1006158697</v>
      </c>
      <c r="BU30" s="1">
        <f>IF($B30-Analysis!$C$66&gt;3,0,IF($AN30&gt;LOOKUP(Analysis!$C$66,$B:$B, AN:AN),$V30*(LOOKUP(Analysis!$C$66,$B:$B, AN:AN)-AN30),0))</f>
        <v>0</v>
      </c>
      <c r="BV30" s="1">
        <f t="shared" si="23"/>
        <v>1748441.1006158697</v>
      </c>
      <c r="BW30" s="42"/>
      <c r="BX30" s="1">
        <f>IF($B30&lt;Analysis!$C$66,$P30+$N30+$X30+$Z30,$P30+$N30+AS30+AV30+BB30+BE30+BG30+MAX(BI30,SUM(BJ30:BN30))+BP30)</f>
        <v>-116331.29970434771</v>
      </c>
      <c r="BY30" s="1">
        <f t="shared" si="24"/>
        <v>131467.92324122589</v>
      </c>
      <c r="BZ30" s="1">
        <f t="shared" si="46"/>
        <v>15136.623536878178</v>
      </c>
      <c r="CA30" s="1">
        <f>IF(BZ30 &lt; 0,
    IF(CA29 + BZ30 &gt; 0,
        CA29 + BZ30, IF(CF29-ABS(CA29 + BZ30)*(1+$V30) &gt;= CA29 + BZ30,
        0, CA29 + BZ30)),
    MIN(CA29 + BZ30, Analysis!$C$7))+IF(CA29&lt;0, CA29*Analysis!$C$9,0)</f>
        <v>-2050906.1824046534</v>
      </c>
      <c r="CB30" s="42"/>
      <c r="CC30" s="1">
        <f t="shared" si="47"/>
        <v>0</v>
      </c>
      <c r="CD30" s="1">
        <f>IF(BZ30 &gt;= 0,
    MAX(0, CA29 + BZ30 - Analysis!$C$7),
    0)</f>
        <v>0</v>
      </c>
      <c r="CE30" s="1">
        <f>IF($B30=Analysis!$C$66,0,MAX(0, CE29 + CD30 - IF(BZ30 &lt; 0, MIN(ABS(BZ30), CE29 + CD30), 0)))</f>
        <v>0</v>
      </c>
      <c r="CF30" s="1">
        <f>IF($B30=Analysis!$C$66,0,IF(BZ30 &lt; 0,
    IF(BZ30 + CA29 &lt; 0,
        MAX(0, CF29 - (ABS(BZ30 + CA29) * (1+$V29))),
        CF29 + CC30),
    CF29 + CD30 + CC30))</f>
        <v>0</v>
      </c>
      <c r="CG30" s="1">
        <f t="shared" si="25"/>
        <v>0</v>
      </c>
      <c r="CH30" s="36"/>
      <c r="CI30" s="1">
        <f>IF(OR($B30&lt;Analysis!$C$100, $B30&gt;=Analysis!$C$130),0,X30)</f>
        <v>-35665.699151676228</v>
      </c>
      <c r="CJ30" s="1">
        <f>IF(OR($B30&lt;Analysis!$C$100, $B30&gt;=Analysis!$C$130),0,Z30)</f>
        <v>-3960</v>
      </c>
      <c r="CK30" s="1">
        <f t="shared" si="26"/>
        <v>1169943.0100511971</v>
      </c>
      <c r="CL30" s="64">
        <f t="shared" si="48"/>
        <v>2.941176470588247E-2</v>
      </c>
      <c r="CM30" s="1">
        <f>IF($B30=Analysis!$C$100,(CK30*(1+Analysis!$C$23+Analysis!$C$24+Analysis!$C$25))-IF($B30=$B$2,(Analysis!$C$6-Analysis!$C$7+Analysis!$C$105), (FU29-Analysis!$C$7+CV30)),0)</f>
        <v>0</v>
      </c>
      <c r="CN30" s="65">
        <f>IF($B30=Analysis!$C$100,NPER(CR30,-CU30,-CM30),0)</f>
        <v>0</v>
      </c>
      <c r="CO30" s="64">
        <f>IF($B30=Analysis!$C$100,Analysis!$C$103,0)</f>
        <v>0</v>
      </c>
      <c r="CP30" s="1">
        <f>IF(OR($B30&lt;Analysis!$C$100, $B30&gt;=Analysis!$C$101),0,IF($B30=Analysis!$C$100,-CM30*CO30,IF(CU30&gt;=0,0,CU30-CS30)))</f>
        <v>-22953.001898285187</v>
      </c>
      <c r="CQ30" s="1">
        <f>IF(OR($B30&lt;Analysis!$C$100, $B30&gt;=Analysis!$C$101),0,IF($B30=Analysis!$C$100,-CM30-CP30,MIN(0,CQ29-CP30)))</f>
        <v>-3.637978807091713E-12</v>
      </c>
      <c r="CR30" s="64">
        <f>IF(OR($B30&lt;Analysis!$C$100, $B30&gt;=Analysis!$C$101),0,IF($B30=Analysis!$C$100,Analysis!$C$102,IF(($B30-Analysis!$C$100)&lt;LOOKUP(Analysis!$C$100,$B:$B,CN:CN),CR29,0)))</f>
        <v>3.6999999999999998E-2</v>
      </c>
      <c r="CS30" s="1">
        <f>IF(OR($B30&lt;Analysis!$C$100, $B30&gt;=Analysis!$C$101),0,IF($B30=Analysis!$C$100,-CR30*CM30,CR29*CQ29))</f>
        <v>-849.26107023655197</v>
      </c>
      <c r="CT30" s="1">
        <f>IF(OR($B30&lt;Analysis!$C$100, $B30&gt;=Analysis!$C$101),0,IF($B30=Analysis!$C$100,PMT(CR30,CN30,CM30)*CN30-CU30-CQ30,IF(($B30-Analysis!$C$100+1)&lt;LOOKUP(Analysis!$C$100,$B:$B,CN:CN),IF(CT29-CS30&lt;0, CT29-CS30,0),0)))</f>
        <v>0</v>
      </c>
      <c r="CU30" s="1">
        <f>IF(OR($B30&lt;Analysis!$C$100, $B30&gt;=Analysis!$C$101),0,IF($B30=Analysis!$C$100,CP30+CS30,IF(CQ29&lt;0,IF(CQ29&gt;LOOKUP(Analysis!$C$100,$B:$B,CU:CU), CQ29*(1+CR29),CU29),0)))</f>
        <v>-23802.26296852174</v>
      </c>
      <c r="CV30" s="1">
        <f>IF($B30=Analysis!$C$100,Analysis!$C$105,0)</f>
        <v>0</v>
      </c>
      <c r="CW30" s="1">
        <f>IF($B30=Analysis!$C$100,PMT(CR30,CX30,CV30)*CX30,0)</f>
        <v>0</v>
      </c>
      <c r="CX30" s="7">
        <f>IF($B30=Analysis!$C$100,Analysis!$C$107,0)</f>
        <v>0</v>
      </c>
      <c r="CY30" s="1">
        <f>IF(OR($B30&lt;Analysis!$C$100, $B30&gt;=Analysis!$C$101),0,IF($B30=Analysis!$C$100,CW30/CX30,IF(($B30-Analysis!$C$100)&lt;LOOKUP(Analysis!$C$100,$B:$B,CX:CX),CY29,0)))</f>
        <v>0</v>
      </c>
      <c r="CZ30" s="1">
        <f>IF(OR($B30&lt;Analysis!$C$100, $B30&gt;=Analysis!$C$101),0,IF($B30=Analysis!$C$100,CX30*CY30-CY30,IF(($B30-Analysis!$C$100)&lt;Analysis!$C$107,CZ29-CY30,0)))</f>
        <v>0</v>
      </c>
      <c r="DA30" s="53"/>
      <c r="DB30" s="1">
        <f>IF(OR($B30&lt;Analysis!$C$100, $B30&gt;=Analysis!$C$101),0,IF($B30=2025,(Analysis!$C$109*12),IF($B30=Analysis!$C$100,(Analysis!$C$109*12)*(1+DC30)^($B30-$B$2),DB29*(1+DC30))))</f>
        <v>31207.486757716706</v>
      </c>
      <c r="DC30" s="64">
        <f>IF(OR($B30&lt;Analysis!$C$100, $B30&gt;=Analysis!$C$101),0,((1+Analysis!$C$114)/(1+$S30))-1)</f>
        <v>2.941176470588247E-2</v>
      </c>
      <c r="DD30" s="1">
        <f t="shared" si="6"/>
        <v>38677.315787870291</v>
      </c>
      <c r="DE30" s="1">
        <f t="shared" si="27"/>
        <v>-3509.8290301535917</v>
      </c>
      <c r="DF30" s="64">
        <f>IF(OR($B30&lt;Analysis!$C$100, $B30&gt;=Analysis!$C$101),0,Analysis!$C$118)</f>
        <v>3.0000000000000001E-3</v>
      </c>
      <c r="DG30" s="1">
        <f t="shared" si="28"/>
        <v>-8774.5725753839779</v>
      </c>
      <c r="DH30" s="64">
        <f>IF(OR($B30&lt;Analysis!$C$100, $B30&gt;=Analysis!$C$101),0,Analysis!$C$119)</f>
        <v>7.4999999999999997E-3</v>
      </c>
      <c r="DI30" s="1">
        <f>IF(OR($B30&lt;Analysis!$C$100, $B30&gt;=Analysis!$C$101),0,MIN(Analysis!$C$120*12,SUM(DJ30:DN30)))</f>
        <v>-3960</v>
      </c>
      <c r="DJ30" s="1">
        <f>IF(OR($B30&lt;Analysis!$C$100, $B30&gt;=Analysis!$C$101),0,Analysis!$C$121*12)</f>
        <v>-900</v>
      </c>
      <c r="DK30" s="1">
        <f>IF(OR($B30&lt;Analysis!$C$100, $B30&gt;=Analysis!$C$101),0,Analysis!$C$122*12)</f>
        <v>-1500</v>
      </c>
      <c r="DL30" s="1">
        <f>IF(OR($B30&lt;Analysis!$C$100, $B30&gt;=Analysis!$C$101),0,Analysis!$C$123*12)</f>
        <v>-480</v>
      </c>
      <c r="DM30" s="1">
        <f>IF(OR($B30&lt;Analysis!$C$100, $B30&gt;=Analysis!$C$101),0,Analysis!$C$124*12)</f>
        <v>-480</v>
      </c>
      <c r="DN30" s="1">
        <f>IF(OR($B30&lt;Analysis!$C$100, $B30&gt;=Analysis!$C$101),0,Analysis!$C$125*12)</f>
        <v>-600</v>
      </c>
      <c r="DO30" s="64">
        <f>IF(OR($B30&lt;Analysis!$C$100, $B30&gt;=Analysis!$C$101),0,Analysis!$C$113)</f>
        <v>0.02</v>
      </c>
      <c r="DP30" s="1">
        <f>-DO30*LOOKUP(Analysis!$C$100,$B:$B,CK:CK)</f>
        <v>-10392</v>
      </c>
      <c r="DQ30" s="1">
        <f>-Analysis!$C$117*DB30</f>
        <v>-2340.561506828753</v>
      </c>
      <c r="DR30" s="1">
        <f t="shared" si="29"/>
        <v>-28976.96311236632</v>
      </c>
      <c r="DS30" s="1">
        <f>MIN(0,-(DB30+DR30)*Analysis!$C$28)-CS30*Analysis!$C$28</f>
        <v>-612.03744703293967</v>
      </c>
      <c r="DT30" s="1">
        <f>-Analysis!$C$116*DD30/12</f>
        <v>-3223.1096489891911</v>
      </c>
      <c r="DU30" s="53"/>
      <c r="DV30" s="1">
        <f t="shared" si="30"/>
        <v>-149167.73378152764</v>
      </c>
      <c r="DW30" s="64">
        <f>IF(OR($B30&lt;Analysis!$C$100, $B30&gt;=Analysis!$C$101),0,IF($B30=Analysis!$C$100,Analysis!$C$31,DW29))</f>
        <v>0.1275</v>
      </c>
      <c r="DX30" s="1">
        <f>IF(OR($B30&lt;Analysis!$C$100, $B30&gt;=Analysis!$C$101),0,CK30+DV30)</f>
        <v>1020775.2762696695</v>
      </c>
      <c r="DY30" s="1">
        <f>IF(OR($B30&lt;Analysis!$C$100, $B30&gt;=Analysis!$C$101),0,IF($B30-Analysis!$C$100&gt;3,0,IF(CK30&gt;LOOKUP(Analysis!$C$100,$B:$B, CK:CK),$V30*(LOOKUP(Analysis!$C$100,$B:$B, CK:CK)-CK30),0)))</f>
        <v>0</v>
      </c>
      <c r="DZ30" s="1">
        <f t="shared" si="49"/>
        <v>1020775.2762696695</v>
      </c>
      <c r="EA30" s="53"/>
      <c r="EB30" s="1">
        <f t="shared" si="31"/>
        <v>1553619.4706222604</v>
      </c>
      <c r="EC30" s="64">
        <f t="shared" si="50"/>
        <v>2.941176470588247E-2</v>
      </c>
      <c r="ED30" s="1">
        <f>MAX(0,IF($B30=Analysis!$C$130,(EB30*(1+Analysis!$C$23+Analysis!$C$24+Analysis!$C$25))-(IF($B30=$B$2,(Analysis!$C$6-Analysis!$C$7+Analysis!$C$132), (FU29-Analysis!$C$7+EM30)) + IF($B30=Analysis!$C$101,DZ29+CQ29+CT29+CZ29,0)),0))</f>
        <v>0</v>
      </c>
      <c r="EE30" s="65">
        <f>IF($B30=Analysis!$C$130,IF(ED30&gt;0,NPER(EI30,-EL30,-ED30),0),0)</f>
        <v>0</v>
      </c>
      <c r="EF30" s="64">
        <f>IF($B30=Analysis!$C$130,Analysis!$C$137,0)</f>
        <v>0</v>
      </c>
      <c r="EG30" s="1">
        <f>IF($B30&lt;Analysis!$C$130,0,IF($B30=Analysis!$C$130,-ED30*EF30,IF(EL30&gt;=0,0,EL30-EJ30)))</f>
        <v>0</v>
      </c>
      <c r="EH30" s="1">
        <f>IF($B30&lt;Analysis!$C$130,0,IF($B30=Analysis!$C$130,-ED30-EG30,MIN(0,EH29-EG30)))</f>
        <v>0</v>
      </c>
      <c r="EI30" s="64">
        <f>IF($B30&lt;Analysis!$C$130,0,IF($B30=Analysis!$C$130,Analysis!$C$136,IF(($B30-Analysis!$C$130)&lt;LOOKUP(Analysis!$C$130,$B:$B,EE:EE),EI29,0)))</f>
        <v>0</v>
      </c>
      <c r="EJ30" s="1">
        <f>IF($B30&lt;Analysis!$C$130,0,IF($B30=Analysis!$C$130,-EI30*ED30,EI29*EH29))</f>
        <v>0</v>
      </c>
      <c r="EK30" s="1">
        <f>IF(OR($B30&lt;Analysis!$C$130, ED30=0),0,IF($B30=Analysis!$C$130,PMT(EI30,EE30,ED30)*EE30-EL30-EH30,IF(($B30-Analysis!$C$130+1)&lt;LOOKUP(Analysis!$C$130,$B:$B,EE:EE),IF(EK29-EJ30&lt;0, EK29-EJ30,0),0)))</f>
        <v>0</v>
      </c>
      <c r="EL30" s="1">
        <f>IF($B30&lt;Analysis!$C$130,0,IF($B30=Analysis!$C$130,EG30+EJ30,IF(EH29&lt;0,IF(EH29&gt;LOOKUP(Analysis!$C$130,$B:$B,EL:EL), EH29*(1+EI29),EL29),0)))</f>
        <v>0</v>
      </c>
      <c r="EM30" s="1">
        <f>IF($B30=Analysis!$C$130,Analysis!$C$132,0)</f>
        <v>0</v>
      </c>
      <c r="EN30" s="1">
        <f>IF($B30=Analysis!$C$130,PMT(EI30,EO30,EM30)*EO30,0)</f>
        <v>0</v>
      </c>
      <c r="EO30" s="7">
        <f>IF($B30=Analysis!$C$130,Analysis!$C$134,0)</f>
        <v>0</v>
      </c>
      <c r="EP30" s="1">
        <f>IF($B30&lt;Analysis!$C$130,0,IF($B30=Analysis!$C$130,EN30/EO30,IF(($B30-Analysis!$C$130)&lt;LOOKUP(Analysis!$C$130,$B:$B,EO:EO),EP29,0)))</f>
        <v>0</v>
      </c>
      <c r="EQ30" s="1">
        <f>IF($B30&lt;Analysis!$C$130,0,IF($B30=Analysis!$C$130,EO30*EP30-EP30,IF(($B30-Analysis!$C$130)&lt;Analysis!$C$134,EQ29-EP30,0)))</f>
        <v>0</v>
      </c>
      <c r="ER30" s="53"/>
      <c r="ES30" s="1">
        <f>IF($B30&lt;Analysis!$C$130,0,-ET30*EB30)</f>
        <v>0</v>
      </c>
      <c r="ET30" s="64">
        <f>IF($B30&lt;Analysis!$C$130,0,Analysis!$C$142)</f>
        <v>0</v>
      </c>
      <c r="EU30" s="1">
        <f>IF($B30&lt;Analysis!$C$130,0,-EV30*EB30)</f>
        <v>0</v>
      </c>
      <c r="EV30" s="64">
        <f>IF($B30&lt;Analysis!$C$130,0,Analysis!$C$143)</f>
        <v>0</v>
      </c>
      <c r="EW30" s="1">
        <f>IF($B30&lt;Analysis!$C$130,0,MIN(Analysis!$C$144*12,SUM(EX30:FB30)))</f>
        <v>0</v>
      </c>
      <c r="EX30" s="1">
        <f>IF($B30&lt;Analysis!$C$130,0,Analysis!$C$145*12)</f>
        <v>0</v>
      </c>
      <c r="EY30" s="1">
        <f>IF($B30&lt;Analysis!$C$130,0,Analysis!$C$146*12)</f>
        <v>0</v>
      </c>
      <c r="EZ30" s="1">
        <f>IF($B30&lt;Analysis!$C$130,0,Analysis!$C$147*12)</f>
        <v>0</v>
      </c>
      <c r="FA30" s="1">
        <f>IF($B30&lt;Analysis!$C$130,0,Analysis!$C$148*12)</f>
        <v>0</v>
      </c>
      <c r="FB30" s="1">
        <f>IF($B30&lt;Analysis!$C$130,0,Analysis!$C$149*12)</f>
        <v>0</v>
      </c>
      <c r="FC30" s="1">
        <v>0</v>
      </c>
      <c r="FD30" s="1">
        <f>-FC30*Analysis!$C$28</f>
        <v>0</v>
      </c>
      <c r="FE30" s="53"/>
      <c r="FF30" s="1">
        <f t="shared" si="32"/>
        <v>0</v>
      </c>
      <c r="FG30" s="64">
        <f>IF($B30&lt;Analysis!$C$130,0,Analysis!$C$31)</f>
        <v>0</v>
      </c>
      <c r="FH30" s="1">
        <f>IF($B30&lt;Analysis!$C$130,0,EB30+FF30)</f>
        <v>0</v>
      </c>
      <c r="FI30" s="1">
        <f>IF($B30-Analysis!$C$130&gt;3,0,IF(EB30&gt;LOOKUP(Analysis!$C$130,$B:$B, EB:EB),$V30*(LOOKUP(Analysis!$C$130,$B:$B, EB:EB)-EB30),0))</f>
        <v>0</v>
      </c>
      <c r="FJ30" s="1">
        <f t="shared" si="33"/>
        <v>0</v>
      </c>
      <c r="FK30" s="53"/>
      <c r="FL30" s="1">
        <f>$P30+$N30+IF($B30&lt;Analysis!$C$130,$X30+$Z30,0)+CP30+CS30+CY30+DE30+DG30+MIN(DI30,SUM(DJ30:DN30))+DQ30+DS30+DT30+EG30+EJ30+EP30+ES30+EU30+MIN(EW30,SUM(EX30:FB30))+FD30</f>
        <v>-133848.07232858642</v>
      </c>
      <c r="FM30" s="1">
        <f>$M30+$R30+DD30+IF(AND($B30&lt;&gt;Analysis!$C$130,$B30=Analysis!$C$101),DZ29+CQ29+CT29+CZ29,0)</f>
        <v>170145.23902909618</v>
      </c>
      <c r="FN30" s="1">
        <f t="shared" si="34"/>
        <v>36297.166700509755</v>
      </c>
      <c r="FO30" s="1">
        <f>IF(FN30 &lt; 0,
    IF(FO29 + FN30 &gt; 0,
        FO29 + FN30, IF(FT29-ABS(FO29 + FN30)*(1+$V30) &gt;= FO29 + FN30,
        0, FO29 + FN30)),
    MIN(FO29 + FN30, Analysis!$C$7))+IF(FO29&lt;0, FO29*Analysis!$C$9,0)</f>
        <v>24000</v>
      </c>
      <c r="FP30" s="53"/>
      <c r="FQ30" s="1">
        <f t="shared" si="51"/>
        <v>18455.158685513088</v>
      </c>
      <c r="FR30" s="1">
        <f>IF(OR($B30=Analysis!$C$100, $B30=Analysis!$C$130),0,IF(FN30 &gt;= 0,
    MAX(0, FO29 + FN30 - Analysis!$C$7),
    0))</f>
        <v>36297.166700509755</v>
      </c>
      <c r="FS30" s="1">
        <f>IF(OR($B30=Analysis!$C$100, $B30=Analysis!$C$130),0,MAX(0, FS29 + FR30 - IF(FN30 &lt; 0, MIN(ABS(FN30), FS29 + FR30), 0)))</f>
        <v>425748.84872291738</v>
      </c>
      <c r="FT30" s="1">
        <f>IF(OR($B30=Analysis!$C$100, $B30=Analysis!$C$130),0,IF(FN30 &lt; 0,
    IF(FN30 + FO29 &lt; 0,
        MAX(0, FT29 - (ABS(FN30 + FO29) * (1+$V29))),
        FT29 + FQ30),
    FT29 + FR30 + FQ30))</f>
        <v>661204.06054141105</v>
      </c>
      <c r="FU30" s="1">
        <f t="shared" si="57"/>
        <v>599102.74842428335</v>
      </c>
      <c r="FV30" s="36"/>
      <c r="FW30" s="1">
        <f t="shared" si="52"/>
        <v>1169943.0100511971</v>
      </c>
      <c r="FX30" s="64">
        <f t="shared" si="53"/>
        <v>2.941176470588247E-2</v>
      </c>
      <c r="FY30" s="1">
        <f>IF($B30=Analysis!$C$159,(FW30*(1+Analysis!$C$23+Analysis!$C$24+Analysis!$C$25))-IF($B30=$B$2,(Analysis!$C$6-Analysis!$C$7+Analysis!$C$165), (HW29-Analysis!$C$7+GH30)),0)</f>
        <v>0</v>
      </c>
      <c r="FZ30" s="65">
        <f>IF($B30=Analysis!$C$159,NPER(GD30,-GG30,-FY30),0)</f>
        <v>0</v>
      </c>
      <c r="GA30" s="64">
        <f>IF($B30=Analysis!$C$159,Analysis!$C$161,0)</f>
        <v>0</v>
      </c>
      <c r="GB30" s="1">
        <f>IF($B30&lt;Analysis!$C$159,0,IF($B30=Analysis!$C$159,-FY30*GA30,IF(GG30&gt;=0,0,GG30-GE30)))</f>
        <v>-22953.001898285187</v>
      </c>
      <c r="GC30" s="1">
        <f>IF($B30&lt;Analysis!$C$159,0,IF($B30=Analysis!$C$159,-FY30-GB30,MIN(0,GC29-GB30)))</f>
        <v>-3.637978807091713E-12</v>
      </c>
      <c r="GD30" s="64">
        <f>IF($B30&lt;Analysis!$C$159,0,IF($B30=Analysis!$C$159,Analysis!$C$160,IF(($B30-Analysis!$C$159)&lt;LOOKUP(Analysis!$C$159,$B:$B,FZ:FZ),GD29,0)))</f>
        <v>3.6999999999999998E-2</v>
      </c>
      <c r="GE30" s="1">
        <f>IF($B30&lt;Analysis!$C$159,0,IF($B30=Analysis!$C$159,-GD30*FY30,GD29*GC29))</f>
        <v>-849.26107023655197</v>
      </c>
      <c r="GF30" s="1">
        <f>IF($B30&lt;Analysis!$C$159,0,IF($B30=Analysis!$C$159,PMT(GD30,FZ30,FY30)*FZ30-GG30-GC30,IF(($B30-Analysis!$C$159+1)&lt;LOOKUP(Analysis!$C$159,$B:$B,FZ:FZ),IF(GF29-GE30&lt;0, GF29-GE30,0),0)))</f>
        <v>0</v>
      </c>
      <c r="GG30" s="1">
        <f>IF($B30&lt;Analysis!$C$159,0,IF($B30=Analysis!$C$159,GB30+GE30,IF(GC29&lt;0,IF(GC29&gt;LOOKUP(Analysis!$C$159,$B:$B,GG:GG), GC29*(1+GD29),GG29),0)))</f>
        <v>-23802.26296852174</v>
      </c>
      <c r="GH30" s="1">
        <f>IF($B30=Analysis!$C$159,Analysis!$C$165,0)</f>
        <v>0</v>
      </c>
      <c r="GI30" s="1">
        <f>IF($B30=Analysis!$C$159,PMT(GD30,GJ30,GH30)*GJ30,0)</f>
        <v>0</v>
      </c>
      <c r="GJ30" s="7">
        <f>IF($B30=Analysis!$C$159,Analysis!$C$167,0)</f>
        <v>0</v>
      </c>
      <c r="GK30" s="1">
        <f>IF($B30&lt;Analysis!$C$159,0,IF($B30=Analysis!$C$159,GI30/GJ30,IF(($B30-Analysis!$C$159)&lt;LOOKUP(Analysis!$C$159,$B:$B,GJ:GJ),GK29,0)))</f>
        <v>0</v>
      </c>
      <c r="GL30" s="1">
        <f>IF($B30&lt;Analysis!$C$159,0,IF($B30=Analysis!$C$159,GJ30*GK30-GK30,IF(($B30-Analysis!$C$159)&lt;Analysis!$C$167,GL29-GK30,0)))</f>
        <v>0</v>
      </c>
      <c r="GM30" s="38"/>
      <c r="GN30" s="1">
        <f>IF($B30&lt;Analysis!$C$159,0,IF($B30=2025,(Analysis!$C$109*12),IF($B30=Analysis!$C$159,(Analysis!$C$109*12)*(1+GO30)^($B30-$B$2),GN29*(1+GO30))))</f>
        <v>31207.486757716706</v>
      </c>
      <c r="GO30" s="64">
        <f>IF($B30&lt;Analysis!$C$159,0,((1+Analysis!$C$174)/(1+$S30))-1)</f>
        <v>2.941176470588247E-2</v>
      </c>
      <c r="GP30" s="1">
        <f t="shared" si="7"/>
        <v>38677.315787870291</v>
      </c>
      <c r="GQ30" s="1">
        <f t="shared" si="36"/>
        <v>-3509.8290301535917</v>
      </c>
      <c r="GR30" s="64">
        <f>IF($B30&lt;Analysis!$C$159,0,Analysis!$C$178)</f>
        <v>3.0000000000000001E-3</v>
      </c>
      <c r="GS30" s="1">
        <f t="shared" si="37"/>
        <v>-8774.5725753839779</v>
      </c>
      <c r="GT30" s="64">
        <f>IF($B30&lt;Analysis!$C$159,0,Analysis!$C$179)</f>
        <v>7.4999999999999997E-3</v>
      </c>
      <c r="GU30" s="1">
        <f>IF($B30&lt;Analysis!$C$159,0,MIN(Analysis!$C$180*12,SUM(GV30:GZ30)))</f>
        <v>-3960</v>
      </c>
      <c r="GV30" s="1">
        <f>IF($B30&lt;Analysis!$C$159,0,Analysis!$C$181*12)</f>
        <v>-900</v>
      </c>
      <c r="GW30" s="1">
        <f>IF($B30&lt;Analysis!$C$159,0,Analysis!$C$182*12)</f>
        <v>-1500</v>
      </c>
      <c r="GX30" s="1">
        <f>IF($B30&lt;Analysis!$C$159,0,Analysis!$C$183*12)</f>
        <v>-480</v>
      </c>
      <c r="GY30" s="1">
        <f>IF($B30&lt;Analysis!$C$159,0,Analysis!$C$184*12)</f>
        <v>-480</v>
      </c>
      <c r="GZ30" s="1">
        <f>IF($B30&lt;Analysis!$C$159,0,Analysis!$C$185*12)</f>
        <v>-600</v>
      </c>
      <c r="HA30" s="64">
        <f>IF($B30&lt;Analysis!$C$159,0,Analysis!$C$173)</f>
        <v>0.02</v>
      </c>
      <c r="HB30" s="1">
        <f>-HA30*LOOKUP(Analysis!$C$159,$B:$B,FW:FW)</f>
        <v>-10392</v>
      </c>
      <c r="HC30" s="1">
        <f>-Analysis!$C$177*GN30</f>
        <v>-2340.561506828753</v>
      </c>
      <c r="HD30" s="1">
        <f t="shared" si="38"/>
        <v>-28976.96311236632</v>
      </c>
      <c r="HE30" s="1">
        <f>MIN(0,-(GN30+HD30)*Analysis!$C$28)-GE30*Analysis!$C$28</f>
        <v>-612.03744703293967</v>
      </c>
      <c r="HF30" s="1">
        <f>-Analysis!$C$176*GP30/12</f>
        <v>-3223.1096489891911</v>
      </c>
      <c r="HG30" s="38"/>
      <c r="HH30" s="1">
        <f>IF($B30&lt;Analysis!$C$159,0,-$HI30*$FW30)</f>
        <v>-149167.73378152764</v>
      </c>
      <c r="HI30" s="64">
        <f>IF($B30&lt;Analysis!$C$159,0,IF($B30=Analysis!$C$159,Analysis!$C$31,HI29))</f>
        <v>0.1275</v>
      </c>
      <c r="HJ30" s="1">
        <f>IF($B30&lt;Analysis!$C$159,0,$FW30+HH30)</f>
        <v>1020775.2762696695</v>
      </c>
      <c r="HK30" s="1">
        <f>IF($B30-Analysis!$C$159&gt;10,0,IF($FW30&gt;LOOKUP(Analysis!$C$159,$B:$B, FW:FW),$V30*(LOOKUP(Analysis!$C$159,$B:$B, FW:FW)-FW30),0))</f>
        <v>0</v>
      </c>
      <c r="HL30" s="1">
        <f t="shared" si="39"/>
        <v>1020775.2762696695</v>
      </c>
      <c r="HM30" s="38"/>
      <c r="HN30" s="1">
        <f t="shared" si="40"/>
        <v>-133848.07232858642</v>
      </c>
      <c r="HO30" s="1">
        <f t="shared" si="8"/>
        <v>170145.23902909618</v>
      </c>
      <c r="HP30" s="1">
        <f t="shared" si="41"/>
        <v>36297.166700509755</v>
      </c>
      <c r="HQ30" s="1">
        <f>IF(HP30 &lt; 0,
    IF(HQ29 + HP30 &gt; 0,
        HQ29 + HP30, IF(HV29-ABS(HQ29 + HP30)*(1+$V30) &gt;= HQ29 + HP30,
        0, HQ29 + HP30)),
    MIN(HQ29 + HP30, Analysis!$C$7))+IF(HQ29&lt;0, HQ29*Analysis!$C$9,0)</f>
        <v>24000</v>
      </c>
      <c r="HR30" s="38"/>
      <c r="HS30" s="1">
        <f t="shared" si="54"/>
        <v>18455.158685513088</v>
      </c>
      <c r="HT30" s="1">
        <f>IF($B30=Analysis!$C$159,0,IF(HP30 &gt;= 0,
    MAX(0, HQ29 + HP30 - Analysis!$C$7),
    0))</f>
        <v>36297.166700509755</v>
      </c>
      <c r="HU30" s="1">
        <f>IF($B30=Analysis!$C$159,0,MAX(0, HU29 + HT30 - IF(HP30 &lt; 0, MIN(ABS(HP30), HU29 + HT30), 0)))</f>
        <v>425748.84872291738</v>
      </c>
      <c r="HV30" s="1">
        <f>IF($B30=Analysis!$C$159,0,IF(HP30 &lt; 0,
    IF(HP30 + HQ29 &lt; 0,
        MAX(0, HV29 - (ABS(HP30 + HQ29) * (1+$V29))),
        HV29 + HS30),
    HV29 + HT30 + HS30))</f>
        <v>661204.06054141105</v>
      </c>
      <c r="HW30" s="1">
        <f t="shared" si="58"/>
        <v>599102.74842428335</v>
      </c>
      <c r="HX30" s="36"/>
    </row>
    <row r="31" spans="1:232" x14ac:dyDescent="0.35">
      <c r="A31">
        <f t="shared" si="0"/>
        <v>64</v>
      </c>
      <c r="B31">
        <v>2054</v>
      </c>
      <c r="C31" s="1">
        <f>IF($B31&lt;Analysis!C$66,0,$AN31)+$AT31+$AW31+$BC31+$CF31+$CA31</f>
        <v>-94247.547381988261</v>
      </c>
      <c r="D31" s="1">
        <f>IF($B31&lt;Analysis!C$66, 0, BV31)+AT31+AW31+BC31+CG31+CA31</f>
        <v>-357265.19145744154</v>
      </c>
      <c r="E31" s="1">
        <f t="shared" si="1"/>
        <v>1814415.0457534187</v>
      </c>
      <c r="F31" s="1">
        <f t="shared" si="9"/>
        <v>1582028.9511624328</v>
      </c>
      <c r="G31" s="1">
        <f>IF(AND($B31&gt;=Analysis!$C$100, $B31&lt;Analysis!$C$101),$CK31,0)+IF($B31&gt;=Analysis!$C$130,EB31,0)+CQ31+CT31+CZ31+EH31+EK31+EQ31+$FO31+$FT31</f>
        <v>1967508.8952710757</v>
      </c>
      <c r="H31" s="1">
        <f t="shared" si="10"/>
        <v>1746844.5164809136</v>
      </c>
      <c r="I31" s="1">
        <f>IF($B31&lt;Analysis!$C$159,0,$FW31)+$GC31+$GF31+$GL31+$HQ31+$HV31</f>
        <v>1967508.8952710757</v>
      </c>
      <c r="J31" s="1">
        <f t="shared" si="2"/>
        <v>1746844.5164809136</v>
      </c>
      <c r="K31" s="36"/>
      <c r="L31" s="1">
        <f t="shared" si="11"/>
        <v>131467.92324122589</v>
      </c>
      <c r="M31" s="1">
        <f>IF($B31=Analysis!$C$47, M30 * (1 - Analysis!$C$48),
    IF($B31=Analysis!$C$52, M30 * (1 - Analysis!$C$53),
    IF($B31=Analysis!$C$58, M30 * (1 - Analysis!$C$60),
    L31)))</f>
        <v>131467.92324122589</v>
      </c>
      <c r="N31" s="1">
        <f>Analysis!$C$3*12*(1+O31)+P31</f>
        <v>-48000</v>
      </c>
      <c r="O31" s="64">
        <f>IF(OR($B31=Analysis!$C$47,$B31=Analysis!$C$52,$B31=Analysis!$C$58),-Analysis!$C$49,0)</f>
        <v>0</v>
      </c>
      <c r="P31" s="1">
        <f>IF($B31&lt;Analysis!$C$47,0,IF($B31-Analysis!$C$47&lt;=3,Analysis!$C$40+Analysis!$C$44,IF($B31-Analysis!$C$47&lt;=10,Analysis!$C$41+Analysis!$C$44,IF($B31-Analysis!$C$47&lt;=18,Analysis!$C$42+Analysis!$C$44,IF($B31-Analysis!$C$47&lt;=25,Analysis!$C$43+Analysis!$C$44,0)))) + IF(AND($B31&gt;=Analysis!$C$52, $B31-Analysis!$C$52&lt;=3),Analysis!$C$40+Analysis!$C$44,IF(AND($B31&gt;=Analysis!$C$52, $B31-Analysis!$C$52&lt;=10),Analysis!$C$41+Analysis!$C$44,IF(AND($B31&gt;=Analysis!$C$52, $B31-Analysis!$C$52&lt;=18),Analysis!$C$42+Analysis!$C$44,IF(AND($B31&gt;=Analysis!$C$52, $B31-Analysis!$C$52&lt;=25),Analysis!$C$43+Analysis!$C$44,0)))) + Analysis!$C$57*IF(AND($B31&gt;=Analysis!$C$58, $B31-Analysis!$C$58&lt;=3),Analysis!$C$40+Analysis!$C$44,IF(AND($B31&gt;=Analysis!$C$58, $B31-Analysis!$C$58&lt;=10),Analysis!$C$41+Analysis!$C$44,IF(AND($B31&gt;=Analysis!$C$58, $B31-Analysis!$C$58&lt;=18),Analysis!$C$42+Analysis!$C$44,IF(AND($B31&gt;=Analysis!$C$58, $B31-Analysis!$C$58&lt;=25),Analysis!$C$43+Analysis!$C$44,0)))))</f>
        <v>0</v>
      </c>
      <c r="Q31" s="1">
        <f t="shared" si="43"/>
        <v>0</v>
      </c>
      <c r="R31" s="1">
        <f>IF(AND(AND(B31=Analysis!C$35,Analysis!C$34&lt;&gt;0),AND(B31=Analysis!C$37,Analysis!C$36&lt;&gt;0)),Analysis!C$34+Analysis!C$36,IF(AND(B31=Analysis!C$35,Analysis!C$34&lt;&gt;0),Analysis!C$34,IF(AND(B31=Analysis!C$37,Analysis!C$36&lt;&gt;0),Analysis!C$36,0)))</f>
        <v>0</v>
      </c>
      <c r="S31" s="64">
        <f t="shared" si="12"/>
        <v>0.02</v>
      </c>
      <c r="T31" s="64">
        <f>IF($B31&lt;Analysis!$C$13, ((1+IF($B31-$B$2&lt;10,Analysis!$C$11,IF($B31-$B$2&lt;20,(Analysis!$C$11+Analysis!$C$12)/2,Analysis!$C$12)))/(1+$S31)-1),IF($B31=Analysis!$C$13,-Analysis!$C$14,-$S31))</f>
        <v>0</v>
      </c>
      <c r="U31" s="64">
        <f>IF($B31=$B$2,((1+Analysis!$C$16)/(1+$S31))-1,IF(B31&lt;Analysis!$C$13,U30-((Analysis!$C$16-Analysis!$C$17)/(Analysis!$C$13-$B$2)),((1+Analysis!$C$17)/(1+$S30))-1))</f>
        <v>2.8717086834734055E-2</v>
      </c>
      <c r="V31" s="64">
        <f t="shared" si="13"/>
        <v>0.26374999999999998</v>
      </c>
      <c r="W31" s="36"/>
      <c r="X31" s="1">
        <f t="shared" si="14"/>
        <v>-36714.690303196119</v>
      </c>
      <c r="Y31" s="64">
        <f t="shared" si="15"/>
        <v>2.941176470588247E-2</v>
      </c>
      <c r="Z31" s="1">
        <f t="shared" si="16"/>
        <v>-3960</v>
      </c>
      <c r="AA31" s="64">
        <f t="shared" si="17"/>
        <v>0</v>
      </c>
      <c r="AB31" s="40"/>
      <c r="AC31" s="1">
        <f t="shared" si="3"/>
        <v>-88674.690303196112</v>
      </c>
      <c r="AD31" s="1">
        <f t="shared" si="4"/>
        <v>131467.92324122589</v>
      </c>
      <c r="AE31" s="1">
        <f t="shared" si="18"/>
        <v>42793.232938029774</v>
      </c>
      <c r="AF31" s="1">
        <f>IF(AE31 &lt; 0,
    IF(AF30 + AE31 &gt; 0,
        AF30 + AE31, IF(AK30-ABS(AF30 + AE31)*(1+$V31) &gt;= AF30 + AE31,
        0, AF30 + AE31)),
    MIN(AF30 + AE31, Analysis!$C$7))+IF(AF30&lt;0, AF30*Analysis!$C$9,0)</f>
        <v>24000</v>
      </c>
      <c r="AG31" s="40"/>
      <c r="AH31" s="1">
        <f t="shared" si="19"/>
        <v>48785.626286537488</v>
      </c>
      <c r="AI31" s="1">
        <f>IF(AE31 &gt;= 0,
    MAX(0, AF30 + AE31 - Analysis!$C$7),
    0)</f>
        <v>42793.232938029774</v>
      </c>
      <c r="AJ31" s="1">
        <f t="shared" si="44"/>
        <v>909330.32692503592</v>
      </c>
      <c r="AK31" s="1">
        <f t="shared" si="20"/>
        <v>1790415.0457534187</v>
      </c>
      <c r="AL31" s="1">
        <f t="shared" si="5"/>
        <v>1558028.9511624328</v>
      </c>
      <c r="AM31" s="36"/>
      <c r="AN31" s="1">
        <f t="shared" si="45"/>
        <v>2062883.4829447311</v>
      </c>
      <c r="AO31" s="64">
        <f t="shared" si="21"/>
        <v>2.941176470588247E-2</v>
      </c>
      <c r="AP31" s="1">
        <f>IF($B31=Analysis!$C$66,(AN31*(1+Analysis!$C$23+Analysis!$C$24+Analysis!$C$25))-IF($B31=$B$2,(Analysis!$C$6-Analysis!$C$7+Analysis!$C$68), ($CG30-Analysis!$C$7+AY31)),0)</f>
        <v>0</v>
      </c>
      <c r="AQ31" s="65">
        <f>IF($B31=Analysis!$C$66,NPER(AU31,-AX31,-AP31),0)</f>
        <v>0</v>
      </c>
      <c r="AR31" s="64">
        <f>IF($B31=Analysis!$C$66,Analysis!$C$73,0)</f>
        <v>0</v>
      </c>
      <c r="AS31" s="1">
        <f>IF($B31&lt;Analysis!$C$66,0,IF($B31=Analysis!$C$66,-AP31*AR31,IF(AX31&gt;=0,0,AX31-AV31)))</f>
        <v>0</v>
      </c>
      <c r="AT31" s="1">
        <f>IF($B31&lt;Analysis!$C$66,0,IF($B31=Analysis!$C$66,-AP31-AS31,MIN(0,AT30-AS31)))</f>
        <v>0</v>
      </c>
      <c r="AU31" s="64">
        <f>IF($B31&lt;Analysis!$C$66,0,IF($B31=Analysis!$C$66,Analysis!$C$72,IF(($B31-Analysis!$C$66)&lt;LOOKUP(Analysis!$C$66,$B:$B,AQ:AQ),AU30,0)))</f>
        <v>0</v>
      </c>
      <c r="AV31" s="1">
        <f>IF($B31&lt;Analysis!$C$66,0,IF($B31=Analysis!$C$66,-AU31*AP31,AU30*AT30))</f>
        <v>0</v>
      </c>
      <c r="AW31" s="1">
        <f>IF($B31&lt;Analysis!$C$66,0,IF($B31=Analysis!$C$66,PMT(AU31,AQ31,AP31)*AQ31-AX31-AT31,IF(($B31-Analysis!$C$66+1)&lt;LOOKUP(Analysis!$C$66,$B:$B,AQ:AQ),IF(AW30-AV31&lt;0, AW30-AV31,0),0)))</f>
        <v>0</v>
      </c>
      <c r="AX31" s="1">
        <f>IF($B31&lt;Analysis!$C$66,0,IF($B31=Analysis!$C$66,AS31+AV31,IF(AT30&lt;0,IF(AT30&gt;LOOKUP(Analysis!$C$66,$B:$B,AX:AX), AT30*(1+AU30),AX30),0)))</f>
        <v>0</v>
      </c>
      <c r="AY31" s="1">
        <f>IF($B31=Analysis!$C$66,Analysis!$C$68,0)</f>
        <v>0</v>
      </c>
      <c r="AZ31" s="1">
        <f>IF($B31=Analysis!$C$66,PMT(AU31,BA31,AY31)*BA31,0)</f>
        <v>0</v>
      </c>
      <c r="BA31" s="7">
        <f>IF($B31=Analysis!$C$66,Analysis!$C$70,0)</f>
        <v>0</v>
      </c>
      <c r="BB31" s="1">
        <f>IF($B31&lt;Analysis!$C$66,0,IF($B31=Analysis!$C$66,AZ31/BA31,IF(($B31-Analysis!$C$66)&lt;LOOKUP(Analysis!$C$66,$B:$B,BA:BA),BB30,0)))</f>
        <v>0</v>
      </c>
      <c r="BC31" s="1">
        <f>IF($B31&lt;Analysis!$C$66,0,IF($B31=Analysis!$C$66,BA31*BB31-BB31,IF(($B31-Analysis!$C$66)&lt;Analysis!$C$70,BC30-BB31,0)))</f>
        <v>0</v>
      </c>
      <c r="BD31" s="42"/>
      <c r="BE31" s="1">
        <f>IF($B31&lt;Analysis!$C$66,0,-BF31*AN31)</f>
        <v>-6188.6504488341934</v>
      </c>
      <c r="BF31" s="64">
        <f>IF($B31&lt;Analysis!$C$66,0,Analysis!$C$78)</f>
        <v>3.0000000000000001E-3</v>
      </c>
      <c r="BG31" s="1">
        <f>IF($B31&lt;Analysis!$C$66,0,-BH31*AN31)</f>
        <v>-15471.626122085483</v>
      </c>
      <c r="BH31" s="64">
        <f>IF($B31&lt;Analysis!$C$66,0,Analysis!$C$79)</f>
        <v>7.4999999999999997E-3</v>
      </c>
      <c r="BI31" s="1">
        <f>IF($B31&lt;Analysis!$C$66,0,MIN(Analysis!$C$80*12,SUM(BJ31:BN31)))</f>
        <v>-3960</v>
      </c>
      <c r="BJ31" s="1">
        <f>IF($B31&lt;Analysis!$C$66,0,Analysis!$C$81*12)</f>
        <v>-900</v>
      </c>
      <c r="BK31" s="1">
        <f>IF($B31&lt;Analysis!$C$66,0,Analysis!$C$82*12)</f>
        <v>-1500</v>
      </c>
      <c r="BL31" s="1">
        <f>IF($B31&lt;Analysis!$C$66,0,Analysis!$C$83*12)</f>
        <v>-480</v>
      </c>
      <c r="BM31" s="1">
        <f>IF($B31&lt;Analysis!$C$66,0,Analysis!$C$84*12)</f>
        <v>-480</v>
      </c>
      <c r="BN31" s="1">
        <f>IF($B31&lt;Analysis!$C$66,0,Analysis!$C$85*12)</f>
        <v>-600</v>
      </c>
      <c r="BO31" s="1">
        <v>0</v>
      </c>
      <c r="BP31" s="1">
        <f>-BO31*Analysis!$C$28</f>
        <v>0</v>
      </c>
      <c r="BQ31" s="42"/>
      <c r="BR31" s="1">
        <f t="shared" si="22"/>
        <v>-263017.64407545322</v>
      </c>
      <c r="BS31" s="64">
        <f>IF($B31&lt;Analysis!C$66,0,Analysis!C$31)</f>
        <v>0.1275</v>
      </c>
      <c r="BT31" s="1">
        <f>IF($B31&lt;Analysis!$C$66,0,AN31+BR31)</f>
        <v>1799865.8388692779</v>
      </c>
      <c r="BU31" s="1">
        <f>IF($B31-Analysis!$C$66&gt;3,0,IF($AN31&gt;LOOKUP(Analysis!$C$66,$B:$B, AN:AN),$V31*(LOOKUP(Analysis!$C$66,$B:$B, AN:AN)-AN31),0))</f>
        <v>0</v>
      </c>
      <c r="BV31" s="1">
        <f t="shared" si="23"/>
        <v>1799865.8388692779</v>
      </c>
      <c r="BW31" s="42"/>
      <c r="BX31" s="1">
        <f>IF($B31&lt;Analysis!$C$66,$P31+$N31+$X31+$Z31,$P31+$N31+AS31+AV31+BB31+BE31+BG31+MAX(BI31,SUM(BJ31:BN31))+BP31)</f>
        <v>-73620.276570919683</v>
      </c>
      <c r="BY31" s="1">
        <f t="shared" si="24"/>
        <v>131467.92324122589</v>
      </c>
      <c r="BZ31" s="1">
        <f t="shared" si="46"/>
        <v>57847.646670306203</v>
      </c>
      <c r="CA31" s="1">
        <f>IF(BZ31 &lt; 0,
    IF(CA30 + BZ31 &gt; 0,
        CA30 + BZ31, IF(CF30-ABS(CA30 + BZ31)*(1+$V31) &gt;= CA30 + BZ31,
        0, CA30 + BZ31)),
    MIN(CA30 + BZ31, Analysis!$C$7))+IF(CA30&lt;0, CA30*Analysis!$C$9,0)</f>
        <v>-2157131.0303267194</v>
      </c>
      <c r="CB31" s="42"/>
      <c r="CC31" s="1">
        <f t="shared" si="47"/>
        <v>0</v>
      </c>
      <c r="CD31" s="1">
        <f>IF(BZ31 &gt;= 0,
    MAX(0, CA30 + BZ31 - Analysis!$C$7),
    0)</f>
        <v>0</v>
      </c>
      <c r="CE31" s="1">
        <f>IF($B31=Analysis!$C$66,0,MAX(0, CE30 + CD31 - IF(BZ31 &lt; 0, MIN(ABS(BZ31), CE30 + CD31), 0)))</f>
        <v>0</v>
      </c>
      <c r="CF31" s="1">
        <f>IF($B31=Analysis!$C$66,0,IF(BZ31 &lt; 0,
    IF(BZ31 + CA30 &lt; 0,
        MAX(0, CF30 - (ABS(BZ31 + CA30) * (1+$V30))),
        CF30 + CC31),
    CF30 + CD31 + CC31))</f>
        <v>0</v>
      </c>
      <c r="CG31" s="1">
        <f t="shared" si="25"/>
        <v>0</v>
      </c>
      <c r="CH31" s="36"/>
      <c r="CI31" s="1">
        <f>IF(OR($B31&lt;Analysis!$C$100, $B31&gt;=Analysis!$C$130),0,X31)</f>
        <v>-36714.690303196119</v>
      </c>
      <c r="CJ31" s="1">
        <f>IF(OR($B31&lt;Analysis!$C$100, $B31&gt;=Analysis!$C$130),0,Z31)</f>
        <v>-3960</v>
      </c>
      <c r="CK31" s="1">
        <f t="shared" si="26"/>
        <v>1204353.0985821148</v>
      </c>
      <c r="CL31" s="64">
        <f t="shared" si="48"/>
        <v>2.941176470588247E-2</v>
      </c>
      <c r="CM31" s="1">
        <f>IF($B31=Analysis!$C$100,(CK31*(1+Analysis!$C$23+Analysis!$C$24+Analysis!$C$25))-IF($B31=$B$2,(Analysis!$C$6-Analysis!$C$7+Analysis!$C$105), (FU30-Analysis!$C$7+CV31)),0)</f>
        <v>0</v>
      </c>
      <c r="CN31" s="65">
        <f>IF($B31=Analysis!$C$100,NPER(CR31,-CU31,-CM31),0)</f>
        <v>0</v>
      </c>
      <c r="CO31" s="64">
        <f>IF($B31=Analysis!$C$100,Analysis!$C$103,0)</f>
        <v>0</v>
      </c>
      <c r="CP31" s="1">
        <f>IF(OR($B31&lt;Analysis!$C$100, $B31&gt;=Analysis!$C$101),0,IF($B31=Analysis!$C$100,-CM31*CO31,IF(CU31&gt;=0,0,CU31-CS31)))</f>
        <v>-3.6379788070917125E-12</v>
      </c>
      <c r="CQ31" s="1">
        <f>IF(OR($B31&lt;Analysis!$C$100, $B31&gt;=Analysis!$C$101),0,IF($B31=Analysis!$C$100,-CM31-CP31,MIN(0,CQ30-CP31)))</f>
        <v>-4.0389678347315804E-28</v>
      </c>
      <c r="CR31" s="64">
        <f>IF(OR($B31&lt;Analysis!$C$100, $B31&gt;=Analysis!$C$101),0,IF($B31=Analysis!$C$100,Analysis!$C$102,IF(($B31-Analysis!$C$100)&lt;LOOKUP(Analysis!$C$100,$B:$B,CN:CN),CR30,0)))</f>
        <v>0</v>
      </c>
      <c r="CS31" s="1">
        <f>IF(OR($B31&lt;Analysis!$C$100, $B31&gt;=Analysis!$C$101),0,IF($B31=Analysis!$C$100,-CR31*CM31,CR30*CQ30))</f>
        <v>-1.3460521586239337E-13</v>
      </c>
      <c r="CT31" s="1">
        <f>IF(OR($B31&lt;Analysis!$C$100, $B31&gt;=Analysis!$C$101),0,IF($B31=Analysis!$C$100,PMT(CR31,CN31,CM31)*CN31-CU31-CQ31,IF(($B31-Analysis!$C$100+1)&lt;LOOKUP(Analysis!$C$100,$B:$B,CN:CN),IF(CT30-CS31&lt;0, CT30-CS31,0),0)))</f>
        <v>0</v>
      </c>
      <c r="CU31" s="1">
        <f>IF(OR($B31&lt;Analysis!$C$100, $B31&gt;=Analysis!$C$101),0,IF($B31=Analysis!$C$100,CP31+CS31,IF(CQ30&lt;0,IF(CQ30&gt;LOOKUP(Analysis!$C$100,$B:$B,CU:CU), CQ30*(1+CR30),CU30),0)))</f>
        <v>-3.772584022954106E-12</v>
      </c>
      <c r="CV31" s="1">
        <f>IF($B31=Analysis!$C$100,Analysis!$C$105,0)</f>
        <v>0</v>
      </c>
      <c r="CW31" s="1">
        <f>IF($B31=Analysis!$C$100,PMT(CR31,CX31,CV31)*CX31,0)</f>
        <v>0</v>
      </c>
      <c r="CX31" s="7">
        <f>IF($B31=Analysis!$C$100,Analysis!$C$107,0)</f>
        <v>0</v>
      </c>
      <c r="CY31" s="1">
        <f>IF(OR($B31&lt;Analysis!$C$100, $B31&gt;=Analysis!$C$101),0,IF($B31=Analysis!$C$100,CW31/CX31,IF(($B31-Analysis!$C$100)&lt;LOOKUP(Analysis!$C$100,$B:$B,CX:CX),CY30,0)))</f>
        <v>0</v>
      </c>
      <c r="CZ31" s="1">
        <f>IF(OR($B31&lt;Analysis!$C$100, $B31&gt;=Analysis!$C$101),0,IF($B31=Analysis!$C$100,CX31*CY31-CY31,IF(($B31-Analysis!$C$100)&lt;Analysis!$C$107,CZ30-CY31,0)))</f>
        <v>0</v>
      </c>
      <c r="DA31" s="53"/>
      <c r="DB31" s="1">
        <f>IF(OR($B31&lt;Analysis!$C$100, $B31&gt;=Analysis!$C$101),0,IF($B31=2025,(Analysis!$C$109*12),IF($B31=Analysis!$C$100,(Analysis!$C$109*12)*(1+DC31)^($B31-$B$2),DB30*(1+DC31))))</f>
        <v>32125.354015296612</v>
      </c>
      <c r="DC31" s="64">
        <f>IF(OR($B31&lt;Analysis!$C$100, $B31&gt;=Analysis!$C$101),0,((1+Analysis!$C$114)/(1+$S31))-1)</f>
        <v>2.941176470588247E-2</v>
      </c>
      <c r="DD31" s="1">
        <f t="shared" si="6"/>
        <v>39698.413311042961</v>
      </c>
      <c r="DE31" s="1">
        <f t="shared" si="27"/>
        <v>-3613.0592957463446</v>
      </c>
      <c r="DF31" s="64">
        <f>IF(OR($B31&lt;Analysis!$C$100, $B31&gt;=Analysis!$C$101),0,Analysis!$C$118)</f>
        <v>3.0000000000000001E-3</v>
      </c>
      <c r="DG31" s="1">
        <f t="shared" si="28"/>
        <v>-9032.6482393658607</v>
      </c>
      <c r="DH31" s="64">
        <f>IF(OR($B31&lt;Analysis!$C$100, $B31&gt;=Analysis!$C$101),0,Analysis!$C$119)</f>
        <v>7.4999999999999997E-3</v>
      </c>
      <c r="DI31" s="1">
        <f>IF(OR($B31&lt;Analysis!$C$100, $B31&gt;=Analysis!$C$101),0,MIN(Analysis!$C$120*12,SUM(DJ31:DN31)))</f>
        <v>-3960</v>
      </c>
      <c r="DJ31" s="1">
        <f>IF(OR($B31&lt;Analysis!$C$100, $B31&gt;=Analysis!$C$101),0,Analysis!$C$121*12)</f>
        <v>-900</v>
      </c>
      <c r="DK31" s="1">
        <f>IF(OR($B31&lt;Analysis!$C$100, $B31&gt;=Analysis!$C$101),0,Analysis!$C$122*12)</f>
        <v>-1500</v>
      </c>
      <c r="DL31" s="1">
        <f>IF(OR($B31&lt;Analysis!$C$100, $B31&gt;=Analysis!$C$101),0,Analysis!$C$123*12)</f>
        <v>-480</v>
      </c>
      <c r="DM31" s="1">
        <f>IF(OR($B31&lt;Analysis!$C$100, $B31&gt;=Analysis!$C$101),0,Analysis!$C$124*12)</f>
        <v>-480</v>
      </c>
      <c r="DN31" s="1">
        <f>IF(OR($B31&lt;Analysis!$C$100, $B31&gt;=Analysis!$C$101),0,Analysis!$C$125*12)</f>
        <v>-600</v>
      </c>
      <c r="DO31" s="64">
        <f>IF(OR($B31&lt;Analysis!$C$100, $B31&gt;=Analysis!$C$101),0,Analysis!$C$113)</f>
        <v>0.02</v>
      </c>
      <c r="DP31" s="1">
        <f>-DO31*LOOKUP(Analysis!$C$100,$B:$B,CK:CK)</f>
        <v>-10392</v>
      </c>
      <c r="DQ31" s="1">
        <f>-Analysis!$C$117*DB31</f>
        <v>-2409.4015511472458</v>
      </c>
      <c r="DR31" s="1">
        <f t="shared" si="29"/>
        <v>-29407.10908625945</v>
      </c>
      <c r="DS31" s="1">
        <f>MIN(0,-(DB31+DR31)*Analysis!$C$28)-CS31*Analysis!$C$28</f>
        <v>-1204.4543280563664</v>
      </c>
      <c r="DT31" s="1">
        <f>-Analysis!$C$116*DD31/12</f>
        <v>-3308.2011092535799</v>
      </c>
      <c r="DU31" s="53"/>
      <c r="DV31" s="1">
        <f t="shared" si="30"/>
        <v>-153555.02006921964</v>
      </c>
      <c r="DW31" s="64">
        <f>IF(OR($B31&lt;Analysis!$C$100, $B31&gt;=Analysis!$C$101),0,IF($B31=Analysis!$C$100,Analysis!$C$31,DW30))</f>
        <v>0.1275</v>
      </c>
      <c r="DX31" s="1">
        <f>IF(OR($B31&lt;Analysis!$C$100, $B31&gt;=Analysis!$C$101),0,CK31+DV31)</f>
        <v>1050798.0785128952</v>
      </c>
      <c r="DY31" s="1">
        <f>IF(OR($B31&lt;Analysis!$C$100, $B31&gt;=Analysis!$C$101),0,IF($B31-Analysis!$C$100&gt;3,0,IF(CK31&gt;LOOKUP(Analysis!$C$100,$B:$B, CK:CK),$V31*(LOOKUP(Analysis!$C$100,$B:$B, CK:CK)-CK31),0)))</f>
        <v>0</v>
      </c>
      <c r="DZ31" s="1">
        <f t="shared" si="49"/>
        <v>1050798.0785128952</v>
      </c>
      <c r="EA31" s="53"/>
      <c r="EB31" s="1">
        <f t="shared" si="31"/>
        <v>1599314.1609346799</v>
      </c>
      <c r="EC31" s="64">
        <f t="shared" si="50"/>
        <v>2.941176470588247E-2</v>
      </c>
      <c r="ED31" s="1">
        <f>MAX(0,IF($B31=Analysis!$C$130,(EB31*(1+Analysis!$C$23+Analysis!$C$24+Analysis!$C$25))-(IF($B31=$B$2,(Analysis!$C$6-Analysis!$C$7+Analysis!$C$132), (FU30-Analysis!$C$7+EM31)) + IF($B31=Analysis!$C$101,DZ30+CQ30+CT30+CZ30,0)),0))</f>
        <v>0</v>
      </c>
      <c r="EE31" s="65">
        <f>IF($B31=Analysis!$C$130,IF(ED31&gt;0,NPER(EI31,-EL31,-ED31),0),0)</f>
        <v>0</v>
      </c>
      <c r="EF31" s="64">
        <f>IF($B31=Analysis!$C$130,Analysis!$C$137,0)</f>
        <v>0</v>
      </c>
      <c r="EG31" s="1">
        <f>IF($B31&lt;Analysis!$C$130,0,IF($B31=Analysis!$C$130,-ED31*EF31,IF(EL31&gt;=0,0,EL31-EJ31)))</f>
        <v>0</v>
      </c>
      <c r="EH31" s="1">
        <f>IF($B31&lt;Analysis!$C$130,0,IF($B31=Analysis!$C$130,-ED31-EG31,MIN(0,EH30-EG31)))</f>
        <v>0</v>
      </c>
      <c r="EI31" s="64">
        <f>IF($B31&lt;Analysis!$C$130,0,IF($B31=Analysis!$C$130,Analysis!$C$136,IF(($B31-Analysis!$C$130)&lt;LOOKUP(Analysis!$C$130,$B:$B,EE:EE),EI30,0)))</f>
        <v>0</v>
      </c>
      <c r="EJ31" s="1">
        <f>IF($B31&lt;Analysis!$C$130,0,IF($B31=Analysis!$C$130,-EI31*ED31,EI30*EH30))</f>
        <v>0</v>
      </c>
      <c r="EK31" s="1">
        <f>IF(OR($B31&lt;Analysis!$C$130, ED31=0),0,IF($B31=Analysis!$C$130,PMT(EI31,EE31,ED31)*EE31-EL31-EH31,IF(($B31-Analysis!$C$130+1)&lt;LOOKUP(Analysis!$C$130,$B:$B,EE:EE),IF(EK30-EJ31&lt;0, EK30-EJ31,0),0)))</f>
        <v>0</v>
      </c>
      <c r="EL31" s="1">
        <f>IF($B31&lt;Analysis!$C$130,0,IF($B31=Analysis!$C$130,EG31+EJ31,IF(EH30&lt;0,IF(EH30&gt;LOOKUP(Analysis!$C$130,$B:$B,EL:EL), EH30*(1+EI30),EL30),0)))</f>
        <v>0</v>
      </c>
      <c r="EM31" s="1">
        <f>IF($B31=Analysis!$C$130,Analysis!$C$132,0)</f>
        <v>0</v>
      </c>
      <c r="EN31" s="1">
        <f>IF($B31=Analysis!$C$130,PMT(EI31,EO31,EM31)*EO31,0)</f>
        <v>0</v>
      </c>
      <c r="EO31" s="7">
        <f>IF($B31=Analysis!$C$130,Analysis!$C$134,0)</f>
        <v>0</v>
      </c>
      <c r="EP31" s="1">
        <f>IF($B31&lt;Analysis!$C$130,0,IF($B31=Analysis!$C$130,EN31/EO31,IF(($B31-Analysis!$C$130)&lt;LOOKUP(Analysis!$C$130,$B:$B,EO:EO),EP30,0)))</f>
        <v>0</v>
      </c>
      <c r="EQ31" s="1">
        <f>IF($B31&lt;Analysis!$C$130,0,IF($B31=Analysis!$C$130,EO31*EP31-EP31,IF(($B31-Analysis!$C$130)&lt;Analysis!$C$134,EQ30-EP31,0)))</f>
        <v>0</v>
      </c>
      <c r="ER31" s="53"/>
      <c r="ES31" s="1">
        <f>IF($B31&lt;Analysis!$C$130,0,-ET31*EB31)</f>
        <v>0</v>
      </c>
      <c r="ET31" s="64">
        <f>IF($B31&lt;Analysis!$C$130,0,Analysis!$C$142)</f>
        <v>0</v>
      </c>
      <c r="EU31" s="1">
        <f>IF($B31&lt;Analysis!$C$130,0,-EV31*EB31)</f>
        <v>0</v>
      </c>
      <c r="EV31" s="64">
        <f>IF($B31&lt;Analysis!$C$130,0,Analysis!$C$143)</f>
        <v>0</v>
      </c>
      <c r="EW31" s="1">
        <f>IF($B31&lt;Analysis!$C$130,0,MIN(Analysis!$C$144*12,SUM(EX31:FB31)))</f>
        <v>0</v>
      </c>
      <c r="EX31" s="1">
        <f>IF($B31&lt;Analysis!$C$130,0,Analysis!$C$145*12)</f>
        <v>0</v>
      </c>
      <c r="EY31" s="1">
        <f>IF($B31&lt;Analysis!$C$130,0,Analysis!$C$146*12)</f>
        <v>0</v>
      </c>
      <c r="EZ31" s="1">
        <f>IF($B31&lt;Analysis!$C$130,0,Analysis!$C$147*12)</f>
        <v>0</v>
      </c>
      <c r="FA31" s="1">
        <f>IF($B31&lt;Analysis!$C$130,0,Analysis!$C$148*12)</f>
        <v>0</v>
      </c>
      <c r="FB31" s="1">
        <f>IF($B31&lt;Analysis!$C$130,0,Analysis!$C$149*12)</f>
        <v>0</v>
      </c>
      <c r="FC31" s="1">
        <v>0</v>
      </c>
      <c r="FD31" s="1">
        <f>-FC31*Analysis!$C$28</f>
        <v>0</v>
      </c>
      <c r="FE31" s="53"/>
      <c r="FF31" s="1">
        <f t="shared" si="32"/>
        <v>0</v>
      </c>
      <c r="FG31" s="64">
        <f>IF($B31&lt;Analysis!$C$130,0,Analysis!$C$31)</f>
        <v>0</v>
      </c>
      <c r="FH31" s="1">
        <f>IF($B31&lt;Analysis!$C$130,0,EB31+FF31)</f>
        <v>0</v>
      </c>
      <c r="FI31" s="1">
        <f>IF($B31-Analysis!$C$130&gt;3,0,IF(EB31&gt;LOOKUP(Analysis!$C$130,$B:$B, EB:EB),$V31*(LOOKUP(Analysis!$C$130,$B:$B, EB:EB)-EB31),0))</f>
        <v>0</v>
      </c>
      <c r="FJ31" s="1">
        <f t="shared" si="33"/>
        <v>0</v>
      </c>
      <c r="FK31" s="53"/>
      <c r="FL31" s="1">
        <f>$P31+$N31+IF($B31&lt;Analysis!$C$130,$X31+$Z31,0)+CP31+CS31+CY31+DE31+DG31+MIN(DI31,SUM(DJ31:DN31))+DQ31+DS31+DT31+EG31+EJ31+EP31+ES31+EU31+MIN(EW31,SUM(EX31:FB31))+FD31</f>
        <v>-112202.4548267655</v>
      </c>
      <c r="FM31" s="1">
        <f>$M31+$R31+DD31+IF(AND($B31&lt;&gt;Analysis!$C$130,$B31=Analysis!$C$101),DZ30+CQ30+CT30+CZ30,0)</f>
        <v>171166.33655226885</v>
      </c>
      <c r="FN31" s="1">
        <f t="shared" si="34"/>
        <v>58963.88172550335</v>
      </c>
      <c r="FO31" s="1">
        <f>IF(FN31 &lt; 0,
    IF(FO30 + FN31 &gt; 0,
        FO30 + FN31, IF(FT30-ABS(FO30 + FN31)*(1+$V31) &gt;= FO30 + FN31,
        0, FO30 + FN31)),
    MIN(FO30 + FN31, Analysis!$C$7))+IF(FO30&lt;0, FO30*Analysis!$C$9,0)</f>
        <v>24000</v>
      </c>
      <c r="FP31" s="53"/>
      <c r="FQ31" s="1">
        <f t="shared" si="51"/>
        <v>18987.854422046454</v>
      </c>
      <c r="FR31" s="1">
        <f>IF(OR($B31=Analysis!$C$100, $B31=Analysis!$C$130),0,IF(FN31 &gt;= 0,
    MAX(0, FO30 + FN31 - Analysis!$C$7),
    0))</f>
        <v>58963.88172550335</v>
      </c>
      <c r="FS31" s="1">
        <f>IF(OR($B31=Analysis!$C$100, $B31=Analysis!$C$130),0,MAX(0, FS30 + FR31 - IF(FN31 &lt; 0, MIN(ABS(FN31), FS30 + FR31), 0)))</f>
        <v>484712.73044842074</v>
      </c>
      <c r="FT31" s="1">
        <f>IF(OR($B31=Analysis!$C$100, $B31=Analysis!$C$130),0,IF(FN31 &lt; 0,
    IF(FN31 + FO30 &lt; 0,
        MAX(0, FT30 - (ABS(FN31 + FO30) * (1+$V30))),
        FT30 + FQ31),
    FT30 + FR31 + FQ31))</f>
        <v>739155.79668896087</v>
      </c>
      <c r="FU31" s="1">
        <f t="shared" si="57"/>
        <v>672046.43796801846</v>
      </c>
      <c r="FV31" s="36"/>
      <c r="FW31" s="1">
        <f t="shared" si="52"/>
        <v>1204353.0985821148</v>
      </c>
      <c r="FX31" s="64">
        <f t="shared" si="53"/>
        <v>2.941176470588247E-2</v>
      </c>
      <c r="FY31" s="1">
        <f>IF($B31=Analysis!$C$159,(FW31*(1+Analysis!$C$23+Analysis!$C$24+Analysis!$C$25))-IF($B31=$B$2,(Analysis!$C$6-Analysis!$C$7+Analysis!$C$165), (HW30-Analysis!$C$7+GH31)),0)</f>
        <v>0</v>
      </c>
      <c r="FZ31" s="65">
        <f>IF($B31=Analysis!$C$159,NPER(GD31,-GG31,-FY31),0)</f>
        <v>0</v>
      </c>
      <c r="GA31" s="64">
        <f>IF($B31=Analysis!$C$159,Analysis!$C$161,0)</f>
        <v>0</v>
      </c>
      <c r="GB31" s="1">
        <f>IF($B31&lt;Analysis!$C$159,0,IF($B31=Analysis!$C$159,-FY31*GA31,IF(GG31&gt;=0,0,GG31-GE31)))</f>
        <v>-3.6379788070917125E-12</v>
      </c>
      <c r="GC31" s="1">
        <f>IF($B31&lt;Analysis!$C$159,0,IF($B31=Analysis!$C$159,-FY31-GB31,MIN(0,GC30-GB31)))</f>
        <v>-4.0389678347315804E-28</v>
      </c>
      <c r="GD31" s="64">
        <f>IF($B31&lt;Analysis!$C$159,0,IF($B31=Analysis!$C$159,Analysis!$C$160,IF(($B31-Analysis!$C$159)&lt;LOOKUP(Analysis!$C$159,$B:$B,FZ:FZ),GD30,0)))</f>
        <v>0</v>
      </c>
      <c r="GE31" s="1">
        <f>IF($B31&lt;Analysis!$C$159,0,IF($B31=Analysis!$C$159,-GD31*FY31,GD30*GC30))</f>
        <v>-1.3460521586239337E-13</v>
      </c>
      <c r="GF31" s="1">
        <f>IF($B31&lt;Analysis!$C$159,0,IF($B31=Analysis!$C$159,PMT(GD31,FZ31,FY31)*FZ31-GG31-GC31,IF(($B31-Analysis!$C$159+1)&lt;LOOKUP(Analysis!$C$159,$B:$B,FZ:FZ),IF(GF30-GE31&lt;0, GF30-GE31,0),0)))</f>
        <v>0</v>
      </c>
      <c r="GG31" s="1">
        <f>IF($B31&lt;Analysis!$C$159,0,IF($B31=Analysis!$C$159,GB31+GE31,IF(GC30&lt;0,IF(GC30&gt;LOOKUP(Analysis!$C$159,$B:$B,GG:GG), GC30*(1+GD30),GG30),0)))</f>
        <v>-3.772584022954106E-12</v>
      </c>
      <c r="GH31" s="1">
        <f>IF($B31=Analysis!$C$159,Analysis!$C$165,0)</f>
        <v>0</v>
      </c>
      <c r="GI31" s="1">
        <f>IF($B31=Analysis!$C$159,PMT(GD31,GJ31,GH31)*GJ31,0)</f>
        <v>0</v>
      </c>
      <c r="GJ31" s="7">
        <f>IF($B31=Analysis!$C$159,Analysis!$C$167,0)</f>
        <v>0</v>
      </c>
      <c r="GK31" s="1">
        <f>IF($B31&lt;Analysis!$C$159,0,IF($B31=Analysis!$C$159,GI31/GJ31,IF(($B31-Analysis!$C$159)&lt;LOOKUP(Analysis!$C$159,$B:$B,GJ:GJ),GK30,0)))</f>
        <v>0</v>
      </c>
      <c r="GL31" s="1">
        <f>IF($B31&lt;Analysis!$C$159,0,IF($B31=Analysis!$C$159,GJ31*GK31-GK31,IF(($B31-Analysis!$C$159)&lt;Analysis!$C$167,GL30-GK31,0)))</f>
        <v>0</v>
      </c>
      <c r="GM31" s="38"/>
      <c r="GN31" s="1">
        <f>IF($B31&lt;Analysis!$C$159,0,IF($B31=2025,(Analysis!$C$109*12),IF($B31=Analysis!$C$159,(Analysis!$C$109*12)*(1+GO31)^($B31-$B$2),GN30*(1+GO31))))</f>
        <v>32125.354015296612</v>
      </c>
      <c r="GO31" s="64">
        <f>IF($B31&lt;Analysis!$C$159,0,((1+Analysis!$C$174)/(1+$S31))-1)</f>
        <v>2.941176470588247E-2</v>
      </c>
      <c r="GP31" s="1">
        <f t="shared" si="7"/>
        <v>39698.413311042961</v>
      </c>
      <c r="GQ31" s="1">
        <f t="shared" si="36"/>
        <v>-3613.0592957463446</v>
      </c>
      <c r="GR31" s="64">
        <f>IF($B31&lt;Analysis!$C$159,0,Analysis!$C$178)</f>
        <v>3.0000000000000001E-3</v>
      </c>
      <c r="GS31" s="1">
        <f t="shared" si="37"/>
        <v>-9032.6482393658607</v>
      </c>
      <c r="GT31" s="64">
        <f>IF($B31&lt;Analysis!$C$159,0,Analysis!$C$179)</f>
        <v>7.4999999999999997E-3</v>
      </c>
      <c r="GU31" s="1">
        <f>IF($B31&lt;Analysis!$C$159,0,MIN(Analysis!$C$180*12,SUM(GV31:GZ31)))</f>
        <v>-3960</v>
      </c>
      <c r="GV31" s="1">
        <f>IF($B31&lt;Analysis!$C$159,0,Analysis!$C$181*12)</f>
        <v>-900</v>
      </c>
      <c r="GW31" s="1">
        <f>IF($B31&lt;Analysis!$C$159,0,Analysis!$C$182*12)</f>
        <v>-1500</v>
      </c>
      <c r="GX31" s="1">
        <f>IF($B31&lt;Analysis!$C$159,0,Analysis!$C$183*12)</f>
        <v>-480</v>
      </c>
      <c r="GY31" s="1">
        <f>IF($B31&lt;Analysis!$C$159,0,Analysis!$C$184*12)</f>
        <v>-480</v>
      </c>
      <c r="GZ31" s="1">
        <f>IF($B31&lt;Analysis!$C$159,0,Analysis!$C$185*12)</f>
        <v>-600</v>
      </c>
      <c r="HA31" s="64">
        <f>IF($B31&lt;Analysis!$C$159,0,Analysis!$C$173)</f>
        <v>0.02</v>
      </c>
      <c r="HB31" s="1">
        <f>-HA31*LOOKUP(Analysis!$C$159,$B:$B,FW:FW)</f>
        <v>-10392</v>
      </c>
      <c r="HC31" s="1">
        <f>-Analysis!$C$177*GN31</f>
        <v>-2409.4015511472458</v>
      </c>
      <c r="HD31" s="1">
        <f t="shared" si="38"/>
        <v>-29407.10908625945</v>
      </c>
      <c r="HE31" s="1">
        <f>MIN(0,-(GN31+HD31)*Analysis!$C$28)-GE31*Analysis!$C$28</f>
        <v>-1204.4543280563664</v>
      </c>
      <c r="HF31" s="1">
        <f>-Analysis!$C$176*GP31/12</f>
        <v>-3308.2011092535799</v>
      </c>
      <c r="HG31" s="38"/>
      <c r="HH31" s="1">
        <f>IF($B31&lt;Analysis!$C$159,0,-$HI31*$FW31)</f>
        <v>-153555.02006921964</v>
      </c>
      <c r="HI31" s="64">
        <f>IF($B31&lt;Analysis!$C$159,0,IF($B31=Analysis!$C$159,Analysis!$C$31,HI30))</f>
        <v>0.1275</v>
      </c>
      <c r="HJ31" s="1">
        <f>IF($B31&lt;Analysis!$C$159,0,$FW31+HH31)</f>
        <v>1050798.0785128952</v>
      </c>
      <c r="HK31" s="1">
        <f>IF($B31-Analysis!$C$159&gt;10,0,IF($FW31&gt;LOOKUP(Analysis!$C$159,$B:$B, FW:FW),$V31*(LOOKUP(Analysis!$C$159,$B:$B, FW:FW)-FW31),0))</f>
        <v>0</v>
      </c>
      <c r="HL31" s="1">
        <f t="shared" si="39"/>
        <v>1050798.0785128952</v>
      </c>
      <c r="HM31" s="38"/>
      <c r="HN31" s="1">
        <f t="shared" si="40"/>
        <v>-112202.4548267655</v>
      </c>
      <c r="HO31" s="1">
        <f t="shared" si="8"/>
        <v>171166.33655226885</v>
      </c>
      <c r="HP31" s="1">
        <f t="shared" si="41"/>
        <v>58963.88172550335</v>
      </c>
      <c r="HQ31" s="1">
        <f>IF(HP31 &lt; 0,
    IF(HQ30 + HP31 &gt; 0,
        HQ30 + HP31, IF(HV30-ABS(HQ30 + HP31)*(1+$V31) &gt;= HQ30 + HP31,
        0, HQ30 + HP31)),
    MIN(HQ30 + HP31, Analysis!$C$7))+IF(HQ30&lt;0, HQ30*Analysis!$C$9,0)</f>
        <v>24000</v>
      </c>
      <c r="HR31" s="38"/>
      <c r="HS31" s="1">
        <f t="shared" si="54"/>
        <v>18987.854422046454</v>
      </c>
      <c r="HT31" s="1">
        <f>IF($B31=Analysis!$C$159,0,IF(HP31 &gt;= 0,
    MAX(0, HQ30 + HP31 - Analysis!$C$7),
    0))</f>
        <v>58963.88172550335</v>
      </c>
      <c r="HU31" s="1">
        <f>IF($B31=Analysis!$C$159,0,MAX(0, HU30 + HT31 - IF(HP31 &lt; 0, MIN(ABS(HP31), HU30 + HT31), 0)))</f>
        <v>484712.73044842074</v>
      </c>
      <c r="HV31" s="1">
        <f>IF($B31=Analysis!$C$159,0,IF(HP31 &lt; 0,
    IF(HP31 + HQ30 &lt; 0,
        MAX(0, HV30 - (ABS(HP31 + HQ30) * (1+$V30))),
        HV30 + HS31),
    HV30 + HT31 + HS31))</f>
        <v>739155.79668896087</v>
      </c>
      <c r="HW31" s="1">
        <f t="shared" si="58"/>
        <v>672046.43796801846</v>
      </c>
      <c r="HX31" s="36"/>
    </row>
    <row r="32" spans="1:232" x14ac:dyDescent="0.35">
      <c r="A32">
        <f t="shared" si="0"/>
        <v>65</v>
      </c>
      <c r="B32">
        <v>2055</v>
      </c>
      <c r="C32" s="1">
        <f>IF($B32&lt;Analysis!C$66,0,$AN32)+$AT32+$AW32+$BC32+$CF32+$CA32</f>
        <v>-148934.40647976659</v>
      </c>
      <c r="D32" s="1">
        <f>IF($B32&lt;Analysis!C$66, 0, BV32)+AT32+AW32+BC32+CG32+CA32</f>
        <v>-419687.86361626256</v>
      </c>
      <c r="E32" s="1">
        <f t="shared" si="1"/>
        <v>1904474.6562625396</v>
      </c>
      <c r="F32" s="1">
        <f t="shared" si="9"/>
        <v>1659337.2457763704</v>
      </c>
      <c r="G32" s="1">
        <f>IF(AND($B32&gt;=Analysis!$C$100, $B32&lt;Analysis!$C$101),$CK32,0)+IF($B32&gt;=Analysis!$C$130,EB32,0)+CQ32+CT32+CZ32+EH32+EK32+EQ32+$FO32+$FT32</f>
        <v>2081072.6329676681</v>
      </c>
      <c r="H32" s="1">
        <f t="shared" si="10"/>
        <v>1850627.670755662</v>
      </c>
      <c r="I32" s="1">
        <f>IF($B32&lt;Analysis!$C$159,0,$FW32)+$GC32+$GF32+$GL32+$HQ32+$HV32</f>
        <v>2081072.6329676681</v>
      </c>
      <c r="J32" s="1">
        <f t="shared" si="2"/>
        <v>1850627.670755662</v>
      </c>
      <c r="K32" s="36"/>
      <c r="L32" s="1">
        <f t="shared" si="11"/>
        <v>131467.92324122589</v>
      </c>
      <c r="M32" s="1">
        <f>IF($B32=Analysis!$C$47, M31 * (1 - Analysis!$C$48),
    IF($B32=Analysis!$C$52, M31 * (1 - Analysis!$C$53),
    IF($B32=Analysis!$C$58, M31 * (1 - Analysis!$C$60),
    L32)))</f>
        <v>131467.92324122589</v>
      </c>
      <c r="N32" s="1">
        <f>Analysis!$C$3*12*(1+O32)+P32</f>
        <v>-48000</v>
      </c>
      <c r="O32" s="64">
        <f>IF(OR($B32=Analysis!$C$47,$B32=Analysis!$C$52,$B32=Analysis!$C$58),-Analysis!$C$49,0)</f>
        <v>0</v>
      </c>
      <c r="P32" s="1">
        <f>IF($B32&lt;Analysis!$C$47,0,IF($B32-Analysis!$C$47&lt;=3,Analysis!$C$40+Analysis!$C$44,IF($B32-Analysis!$C$47&lt;=10,Analysis!$C$41+Analysis!$C$44,IF($B32-Analysis!$C$47&lt;=18,Analysis!$C$42+Analysis!$C$44,IF($B32-Analysis!$C$47&lt;=25,Analysis!$C$43+Analysis!$C$44,0)))) + IF(AND($B32&gt;=Analysis!$C$52, $B32-Analysis!$C$52&lt;=3),Analysis!$C$40+Analysis!$C$44,IF(AND($B32&gt;=Analysis!$C$52, $B32-Analysis!$C$52&lt;=10),Analysis!$C$41+Analysis!$C$44,IF(AND($B32&gt;=Analysis!$C$52, $B32-Analysis!$C$52&lt;=18),Analysis!$C$42+Analysis!$C$44,IF(AND($B32&gt;=Analysis!$C$52, $B32-Analysis!$C$52&lt;=25),Analysis!$C$43+Analysis!$C$44,0)))) + Analysis!$C$57*IF(AND($B32&gt;=Analysis!$C$58, $B32-Analysis!$C$58&lt;=3),Analysis!$C$40+Analysis!$C$44,IF(AND($B32&gt;=Analysis!$C$58, $B32-Analysis!$C$58&lt;=10),Analysis!$C$41+Analysis!$C$44,IF(AND($B32&gt;=Analysis!$C$58, $B32-Analysis!$C$58&lt;=18),Analysis!$C$42+Analysis!$C$44,IF(AND($B32&gt;=Analysis!$C$58, $B32-Analysis!$C$58&lt;=25),Analysis!$C$43+Analysis!$C$44,0)))))</f>
        <v>0</v>
      </c>
      <c r="Q32" s="1">
        <f t="shared" si="43"/>
        <v>0</v>
      </c>
      <c r="R32" s="1">
        <f>IF(AND(AND(B32=Analysis!C$35,Analysis!C$34&lt;&gt;0),AND(B32=Analysis!C$37,Analysis!C$36&lt;&gt;0)),Analysis!C$34+Analysis!C$36,IF(AND(B32=Analysis!C$35,Analysis!C$34&lt;&gt;0),Analysis!C$34,IF(AND(B32=Analysis!C$37,Analysis!C$36&lt;&gt;0),Analysis!C$36,0)))</f>
        <v>0</v>
      </c>
      <c r="S32" s="64">
        <f t="shared" si="12"/>
        <v>0.02</v>
      </c>
      <c r="T32" s="64">
        <f>IF($B32&lt;Analysis!$C$13, ((1+IF($B32-$B$2&lt;10,Analysis!$C$11,IF($B32-$B$2&lt;20,(Analysis!$C$11+Analysis!$C$12)/2,Analysis!$C$12)))/(1+$S32)-1),IF($B32=Analysis!$C$13,-Analysis!$C$14,-$S32))</f>
        <v>0</v>
      </c>
      <c r="U32" s="64">
        <f>IF($B32=$B$2,((1+Analysis!$C$16)/(1+$S32))-1,IF(B32&lt;Analysis!$C$13,U31-((Analysis!$C$16-Analysis!$C$17)/(Analysis!$C$13-$B$2)),((1+Analysis!$C$17)/(1+$S31))-1))</f>
        <v>2.7002801120448342E-2</v>
      </c>
      <c r="V32" s="64">
        <f t="shared" si="13"/>
        <v>0.26374999999999998</v>
      </c>
      <c r="W32" s="36"/>
      <c r="X32" s="1">
        <f t="shared" si="14"/>
        <v>-37794.534135643065</v>
      </c>
      <c r="Y32" s="64">
        <f t="shared" si="15"/>
        <v>2.941176470588247E-2</v>
      </c>
      <c r="Z32" s="1">
        <f t="shared" si="16"/>
        <v>-3960</v>
      </c>
      <c r="AA32" s="64">
        <f t="shared" si="17"/>
        <v>0</v>
      </c>
      <c r="AB32" s="40"/>
      <c r="AC32" s="1">
        <f t="shared" si="3"/>
        <v>-89754.534135643073</v>
      </c>
      <c r="AD32" s="1">
        <f t="shared" si="4"/>
        <v>131467.92324122589</v>
      </c>
      <c r="AE32" s="1">
        <f t="shared" si="18"/>
        <v>41713.389105582813</v>
      </c>
      <c r="AF32" s="1">
        <f>IF(AE32 &lt; 0,
    IF(AF31 + AE32 &gt; 0,
        AF31 + AE32, IF(AK31-ABS(AF31 + AE32)*(1+$V32) &gt;= AF31 + AE32,
        0, AF31 + AE32)),
    MIN(AF31 + AE32, Analysis!$C$7))+IF(AF31&lt;0, AF31*Analysis!$C$9,0)</f>
        <v>24000</v>
      </c>
      <c r="AG32" s="40"/>
      <c r="AH32" s="1">
        <f t="shared" si="19"/>
        <v>48346.221403537987</v>
      </c>
      <c r="AI32" s="1">
        <f>IF(AE32 &gt;= 0,
    MAX(0, AF31 + AE32 - Analysis!$C$7),
    0)</f>
        <v>41713.389105582813</v>
      </c>
      <c r="AJ32" s="1">
        <f t="shared" si="44"/>
        <v>951043.71603061876</v>
      </c>
      <c r="AK32" s="1">
        <f t="shared" si="20"/>
        <v>1880474.6562625396</v>
      </c>
      <c r="AL32" s="1">
        <f t="shared" si="5"/>
        <v>1635337.2457763704</v>
      </c>
      <c r="AM32" s="36"/>
      <c r="AN32" s="1">
        <f t="shared" si="45"/>
        <v>2123556.5265607527</v>
      </c>
      <c r="AO32" s="64">
        <f t="shared" si="21"/>
        <v>2.941176470588247E-2</v>
      </c>
      <c r="AP32" s="1">
        <f>IF($B32=Analysis!$C$66,(AN32*(1+Analysis!$C$23+Analysis!$C$24+Analysis!$C$25))-IF($B32=$B$2,(Analysis!$C$6-Analysis!$C$7+Analysis!$C$68), ($CG31-Analysis!$C$7+AY32)),0)</f>
        <v>0</v>
      </c>
      <c r="AQ32" s="65">
        <f>IF($B32=Analysis!$C$66,NPER(AU32,-AX32,-AP32),0)</f>
        <v>0</v>
      </c>
      <c r="AR32" s="64">
        <f>IF($B32=Analysis!$C$66,Analysis!$C$73,0)</f>
        <v>0</v>
      </c>
      <c r="AS32" s="1">
        <f>IF($B32&lt;Analysis!$C$66,0,IF($B32=Analysis!$C$66,-AP32*AR32,IF(AX32&gt;=0,0,AX32-AV32)))</f>
        <v>0</v>
      </c>
      <c r="AT32" s="1">
        <f>IF($B32&lt;Analysis!$C$66,0,IF($B32=Analysis!$C$66,-AP32-AS32,MIN(0,AT31-AS32)))</f>
        <v>0</v>
      </c>
      <c r="AU32" s="64">
        <f>IF($B32&lt;Analysis!$C$66,0,IF($B32=Analysis!$C$66,Analysis!$C$72,IF(($B32-Analysis!$C$66)&lt;LOOKUP(Analysis!$C$66,$B:$B,AQ:AQ),AU31,0)))</f>
        <v>0</v>
      </c>
      <c r="AV32" s="1">
        <f>IF($B32&lt;Analysis!$C$66,0,IF($B32=Analysis!$C$66,-AU32*AP32,AU31*AT31))</f>
        <v>0</v>
      </c>
      <c r="AW32" s="1">
        <f>IF($B32&lt;Analysis!$C$66,0,IF($B32=Analysis!$C$66,PMT(AU32,AQ32,AP32)*AQ32-AX32-AT32,IF(($B32-Analysis!$C$66+1)&lt;LOOKUP(Analysis!$C$66,$B:$B,AQ:AQ),IF(AW31-AV32&lt;0, AW31-AV32,0),0)))</f>
        <v>0</v>
      </c>
      <c r="AX32" s="1">
        <f>IF($B32&lt;Analysis!$C$66,0,IF($B32=Analysis!$C$66,AS32+AV32,IF(AT31&lt;0,IF(AT31&gt;LOOKUP(Analysis!$C$66,$B:$B,AX:AX), AT31*(1+AU31),AX31),0)))</f>
        <v>0</v>
      </c>
      <c r="AY32" s="1">
        <f>IF($B32=Analysis!$C$66,Analysis!$C$68,0)</f>
        <v>0</v>
      </c>
      <c r="AZ32" s="1">
        <f>IF($B32=Analysis!$C$66,PMT(AU32,BA32,AY32)*BA32,0)</f>
        <v>0</v>
      </c>
      <c r="BA32" s="7">
        <f>IF($B32=Analysis!$C$66,Analysis!$C$70,0)</f>
        <v>0</v>
      </c>
      <c r="BB32" s="1">
        <f>IF($B32&lt;Analysis!$C$66,0,IF($B32=Analysis!$C$66,AZ32/BA32,IF(($B32-Analysis!$C$66)&lt;LOOKUP(Analysis!$C$66,$B:$B,BA:BA),BB31,0)))</f>
        <v>0</v>
      </c>
      <c r="BC32" s="1">
        <f>IF($B32&lt;Analysis!$C$66,0,IF($B32=Analysis!$C$66,BA32*BB32-BB32,IF(($B32-Analysis!$C$66)&lt;Analysis!$C$70,BC31-BB32,0)))</f>
        <v>0</v>
      </c>
      <c r="BD32" s="42"/>
      <c r="BE32" s="1">
        <f>IF($B32&lt;Analysis!$C$66,0,-BF32*AN32)</f>
        <v>-6370.6695796822578</v>
      </c>
      <c r="BF32" s="64">
        <f>IF($B32&lt;Analysis!$C$66,0,Analysis!$C$78)</f>
        <v>3.0000000000000001E-3</v>
      </c>
      <c r="BG32" s="1">
        <f>IF($B32&lt;Analysis!$C$66,0,-BH32*AN32)</f>
        <v>-15926.673949205644</v>
      </c>
      <c r="BH32" s="64">
        <f>IF($B32&lt;Analysis!$C$66,0,Analysis!$C$79)</f>
        <v>7.4999999999999997E-3</v>
      </c>
      <c r="BI32" s="1">
        <f>IF($B32&lt;Analysis!$C$66,0,MIN(Analysis!$C$80*12,SUM(BJ32:BN32)))</f>
        <v>-3960</v>
      </c>
      <c r="BJ32" s="1">
        <f>IF($B32&lt;Analysis!$C$66,0,Analysis!$C$81*12)</f>
        <v>-900</v>
      </c>
      <c r="BK32" s="1">
        <f>IF($B32&lt;Analysis!$C$66,0,Analysis!$C$82*12)</f>
        <v>-1500</v>
      </c>
      <c r="BL32" s="1">
        <f>IF($B32&lt;Analysis!$C$66,0,Analysis!$C$83*12)</f>
        <v>-480</v>
      </c>
      <c r="BM32" s="1">
        <f>IF($B32&lt;Analysis!$C$66,0,Analysis!$C$84*12)</f>
        <v>-480</v>
      </c>
      <c r="BN32" s="1">
        <f>IF($B32&lt;Analysis!$C$66,0,Analysis!$C$85*12)</f>
        <v>-600</v>
      </c>
      <c r="BO32" s="1">
        <v>0</v>
      </c>
      <c r="BP32" s="1">
        <f>-BO32*Analysis!$C$28</f>
        <v>0</v>
      </c>
      <c r="BQ32" s="42"/>
      <c r="BR32" s="1">
        <f t="shared" si="22"/>
        <v>-270753.45713649597</v>
      </c>
      <c r="BS32" s="64">
        <f>IF($B32&lt;Analysis!C$66,0,Analysis!C$31)</f>
        <v>0.1275</v>
      </c>
      <c r="BT32" s="1">
        <f>IF($B32&lt;Analysis!$C$66,0,AN32+BR32)</f>
        <v>1852803.0694242567</v>
      </c>
      <c r="BU32" s="1">
        <f>IF($B32-Analysis!$C$66&gt;3,0,IF($AN32&gt;LOOKUP(Analysis!$C$66,$B:$B, AN:AN),$V32*(LOOKUP(Analysis!$C$66,$B:$B, AN:AN)-AN32),0))</f>
        <v>0</v>
      </c>
      <c r="BV32" s="1">
        <f t="shared" si="23"/>
        <v>1852803.0694242567</v>
      </c>
      <c r="BW32" s="42"/>
      <c r="BX32" s="1">
        <f>IF($B32&lt;Analysis!$C$66,$P32+$N32+$X32+$Z32,$P32+$N32+AS32+AV32+BB32+BE32+BG32+MAX(BI32,SUM(BJ32:BN32))+BP32)</f>
        <v>-74257.343528887897</v>
      </c>
      <c r="BY32" s="1">
        <f t="shared" si="24"/>
        <v>131467.92324122589</v>
      </c>
      <c r="BZ32" s="1">
        <f t="shared" si="46"/>
        <v>57210.579712337989</v>
      </c>
      <c r="CA32" s="1">
        <f>IF(BZ32 &lt; 0,
    IF(CA31 + BZ32 &gt; 0,
        CA31 + BZ32, IF(CF31-ABS(CA31 + BZ32)*(1+$V32) &gt;= CA31 + BZ32,
        0, CA31 + BZ32)),
    MIN(CA31 + BZ32, Analysis!$C$7))+IF(CA31&lt;0, CA31*Analysis!$C$9,0)</f>
        <v>-2272490.9330405192</v>
      </c>
      <c r="CB32" s="42"/>
      <c r="CC32" s="1">
        <f t="shared" si="47"/>
        <v>0</v>
      </c>
      <c r="CD32" s="1">
        <f>IF(BZ32 &gt;= 0,
    MAX(0, CA31 + BZ32 - Analysis!$C$7),
    0)</f>
        <v>0</v>
      </c>
      <c r="CE32" s="1">
        <f>IF($B32=Analysis!$C$66,0,MAX(0, CE31 + CD32 - IF(BZ32 &lt; 0, MIN(ABS(BZ32), CE31 + CD32), 0)))</f>
        <v>0</v>
      </c>
      <c r="CF32" s="1">
        <f>IF($B32=Analysis!$C$66,0,IF(BZ32 &lt; 0,
    IF(BZ32 + CA31 &lt; 0,
        MAX(0, CF31 - (ABS(BZ32 + CA31) * (1+$V31))),
        CF31 + CC32),
    CF31 + CD32 + CC32))</f>
        <v>0</v>
      </c>
      <c r="CG32" s="1">
        <f t="shared" si="25"/>
        <v>0</v>
      </c>
      <c r="CH32" s="36"/>
      <c r="CI32" s="1">
        <f>IF(OR($B32&lt;Analysis!$C$100, $B32&gt;=Analysis!$C$130),0,X32)</f>
        <v>-37794.534135643065</v>
      </c>
      <c r="CJ32" s="1">
        <f>IF(OR($B32&lt;Analysis!$C$100, $B32&gt;=Analysis!$C$130),0,Z32)</f>
        <v>-3960</v>
      </c>
      <c r="CK32" s="1">
        <f t="shared" si="26"/>
        <v>1239775.2485404124</v>
      </c>
      <c r="CL32" s="64">
        <f t="shared" si="48"/>
        <v>2.941176470588247E-2</v>
      </c>
      <c r="CM32" s="1">
        <f>IF($B32=Analysis!$C$100,(CK32*(1+Analysis!$C$23+Analysis!$C$24+Analysis!$C$25))-IF($B32=$B$2,(Analysis!$C$6-Analysis!$C$7+Analysis!$C$105), (FU31-Analysis!$C$7+CV32)),0)</f>
        <v>0</v>
      </c>
      <c r="CN32" s="65">
        <f>IF($B32=Analysis!$C$100,NPER(CR32,-CU32,-CM32),0)</f>
        <v>0</v>
      </c>
      <c r="CO32" s="64">
        <f>IF($B32=Analysis!$C$100,Analysis!$C$103,0)</f>
        <v>0</v>
      </c>
      <c r="CP32" s="1">
        <f>IF(OR($B32&lt;Analysis!$C$100, $B32&gt;=Analysis!$C$101),0,IF($B32=Analysis!$C$100,-CM32*CO32,IF(CU32&gt;=0,0,CU32-CS32)))</f>
        <v>-4.0389678347315804E-28</v>
      </c>
      <c r="CQ32" s="1">
        <f>IF(OR($B32&lt;Analysis!$C$100, $B32&gt;=Analysis!$C$101),0,IF($B32=Analysis!$C$100,-CM32-CP32,MIN(0,CQ31-CP32)))</f>
        <v>0</v>
      </c>
      <c r="CR32" s="64">
        <f>IF(OR($B32&lt;Analysis!$C$100, $B32&gt;=Analysis!$C$101),0,IF($B32=Analysis!$C$100,Analysis!$C$102,IF(($B32-Analysis!$C$100)&lt;LOOKUP(Analysis!$C$100,$B:$B,CN:CN),CR31,0)))</f>
        <v>0</v>
      </c>
      <c r="CS32" s="1">
        <f>IF(OR($B32&lt;Analysis!$C$100, $B32&gt;=Analysis!$C$101),0,IF($B32=Analysis!$C$100,-CR32*CM32,CR31*CQ31))</f>
        <v>0</v>
      </c>
      <c r="CT32" s="1">
        <f>IF(OR($B32&lt;Analysis!$C$100, $B32&gt;=Analysis!$C$101),0,IF($B32=Analysis!$C$100,PMT(CR32,CN32,CM32)*CN32-CU32-CQ32,IF(($B32-Analysis!$C$100+1)&lt;LOOKUP(Analysis!$C$100,$B:$B,CN:CN),IF(CT31-CS32&lt;0, CT31-CS32,0),0)))</f>
        <v>0</v>
      </c>
      <c r="CU32" s="1">
        <f>IF(OR($B32&lt;Analysis!$C$100, $B32&gt;=Analysis!$C$101),0,IF($B32=Analysis!$C$100,CP32+CS32,IF(CQ31&lt;0,IF(CQ31&gt;LOOKUP(Analysis!$C$100,$B:$B,CU:CU), CQ31*(1+CR31),CU31),0)))</f>
        <v>-4.0389678347315804E-28</v>
      </c>
      <c r="CV32" s="1">
        <f>IF($B32=Analysis!$C$100,Analysis!$C$105,0)</f>
        <v>0</v>
      </c>
      <c r="CW32" s="1">
        <f>IF($B32=Analysis!$C$100,PMT(CR32,CX32,CV32)*CX32,0)</f>
        <v>0</v>
      </c>
      <c r="CX32" s="7">
        <f>IF($B32=Analysis!$C$100,Analysis!$C$107,0)</f>
        <v>0</v>
      </c>
      <c r="CY32" s="1">
        <f>IF(OR($B32&lt;Analysis!$C$100, $B32&gt;=Analysis!$C$101),0,IF($B32=Analysis!$C$100,CW32/CX32,IF(($B32-Analysis!$C$100)&lt;LOOKUP(Analysis!$C$100,$B:$B,CX:CX),CY31,0)))</f>
        <v>0</v>
      </c>
      <c r="CZ32" s="1">
        <f>IF(OR($B32&lt;Analysis!$C$100, $B32&gt;=Analysis!$C$101),0,IF($B32=Analysis!$C$100,CX32*CY32-CY32,IF(($B32-Analysis!$C$100)&lt;Analysis!$C$107,CZ31-CY32,0)))</f>
        <v>0</v>
      </c>
      <c r="DA32" s="53"/>
      <c r="DB32" s="1">
        <f>IF(OR($B32&lt;Analysis!$C$100, $B32&gt;=Analysis!$C$101),0,IF($B32=2025,(Analysis!$C$109*12),IF($B32=Analysis!$C$100,(Analysis!$C$109*12)*(1+DC32)^($B32-$B$2),DB31*(1+DC32))))</f>
        <v>33070.217368687692</v>
      </c>
      <c r="DC32" s="64">
        <f>IF(OR($B32&lt;Analysis!$C$100, $B32&gt;=Analysis!$C$101),0,((1+Analysis!$C$114)/(1+$S32))-1)</f>
        <v>2.941176470588247E-2</v>
      </c>
      <c r="DD32" s="1">
        <f t="shared" si="6"/>
        <v>40749.54311430893</v>
      </c>
      <c r="DE32" s="1">
        <f t="shared" si="27"/>
        <v>-3719.3257456212373</v>
      </c>
      <c r="DF32" s="64">
        <f>IF(OR($B32&lt;Analysis!$C$100, $B32&gt;=Analysis!$C$101),0,Analysis!$C$118)</f>
        <v>3.0000000000000001E-3</v>
      </c>
      <c r="DG32" s="1">
        <f t="shared" si="28"/>
        <v>-9298.3143640530925</v>
      </c>
      <c r="DH32" s="64">
        <f>IF(OR($B32&lt;Analysis!$C$100, $B32&gt;=Analysis!$C$101),0,Analysis!$C$119)</f>
        <v>7.4999999999999997E-3</v>
      </c>
      <c r="DI32" s="1">
        <f>IF(OR($B32&lt;Analysis!$C$100, $B32&gt;=Analysis!$C$101),0,MIN(Analysis!$C$120*12,SUM(DJ32:DN32)))</f>
        <v>-3960</v>
      </c>
      <c r="DJ32" s="1">
        <f>IF(OR($B32&lt;Analysis!$C$100, $B32&gt;=Analysis!$C$101),0,Analysis!$C$121*12)</f>
        <v>-900</v>
      </c>
      <c r="DK32" s="1">
        <f>IF(OR($B32&lt;Analysis!$C$100, $B32&gt;=Analysis!$C$101),0,Analysis!$C$122*12)</f>
        <v>-1500</v>
      </c>
      <c r="DL32" s="1">
        <f>IF(OR($B32&lt;Analysis!$C$100, $B32&gt;=Analysis!$C$101),0,Analysis!$C$123*12)</f>
        <v>-480</v>
      </c>
      <c r="DM32" s="1">
        <f>IF(OR($B32&lt;Analysis!$C$100, $B32&gt;=Analysis!$C$101),0,Analysis!$C$124*12)</f>
        <v>-480</v>
      </c>
      <c r="DN32" s="1">
        <f>IF(OR($B32&lt;Analysis!$C$100, $B32&gt;=Analysis!$C$101),0,Analysis!$C$125*12)</f>
        <v>-600</v>
      </c>
      <c r="DO32" s="64">
        <f>IF(OR($B32&lt;Analysis!$C$100, $B32&gt;=Analysis!$C$101),0,Analysis!$C$113)</f>
        <v>0.02</v>
      </c>
      <c r="DP32" s="1">
        <f>-DO32*LOOKUP(Analysis!$C$100,$B:$B,CK:CK)</f>
        <v>-10392</v>
      </c>
      <c r="DQ32" s="1">
        <f>-Analysis!$C$117*DB32</f>
        <v>-2480.266302651577</v>
      </c>
      <c r="DR32" s="1">
        <f t="shared" si="29"/>
        <v>-29849.906412325905</v>
      </c>
      <c r="DS32" s="1">
        <f>MIN(0,-(DB32+DR32)*Analysis!$C$28)-CS32*Analysis!$C$28</f>
        <v>-1426.9197847639077</v>
      </c>
      <c r="DT32" s="1">
        <f>-Analysis!$C$116*DD32/12</f>
        <v>-3395.7952595257443</v>
      </c>
      <c r="DU32" s="53"/>
      <c r="DV32" s="1">
        <f t="shared" si="30"/>
        <v>-158071.34418890259</v>
      </c>
      <c r="DW32" s="64">
        <f>IF(OR($B32&lt;Analysis!$C$100, $B32&gt;=Analysis!$C$101),0,IF($B32=Analysis!$C$100,Analysis!$C$31,DW31))</f>
        <v>0.1275</v>
      </c>
      <c r="DX32" s="1">
        <f>IF(OR($B32&lt;Analysis!$C$100, $B32&gt;=Analysis!$C$101),0,CK32+DV32)</f>
        <v>1081703.9043515099</v>
      </c>
      <c r="DY32" s="1">
        <f>IF(OR($B32&lt;Analysis!$C$100, $B32&gt;=Analysis!$C$101),0,IF($B32-Analysis!$C$100&gt;3,0,IF(CK32&gt;LOOKUP(Analysis!$C$100,$B:$B, CK:CK),$V32*(LOOKUP(Analysis!$C$100,$B:$B, CK:CK)-CK32),0)))</f>
        <v>0</v>
      </c>
      <c r="DZ32" s="1">
        <f t="shared" si="49"/>
        <v>1081703.9043515099</v>
      </c>
      <c r="EA32" s="53"/>
      <c r="EB32" s="1">
        <f t="shared" si="31"/>
        <v>1646352.8127268765</v>
      </c>
      <c r="EC32" s="64">
        <f t="shared" si="50"/>
        <v>2.941176470588247E-2</v>
      </c>
      <c r="ED32" s="1">
        <f>MAX(0,IF($B32=Analysis!$C$130,(EB32*(1+Analysis!$C$23+Analysis!$C$24+Analysis!$C$25))-(IF($B32=$B$2,(Analysis!$C$6-Analysis!$C$7+Analysis!$C$132), (FU31-Analysis!$C$7+EM32)) + IF($B32=Analysis!$C$101,DZ31+CQ31+CT31+CZ31,0)),0))</f>
        <v>0</v>
      </c>
      <c r="EE32" s="65">
        <f>IF($B32=Analysis!$C$130,IF(ED32&gt;0,NPER(EI32,-EL32,-ED32),0),0)</f>
        <v>0</v>
      </c>
      <c r="EF32" s="64">
        <f>IF($B32=Analysis!$C$130,Analysis!$C$137,0)</f>
        <v>0</v>
      </c>
      <c r="EG32" s="1">
        <f>IF($B32&lt;Analysis!$C$130,0,IF($B32=Analysis!$C$130,-ED32*EF32,IF(EL32&gt;=0,0,EL32-EJ32)))</f>
        <v>0</v>
      </c>
      <c r="EH32" s="1">
        <f>IF($B32&lt;Analysis!$C$130,0,IF($B32=Analysis!$C$130,-ED32-EG32,MIN(0,EH31-EG32)))</f>
        <v>0</v>
      </c>
      <c r="EI32" s="64">
        <f>IF($B32&lt;Analysis!$C$130,0,IF($B32=Analysis!$C$130,Analysis!$C$136,IF(($B32-Analysis!$C$130)&lt;LOOKUP(Analysis!$C$130,$B:$B,EE:EE),EI31,0)))</f>
        <v>0</v>
      </c>
      <c r="EJ32" s="1">
        <f>IF($B32&lt;Analysis!$C$130,0,IF($B32=Analysis!$C$130,-EI32*ED32,EI31*EH31))</f>
        <v>0</v>
      </c>
      <c r="EK32" s="1">
        <f>IF(OR($B32&lt;Analysis!$C$130, ED32=0),0,IF($B32=Analysis!$C$130,PMT(EI32,EE32,ED32)*EE32-EL32-EH32,IF(($B32-Analysis!$C$130+1)&lt;LOOKUP(Analysis!$C$130,$B:$B,EE:EE),IF(EK31-EJ32&lt;0, EK31-EJ32,0),0)))</f>
        <v>0</v>
      </c>
      <c r="EL32" s="1">
        <f>IF($B32&lt;Analysis!$C$130,0,IF($B32=Analysis!$C$130,EG32+EJ32,IF(EH31&lt;0,IF(EH31&gt;LOOKUP(Analysis!$C$130,$B:$B,EL:EL), EH31*(1+EI31),EL31),0)))</f>
        <v>0</v>
      </c>
      <c r="EM32" s="1">
        <f>IF($B32=Analysis!$C$130,Analysis!$C$132,0)</f>
        <v>0</v>
      </c>
      <c r="EN32" s="1">
        <f>IF($B32=Analysis!$C$130,PMT(EI32,EO32,EM32)*EO32,0)</f>
        <v>0</v>
      </c>
      <c r="EO32" s="7">
        <f>IF($B32=Analysis!$C$130,Analysis!$C$134,0)</f>
        <v>0</v>
      </c>
      <c r="EP32" s="1">
        <f>IF($B32&lt;Analysis!$C$130,0,IF($B32=Analysis!$C$130,EN32/EO32,IF(($B32-Analysis!$C$130)&lt;LOOKUP(Analysis!$C$130,$B:$B,EO:EO),EP31,0)))</f>
        <v>0</v>
      </c>
      <c r="EQ32" s="1">
        <f>IF($B32&lt;Analysis!$C$130,0,IF($B32=Analysis!$C$130,EO32*EP32-EP32,IF(($B32-Analysis!$C$130)&lt;Analysis!$C$134,EQ31-EP32,0)))</f>
        <v>0</v>
      </c>
      <c r="ER32" s="53"/>
      <c r="ES32" s="1">
        <f>IF($B32&lt;Analysis!$C$130,0,-ET32*EB32)</f>
        <v>0</v>
      </c>
      <c r="ET32" s="64">
        <f>IF($B32&lt;Analysis!$C$130,0,Analysis!$C$142)</f>
        <v>0</v>
      </c>
      <c r="EU32" s="1">
        <f>IF($B32&lt;Analysis!$C$130,0,-EV32*EB32)</f>
        <v>0</v>
      </c>
      <c r="EV32" s="64">
        <f>IF($B32&lt;Analysis!$C$130,0,Analysis!$C$143)</f>
        <v>0</v>
      </c>
      <c r="EW32" s="1">
        <f>IF($B32&lt;Analysis!$C$130,0,MIN(Analysis!$C$144*12,SUM(EX32:FB32)))</f>
        <v>0</v>
      </c>
      <c r="EX32" s="1">
        <f>IF($B32&lt;Analysis!$C$130,0,Analysis!$C$145*12)</f>
        <v>0</v>
      </c>
      <c r="EY32" s="1">
        <f>IF($B32&lt;Analysis!$C$130,0,Analysis!$C$146*12)</f>
        <v>0</v>
      </c>
      <c r="EZ32" s="1">
        <f>IF($B32&lt;Analysis!$C$130,0,Analysis!$C$147*12)</f>
        <v>0</v>
      </c>
      <c r="FA32" s="1">
        <f>IF($B32&lt;Analysis!$C$130,0,Analysis!$C$148*12)</f>
        <v>0</v>
      </c>
      <c r="FB32" s="1">
        <f>IF($B32&lt;Analysis!$C$130,0,Analysis!$C$149*12)</f>
        <v>0</v>
      </c>
      <c r="FC32" s="1">
        <v>0</v>
      </c>
      <c r="FD32" s="1">
        <f>-FC32*Analysis!$C$28</f>
        <v>0</v>
      </c>
      <c r="FE32" s="53"/>
      <c r="FF32" s="1">
        <f t="shared" si="32"/>
        <v>0</v>
      </c>
      <c r="FG32" s="64">
        <f>IF($B32&lt;Analysis!$C$130,0,Analysis!$C$31)</f>
        <v>0</v>
      </c>
      <c r="FH32" s="1">
        <f>IF($B32&lt;Analysis!$C$130,0,EB32+FF32)</f>
        <v>0</v>
      </c>
      <c r="FI32" s="1">
        <f>IF($B32-Analysis!$C$130&gt;3,0,IF(EB32&gt;LOOKUP(Analysis!$C$130,$B:$B, EB:EB),$V32*(LOOKUP(Analysis!$C$130,$B:$B, EB:EB)-EB32),0))</f>
        <v>0</v>
      </c>
      <c r="FJ32" s="1">
        <f t="shared" si="33"/>
        <v>0</v>
      </c>
      <c r="FK32" s="53"/>
      <c r="FL32" s="1">
        <f>$P32+$N32+IF($B32&lt;Analysis!$C$130,$X32+$Z32,0)+CP32+CS32+CY32+DE32+DG32+MIN(DI32,SUM(DJ32:DN32))+DQ32+DS32+DT32+EG32+EJ32+EP32+ES32+EU32+MIN(EW32,SUM(EX32:FB32))+FD32</f>
        <v>-114035.15559225861</v>
      </c>
      <c r="FM32" s="1">
        <f>$M32+$R32+DD32+IF(AND($B32&lt;&gt;Analysis!$C$130,$B32=Analysis!$C$101),DZ31+CQ31+CT31+CZ31,0)</f>
        <v>172217.46635553482</v>
      </c>
      <c r="FN32" s="1">
        <f t="shared" si="34"/>
        <v>58182.310763276211</v>
      </c>
      <c r="FO32" s="1">
        <f>IF(FN32 &lt; 0,
    IF(FO31 + FN32 &gt; 0,
        FO31 + FN32, IF(FT31-ABS(FO31 + FN32)*(1+$V32) &gt;= FO31 + FN32,
        0, FO31 + FN32)),
    MIN(FO31 + FN32, Analysis!$C$7))+IF(FO31&lt;0, FO31*Analysis!$C$9,0)</f>
        <v>24000</v>
      </c>
      <c r="FP32" s="53"/>
      <c r="FQ32" s="1">
        <f t="shared" si="51"/>
        <v>19959.276975018558</v>
      </c>
      <c r="FR32" s="1">
        <f>IF(OR($B32=Analysis!$C$100, $B32=Analysis!$C$130),0,IF(FN32 &gt;= 0,
    MAX(0, FO31 + FN32 - Analysis!$C$7),
    0))</f>
        <v>58182.310763276211</v>
      </c>
      <c r="FS32" s="1">
        <f>IF(OR($B32=Analysis!$C$100, $B32=Analysis!$C$130),0,MAX(0, FS31 + FR32 - IF(FN32 &lt; 0, MIN(ABS(FN32), FS31 + FR32), 0)))</f>
        <v>542895.04121169692</v>
      </c>
      <c r="FT32" s="1">
        <f>IF(OR($B32=Analysis!$C$100, $B32=Analysis!$C$130),0,IF(FN32 &lt; 0,
    IF(FN32 + FO31 &lt; 0,
        MAX(0, FT31 - (ABS(FN32 + FO31) * (1+$V31))),
        FT31 + FQ32),
    FT31 + FR32 + FQ32))</f>
        <v>817297.3844272556</v>
      </c>
      <c r="FU32" s="1">
        <f t="shared" si="57"/>
        <v>744923.76640415203</v>
      </c>
      <c r="FV32" s="36"/>
      <c r="FW32" s="1">
        <f t="shared" si="52"/>
        <v>1239775.2485404124</v>
      </c>
      <c r="FX32" s="64">
        <f t="shared" si="53"/>
        <v>2.941176470588247E-2</v>
      </c>
      <c r="FY32" s="1">
        <f>IF($B32=Analysis!$C$159,(FW32*(1+Analysis!$C$23+Analysis!$C$24+Analysis!$C$25))-IF($B32=$B$2,(Analysis!$C$6-Analysis!$C$7+Analysis!$C$165), (HW31-Analysis!$C$7+GH32)),0)</f>
        <v>0</v>
      </c>
      <c r="FZ32" s="65">
        <f>IF($B32=Analysis!$C$159,NPER(GD32,-GG32,-FY32),0)</f>
        <v>0</v>
      </c>
      <c r="GA32" s="64">
        <f>IF($B32=Analysis!$C$159,Analysis!$C$161,0)</f>
        <v>0</v>
      </c>
      <c r="GB32" s="1">
        <f>IF($B32&lt;Analysis!$C$159,0,IF($B32=Analysis!$C$159,-FY32*GA32,IF(GG32&gt;=0,0,GG32-GE32)))</f>
        <v>-4.0389678347315804E-28</v>
      </c>
      <c r="GC32" s="1">
        <f>IF($B32&lt;Analysis!$C$159,0,IF($B32=Analysis!$C$159,-FY32-GB32,MIN(0,GC31-GB32)))</f>
        <v>0</v>
      </c>
      <c r="GD32" s="64">
        <f>IF($B32&lt;Analysis!$C$159,0,IF($B32=Analysis!$C$159,Analysis!$C$160,IF(($B32-Analysis!$C$159)&lt;LOOKUP(Analysis!$C$159,$B:$B,FZ:FZ),GD31,0)))</f>
        <v>0</v>
      </c>
      <c r="GE32" s="1">
        <f>IF($B32&lt;Analysis!$C$159,0,IF($B32=Analysis!$C$159,-GD32*FY32,GD31*GC31))</f>
        <v>0</v>
      </c>
      <c r="GF32" s="1">
        <f>IF($B32&lt;Analysis!$C$159,0,IF($B32=Analysis!$C$159,PMT(GD32,FZ32,FY32)*FZ32-GG32-GC32,IF(($B32-Analysis!$C$159+1)&lt;LOOKUP(Analysis!$C$159,$B:$B,FZ:FZ),IF(GF31-GE32&lt;0, GF31-GE32,0),0)))</f>
        <v>0</v>
      </c>
      <c r="GG32" s="1">
        <f>IF($B32&lt;Analysis!$C$159,0,IF($B32=Analysis!$C$159,GB32+GE32,IF(GC31&lt;0,IF(GC31&gt;LOOKUP(Analysis!$C$159,$B:$B,GG:GG), GC31*(1+GD31),GG31),0)))</f>
        <v>-4.0389678347315804E-28</v>
      </c>
      <c r="GH32" s="1">
        <f>IF($B32=Analysis!$C$159,Analysis!$C$165,0)</f>
        <v>0</v>
      </c>
      <c r="GI32" s="1">
        <f>IF($B32=Analysis!$C$159,PMT(GD32,GJ32,GH32)*GJ32,0)</f>
        <v>0</v>
      </c>
      <c r="GJ32" s="7">
        <f>IF($B32=Analysis!$C$159,Analysis!$C$167,0)</f>
        <v>0</v>
      </c>
      <c r="GK32" s="1">
        <f>IF($B32&lt;Analysis!$C$159,0,IF($B32=Analysis!$C$159,GI32/GJ32,IF(($B32-Analysis!$C$159)&lt;LOOKUP(Analysis!$C$159,$B:$B,GJ:GJ),GK31,0)))</f>
        <v>0</v>
      </c>
      <c r="GL32" s="1">
        <f>IF($B32&lt;Analysis!$C$159,0,IF($B32=Analysis!$C$159,GJ32*GK32-GK32,IF(($B32-Analysis!$C$159)&lt;Analysis!$C$167,GL31-GK32,0)))</f>
        <v>0</v>
      </c>
      <c r="GM32" s="38"/>
      <c r="GN32" s="1">
        <f>IF($B32&lt;Analysis!$C$159,0,IF($B32=2025,(Analysis!$C$109*12),IF($B32=Analysis!$C$159,(Analysis!$C$109*12)*(1+GO32)^($B32-$B$2),GN31*(1+GO32))))</f>
        <v>33070.217368687692</v>
      </c>
      <c r="GO32" s="64">
        <f>IF($B32&lt;Analysis!$C$159,0,((1+Analysis!$C$174)/(1+$S32))-1)</f>
        <v>2.941176470588247E-2</v>
      </c>
      <c r="GP32" s="1">
        <f t="shared" si="7"/>
        <v>40749.54311430893</v>
      </c>
      <c r="GQ32" s="1">
        <f t="shared" si="36"/>
        <v>-3719.3257456212373</v>
      </c>
      <c r="GR32" s="64">
        <f>IF($B32&lt;Analysis!$C$159,0,Analysis!$C$178)</f>
        <v>3.0000000000000001E-3</v>
      </c>
      <c r="GS32" s="1">
        <f t="shared" si="37"/>
        <v>-9298.3143640530925</v>
      </c>
      <c r="GT32" s="64">
        <f>IF($B32&lt;Analysis!$C$159,0,Analysis!$C$179)</f>
        <v>7.4999999999999997E-3</v>
      </c>
      <c r="GU32" s="1">
        <f>IF($B32&lt;Analysis!$C$159,0,MIN(Analysis!$C$180*12,SUM(GV32:GZ32)))</f>
        <v>-3960</v>
      </c>
      <c r="GV32" s="1">
        <f>IF($B32&lt;Analysis!$C$159,0,Analysis!$C$181*12)</f>
        <v>-900</v>
      </c>
      <c r="GW32" s="1">
        <f>IF($B32&lt;Analysis!$C$159,0,Analysis!$C$182*12)</f>
        <v>-1500</v>
      </c>
      <c r="GX32" s="1">
        <f>IF($B32&lt;Analysis!$C$159,0,Analysis!$C$183*12)</f>
        <v>-480</v>
      </c>
      <c r="GY32" s="1">
        <f>IF($B32&lt;Analysis!$C$159,0,Analysis!$C$184*12)</f>
        <v>-480</v>
      </c>
      <c r="GZ32" s="1">
        <f>IF($B32&lt;Analysis!$C$159,0,Analysis!$C$185*12)</f>
        <v>-600</v>
      </c>
      <c r="HA32" s="64">
        <f>IF($B32&lt;Analysis!$C$159,0,Analysis!$C$173)</f>
        <v>0.02</v>
      </c>
      <c r="HB32" s="1">
        <f>-HA32*LOOKUP(Analysis!$C$159,$B:$B,FW:FW)</f>
        <v>-10392</v>
      </c>
      <c r="HC32" s="1">
        <f>-Analysis!$C$177*GN32</f>
        <v>-2480.266302651577</v>
      </c>
      <c r="HD32" s="1">
        <f t="shared" si="38"/>
        <v>-29849.906412325905</v>
      </c>
      <c r="HE32" s="1">
        <f>MIN(0,-(GN32+HD32)*Analysis!$C$28)-GE32*Analysis!$C$28</f>
        <v>-1426.9197847639077</v>
      </c>
      <c r="HF32" s="1">
        <f>-Analysis!$C$176*GP32/12</f>
        <v>-3395.7952595257443</v>
      </c>
      <c r="HG32" s="38"/>
      <c r="HH32" s="1">
        <f>IF($B32&lt;Analysis!$C$159,0,-$HI32*$FW32)</f>
        <v>-158071.34418890259</v>
      </c>
      <c r="HI32" s="64">
        <f>IF($B32&lt;Analysis!$C$159,0,IF($B32=Analysis!$C$159,Analysis!$C$31,HI31))</f>
        <v>0.1275</v>
      </c>
      <c r="HJ32" s="1">
        <f>IF($B32&lt;Analysis!$C$159,0,$FW32+HH32)</f>
        <v>1081703.9043515099</v>
      </c>
      <c r="HK32" s="1">
        <f>IF($B32-Analysis!$C$159&gt;10,0,IF($FW32&gt;LOOKUP(Analysis!$C$159,$B:$B, FW:FW),$V32*(LOOKUP(Analysis!$C$159,$B:$B, FW:FW)-FW32),0))</f>
        <v>0</v>
      </c>
      <c r="HL32" s="1">
        <f t="shared" si="39"/>
        <v>1081703.9043515099</v>
      </c>
      <c r="HM32" s="38"/>
      <c r="HN32" s="1">
        <f t="shared" si="40"/>
        <v>-114035.15559225861</v>
      </c>
      <c r="HO32" s="1">
        <f t="shared" si="8"/>
        <v>172217.46635553482</v>
      </c>
      <c r="HP32" s="1">
        <f t="shared" si="41"/>
        <v>58182.310763276211</v>
      </c>
      <c r="HQ32" s="1">
        <f>IF(HP32 &lt; 0,
    IF(HQ31 + HP32 &gt; 0,
        HQ31 + HP32, IF(HV31-ABS(HQ31 + HP32)*(1+$V32) &gt;= HQ31 + HP32,
        0, HQ31 + HP32)),
    MIN(HQ31 + HP32, Analysis!$C$7))+IF(HQ31&lt;0, HQ31*Analysis!$C$9,0)</f>
        <v>24000</v>
      </c>
      <c r="HR32" s="38"/>
      <c r="HS32" s="1">
        <f t="shared" si="54"/>
        <v>19959.276975018558</v>
      </c>
      <c r="HT32" s="1">
        <f>IF($B32=Analysis!$C$159,0,IF(HP32 &gt;= 0,
    MAX(0, HQ31 + HP32 - Analysis!$C$7),
    0))</f>
        <v>58182.310763276211</v>
      </c>
      <c r="HU32" s="1">
        <f>IF($B32=Analysis!$C$159,0,MAX(0, HU31 + HT32 - IF(HP32 &lt; 0, MIN(ABS(HP32), HU31 + HT32), 0)))</f>
        <v>542895.04121169692</v>
      </c>
      <c r="HV32" s="1">
        <f>IF($B32=Analysis!$C$159,0,IF(HP32 &lt; 0,
    IF(HP32 + HQ31 &lt; 0,
        MAX(0, HV31 - (ABS(HP32 + HQ31) * (1+$V31))),
        HV31 + HS32),
    HV31 + HT32 + HS32))</f>
        <v>817297.3844272556</v>
      </c>
      <c r="HW32" s="1">
        <f t="shared" si="58"/>
        <v>744923.76640415203</v>
      </c>
      <c r="HX32" s="36"/>
    </row>
    <row r="33" spans="1:232" x14ac:dyDescent="0.35">
      <c r="A33">
        <f t="shared" si="0"/>
        <v>66</v>
      </c>
      <c r="B33">
        <v>2056</v>
      </c>
      <c r="C33" s="1">
        <f>IF($B33&lt;Analysis!C$66,0,$AN33)+$AT33+$AW33+$BC33+$CF33+$CA33</f>
        <v>-211721.36073326226</v>
      </c>
      <c r="D33" s="1">
        <f>IF($B33&lt;Analysis!C$66, 0, BV33)+AT33+AW33+BC33+CG33+CA33</f>
        <v>-490438.15484436112</v>
      </c>
      <c r="E33" s="1">
        <f t="shared" si="1"/>
        <v>1992630.8537387501</v>
      </c>
      <c r="F33" s="1">
        <f t="shared" si="9"/>
        <v>1734950.9670042903</v>
      </c>
      <c r="G33" s="1">
        <f>IF(AND($B33&gt;=Analysis!$C$100, $B33&lt;Analysis!$C$101),$CK33,0)+IF($B33&gt;=Analysis!$C$130,EB33,0)+CQ33+CT33+CZ33+EH33+EK33+EQ33+$FO33+$FT33</f>
        <v>2195582.6007832279</v>
      </c>
      <c r="H33" s="1">
        <f t="shared" si="10"/>
        <v>1955037.2337492281</v>
      </c>
      <c r="I33" s="1">
        <f>IF($B33&lt;Analysis!$C$159,0,$FW33)+$GC33+$GF33+$GL33+$HQ33+$HV33</f>
        <v>2195582.6007832279</v>
      </c>
      <c r="J33" s="1">
        <f t="shared" si="2"/>
        <v>1955037.2337492281</v>
      </c>
      <c r="K33" s="36"/>
      <c r="L33" s="1">
        <f t="shared" si="11"/>
        <v>131467.92324122589</v>
      </c>
      <c r="M33" s="1">
        <f>IF($B33=Analysis!$C$47, M32 * (1 - Analysis!$C$48),
    IF($B33=Analysis!$C$52, M32 * (1 - Analysis!$C$53),
    IF($B33=Analysis!$C$58, M32 * (1 - Analysis!$C$60),
    L33)))</f>
        <v>131467.92324122589</v>
      </c>
      <c r="N33" s="1">
        <f>Analysis!$C$3*12*(1+O33)+P33</f>
        <v>-48000</v>
      </c>
      <c r="O33" s="64">
        <f>IF(OR($B33=Analysis!$C$47,$B33=Analysis!$C$52,$B33=Analysis!$C$58),-Analysis!$C$49,0)</f>
        <v>0</v>
      </c>
      <c r="P33" s="1">
        <f>IF($B33&lt;Analysis!$C$47,0,IF($B33-Analysis!$C$47&lt;=3,Analysis!$C$40+Analysis!$C$44,IF($B33-Analysis!$C$47&lt;=10,Analysis!$C$41+Analysis!$C$44,IF($B33-Analysis!$C$47&lt;=18,Analysis!$C$42+Analysis!$C$44,IF($B33-Analysis!$C$47&lt;=25,Analysis!$C$43+Analysis!$C$44,0)))) + IF(AND($B33&gt;=Analysis!$C$52, $B33-Analysis!$C$52&lt;=3),Analysis!$C$40+Analysis!$C$44,IF(AND($B33&gt;=Analysis!$C$52, $B33-Analysis!$C$52&lt;=10),Analysis!$C$41+Analysis!$C$44,IF(AND($B33&gt;=Analysis!$C$52, $B33-Analysis!$C$52&lt;=18),Analysis!$C$42+Analysis!$C$44,IF(AND($B33&gt;=Analysis!$C$52, $B33-Analysis!$C$52&lt;=25),Analysis!$C$43+Analysis!$C$44,0)))) + Analysis!$C$57*IF(AND($B33&gt;=Analysis!$C$58, $B33-Analysis!$C$58&lt;=3),Analysis!$C$40+Analysis!$C$44,IF(AND($B33&gt;=Analysis!$C$58, $B33-Analysis!$C$58&lt;=10),Analysis!$C$41+Analysis!$C$44,IF(AND($B33&gt;=Analysis!$C$58, $B33-Analysis!$C$58&lt;=18),Analysis!$C$42+Analysis!$C$44,IF(AND($B33&gt;=Analysis!$C$58, $B33-Analysis!$C$58&lt;=25),Analysis!$C$43+Analysis!$C$44,0)))))</f>
        <v>0</v>
      </c>
      <c r="Q33" s="1">
        <f t="shared" si="43"/>
        <v>0</v>
      </c>
      <c r="R33" s="1">
        <f>IF(AND(AND(B33=Analysis!C$35,Analysis!C$34&lt;&gt;0),AND(B33=Analysis!C$37,Analysis!C$36&lt;&gt;0)),Analysis!C$34+Analysis!C$36,IF(AND(B33=Analysis!C$35,Analysis!C$34&lt;&gt;0),Analysis!C$34,IF(AND(B33=Analysis!C$37,Analysis!C$36&lt;&gt;0),Analysis!C$36,0)))</f>
        <v>0</v>
      </c>
      <c r="S33" s="64">
        <f t="shared" si="12"/>
        <v>0.02</v>
      </c>
      <c r="T33" s="64">
        <f>IF($B33&lt;Analysis!$C$13, ((1+IF($B33-$B$2&lt;10,Analysis!$C$11,IF($B33-$B$2&lt;20,(Analysis!$C$11+Analysis!$C$12)/2,Analysis!$C$12)))/(1+$S33)-1),IF($B33=Analysis!$C$13,-Analysis!$C$14,-$S33))</f>
        <v>0</v>
      </c>
      <c r="U33" s="64">
        <f>IF($B33=$B$2,((1+Analysis!$C$16)/(1+$S33))-1,IF(B33&lt;Analysis!$C$13,U32-((Analysis!$C$16-Analysis!$C$17)/(Analysis!$C$13-$B$2)),((1+Analysis!$C$17)/(1+$S32))-1))</f>
        <v>2.5288515406162629E-2</v>
      </c>
      <c r="V33" s="64">
        <f t="shared" si="13"/>
        <v>0.26374999999999998</v>
      </c>
      <c r="W33" s="36"/>
      <c r="X33" s="1">
        <f t="shared" si="14"/>
        <v>-38906.13808080904</v>
      </c>
      <c r="Y33" s="64">
        <f t="shared" si="15"/>
        <v>2.941176470588247E-2</v>
      </c>
      <c r="Z33" s="1">
        <f t="shared" si="16"/>
        <v>-3960</v>
      </c>
      <c r="AA33" s="64">
        <f t="shared" si="17"/>
        <v>0</v>
      </c>
      <c r="AB33" s="40"/>
      <c r="AC33" s="1">
        <f t="shared" si="3"/>
        <v>-90866.138080809033</v>
      </c>
      <c r="AD33" s="1">
        <f t="shared" si="4"/>
        <v>131467.92324122589</v>
      </c>
      <c r="AE33" s="1">
        <f t="shared" si="18"/>
        <v>40601.785160416854</v>
      </c>
      <c r="AF33" s="1">
        <f>IF(AE33 &lt; 0,
    IF(AF32 + AE33 &gt; 0,
        AF32 + AE33, IF(AK32-ABS(AF32 + AE33)*(1+$V33) &gt;= AF32 + AE33,
        0, AF32 + AE33)),
    MIN(AF32 + AE33, Analysis!$C$7))+IF(AF32&lt;0, AF32*Analysis!$C$9,0)</f>
        <v>24000</v>
      </c>
      <c r="AG33" s="40"/>
      <c r="AH33" s="1">
        <f t="shared" si="19"/>
        <v>47554.412315793605</v>
      </c>
      <c r="AI33" s="1">
        <f>IF(AE33 &gt;= 0,
    MAX(0, AF32 + AE33 - Analysis!$C$7),
    0)</f>
        <v>40601.785160416854</v>
      </c>
      <c r="AJ33" s="1">
        <f t="shared" si="44"/>
        <v>991645.50119103561</v>
      </c>
      <c r="AK33" s="1">
        <f t="shared" si="20"/>
        <v>1968630.8537387501</v>
      </c>
      <c r="AL33" s="1">
        <f t="shared" si="5"/>
        <v>1710950.9670042903</v>
      </c>
      <c r="AM33" s="36"/>
      <c r="AN33" s="1">
        <f t="shared" si="45"/>
        <v>2186014.0714595984</v>
      </c>
      <c r="AO33" s="64">
        <f t="shared" si="21"/>
        <v>2.941176470588247E-2</v>
      </c>
      <c r="AP33" s="1">
        <f>IF($B33=Analysis!$C$66,(AN33*(1+Analysis!$C$23+Analysis!$C$24+Analysis!$C$25))-IF($B33=$B$2,(Analysis!$C$6-Analysis!$C$7+Analysis!$C$68), ($CG32-Analysis!$C$7+AY33)),0)</f>
        <v>0</v>
      </c>
      <c r="AQ33" s="65">
        <f>IF($B33=Analysis!$C$66,NPER(AU33,-AX33,-AP33),0)</f>
        <v>0</v>
      </c>
      <c r="AR33" s="64">
        <f>IF($B33=Analysis!$C$66,Analysis!$C$73,0)</f>
        <v>0</v>
      </c>
      <c r="AS33" s="1">
        <f>IF($B33&lt;Analysis!$C$66,0,IF($B33=Analysis!$C$66,-AP33*AR33,IF(AX33&gt;=0,0,AX33-AV33)))</f>
        <v>0</v>
      </c>
      <c r="AT33" s="1">
        <f>IF($B33&lt;Analysis!$C$66,0,IF($B33=Analysis!$C$66,-AP33-AS33,MIN(0,AT32-AS33)))</f>
        <v>0</v>
      </c>
      <c r="AU33" s="64">
        <f>IF($B33&lt;Analysis!$C$66,0,IF($B33=Analysis!$C$66,Analysis!$C$72,IF(($B33-Analysis!$C$66)&lt;LOOKUP(Analysis!$C$66,$B:$B,AQ:AQ),AU32,0)))</f>
        <v>0</v>
      </c>
      <c r="AV33" s="1">
        <f>IF($B33&lt;Analysis!$C$66,0,IF($B33=Analysis!$C$66,-AU33*AP33,AU32*AT32))</f>
        <v>0</v>
      </c>
      <c r="AW33" s="1">
        <f>IF($B33&lt;Analysis!$C$66,0,IF($B33=Analysis!$C$66,PMT(AU33,AQ33,AP33)*AQ33-AX33-AT33,IF(($B33-Analysis!$C$66+1)&lt;LOOKUP(Analysis!$C$66,$B:$B,AQ:AQ),IF(AW32-AV33&lt;0, AW32-AV33,0),0)))</f>
        <v>0</v>
      </c>
      <c r="AX33" s="1">
        <f>IF($B33&lt;Analysis!$C$66,0,IF($B33=Analysis!$C$66,AS33+AV33,IF(AT32&lt;0,IF(AT32&gt;LOOKUP(Analysis!$C$66,$B:$B,AX:AX), AT32*(1+AU32),AX32),0)))</f>
        <v>0</v>
      </c>
      <c r="AY33" s="1">
        <f>IF($B33=Analysis!$C$66,Analysis!$C$68,0)</f>
        <v>0</v>
      </c>
      <c r="AZ33" s="1">
        <f>IF($B33=Analysis!$C$66,PMT(AU33,BA33,AY33)*BA33,0)</f>
        <v>0</v>
      </c>
      <c r="BA33" s="7">
        <f>IF($B33=Analysis!$C$66,Analysis!$C$70,0)</f>
        <v>0</v>
      </c>
      <c r="BB33" s="1">
        <f>IF($B33&lt;Analysis!$C$66,0,IF($B33=Analysis!$C$66,AZ33/BA33,IF(($B33-Analysis!$C$66)&lt;LOOKUP(Analysis!$C$66,$B:$B,BA:BA),BB32,0)))</f>
        <v>0</v>
      </c>
      <c r="BC33" s="1">
        <f>IF($B33&lt;Analysis!$C$66,0,IF($B33=Analysis!$C$66,BA33*BB33-BB33,IF(($B33-Analysis!$C$66)&lt;Analysis!$C$70,BC32-BB33,0)))</f>
        <v>0</v>
      </c>
      <c r="BD33" s="42"/>
      <c r="BE33" s="1">
        <f>IF($B33&lt;Analysis!$C$66,0,-BF33*AN33)</f>
        <v>-6558.0422143787955</v>
      </c>
      <c r="BF33" s="64">
        <f>IF($B33&lt;Analysis!$C$66,0,Analysis!$C$78)</f>
        <v>3.0000000000000001E-3</v>
      </c>
      <c r="BG33" s="1">
        <f>IF($B33&lt;Analysis!$C$66,0,-BH33*AN33)</f>
        <v>-16395.105535946986</v>
      </c>
      <c r="BH33" s="64">
        <f>IF($B33&lt;Analysis!$C$66,0,Analysis!$C$79)</f>
        <v>7.4999999999999997E-3</v>
      </c>
      <c r="BI33" s="1">
        <f>IF($B33&lt;Analysis!$C$66,0,MIN(Analysis!$C$80*12,SUM(BJ33:BN33)))</f>
        <v>-3960</v>
      </c>
      <c r="BJ33" s="1">
        <f>IF($B33&lt;Analysis!$C$66,0,Analysis!$C$81*12)</f>
        <v>-900</v>
      </c>
      <c r="BK33" s="1">
        <f>IF($B33&lt;Analysis!$C$66,0,Analysis!$C$82*12)</f>
        <v>-1500</v>
      </c>
      <c r="BL33" s="1">
        <f>IF($B33&lt;Analysis!$C$66,0,Analysis!$C$83*12)</f>
        <v>-480</v>
      </c>
      <c r="BM33" s="1">
        <f>IF($B33&lt;Analysis!$C$66,0,Analysis!$C$84*12)</f>
        <v>-480</v>
      </c>
      <c r="BN33" s="1">
        <f>IF($B33&lt;Analysis!$C$66,0,Analysis!$C$85*12)</f>
        <v>-600</v>
      </c>
      <c r="BO33" s="1">
        <v>0</v>
      </c>
      <c r="BP33" s="1">
        <f>-BO33*Analysis!$C$28</f>
        <v>0</v>
      </c>
      <c r="BQ33" s="42"/>
      <c r="BR33" s="1">
        <f t="shared" si="22"/>
        <v>-278716.7941110988</v>
      </c>
      <c r="BS33" s="64">
        <f>IF($B33&lt;Analysis!C$66,0,Analysis!C$31)</f>
        <v>0.1275</v>
      </c>
      <c r="BT33" s="1">
        <f>IF($B33&lt;Analysis!$C$66,0,AN33+BR33)</f>
        <v>1907297.2773484995</v>
      </c>
      <c r="BU33" s="1">
        <f>IF($B33-Analysis!$C$66&gt;3,0,IF($AN33&gt;LOOKUP(Analysis!$C$66,$B:$B, AN:AN),$V33*(LOOKUP(Analysis!$C$66,$B:$B, AN:AN)-AN33),0))</f>
        <v>0</v>
      </c>
      <c r="BV33" s="1">
        <f t="shared" si="23"/>
        <v>1907297.2773484995</v>
      </c>
      <c r="BW33" s="42"/>
      <c r="BX33" s="1">
        <f>IF($B33&lt;Analysis!$C$66,$P33+$N33+$X33+$Z33,$P33+$N33+AS33+AV33+BB33+BE33+BG33+MAX(BI33,SUM(BJ33:BN33))+BP33)</f>
        <v>-74913.147750325777</v>
      </c>
      <c r="BY33" s="1">
        <f t="shared" si="24"/>
        <v>131467.92324122589</v>
      </c>
      <c r="BZ33" s="1">
        <f t="shared" si="46"/>
        <v>56554.775490900109</v>
      </c>
      <c r="CA33" s="1">
        <f>IF(BZ33 &lt; 0,
    IF(CA32 + BZ33 &gt; 0,
        CA32 + BZ33, IF(CF32-ABS(CA32 + BZ33)*(1+$V33) &gt;= CA32 + BZ33,
        0, CA32 + BZ33)),
    MIN(CA32 + BZ33, Analysis!$C$7))+IF(CA32&lt;0, CA32*Analysis!$C$9,0)</f>
        <v>-2397735.4321928606</v>
      </c>
      <c r="CB33" s="42"/>
      <c r="CC33" s="1">
        <f t="shared" si="47"/>
        <v>0</v>
      </c>
      <c r="CD33" s="1">
        <f>IF(BZ33 &gt;= 0,
    MAX(0, CA32 + BZ33 - Analysis!$C$7),
    0)</f>
        <v>0</v>
      </c>
      <c r="CE33" s="1">
        <f>IF($B33=Analysis!$C$66,0,MAX(0, CE32 + CD33 - IF(BZ33 &lt; 0, MIN(ABS(BZ33), CE32 + CD33), 0)))</f>
        <v>0</v>
      </c>
      <c r="CF33" s="1">
        <f>IF($B33=Analysis!$C$66,0,IF(BZ33 &lt; 0,
    IF(BZ33 + CA32 &lt; 0,
        MAX(0, CF32 - (ABS(BZ33 + CA32) * (1+$V32))),
        CF32 + CC33),
    CF32 + CD33 + CC33))</f>
        <v>0</v>
      </c>
      <c r="CG33" s="1">
        <f t="shared" si="25"/>
        <v>0</v>
      </c>
      <c r="CH33" s="36"/>
      <c r="CI33" s="1">
        <f>IF(OR($B33&lt;Analysis!$C$100, $B33&gt;=Analysis!$C$130),0,X33)</f>
        <v>-38906.13808080904</v>
      </c>
      <c r="CJ33" s="1">
        <f>IF(OR($B33&lt;Analysis!$C$100, $B33&gt;=Analysis!$C$130),0,Z33)</f>
        <v>-3960</v>
      </c>
      <c r="CK33" s="1">
        <f t="shared" si="26"/>
        <v>1276239.2264386599</v>
      </c>
      <c r="CL33" s="64">
        <f t="shared" si="48"/>
        <v>2.941176470588247E-2</v>
      </c>
      <c r="CM33" s="1">
        <f>IF($B33=Analysis!$C$100,(CK33*(1+Analysis!$C$23+Analysis!$C$24+Analysis!$C$25))-IF($B33=$B$2,(Analysis!$C$6-Analysis!$C$7+Analysis!$C$105), (FU32-Analysis!$C$7+CV33)),0)</f>
        <v>0</v>
      </c>
      <c r="CN33" s="65">
        <f>IF($B33=Analysis!$C$100,NPER(CR33,-CU33,-CM33),0)</f>
        <v>0</v>
      </c>
      <c r="CO33" s="64">
        <f>IF($B33=Analysis!$C$100,Analysis!$C$103,0)</f>
        <v>0</v>
      </c>
      <c r="CP33" s="1">
        <f>IF(OR($B33&lt;Analysis!$C$100, $B33&gt;=Analysis!$C$101),0,IF($B33=Analysis!$C$100,-CM33*CO33,IF(CU33&gt;=0,0,CU33-CS33)))</f>
        <v>0</v>
      </c>
      <c r="CQ33" s="1">
        <f>IF(OR($B33&lt;Analysis!$C$100, $B33&gt;=Analysis!$C$101),0,IF($B33=Analysis!$C$100,-CM33-CP33,MIN(0,CQ32-CP33)))</f>
        <v>0</v>
      </c>
      <c r="CR33" s="64">
        <f>IF(OR($B33&lt;Analysis!$C$100, $B33&gt;=Analysis!$C$101),0,IF($B33=Analysis!$C$100,Analysis!$C$102,IF(($B33-Analysis!$C$100)&lt;LOOKUP(Analysis!$C$100,$B:$B,CN:CN),CR32,0)))</f>
        <v>0</v>
      </c>
      <c r="CS33" s="1">
        <f>IF(OR($B33&lt;Analysis!$C$100, $B33&gt;=Analysis!$C$101),0,IF($B33=Analysis!$C$100,-CR33*CM33,CR32*CQ32))</f>
        <v>0</v>
      </c>
      <c r="CT33" s="1">
        <f>IF(OR($B33&lt;Analysis!$C$100, $B33&gt;=Analysis!$C$101),0,IF($B33=Analysis!$C$100,PMT(CR33,CN33,CM33)*CN33-CU33-CQ33,IF(($B33-Analysis!$C$100+1)&lt;LOOKUP(Analysis!$C$100,$B:$B,CN:CN),IF(CT32-CS33&lt;0, CT32-CS33,0),0)))</f>
        <v>0</v>
      </c>
      <c r="CU33" s="1">
        <f>IF(OR($B33&lt;Analysis!$C$100, $B33&gt;=Analysis!$C$101),0,IF($B33=Analysis!$C$100,CP33+CS33,IF(CQ32&lt;0,IF(CQ32&gt;LOOKUP(Analysis!$C$100,$B:$B,CU:CU), CQ32*(1+CR32),CU32),0)))</f>
        <v>0</v>
      </c>
      <c r="CV33" s="1">
        <f>IF($B33=Analysis!$C$100,Analysis!$C$105,0)</f>
        <v>0</v>
      </c>
      <c r="CW33" s="1">
        <f>IF($B33=Analysis!$C$100,PMT(CR33,CX33,CV33)*CX33,0)</f>
        <v>0</v>
      </c>
      <c r="CX33" s="7">
        <f>IF($B33=Analysis!$C$100,Analysis!$C$107,0)</f>
        <v>0</v>
      </c>
      <c r="CY33" s="1">
        <f>IF(OR($B33&lt;Analysis!$C$100, $B33&gt;=Analysis!$C$101),0,IF($B33=Analysis!$C$100,CW33/CX33,IF(($B33-Analysis!$C$100)&lt;LOOKUP(Analysis!$C$100,$B:$B,CX:CX),CY32,0)))</f>
        <v>0</v>
      </c>
      <c r="CZ33" s="1">
        <f>IF(OR($B33&lt;Analysis!$C$100, $B33&gt;=Analysis!$C$101),0,IF($B33=Analysis!$C$100,CX33*CY33-CY33,IF(($B33-Analysis!$C$100)&lt;Analysis!$C$107,CZ32-CY33,0)))</f>
        <v>0</v>
      </c>
      <c r="DA33" s="53"/>
      <c r="DB33" s="1">
        <f>IF(OR($B33&lt;Analysis!$C$100, $B33&gt;=Analysis!$C$101),0,IF($B33=2025,(Analysis!$C$109*12),IF($B33=Analysis!$C$100,(Analysis!$C$109*12)*(1+DC33)^($B33-$B$2),DB32*(1+DC33))))</f>
        <v>34042.870820707925</v>
      </c>
      <c r="DC33" s="64">
        <f>IF(OR($B33&lt;Analysis!$C$100, $B33&gt;=Analysis!$C$101),0,((1+Analysis!$C$114)/(1+$S33))-1)</f>
        <v>2.941176470588247E-2</v>
      </c>
      <c r="DD33" s="1">
        <f t="shared" si="6"/>
        <v>41831.588500023907</v>
      </c>
      <c r="DE33" s="1">
        <f t="shared" si="27"/>
        <v>-3828.7176793159797</v>
      </c>
      <c r="DF33" s="64">
        <f>IF(OR($B33&lt;Analysis!$C$100, $B33&gt;=Analysis!$C$101),0,Analysis!$C$118)</f>
        <v>3.0000000000000001E-3</v>
      </c>
      <c r="DG33" s="1">
        <f t="shared" si="28"/>
        <v>-9571.7941982899483</v>
      </c>
      <c r="DH33" s="64">
        <f>IF(OR($B33&lt;Analysis!$C$100, $B33&gt;=Analysis!$C$101),0,Analysis!$C$119)</f>
        <v>7.4999999999999997E-3</v>
      </c>
      <c r="DI33" s="1">
        <f>IF(OR($B33&lt;Analysis!$C$100, $B33&gt;=Analysis!$C$101),0,MIN(Analysis!$C$120*12,SUM(DJ33:DN33)))</f>
        <v>-3960</v>
      </c>
      <c r="DJ33" s="1">
        <f>IF(OR($B33&lt;Analysis!$C$100, $B33&gt;=Analysis!$C$101),0,Analysis!$C$121*12)</f>
        <v>-900</v>
      </c>
      <c r="DK33" s="1">
        <f>IF(OR($B33&lt;Analysis!$C$100, $B33&gt;=Analysis!$C$101),0,Analysis!$C$122*12)</f>
        <v>-1500</v>
      </c>
      <c r="DL33" s="1">
        <f>IF(OR($B33&lt;Analysis!$C$100, $B33&gt;=Analysis!$C$101),0,Analysis!$C$123*12)</f>
        <v>-480</v>
      </c>
      <c r="DM33" s="1">
        <f>IF(OR($B33&lt;Analysis!$C$100, $B33&gt;=Analysis!$C$101),0,Analysis!$C$124*12)</f>
        <v>-480</v>
      </c>
      <c r="DN33" s="1">
        <f>IF(OR($B33&lt;Analysis!$C$100, $B33&gt;=Analysis!$C$101),0,Analysis!$C$125*12)</f>
        <v>-600</v>
      </c>
      <c r="DO33" s="64">
        <f>IF(OR($B33&lt;Analysis!$C$100, $B33&gt;=Analysis!$C$101),0,Analysis!$C$113)</f>
        <v>0.02</v>
      </c>
      <c r="DP33" s="1">
        <f>-DO33*LOOKUP(Analysis!$C$100,$B:$B,CK:CK)</f>
        <v>-10392</v>
      </c>
      <c r="DQ33" s="1">
        <f>-Analysis!$C$117*DB33</f>
        <v>-2553.2153115530941</v>
      </c>
      <c r="DR33" s="1">
        <f t="shared" si="29"/>
        <v>-30305.727189159021</v>
      </c>
      <c r="DS33" s="1">
        <f>MIN(0,-(DB33+DR33)*Analysis!$C$28)-CS33*Analysis!$C$28</f>
        <v>-1655.9283431393194</v>
      </c>
      <c r="DT33" s="1">
        <f>-Analysis!$C$116*DD33/12</f>
        <v>-3485.9657083353254</v>
      </c>
      <c r="DU33" s="53"/>
      <c r="DV33" s="1">
        <f t="shared" si="30"/>
        <v>-162720.50137092915</v>
      </c>
      <c r="DW33" s="64">
        <f>IF(OR($B33&lt;Analysis!$C$100, $B33&gt;=Analysis!$C$101),0,IF($B33=Analysis!$C$100,Analysis!$C$31,DW32))</f>
        <v>0.1275</v>
      </c>
      <c r="DX33" s="1">
        <f>IF(OR($B33&lt;Analysis!$C$100, $B33&gt;=Analysis!$C$101),0,CK33+DV33)</f>
        <v>1113518.7250677308</v>
      </c>
      <c r="DY33" s="1">
        <f>IF(OR($B33&lt;Analysis!$C$100, $B33&gt;=Analysis!$C$101),0,IF($B33-Analysis!$C$100&gt;3,0,IF(CK33&gt;LOOKUP(Analysis!$C$100,$B:$B, CK:CK),$V33*(LOOKUP(Analysis!$C$100,$B:$B, CK:CK)-CK33),0)))</f>
        <v>0</v>
      </c>
      <c r="DZ33" s="1">
        <f t="shared" si="49"/>
        <v>1113518.7250677308</v>
      </c>
      <c r="EA33" s="53"/>
      <c r="EB33" s="1">
        <f t="shared" si="31"/>
        <v>1694774.9542776672</v>
      </c>
      <c r="EC33" s="64">
        <f t="shared" si="50"/>
        <v>2.941176470588247E-2</v>
      </c>
      <c r="ED33" s="1">
        <f>MAX(0,IF($B33=Analysis!$C$130,(EB33*(1+Analysis!$C$23+Analysis!$C$24+Analysis!$C$25))-(IF($B33=$B$2,(Analysis!$C$6-Analysis!$C$7+Analysis!$C$132), (FU32-Analysis!$C$7+EM33)) + IF($B33=Analysis!$C$101,DZ32+CQ32+CT32+CZ32,0)),0))</f>
        <v>0</v>
      </c>
      <c r="EE33" s="65">
        <f>IF($B33=Analysis!$C$130,IF(ED33&gt;0,NPER(EI33,-EL33,-ED33),0),0)</f>
        <v>0</v>
      </c>
      <c r="EF33" s="64">
        <f>IF($B33=Analysis!$C$130,Analysis!$C$137,0)</f>
        <v>0</v>
      </c>
      <c r="EG33" s="1">
        <f>IF($B33&lt;Analysis!$C$130,0,IF($B33=Analysis!$C$130,-ED33*EF33,IF(EL33&gt;=0,0,EL33-EJ33)))</f>
        <v>0</v>
      </c>
      <c r="EH33" s="1">
        <f>IF($B33&lt;Analysis!$C$130,0,IF($B33=Analysis!$C$130,-ED33-EG33,MIN(0,EH32-EG33)))</f>
        <v>0</v>
      </c>
      <c r="EI33" s="64">
        <f>IF($B33&lt;Analysis!$C$130,0,IF($B33=Analysis!$C$130,Analysis!$C$136,IF(($B33-Analysis!$C$130)&lt;LOOKUP(Analysis!$C$130,$B:$B,EE:EE),EI32,0)))</f>
        <v>0</v>
      </c>
      <c r="EJ33" s="1">
        <f>IF($B33&lt;Analysis!$C$130,0,IF($B33=Analysis!$C$130,-EI33*ED33,EI32*EH32))</f>
        <v>0</v>
      </c>
      <c r="EK33" s="1">
        <f>IF(OR($B33&lt;Analysis!$C$130, ED33=0),0,IF($B33=Analysis!$C$130,PMT(EI33,EE33,ED33)*EE33-EL33-EH33,IF(($B33-Analysis!$C$130+1)&lt;LOOKUP(Analysis!$C$130,$B:$B,EE:EE),IF(EK32-EJ33&lt;0, EK32-EJ33,0),0)))</f>
        <v>0</v>
      </c>
      <c r="EL33" s="1">
        <f>IF($B33&lt;Analysis!$C$130,0,IF($B33=Analysis!$C$130,EG33+EJ33,IF(EH32&lt;0,IF(EH32&gt;LOOKUP(Analysis!$C$130,$B:$B,EL:EL), EH32*(1+EI32),EL32),0)))</f>
        <v>0</v>
      </c>
      <c r="EM33" s="1">
        <f>IF($B33=Analysis!$C$130,Analysis!$C$132,0)</f>
        <v>0</v>
      </c>
      <c r="EN33" s="1">
        <f>IF($B33=Analysis!$C$130,PMT(EI33,EO33,EM33)*EO33,0)</f>
        <v>0</v>
      </c>
      <c r="EO33" s="7">
        <f>IF($B33=Analysis!$C$130,Analysis!$C$134,0)</f>
        <v>0</v>
      </c>
      <c r="EP33" s="1">
        <f>IF($B33&lt;Analysis!$C$130,0,IF($B33=Analysis!$C$130,EN33/EO33,IF(($B33-Analysis!$C$130)&lt;LOOKUP(Analysis!$C$130,$B:$B,EO:EO),EP32,0)))</f>
        <v>0</v>
      </c>
      <c r="EQ33" s="1">
        <f>IF($B33&lt;Analysis!$C$130,0,IF($B33=Analysis!$C$130,EO33*EP33-EP33,IF(($B33-Analysis!$C$130)&lt;Analysis!$C$134,EQ32-EP33,0)))</f>
        <v>0</v>
      </c>
      <c r="ER33" s="53"/>
      <c r="ES33" s="1">
        <f>IF($B33&lt;Analysis!$C$130,0,-ET33*EB33)</f>
        <v>0</v>
      </c>
      <c r="ET33" s="64">
        <f>IF($B33&lt;Analysis!$C$130,0,Analysis!$C$142)</f>
        <v>0</v>
      </c>
      <c r="EU33" s="1">
        <f>IF($B33&lt;Analysis!$C$130,0,-EV33*EB33)</f>
        <v>0</v>
      </c>
      <c r="EV33" s="64">
        <f>IF($B33&lt;Analysis!$C$130,0,Analysis!$C$143)</f>
        <v>0</v>
      </c>
      <c r="EW33" s="1">
        <f>IF($B33&lt;Analysis!$C$130,0,MIN(Analysis!$C$144*12,SUM(EX33:FB33)))</f>
        <v>0</v>
      </c>
      <c r="EX33" s="1">
        <f>IF($B33&lt;Analysis!$C$130,0,Analysis!$C$145*12)</f>
        <v>0</v>
      </c>
      <c r="EY33" s="1">
        <f>IF($B33&lt;Analysis!$C$130,0,Analysis!$C$146*12)</f>
        <v>0</v>
      </c>
      <c r="EZ33" s="1">
        <f>IF($B33&lt;Analysis!$C$130,0,Analysis!$C$147*12)</f>
        <v>0</v>
      </c>
      <c r="FA33" s="1">
        <f>IF($B33&lt;Analysis!$C$130,0,Analysis!$C$148*12)</f>
        <v>0</v>
      </c>
      <c r="FB33" s="1">
        <f>IF($B33&lt;Analysis!$C$130,0,Analysis!$C$149*12)</f>
        <v>0</v>
      </c>
      <c r="FC33" s="1">
        <v>0</v>
      </c>
      <c r="FD33" s="1">
        <f>-FC33*Analysis!$C$28</f>
        <v>0</v>
      </c>
      <c r="FE33" s="53"/>
      <c r="FF33" s="1">
        <f t="shared" si="32"/>
        <v>0</v>
      </c>
      <c r="FG33" s="64">
        <f>IF($B33&lt;Analysis!$C$130,0,Analysis!$C$31)</f>
        <v>0</v>
      </c>
      <c r="FH33" s="1">
        <f>IF($B33&lt;Analysis!$C$130,0,EB33+FF33)</f>
        <v>0</v>
      </c>
      <c r="FI33" s="1">
        <f>IF($B33-Analysis!$C$130&gt;3,0,IF(EB33&gt;LOOKUP(Analysis!$C$130,$B:$B, EB:EB),$V33*(LOOKUP(Analysis!$C$130,$B:$B, EB:EB)-EB33),0))</f>
        <v>0</v>
      </c>
      <c r="FJ33" s="1">
        <f t="shared" si="33"/>
        <v>0</v>
      </c>
      <c r="FK33" s="53"/>
      <c r="FL33" s="1">
        <f>$P33+$N33+IF($B33&lt;Analysis!$C$130,$X33+$Z33,0)+CP33+CS33+CY33+DE33+DG33+MIN(DI33,SUM(DJ33:DN33))+DQ33+DS33+DT33+EG33+EJ33+EP33+ES33+EU33+MIN(EW33,SUM(EX33:FB33))+FD33</f>
        <v>-115921.75932144269</v>
      </c>
      <c r="FM33" s="1">
        <f>$M33+$R33+DD33+IF(AND($B33&lt;&gt;Analysis!$C$130,$B33=Analysis!$C$101),DZ32+CQ32+CT32+CZ32,0)</f>
        <v>173299.51174124979</v>
      </c>
      <c r="FN33" s="1">
        <f t="shared" si="34"/>
        <v>57377.752419807104</v>
      </c>
      <c r="FO33" s="1">
        <f>IF(FN33 &lt; 0,
    IF(FO32 + FN33 &gt; 0,
        FO32 + FN33, IF(FT32-ABS(FO32 + FN33)*(1+$V33) &gt;= FO32 + FN33,
        0, FO32 + FN33)),
    MIN(FO32 + FN33, Analysis!$C$7))+IF(FO32&lt;0, FO32*Analysis!$C$9,0)</f>
        <v>24000</v>
      </c>
      <c r="FP33" s="53"/>
      <c r="FQ33" s="1">
        <f t="shared" si="51"/>
        <v>20668.237497505073</v>
      </c>
      <c r="FR33" s="1">
        <f>IF(OR($B33=Analysis!$C$100, $B33=Analysis!$C$130),0,IF(FN33 &gt;= 0,
    MAX(0, FO32 + FN33 - Analysis!$C$7),
    0))</f>
        <v>57377.752419807104</v>
      </c>
      <c r="FS33" s="1">
        <f>IF(OR($B33=Analysis!$C$100, $B33=Analysis!$C$130),0,MAX(0, FS32 + FR33 - IF(FN33 &lt; 0, MIN(ABS(FN33), FS32 + FR33), 0)))</f>
        <v>600272.79363150406</v>
      </c>
      <c r="FT33" s="1">
        <f>IF(OR($B33=Analysis!$C$100, $B33=Analysis!$C$130),0,IF(FN33 &lt; 0,
    IF(FN33 + FO32 &lt; 0,
        MAX(0, FT32 - (ABS(FN33 + FO32) * (1+$V32))),
        FT32 + FQ33),
    FT32 + FR33 + FQ33))</f>
        <v>895343.37434456777</v>
      </c>
      <c r="FU33" s="1">
        <f t="shared" si="57"/>
        <v>817518.50868149719</v>
      </c>
      <c r="FV33" s="36"/>
      <c r="FW33" s="1">
        <f t="shared" si="52"/>
        <v>1276239.2264386599</v>
      </c>
      <c r="FX33" s="64">
        <f t="shared" si="53"/>
        <v>2.941176470588247E-2</v>
      </c>
      <c r="FY33" s="1">
        <f>IF($B33=Analysis!$C$159,(FW33*(1+Analysis!$C$23+Analysis!$C$24+Analysis!$C$25))-IF($B33=$B$2,(Analysis!$C$6-Analysis!$C$7+Analysis!$C$165), (HW32-Analysis!$C$7+GH33)),0)</f>
        <v>0</v>
      </c>
      <c r="FZ33" s="65">
        <f>IF($B33=Analysis!$C$159,NPER(GD33,-GG33,-FY33),0)</f>
        <v>0</v>
      </c>
      <c r="GA33" s="64">
        <f>IF($B33=Analysis!$C$159,Analysis!$C$161,0)</f>
        <v>0</v>
      </c>
      <c r="GB33" s="1">
        <f>IF($B33&lt;Analysis!$C$159,0,IF($B33=Analysis!$C$159,-FY33*GA33,IF(GG33&gt;=0,0,GG33-GE33)))</f>
        <v>0</v>
      </c>
      <c r="GC33" s="1">
        <f>IF($B33&lt;Analysis!$C$159,0,IF($B33=Analysis!$C$159,-FY33-GB33,MIN(0,GC32-GB33)))</f>
        <v>0</v>
      </c>
      <c r="GD33" s="64">
        <f>IF($B33&lt;Analysis!$C$159,0,IF($B33=Analysis!$C$159,Analysis!$C$160,IF(($B33-Analysis!$C$159)&lt;LOOKUP(Analysis!$C$159,$B:$B,FZ:FZ),GD32,0)))</f>
        <v>0</v>
      </c>
      <c r="GE33" s="1">
        <f>IF($B33&lt;Analysis!$C$159,0,IF($B33=Analysis!$C$159,-GD33*FY33,GD32*GC32))</f>
        <v>0</v>
      </c>
      <c r="GF33" s="1">
        <f>IF($B33&lt;Analysis!$C$159,0,IF($B33=Analysis!$C$159,PMT(GD33,FZ33,FY33)*FZ33-GG33-GC33,IF(($B33-Analysis!$C$159+1)&lt;LOOKUP(Analysis!$C$159,$B:$B,FZ:FZ),IF(GF32-GE33&lt;0, GF32-GE33,0),0)))</f>
        <v>0</v>
      </c>
      <c r="GG33" s="1">
        <f>IF($B33&lt;Analysis!$C$159,0,IF($B33=Analysis!$C$159,GB33+GE33,IF(GC32&lt;0,IF(GC32&gt;LOOKUP(Analysis!$C$159,$B:$B,GG:GG), GC32*(1+GD32),GG32),0)))</f>
        <v>0</v>
      </c>
      <c r="GH33" s="1">
        <f>IF($B33=Analysis!$C$159,Analysis!$C$165,0)</f>
        <v>0</v>
      </c>
      <c r="GI33" s="1">
        <f>IF($B33=Analysis!$C$159,PMT(GD33,GJ33,GH33)*GJ33,0)</f>
        <v>0</v>
      </c>
      <c r="GJ33" s="7">
        <f>IF($B33=Analysis!$C$159,Analysis!$C$167,0)</f>
        <v>0</v>
      </c>
      <c r="GK33" s="1">
        <f>IF($B33&lt;Analysis!$C$159,0,IF($B33=Analysis!$C$159,GI33/GJ33,IF(($B33-Analysis!$C$159)&lt;LOOKUP(Analysis!$C$159,$B:$B,GJ:GJ),GK32,0)))</f>
        <v>0</v>
      </c>
      <c r="GL33" s="1">
        <f>IF($B33&lt;Analysis!$C$159,0,IF($B33=Analysis!$C$159,GJ33*GK33-GK33,IF(($B33-Analysis!$C$159)&lt;Analysis!$C$167,GL32-GK33,0)))</f>
        <v>0</v>
      </c>
      <c r="GM33" s="38"/>
      <c r="GN33" s="1">
        <f>IF($B33&lt;Analysis!$C$159,0,IF($B33=2025,(Analysis!$C$109*12),IF($B33=Analysis!$C$159,(Analysis!$C$109*12)*(1+GO33)^($B33-$B$2),GN32*(1+GO33))))</f>
        <v>34042.870820707925</v>
      </c>
      <c r="GO33" s="64">
        <f>IF($B33&lt;Analysis!$C$159,0,((1+Analysis!$C$174)/(1+$S33))-1)</f>
        <v>2.941176470588247E-2</v>
      </c>
      <c r="GP33" s="1">
        <f t="shared" si="7"/>
        <v>41831.588500023907</v>
      </c>
      <c r="GQ33" s="1">
        <f t="shared" si="36"/>
        <v>-3828.7176793159797</v>
      </c>
      <c r="GR33" s="64">
        <f>IF($B33&lt;Analysis!$C$159,0,Analysis!$C$178)</f>
        <v>3.0000000000000001E-3</v>
      </c>
      <c r="GS33" s="1">
        <f t="shared" si="37"/>
        <v>-9571.7941982899483</v>
      </c>
      <c r="GT33" s="64">
        <f>IF($B33&lt;Analysis!$C$159,0,Analysis!$C$179)</f>
        <v>7.4999999999999997E-3</v>
      </c>
      <c r="GU33" s="1">
        <f>IF($B33&lt;Analysis!$C$159,0,MIN(Analysis!$C$180*12,SUM(GV33:GZ33)))</f>
        <v>-3960</v>
      </c>
      <c r="GV33" s="1">
        <f>IF($B33&lt;Analysis!$C$159,0,Analysis!$C$181*12)</f>
        <v>-900</v>
      </c>
      <c r="GW33" s="1">
        <f>IF($B33&lt;Analysis!$C$159,0,Analysis!$C$182*12)</f>
        <v>-1500</v>
      </c>
      <c r="GX33" s="1">
        <f>IF($B33&lt;Analysis!$C$159,0,Analysis!$C$183*12)</f>
        <v>-480</v>
      </c>
      <c r="GY33" s="1">
        <f>IF($B33&lt;Analysis!$C$159,0,Analysis!$C$184*12)</f>
        <v>-480</v>
      </c>
      <c r="GZ33" s="1">
        <f>IF($B33&lt;Analysis!$C$159,0,Analysis!$C$185*12)</f>
        <v>-600</v>
      </c>
      <c r="HA33" s="64">
        <f>IF($B33&lt;Analysis!$C$159,0,Analysis!$C$173)</f>
        <v>0.02</v>
      </c>
      <c r="HB33" s="1">
        <f>-HA33*LOOKUP(Analysis!$C$159,$B:$B,FW:FW)</f>
        <v>-10392</v>
      </c>
      <c r="HC33" s="1">
        <f>-Analysis!$C$177*GN33</f>
        <v>-2553.2153115530941</v>
      </c>
      <c r="HD33" s="1">
        <f t="shared" si="38"/>
        <v>-30305.727189159021</v>
      </c>
      <c r="HE33" s="1">
        <f>MIN(0,-(GN33+HD33)*Analysis!$C$28)-GE33*Analysis!$C$28</f>
        <v>-1655.9283431393194</v>
      </c>
      <c r="HF33" s="1">
        <f>-Analysis!$C$176*GP33/12</f>
        <v>-3485.9657083353254</v>
      </c>
      <c r="HG33" s="38"/>
      <c r="HH33" s="1">
        <f>IF($B33&lt;Analysis!$C$159,0,-$HI33*$FW33)</f>
        <v>-162720.50137092915</v>
      </c>
      <c r="HI33" s="64">
        <f>IF($B33&lt;Analysis!$C$159,0,IF($B33=Analysis!$C$159,Analysis!$C$31,HI32))</f>
        <v>0.1275</v>
      </c>
      <c r="HJ33" s="1">
        <f>IF($B33&lt;Analysis!$C$159,0,$FW33+HH33)</f>
        <v>1113518.7250677308</v>
      </c>
      <c r="HK33" s="1">
        <f>IF($B33-Analysis!$C$159&gt;10,0,IF($FW33&gt;LOOKUP(Analysis!$C$159,$B:$B, FW:FW),$V33*(LOOKUP(Analysis!$C$159,$B:$B, FW:FW)-FW33),0))</f>
        <v>0</v>
      </c>
      <c r="HL33" s="1">
        <f t="shared" si="39"/>
        <v>1113518.7250677308</v>
      </c>
      <c r="HM33" s="38"/>
      <c r="HN33" s="1">
        <f t="shared" si="40"/>
        <v>-115921.75932144269</v>
      </c>
      <c r="HO33" s="1">
        <f t="shared" si="8"/>
        <v>173299.51174124979</v>
      </c>
      <c r="HP33" s="1">
        <f t="shared" si="41"/>
        <v>57377.752419807104</v>
      </c>
      <c r="HQ33" s="1">
        <f>IF(HP33 &lt; 0,
    IF(HQ32 + HP33 &gt; 0,
        HQ32 + HP33, IF(HV32-ABS(HQ32 + HP33)*(1+$V33) &gt;= HQ32 + HP33,
        0, HQ32 + HP33)),
    MIN(HQ32 + HP33, Analysis!$C$7))+IF(HQ32&lt;0, HQ32*Analysis!$C$9,0)</f>
        <v>24000</v>
      </c>
      <c r="HR33" s="38"/>
      <c r="HS33" s="1">
        <f t="shared" si="54"/>
        <v>20668.237497505073</v>
      </c>
      <c r="HT33" s="1">
        <f>IF($B33=Analysis!$C$159,0,IF(HP33 &gt;= 0,
    MAX(0, HQ32 + HP33 - Analysis!$C$7),
    0))</f>
        <v>57377.752419807104</v>
      </c>
      <c r="HU33" s="1">
        <f>IF($B33=Analysis!$C$159,0,MAX(0, HU32 + HT33 - IF(HP33 &lt; 0, MIN(ABS(HP33), HU32 + HT33), 0)))</f>
        <v>600272.79363150406</v>
      </c>
      <c r="HV33" s="1">
        <f>IF($B33=Analysis!$C$159,0,IF(HP33 &lt; 0,
    IF(HP33 + HQ32 &lt; 0,
        MAX(0, HV32 - (ABS(HP33 + HQ32) * (1+$V32))),
        HV32 + HS33),
    HV32 + HT33 + HS33))</f>
        <v>895343.37434456777</v>
      </c>
      <c r="HW33" s="1">
        <f t="shared" si="58"/>
        <v>817518.50868149719</v>
      </c>
      <c r="HX33" s="36"/>
    </row>
    <row r="34" spans="1:232" x14ac:dyDescent="0.35">
      <c r="A34">
        <f t="shared" si="0"/>
        <v>67</v>
      </c>
      <c r="B34">
        <v>2057</v>
      </c>
      <c r="C34" s="1">
        <f>IF($B34&lt;Analysis!C$66,0,$AN34)+$AT34+$AW34+$BC34+$CF34+$CA34</f>
        <v>-283365.98088516528</v>
      </c>
      <c r="D34" s="1">
        <f>IF($B34&lt;Analysis!C$66, 0, BV34)+AT34+AW34+BC34+CG34+CA34</f>
        <v>-570280.32776423753</v>
      </c>
      <c r="E34" s="1">
        <f t="shared" si="1"/>
        <v>2078497.2966448728</v>
      </c>
      <c r="F34" s="1">
        <f t="shared" si="9"/>
        <v>1808577.0477853122</v>
      </c>
      <c r="G34" s="1">
        <f>IF(AND($B34&gt;=Analysis!$C$100, $B34&lt;Analysis!$C$101),$CK34,0)+IF($B34&gt;=Analysis!$C$130,EB34,0)+CQ34+CT34+CZ34+EH34+EK34+EQ34+$FO34+$FT34</f>
        <v>2310775.6095752055</v>
      </c>
      <c r="H34" s="1">
        <f t="shared" si="10"/>
        <v>2059877.3661846374</v>
      </c>
      <c r="I34" s="1">
        <f>IF($B34&lt;Analysis!$C$159,0,$FW34)+$GC34+$GF34+$GL34+$HQ34+$HV34</f>
        <v>2310775.6095752055</v>
      </c>
      <c r="J34" s="1">
        <f t="shared" ref="J34:J52" si="59">$HL34+$GC34+$GF34+$GL34+$HQ34+$HW34</f>
        <v>2059877.3661846374</v>
      </c>
      <c r="K34" s="36"/>
      <c r="L34" s="1">
        <f t="shared" si="11"/>
        <v>131467.92324122589</v>
      </c>
      <c r="M34" s="1">
        <f>IF($B34=Analysis!$C$47, M33 * (1 - Analysis!$C$48),
    IF($B34=Analysis!$C$52, M33 * (1 - Analysis!$C$53),
    IF($B34=Analysis!$C$58, M33 * (1 - Analysis!$C$60),
    L34)))</f>
        <v>131467.92324122589</v>
      </c>
      <c r="N34" s="1">
        <f>Analysis!$C$3*12*(1+O34)+P34</f>
        <v>-48000</v>
      </c>
      <c r="O34" s="64">
        <f>IF(OR($B34=Analysis!$C$47,$B34=Analysis!$C$52,$B34=Analysis!$C$58),-Analysis!$C$49,0)</f>
        <v>0</v>
      </c>
      <c r="P34" s="1">
        <f>IF($B34&lt;Analysis!$C$47,0,IF($B34-Analysis!$C$47&lt;=3,Analysis!$C$40+Analysis!$C$44,IF($B34-Analysis!$C$47&lt;=10,Analysis!$C$41+Analysis!$C$44,IF($B34-Analysis!$C$47&lt;=18,Analysis!$C$42+Analysis!$C$44,IF($B34-Analysis!$C$47&lt;=25,Analysis!$C$43+Analysis!$C$44,0)))) + IF(AND($B34&gt;=Analysis!$C$52, $B34-Analysis!$C$52&lt;=3),Analysis!$C$40+Analysis!$C$44,IF(AND($B34&gt;=Analysis!$C$52, $B34-Analysis!$C$52&lt;=10),Analysis!$C$41+Analysis!$C$44,IF(AND($B34&gt;=Analysis!$C$52, $B34-Analysis!$C$52&lt;=18),Analysis!$C$42+Analysis!$C$44,IF(AND($B34&gt;=Analysis!$C$52, $B34-Analysis!$C$52&lt;=25),Analysis!$C$43+Analysis!$C$44,0)))) + Analysis!$C$57*IF(AND($B34&gt;=Analysis!$C$58, $B34-Analysis!$C$58&lt;=3),Analysis!$C$40+Analysis!$C$44,IF(AND($B34&gt;=Analysis!$C$58, $B34-Analysis!$C$58&lt;=10),Analysis!$C$41+Analysis!$C$44,IF(AND($B34&gt;=Analysis!$C$58, $B34-Analysis!$C$58&lt;=18),Analysis!$C$42+Analysis!$C$44,IF(AND($B34&gt;=Analysis!$C$58, $B34-Analysis!$C$58&lt;=25),Analysis!$C$43+Analysis!$C$44,0)))))</f>
        <v>0</v>
      </c>
      <c r="Q34" s="1">
        <f t="shared" si="43"/>
        <v>0</v>
      </c>
      <c r="R34" s="1">
        <f>IF(AND(AND(B34=Analysis!C$35,Analysis!C$34&lt;&gt;0),AND(B34=Analysis!C$37,Analysis!C$36&lt;&gt;0)),Analysis!C$34+Analysis!C$36,IF(AND(B34=Analysis!C$35,Analysis!C$34&lt;&gt;0),Analysis!C$34,IF(AND(B34=Analysis!C$37,Analysis!C$36&lt;&gt;0),Analysis!C$36,0)))</f>
        <v>0</v>
      </c>
      <c r="S34" s="64">
        <f t="shared" si="12"/>
        <v>0.02</v>
      </c>
      <c r="T34" s="64">
        <f>IF($B34&lt;Analysis!$C$13, ((1+IF($B34-$B$2&lt;10,Analysis!$C$11,IF($B34-$B$2&lt;20,(Analysis!$C$11+Analysis!$C$12)/2,Analysis!$C$12)))/(1+$S34)-1),IF($B34=Analysis!$C$13,-Analysis!$C$14,-$S34))</f>
        <v>0</v>
      </c>
      <c r="U34" s="64">
        <f>IF($B34=$B$2,((1+Analysis!$C$16)/(1+$S34))-1,IF(B34&lt;Analysis!$C$13,U33-((Analysis!$C$16-Analysis!$C$17)/(Analysis!$C$13-$B$2)),((1+Analysis!$C$17)/(1+$S33))-1))</f>
        <v>2.3574229691876915E-2</v>
      </c>
      <c r="V34" s="64">
        <f t="shared" si="13"/>
        <v>0.26374999999999998</v>
      </c>
      <c r="W34" s="36"/>
      <c r="X34" s="1">
        <f t="shared" si="14"/>
        <v>-40050.436259656366</v>
      </c>
      <c r="Y34" s="64">
        <f t="shared" si="15"/>
        <v>2.941176470588247E-2</v>
      </c>
      <c r="Z34" s="1">
        <f t="shared" si="16"/>
        <v>-3960</v>
      </c>
      <c r="AA34" s="64">
        <f t="shared" si="17"/>
        <v>0</v>
      </c>
      <c r="AB34" s="40"/>
      <c r="AC34" s="1">
        <f t="shared" si="3"/>
        <v>-92010.436259656359</v>
      </c>
      <c r="AD34" s="1">
        <f t="shared" si="4"/>
        <v>131467.92324122589</v>
      </c>
      <c r="AE34" s="1">
        <f t="shared" si="18"/>
        <v>39457.486981569527</v>
      </c>
      <c r="AF34" s="1">
        <f>IF(AE34 &lt; 0,
    IF(AF33 + AE34 &gt; 0,
        AF33 + AE34, IF(AK33-ABS(AF33 + AE34)*(1+$V34) &gt;= AF33 + AE34,
        0, AF33 + AE34)),
    MIN(AF33 + AE34, Analysis!$C$7))+IF(AF33&lt;0, AF33*Analysis!$C$9,0)</f>
        <v>24000</v>
      </c>
      <c r="AG34" s="40"/>
      <c r="AH34" s="1">
        <f t="shared" si="19"/>
        <v>46408.955924553047</v>
      </c>
      <c r="AI34" s="1">
        <f>IF(AE34 &gt;= 0,
    MAX(0, AF33 + AE34 - Analysis!$C$7),
    0)</f>
        <v>39457.486981569527</v>
      </c>
      <c r="AJ34" s="1">
        <f t="shared" si="44"/>
        <v>1031102.9881726052</v>
      </c>
      <c r="AK34" s="1">
        <f t="shared" si="20"/>
        <v>2054497.2966448728</v>
      </c>
      <c r="AL34" s="1">
        <f t="shared" si="5"/>
        <v>1784577.0477853122</v>
      </c>
      <c r="AM34" s="36"/>
      <c r="AN34" s="1">
        <f t="shared" si="45"/>
        <v>2250308.6029731161</v>
      </c>
      <c r="AO34" s="64">
        <f t="shared" si="21"/>
        <v>2.941176470588247E-2</v>
      </c>
      <c r="AP34" s="1">
        <f>IF($B34=Analysis!$C$66,(AN34*(1+Analysis!$C$23+Analysis!$C$24+Analysis!$C$25))-IF($B34=$B$2,(Analysis!$C$6-Analysis!$C$7+Analysis!$C$68), ($CG33-Analysis!$C$7+AY34)),0)</f>
        <v>0</v>
      </c>
      <c r="AQ34" s="65">
        <f>IF($B34=Analysis!$C$66,NPER(AU34,-AX34,-AP34),0)</f>
        <v>0</v>
      </c>
      <c r="AR34" s="64">
        <f>IF($B34=Analysis!$C$66,Analysis!$C$73,0)</f>
        <v>0</v>
      </c>
      <c r="AS34" s="1">
        <f>IF($B34&lt;Analysis!$C$66,0,IF($B34=Analysis!$C$66,-AP34*AR34,IF(AX34&gt;=0,0,AX34-AV34)))</f>
        <v>0</v>
      </c>
      <c r="AT34" s="1">
        <f>IF($B34&lt;Analysis!$C$66,0,IF($B34=Analysis!$C$66,-AP34-AS34,MIN(0,AT33-AS34)))</f>
        <v>0</v>
      </c>
      <c r="AU34" s="64">
        <f>IF($B34&lt;Analysis!$C$66,0,IF($B34=Analysis!$C$66,Analysis!$C$72,IF(($B34-Analysis!$C$66)&lt;LOOKUP(Analysis!$C$66,$B:$B,AQ:AQ),AU33,0)))</f>
        <v>0</v>
      </c>
      <c r="AV34" s="1">
        <f>IF($B34&lt;Analysis!$C$66,0,IF($B34=Analysis!$C$66,-AU34*AP34,AU33*AT33))</f>
        <v>0</v>
      </c>
      <c r="AW34" s="1">
        <f>IF($B34&lt;Analysis!$C$66,0,IF($B34=Analysis!$C$66,PMT(AU34,AQ34,AP34)*AQ34-AX34-AT34,IF(($B34-Analysis!$C$66+1)&lt;LOOKUP(Analysis!$C$66,$B:$B,AQ:AQ),IF(AW33-AV34&lt;0, AW33-AV34,0),0)))</f>
        <v>0</v>
      </c>
      <c r="AX34" s="1">
        <f>IF($B34&lt;Analysis!$C$66,0,IF($B34=Analysis!$C$66,AS34+AV34,IF(AT33&lt;0,IF(AT33&gt;LOOKUP(Analysis!$C$66,$B:$B,AX:AX), AT33*(1+AU33),AX33),0)))</f>
        <v>0</v>
      </c>
      <c r="AY34" s="1">
        <f>IF($B34=Analysis!$C$66,Analysis!$C$68,0)</f>
        <v>0</v>
      </c>
      <c r="AZ34" s="1">
        <f>IF($B34=Analysis!$C$66,PMT(AU34,BA34,AY34)*BA34,0)</f>
        <v>0</v>
      </c>
      <c r="BA34" s="7">
        <f>IF($B34=Analysis!$C$66,Analysis!$C$70,0)</f>
        <v>0</v>
      </c>
      <c r="BB34" s="1">
        <f>IF($B34&lt;Analysis!$C$66,0,IF($B34=Analysis!$C$66,AZ34/BA34,IF(($B34-Analysis!$C$66)&lt;LOOKUP(Analysis!$C$66,$B:$B,BA:BA),BB33,0)))</f>
        <v>0</v>
      </c>
      <c r="BC34" s="1">
        <f>IF($B34&lt;Analysis!$C$66,0,IF($B34=Analysis!$C$66,BA34*BB34-BB34,IF(($B34-Analysis!$C$66)&lt;Analysis!$C$70,BC33-BB34,0)))</f>
        <v>0</v>
      </c>
      <c r="BD34" s="42"/>
      <c r="BE34" s="1">
        <f>IF($B34&lt;Analysis!$C$66,0,-BF34*AN34)</f>
        <v>-6750.9258089193481</v>
      </c>
      <c r="BF34" s="64">
        <f>IF($B34&lt;Analysis!$C$66,0,Analysis!$C$78)</f>
        <v>3.0000000000000001E-3</v>
      </c>
      <c r="BG34" s="1">
        <f>IF($B34&lt;Analysis!$C$66,0,-BH34*AN34)</f>
        <v>-16877.314522298369</v>
      </c>
      <c r="BH34" s="64">
        <f>IF($B34&lt;Analysis!$C$66,0,Analysis!$C$79)</f>
        <v>7.4999999999999997E-3</v>
      </c>
      <c r="BI34" s="1">
        <f>IF($B34&lt;Analysis!$C$66,0,MIN(Analysis!$C$80*12,SUM(BJ34:BN34)))</f>
        <v>-3960</v>
      </c>
      <c r="BJ34" s="1">
        <f>IF($B34&lt;Analysis!$C$66,0,Analysis!$C$81*12)</f>
        <v>-900</v>
      </c>
      <c r="BK34" s="1">
        <f>IF($B34&lt;Analysis!$C$66,0,Analysis!$C$82*12)</f>
        <v>-1500</v>
      </c>
      <c r="BL34" s="1">
        <f>IF($B34&lt;Analysis!$C$66,0,Analysis!$C$83*12)</f>
        <v>-480</v>
      </c>
      <c r="BM34" s="1">
        <f>IF($B34&lt;Analysis!$C$66,0,Analysis!$C$84*12)</f>
        <v>-480</v>
      </c>
      <c r="BN34" s="1">
        <f>IF($B34&lt;Analysis!$C$66,0,Analysis!$C$85*12)</f>
        <v>-600</v>
      </c>
      <c r="BO34" s="1">
        <v>0</v>
      </c>
      <c r="BP34" s="1">
        <f>-BO34*Analysis!$C$28</f>
        <v>0</v>
      </c>
      <c r="BQ34" s="42"/>
      <c r="BR34" s="1">
        <f t="shared" si="22"/>
        <v>-286914.34687907231</v>
      </c>
      <c r="BS34" s="64">
        <f>IF($B34&lt;Analysis!C$66,0,Analysis!C$31)</f>
        <v>0.1275</v>
      </c>
      <c r="BT34" s="1">
        <f>IF($B34&lt;Analysis!$C$66,0,AN34+BR34)</f>
        <v>1963394.2560940438</v>
      </c>
      <c r="BU34" s="1">
        <f>IF($B34-Analysis!$C$66&gt;3,0,IF($AN34&gt;LOOKUP(Analysis!$C$66,$B:$B, AN:AN),$V34*(LOOKUP(Analysis!$C$66,$B:$B, AN:AN)-AN34),0))</f>
        <v>0</v>
      </c>
      <c r="BV34" s="1">
        <f t="shared" si="23"/>
        <v>1963394.2560940438</v>
      </c>
      <c r="BW34" s="42"/>
      <c r="BX34" s="1">
        <f>IF($B34&lt;Analysis!$C$66,$P34+$N34+$X34+$Z34,$P34+$N34+AS34+AV34+BB34+BE34+BG34+MAX(BI34,SUM(BJ34:BN34))+BP34)</f>
        <v>-75588.240331217719</v>
      </c>
      <c r="BY34" s="1">
        <f t="shared" si="24"/>
        <v>131467.92324122589</v>
      </c>
      <c r="BZ34" s="1">
        <f t="shared" si="46"/>
        <v>55879.682910008167</v>
      </c>
      <c r="CA34" s="1">
        <f>IF(BZ34 &lt; 0,
    IF(CA33 + BZ34 &gt; 0,
        CA33 + BZ34, IF(CF33-ABS(CA33 + BZ34)*(1+$V34) &gt;= CA33 + BZ34,
        0, CA33 + BZ34)),
    MIN(CA33 + BZ34, Analysis!$C$7))+IF(CA33&lt;0, CA33*Analysis!$C$9,0)</f>
        <v>-2533674.5838582814</v>
      </c>
      <c r="CB34" s="42"/>
      <c r="CC34" s="1">
        <f t="shared" si="47"/>
        <v>0</v>
      </c>
      <c r="CD34" s="1">
        <f>IF(BZ34 &gt;= 0,
    MAX(0, CA33 + BZ34 - Analysis!$C$7),
    0)</f>
        <v>0</v>
      </c>
      <c r="CE34" s="1">
        <f>IF($B34=Analysis!$C$66,0,MAX(0, CE33 + CD34 - IF(BZ34 &lt; 0, MIN(ABS(BZ34), CE33 + CD34), 0)))</f>
        <v>0</v>
      </c>
      <c r="CF34" s="1">
        <f>IF($B34=Analysis!$C$66,0,IF(BZ34 &lt; 0,
    IF(BZ34 + CA33 &lt; 0,
        MAX(0, CF33 - (ABS(BZ34 + CA33) * (1+$V33))),
        CF33 + CC34),
    CF33 + CD34 + CC34))</f>
        <v>0</v>
      </c>
      <c r="CG34" s="1">
        <f t="shared" si="25"/>
        <v>0</v>
      </c>
      <c r="CH34" s="36"/>
      <c r="CI34" s="1">
        <f>IF(OR($B34&lt;Analysis!$C$100, $B34&gt;=Analysis!$C$130),0,X34)</f>
        <v>-40050.436259656366</v>
      </c>
      <c r="CJ34" s="1">
        <f>IF(OR($B34&lt;Analysis!$C$100, $B34&gt;=Analysis!$C$130),0,Z34)</f>
        <v>-3960</v>
      </c>
      <c r="CK34" s="1">
        <f t="shared" si="26"/>
        <v>1313775.6742750912</v>
      </c>
      <c r="CL34" s="64">
        <f t="shared" si="48"/>
        <v>2.941176470588247E-2</v>
      </c>
      <c r="CM34" s="1">
        <f>IF($B34=Analysis!$C$100,(CK34*(1+Analysis!$C$23+Analysis!$C$24+Analysis!$C$25))-IF($B34=$B$2,(Analysis!$C$6-Analysis!$C$7+Analysis!$C$105), (FU33-Analysis!$C$7+CV34)),0)</f>
        <v>0</v>
      </c>
      <c r="CN34" s="65">
        <f>IF($B34=Analysis!$C$100,NPER(CR34,-CU34,-CM34),0)</f>
        <v>0</v>
      </c>
      <c r="CO34" s="64">
        <f>IF($B34=Analysis!$C$100,Analysis!$C$103,0)</f>
        <v>0</v>
      </c>
      <c r="CP34" s="1">
        <f>IF(OR($B34&lt;Analysis!$C$100, $B34&gt;=Analysis!$C$101),0,IF($B34=Analysis!$C$100,-CM34*CO34,IF(CU34&gt;=0,0,CU34-CS34)))</f>
        <v>0</v>
      </c>
      <c r="CQ34" s="1">
        <f>IF(OR($B34&lt;Analysis!$C$100, $B34&gt;=Analysis!$C$101),0,IF($B34=Analysis!$C$100,-CM34-CP34,MIN(0,CQ33-CP34)))</f>
        <v>0</v>
      </c>
      <c r="CR34" s="64">
        <f>IF(OR($B34&lt;Analysis!$C$100, $B34&gt;=Analysis!$C$101),0,IF($B34=Analysis!$C$100,Analysis!$C$102,IF(($B34-Analysis!$C$100)&lt;LOOKUP(Analysis!$C$100,$B:$B,CN:CN),CR33,0)))</f>
        <v>0</v>
      </c>
      <c r="CS34" s="1">
        <f>IF(OR($B34&lt;Analysis!$C$100, $B34&gt;=Analysis!$C$101),0,IF($B34=Analysis!$C$100,-CR34*CM34,CR33*CQ33))</f>
        <v>0</v>
      </c>
      <c r="CT34" s="1">
        <f>IF(OR($B34&lt;Analysis!$C$100, $B34&gt;=Analysis!$C$101),0,IF($B34=Analysis!$C$100,PMT(CR34,CN34,CM34)*CN34-CU34-CQ34,IF(($B34-Analysis!$C$100+1)&lt;LOOKUP(Analysis!$C$100,$B:$B,CN:CN),IF(CT33-CS34&lt;0, CT33-CS34,0),0)))</f>
        <v>0</v>
      </c>
      <c r="CU34" s="1">
        <f>IF(OR($B34&lt;Analysis!$C$100, $B34&gt;=Analysis!$C$101),0,IF($B34=Analysis!$C$100,CP34+CS34,IF(CQ33&lt;0,IF(CQ33&gt;LOOKUP(Analysis!$C$100,$B:$B,CU:CU), CQ33*(1+CR33),CU33),0)))</f>
        <v>0</v>
      </c>
      <c r="CV34" s="1">
        <f>IF($B34=Analysis!$C$100,Analysis!$C$105,0)</f>
        <v>0</v>
      </c>
      <c r="CW34" s="1">
        <f>IF($B34=Analysis!$C$100,PMT(CR34,CX34,CV34)*CX34,0)</f>
        <v>0</v>
      </c>
      <c r="CX34" s="7">
        <f>IF($B34=Analysis!$C$100,Analysis!$C$107,0)</f>
        <v>0</v>
      </c>
      <c r="CY34" s="1">
        <f>IF(OR($B34&lt;Analysis!$C$100, $B34&gt;=Analysis!$C$101),0,IF($B34=Analysis!$C$100,CW34/CX34,IF(($B34-Analysis!$C$100)&lt;LOOKUP(Analysis!$C$100,$B:$B,CX:CX),CY33,0)))</f>
        <v>0</v>
      </c>
      <c r="CZ34" s="1">
        <f>IF(OR($B34&lt;Analysis!$C$100, $B34&gt;=Analysis!$C$101),0,IF($B34=Analysis!$C$100,CX34*CY34-CY34,IF(($B34-Analysis!$C$100)&lt;Analysis!$C$107,CZ33-CY34,0)))</f>
        <v>0</v>
      </c>
      <c r="DA34" s="53"/>
      <c r="DB34" s="1">
        <f>IF(OR($B34&lt;Analysis!$C$100, $B34&gt;=Analysis!$C$101),0,IF($B34=2025,(Analysis!$C$109*12),IF($B34=Analysis!$C$100,(Analysis!$C$109*12)*(1+DC34)^($B34-$B$2),DB33*(1+DC34))))</f>
        <v>35044.131727199339</v>
      </c>
      <c r="DC34" s="64">
        <f>IF(OR($B34&lt;Analysis!$C$100, $B34&gt;=Analysis!$C$101),0,((1+Analysis!$C$114)/(1+$S34))-1)</f>
        <v>2.941176470588247E-2</v>
      </c>
      <c r="DD34" s="1">
        <f t="shared" si="6"/>
        <v>42945.458750024613</v>
      </c>
      <c r="DE34" s="1">
        <f t="shared" si="27"/>
        <v>-3941.3270228252736</v>
      </c>
      <c r="DF34" s="64">
        <f>IF(OR($B34&lt;Analysis!$C$100, $B34&gt;=Analysis!$C$101),0,Analysis!$C$118)</f>
        <v>3.0000000000000001E-3</v>
      </c>
      <c r="DG34" s="1">
        <f t="shared" si="28"/>
        <v>-9853.3175570631829</v>
      </c>
      <c r="DH34" s="64">
        <f>IF(OR($B34&lt;Analysis!$C$100, $B34&gt;=Analysis!$C$101),0,Analysis!$C$119)</f>
        <v>7.4999999999999997E-3</v>
      </c>
      <c r="DI34" s="1">
        <f>IF(OR($B34&lt;Analysis!$C$100, $B34&gt;=Analysis!$C$101),0,MIN(Analysis!$C$120*12,SUM(DJ34:DN34)))</f>
        <v>-3960</v>
      </c>
      <c r="DJ34" s="1">
        <f>IF(OR($B34&lt;Analysis!$C$100, $B34&gt;=Analysis!$C$101),0,Analysis!$C$121*12)</f>
        <v>-900</v>
      </c>
      <c r="DK34" s="1">
        <f>IF(OR($B34&lt;Analysis!$C$100, $B34&gt;=Analysis!$C$101),0,Analysis!$C$122*12)</f>
        <v>-1500</v>
      </c>
      <c r="DL34" s="1">
        <f>IF(OR($B34&lt;Analysis!$C$100, $B34&gt;=Analysis!$C$101),0,Analysis!$C$123*12)</f>
        <v>-480</v>
      </c>
      <c r="DM34" s="1">
        <f>IF(OR($B34&lt;Analysis!$C$100, $B34&gt;=Analysis!$C$101),0,Analysis!$C$124*12)</f>
        <v>-480</v>
      </c>
      <c r="DN34" s="1">
        <f>IF(OR($B34&lt;Analysis!$C$100, $B34&gt;=Analysis!$C$101),0,Analysis!$C$125*12)</f>
        <v>-600</v>
      </c>
      <c r="DO34" s="64">
        <f>IF(OR($B34&lt;Analysis!$C$100, $B34&gt;=Analysis!$C$101),0,Analysis!$C$113)</f>
        <v>0.02</v>
      </c>
      <c r="DP34" s="1">
        <f>-DO34*LOOKUP(Analysis!$C$100,$B:$B,CK:CK)</f>
        <v>-10392</v>
      </c>
      <c r="DQ34" s="1">
        <f>-Analysis!$C$117*DB34</f>
        <v>-2628.3098795399505</v>
      </c>
      <c r="DR34" s="1">
        <f t="shared" si="29"/>
        <v>-30774.954459428405</v>
      </c>
      <c r="DS34" s="1">
        <f>MIN(0,-(DB34+DR34)*Analysis!$C$28)-CS34*Analysis!$C$28</f>
        <v>-1891.6724473493007</v>
      </c>
      <c r="DT34" s="1">
        <f>-Analysis!$C$116*DD34/12</f>
        <v>-3578.7882291687179</v>
      </c>
      <c r="DU34" s="53"/>
      <c r="DV34" s="1">
        <f t="shared" si="30"/>
        <v>-167506.39847007411</v>
      </c>
      <c r="DW34" s="64">
        <f>IF(OR($B34&lt;Analysis!$C$100, $B34&gt;=Analysis!$C$101),0,IF($B34=Analysis!$C$100,Analysis!$C$31,DW33))</f>
        <v>0.1275</v>
      </c>
      <c r="DX34" s="1">
        <f>IF(OR($B34&lt;Analysis!$C$100, $B34&gt;=Analysis!$C$101),0,CK34+DV34)</f>
        <v>1146269.275805017</v>
      </c>
      <c r="DY34" s="1">
        <f>IF(OR($B34&lt;Analysis!$C$100, $B34&gt;=Analysis!$C$101),0,IF($B34-Analysis!$C$100&gt;3,0,IF(CK34&gt;LOOKUP(Analysis!$C$100,$B:$B, CK:CK),$V34*(LOOKUP(Analysis!$C$100,$B:$B, CK:CK)-CK34),0)))</f>
        <v>0</v>
      </c>
      <c r="DZ34" s="1">
        <f t="shared" si="49"/>
        <v>1146269.275805017</v>
      </c>
      <c r="EA34" s="53"/>
      <c r="EB34" s="1">
        <f t="shared" si="31"/>
        <v>1744621.2764623046</v>
      </c>
      <c r="EC34" s="64">
        <f t="shared" si="50"/>
        <v>2.941176470588247E-2</v>
      </c>
      <c r="ED34" s="1">
        <f>MAX(0,IF($B34=Analysis!$C$130,(EB34*(1+Analysis!$C$23+Analysis!$C$24+Analysis!$C$25))-(IF($B34=$B$2,(Analysis!$C$6-Analysis!$C$7+Analysis!$C$132), (FU33-Analysis!$C$7+EM34)) + IF($B34=Analysis!$C$101,DZ33+CQ33+CT33+CZ33,0)),0))</f>
        <v>0</v>
      </c>
      <c r="EE34" s="65">
        <f>IF($B34=Analysis!$C$130,IF(ED34&gt;0,NPER(EI34,-EL34,-ED34),0),0)</f>
        <v>0</v>
      </c>
      <c r="EF34" s="64">
        <f>IF($B34=Analysis!$C$130,Analysis!$C$137,0)</f>
        <v>0</v>
      </c>
      <c r="EG34" s="1">
        <f>IF($B34&lt;Analysis!$C$130,0,IF($B34=Analysis!$C$130,-ED34*EF34,IF(EL34&gt;=0,0,EL34-EJ34)))</f>
        <v>0</v>
      </c>
      <c r="EH34" s="1">
        <f>IF($B34&lt;Analysis!$C$130,0,IF($B34=Analysis!$C$130,-ED34-EG34,MIN(0,EH33-EG34)))</f>
        <v>0</v>
      </c>
      <c r="EI34" s="64">
        <f>IF($B34&lt;Analysis!$C$130,0,IF($B34=Analysis!$C$130,Analysis!$C$136,IF(($B34-Analysis!$C$130)&lt;LOOKUP(Analysis!$C$130,$B:$B,EE:EE),EI33,0)))</f>
        <v>0</v>
      </c>
      <c r="EJ34" s="1">
        <f>IF($B34&lt;Analysis!$C$130,0,IF($B34=Analysis!$C$130,-EI34*ED34,EI33*EH33))</f>
        <v>0</v>
      </c>
      <c r="EK34" s="1">
        <f>IF(OR($B34&lt;Analysis!$C$130, ED34=0),0,IF($B34=Analysis!$C$130,PMT(EI34,EE34,ED34)*EE34-EL34-EH34,IF(($B34-Analysis!$C$130+1)&lt;LOOKUP(Analysis!$C$130,$B:$B,EE:EE),IF(EK33-EJ34&lt;0, EK33-EJ34,0),0)))</f>
        <v>0</v>
      </c>
      <c r="EL34" s="1">
        <f>IF($B34&lt;Analysis!$C$130,0,IF($B34=Analysis!$C$130,EG34+EJ34,IF(EH33&lt;0,IF(EH33&gt;LOOKUP(Analysis!$C$130,$B:$B,EL:EL), EH33*(1+EI33),EL33),0)))</f>
        <v>0</v>
      </c>
      <c r="EM34" s="1">
        <f>IF($B34=Analysis!$C$130,Analysis!$C$132,0)</f>
        <v>0</v>
      </c>
      <c r="EN34" s="1">
        <f>IF($B34=Analysis!$C$130,PMT(EI34,EO34,EM34)*EO34,0)</f>
        <v>0</v>
      </c>
      <c r="EO34" s="7">
        <f>IF($B34=Analysis!$C$130,Analysis!$C$134,0)</f>
        <v>0</v>
      </c>
      <c r="EP34" s="1">
        <f>IF($B34&lt;Analysis!$C$130,0,IF($B34=Analysis!$C$130,EN34/EO34,IF(($B34-Analysis!$C$130)&lt;LOOKUP(Analysis!$C$130,$B:$B,EO:EO),EP33,0)))</f>
        <v>0</v>
      </c>
      <c r="EQ34" s="1">
        <f>IF($B34&lt;Analysis!$C$130,0,IF($B34=Analysis!$C$130,EO34*EP34-EP34,IF(($B34-Analysis!$C$130)&lt;Analysis!$C$134,EQ33-EP34,0)))</f>
        <v>0</v>
      </c>
      <c r="ER34" s="53"/>
      <c r="ES34" s="1">
        <f>IF($B34&lt;Analysis!$C$130,0,-ET34*EB34)</f>
        <v>0</v>
      </c>
      <c r="ET34" s="64">
        <f>IF($B34&lt;Analysis!$C$130,0,Analysis!$C$142)</f>
        <v>0</v>
      </c>
      <c r="EU34" s="1">
        <f>IF($B34&lt;Analysis!$C$130,0,-EV34*EB34)</f>
        <v>0</v>
      </c>
      <c r="EV34" s="64">
        <f>IF($B34&lt;Analysis!$C$130,0,Analysis!$C$143)</f>
        <v>0</v>
      </c>
      <c r="EW34" s="1">
        <f>IF($B34&lt;Analysis!$C$130,0,MIN(Analysis!$C$144*12,SUM(EX34:FB34)))</f>
        <v>0</v>
      </c>
      <c r="EX34" s="1">
        <f>IF($B34&lt;Analysis!$C$130,0,Analysis!$C$145*12)</f>
        <v>0</v>
      </c>
      <c r="EY34" s="1">
        <f>IF($B34&lt;Analysis!$C$130,0,Analysis!$C$146*12)</f>
        <v>0</v>
      </c>
      <c r="EZ34" s="1">
        <f>IF($B34&lt;Analysis!$C$130,0,Analysis!$C$147*12)</f>
        <v>0</v>
      </c>
      <c r="FA34" s="1">
        <f>IF($B34&lt;Analysis!$C$130,0,Analysis!$C$148*12)</f>
        <v>0</v>
      </c>
      <c r="FB34" s="1">
        <f>IF($B34&lt;Analysis!$C$130,0,Analysis!$C$149*12)</f>
        <v>0</v>
      </c>
      <c r="FC34" s="1">
        <v>0</v>
      </c>
      <c r="FD34" s="1">
        <f>-FC34*Analysis!$C$28</f>
        <v>0</v>
      </c>
      <c r="FE34" s="53"/>
      <c r="FF34" s="1">
        <f t="shared" si="32"/>
        <v>0</v>
      </c>
      <c r="FG34" s="64">
        <f>IF($B34&lt;Analysis!$C$130,0,Analysis!$C$31)</f>
        <v>0</v>
      </c>
      <c r="FH34" s="1">
        <f>IF($B34&lt;Analysis!$C$130,0,EB34+FF34)</f>
        <v>0</v>
      </c>
      <c r="FI34" s="1">
        <f>IF($B34-Analysis!$C$130&gt;3,0,IF(EB34&gt;LOOKUP(Analysis!$C$130,$B:$B, EB:EB),$V34*(LOOKUP(Analysis!$C$130,$B:$B, EB:EB)-EB34),0))</f>
        <v>0</v>
      </c>
      <c r="FJ34" s="1">
        <f t="shared" si="33"/>
        <v>0</v>
      </c>
      <c r="FK34" s="53"/>
      <c r="FL34" s="1">
        <f>$P34+$N34+IF($B34&lt;Analysis!$C$130,$X34+$Z34,0)+CP34+CS34+CY34+DE34+DG34+MIN(DI34,SUM(DJ34:DN34))+DQ34+DS34+DT34+EG34+EJ34+EP34+ES34+EU34+MIN(EW34,SUM(EX34:FB34))+FD34</f>
        <v>-117863.85139560279</v>
      </c>
      <c r="FM34" s="1">
        <f>$M34+$R34+DD34+IF(AND($B34&lt;&gt;Analysis!$C$130,$B34=Analysis!$C$101),DZ33+CQ33+CT33+CZ33,0)</f>
        <v>174413.3819912505</v>
      </c>
      <c r="FN34" s="1">
        <f t="shared" si="34"/>
        <v>56549.53059564771</v>
      </c>
      <c r="FO34" s="1">
        <f>IF(FN34 &lt; 0,
    IF(FO33 + FN34 &gt; 0,
        FO33 + FN34, IF(FT33-ABS(FO33 + FN34)*(1+$V34) &gt;= FO33 + FN34,
        0, FO33 + FN34)),
    MIN(FO33 + FN34, Analysis!$C$7))+IF(FO33&lt;0, FO33*Analysis!$C$9,0)</f>
        <v>24000</v>
      </c>
      <c r="FP34" s="53"/>
      <c r="FQ34" s="1">
        <f t="shared" si="51"/>
        <v>21107.030359898978</v>
      </c>
      <c r="FR34" s="1">
        <f>IF(OR($B34=Analysis!$C$100, $B34=Analysis!$C$130),0,IF(FN34 &gt;= 0,
    MAX(0, FO33 + FN34 - Analysis!$C$7),
    0))</f>
        <v>56549.53059564771</v>
      </c>
      <c r="FS34" s="1">
        <f>IF(OR($B34=Analysis!$C$100, $B34=Analysis!$C$130),0,MAX(0, FS33 + FR34 - IF(FN34 &lt; 0, MIN(ABS(FN34), FS33 + FR34), 0)))</f>
        <v>656822.32422715181</v>
      </c>
      <c r="FT34" s="1">
        <f>IF(OR($B34=Analysis!$C$100, $B34=Analysis!$C$130),0,IF(FN34 &lt; 0,
    IF(FN34 + FO33 &lt; 0,
        MAX(0, FT33 - (ABS(FN34 + FO33) * (1+$V33))),
        FT33 + FQ34),
    FT33 + FR34 + FQ34))</f>
        <v>972999.93530011445</v>
      </c>
      <c r="FU34" s="1">
        <f t="shared" si="57"/>
        <v>889608.09037962055</v>
      </c>
      <c r="FV34" s="36"/>
      <c r="FW34" s="1">
        <f t="shared" si="52"/>
        <v>1313775.6742750912</v>
      </c>
      <c r="FX34" s="64">
        <f t="shared" si="53"/>
        <v>2.941176470588247E-2</v>
      </c>
      <c r="FY34" s="1">
        <f>IF($B34=Analysis!$C$159,(FW34*(1+Analysis!$C$23+Analysis!$C$24+Analysis!$C$25))-IF($B34=$B$2,(Analysis!$C$6-Analysis!$C$7+Analysis!$C$165), (HW33-Analysis!$C$7+GH34)),0)</f>
        <v>0</v>
      </c>
      <c r="FZ34" s="65">
        <f>IF($B34=Analysis!$C$159,NPER(GD34,-GG34,-FY34),0)</f>
        <v>0</v>
      </c>
      <c r="GA34" s="64">
        <f>IF($B34=Analysis!$C$159,Analysis!$C$161,0)</f>
        <v>0</v>
      </c>
      <c r="GB34" s="1">
        <f>IF($B34&lt;Analysis!$C$159,0,IF($B34=Analysis!$C$159,-FY34*GA34,IF(GG34&gt;=0,0,GG34-GE34)))</f>
        <v>0</v>
      </c>
      <c r="GC34" s="1">
        <f>IF($B34&lt;Analysis!$C$159,0,IF($B34=Analysis!$C$159,-FY34-GB34,MIN(0,GC33-GB34)))</f>
        <v>0</v>
      </c>
      <c r="GD34" s="64">
        <f>IF($B34&lt;Analysis!$C$159,0,IF($B34=Analysis!$C$159,Analysis!$C$160,IF(($B34-Analysis!$C$159)&lt;LOOKUP(Analysis!$C$159,$B:$B,FZ:FZ),GD33,0)))</f>
        <v>0</v>
      </c>
      <c r="GE34" s="1">
        <f>IF($B34&lt;Analysis!$C$159,0,IF($B34=Analysis!$C$159,-GD34*FY34,GD33*GC33))</f>
        <v>0</v>
      </c>
      <c r="GF34" s="1">
        <f>IF($B34&lt;Analysis!$C$159,0,IF($B34=Analysis!$C$159,PMT(GD34,FZ34,FY34)*FZ34-GG34-GC34,IF(($B34-Analysis!$C$159+1)&lt;LOOKUP(Analysis!$C$159,$B:$B,FZ:FZ),IF(GF33-GE34&lt;0, GF33-GE34,0),0)))</f>
        <v>0</v>
      </c>
      <c r="GG34" s="1">
        <f>IF($B34&lt;Analysis!$C$159,0,IF($B34=Analysis!$C$159,GB34+GE34,IF(GC33&lt;0,IF(GC33&gt;LOOKUP(Analysis!$C$159,$B:$B,GG:GG), GC33*(1+GD33),GG33),0)))</f>
        <v>0</v>
      </c>
      <c r="GH34" s="1">
        <f>IF($B34=Analysis!$C$159,Analysis!$C$165,0)</f>
        <v>0</v>
      </c>
      <c r="GI34" s="1">
        <f>IF($B34=Analysis!$C$159,PMT(GD34,GJ34,GH34)*GJ34,0)</f>
        <v>0</v>
      </c>
      <c r="GJ34" s="7">
        <f>IF($B34=Analysis!$C$159,Analysis!$C$167,0)</f>
        <v>0</v>
      </c>
      <c r="GK34" s="1">
        <f>IF($B34&lt;Analysis!$C$159,0,IF($B34=Analysis!$C$159,GI34/GJ34,IF(($B34-Analysis!$C$159)&lt;LOOKUP(Analysis!$C$159,$B:$B,GJ:GJ),GK33,0)))</f>
        <v>0</v>
      </c>
      <c r="GL34" s="1">
        <f>IF($B34&lt;Analysis!$C$159,0,IF($B34=Analysis!$C$159,GJ34*GK34-GK34,IF(($B34-Analysis!$C$159)&lt;Analysis!$C$167,GL33-GK34,0)))</f>
        <v>0</v>
      </c>
      <c r="GM34" s="38"/>
      <c r="GN34" s="1">
        <f>IF($B34&lt;Analysis!$C$159,0,IF($B34=2025,(Analysis!$C$109*12),IF($B34=Analysis!$C$159,(Analysis!$C$109*12)*(1+GO34)^($B34-$B$2),GN33*(1+GO34))))</f>
        <v>35044.131727199339</v>
      </c>
      <c r="GO34" s="64">
        <f>IF($B34&lt;Analysis!$C$159,0,((1+Analysis!$C$174)/(1+$S34))-1)</f>
        <v>2.941176470588247E-2</v>
      </c>
      <c r="GP34" s="1">
        <f t="shared" si="7"/>
        <v>42945.458750024613</v>
      </c>
      <c r="GQ34" s="1">
        <f t="shared" si="36"/>
        <v>-3941.3270228252736</v>
      </c>
      <c r="GR34" s="64">
        <f>IF($B34&lt;Analysis!$C$159,0,Analysis!$C$178)</f>
        <v>3.0000000000000001E-3</v>
      </c>
      <c r="GS34" s="1">
        <f t="shared" si="37"/>
        <v>-9853.3175570631829</v>
      </c>
      <c r="GT34" s="64">
        <f>IF($B34&lt;Analysis!$C$159,0,Analysis!$C$179)</f>
        <v>7.4999999999999997E-3</v>
      </c>
      <c r="GU34" s="1">
        <f>IF($B34&lt;Analysis!$C$159,0,MIN(Analysis!$C$180*12,SUM(GV34:GZ34)))</f>
        <v>-3960</v>
      </c>
      <c r="GV34" s="1">
        <f>IF($B34&lt;Analysis!$C$159,0,Analysis!$C$181*12)</f>
        <v>-900</v>
      </c>
      <c r="GW34" s="1">
        <f>IF($B34&lt;Analysis!$C$159,0,Analysis!$C$182*12)</f>
        <v>-1500</v>
      </c>
      <c r="GX34" s="1">
        <f>IF($B34&lt;Analysis!$C$159,0,Analysis!$C$183*12)</f>
        <v>-480</v>
      </c>
      <c r="GY34" s="1">
        <f>IF($B34&lt;Analysis!$C$159,0,Analysis!$C$184*12)</f>
        <v>-480</v>
      </c>
      <c r="GZ34" s="1">
        <f>IF($B34&lt;Analysis!$C$159,0,Analysis!$C$185*12)</f>
        <v>-600</v>
      </c>
      <c r="HA34" s="64">
        <f>IF($B34&lt;Analysis!$C$159,0,Analysis!$C$173)</f>
        <v>0.02</v>
      </c>
      <c r="HB34" s="1">
        <f>-HA34*LOOKUP(Analysis!$C$159,$B:$B,FW:FW)</f>
        <v>-10392</v>
      </c>
      <c r="HC34" s="1">
        <f>-Analysis!$C$177*GN34</f>
        <v>-2628.3098795399505</v>
      </c>
      <c r="HD34" s="1">
        <f t="shared" si="38"/>
        <v>-30774.954459428405</v>
      </c>
      <c r="HE34" s="1">
        <f>MIN(0,-(GN34+HD34)*Analysis!$C$28)-GE34*Analysis!$C$28</f>
        <v>-1891.6724473493007</v>
      </c>
      <c r="HF34" s="1">
        <f>-Analysis!$C$176*GP34/12</f>
        <v>-3578.7882291687179</v>
      </c>
      <c r="HG34" s="38"/>
      <c r="HH34" s="1">
        <f>IF($B34&lt;Analysis!$C$159,0,-$HI34*$FW34)</f>
        <v>-167506.39847007411</v>
      </c>
      <c r="HI34" s="64">
        <f>IF($B34&lt;Analysis!$C$159,0,IF($B34=Analysis!$C$159,Analysis!$C$31,HI33))</f>
        <v>0.1275</v>
      </c>
      <c r="HJ34" s="1">
        <f>IF($B34&lt;Analysis!$C$159,0,$FW34+HH34)</f>
        <v>1146269.275805017</v>
      </c>
      <c r="HK34" s="1">
        <f>IF($B34-Analysis!$C$159&gt;10,0,IF($FW34&gt;LOOKUP(Analysis!$C$159,$B:$B, FW:FW),$V34*(LOOKUP(Analysis!$C$159,$B:$B, FW:FW)-FW34),0))</f>
        <v>0</v>
      </c>
      <c r="HL34" s="1">
        <f t="shared" si="39"/>
        <v>1146269.275805017</v>
      </c>
      <c r="HM34" s="38"/>
      <c r="HN34" s="1">
        <f t="shared" si="40"/>
        <v>-117863.85139560279</v>
      </c>
      <c r="HO34" s="1">
        <f t="shared" si="8"/>
        <v>174413.3819912505</v>
      </c>
      <c r="HP34" s="1">
        <f t="shared" si="41"/>
        <v>56549.53059564771</v>
      </c>
      <c r="HQ34" s="1">
        <f>IF(HP34 &lt; 0,
    IF(HQ33 + HP34 &gt; 0,
        HQ33 + HP34, IF(HV33-ABS(HQ33 + HP34)*(1+$V34) &gt;= HQ33 + HP34,
        0, HQ33 + HP34)),
    MIN(HQ33 + HP34, Analysis!$C$7))+IF(HQ33&lt;0, HQ33*Analysis!$C$9,0)</f>
        <v>24000</v>
      </c>
      <c r="HR34" s="38"/>
      <c r="HS34" s="1">
        <f t="shared" si="54"/>
        <v>21107.030359898978</v>
      </c>
      <c r="HT34" s="1">
        <f>IF($B34=Analysis!$C$159,0,IF(HP34 &gt;= 0,
    MAX(0, HQ33 + HP34 - Analysis!$C$7),
    0))</f>
        <v>56549.53059564771</v>
      </c>
      <c r="HU34" s="1">
        <f>IF($B34=Analysis!$C$159,0,MAX(0, HU33 + HT34 - IF(HP34 &lt; 0, MIN(ABS(HP34), HU33 + HT34), 0)))</f>
        <v>656822.32422715181</v>
      </c>
      <c r="HV34" s="1">
        <f>IF($B34=Analysis!$C$159,0,IF(HP34 &lt; 0,
    IF(HP34 + HQ33 &lt; 0,
        MAX(0, HV33 - (ABS(HP34 + HQ33) * (1+$V33))),
        HV33 + HS34),
    HV33 + HT34 + HS34))</f>
        <v>972999.93530011445</v>
      </c>
      <c r="HW34" s="1">
        <f t="shared" si="58"/>
        <v>889608.09037962055</v>
      </c>
      <c r="HX34" s="36"/>
    </row>
    <row r="35" spans="1:232" x14ac:dyDescent="0.35">
      <c r="A35">
        <f t="shared" si="0"/>
        <v>68</v>
      </c>
      <c r="B35">
        <v>2058</v>
      </c>
      <c r="C35" s="1">
        <f>IF($B35&lt;Analysis!C$66,0,$AN35)+$AT35+$AW35+$BC35+$CF35+$CA35</f>
        <v>-364689.66578258714</v>
      </c>
      <c r="D35" s="1">
        <f>IF($B35&lt;Analysis!C$66, 0, BV35)+AT35+AW35+BC35+CG35+CA35</f>
        <v>-660042.66992280865</v>
      </c>
      <c r="E35" s="1">
        <f t="shared" si="1"/>
        <v>2161688.0254255747</v>
      </c>
      <c r="F35" s="1">
        <f t="shared" si="9"/>
        <v>1879922.4486719787</v>
      </c>
      <c r="G35" s="1">
        <f>IF(AND($B35&gt;=Analysis!$C$100, $B35&lt;Analysis!$C$101),$CK35,0)+IF($B35&gt;=Analysis!$C$130,EB35,0)+CQ35+CT35+CZ35+EH35+EK35+EQ35+$FO35+$FT35</f>
        <v>2426382.743965229</v>
      </c>
      <c r="H35" s="1">
        <f t="shared" si="10"/>
        <v>2164947.952071121</v>
      </c>
      <c r="I35" s="1">
        <f>IF($B35&lt;Analysis!$C$159,0,$FW35)+$GC35+$GF35+$GL35+$HQ35+$HV35</f>
        <v>2426382.743965229</v>
      </c>
      <c r="J35" s="1">
        <f t="shared" si="59"/>
        <v>2164947.952071121</v>
      </c>
      <c r="K35" s="36"/>
      <c r="L35" s="1">
        <f t="shared" si="11"/>
        <v>131467.92324122589</v>
      </c>
      <c r="M35" s="1">
        <f>IF($B35=Analysis!$C$47, M34 * (1 - Analysis!$C$48),
    IF($B35=Analysis!$C$52, M34 * (1 - Analysis!$C$53),
    IF($B35=Analysis!$C$58, M34 * (1 - Analysis!$C$60),
    L35)))</f>
        <v>131467.92324122589</v>
      </c>
      <c r="N35" s="1">
        <f>Analysis!$C$3*12*(1+O35)+P35</f>
        <v>-48000</v>
      </c>
      <c r="O35" s="64">
        <f>IF(OR($B35=Analysis!$C$47,$B35=Analysis!$C$52,$B35=Analysis!$C$58),-Analysis!$C$49,0)</f>
        <v>0</v>
      </c>
      <c r="P35" s="1">
        <f>IF($B35&lt;Analysis!$C$47,0,IF($B35-Analysis!$C$47&lt;=3,Analysis!$C$40+Analysis!$C$44,IF($B35-Analysis!$C$47&lt;=10,Analysis!$C$41+Analysis!$C$44,IF($B35-Analysis!$C$47&lt;=18,Analysis!$C$42+Analysis!$C$44,IF($B35-Analysis!$C$47&lt;=25,Analysis!$C$43+Analysis!$C$44,0)))) + IF(AND($B35&gt;=Analysis!$C$52, $B35-Analysis!$C$52&lt;=3),Analysis!$C$40+Analysis!$C$44,IF(AND($B35&gt;=Analysis!$C$52, $B35-Analysis!$C$52&lt;=10),Analysis!$C$41+Analysis!$C$44,IF(AND($B35&gt;=Analysis!$C$52, $B35-Analysis!$C$52&lt;=18),Analysis!$C$42+Analysis!$C$44,IF(AND($B35&gt;=Analysis!$C$52, $B35-Analysis!$C$52&lt;=25),Analysis!$C$43+Analysis!$C$44,0)))) + Analysis!$C$57*IF(AND($B35&gt;=Analysis!$C$58, $B35-Analysis!$C$58&lt;=3),Analysis!$C$40+Analysis!$C$44,IF(AND($B35&gt;=Analysis!$C$58, $B35-Analysis!$C$58&lt;=10),Analysis!$C$41+Analysis!$C$44,IF(AND($B35&gt;=Analysis!$C$58, $B35-Analysis!$C$58&lt;=18),Analysis!$C$42+Analysis!$C$44,IF(AND($B35&gt;=Analysis!$C$58, $B35-Analysis!$C$58&lt;=25),Analysis!$C$43+Analysis!$C$44,0)))))</f>
        <v>0</v>
      </c>
      <c r="Q35" s="1">
        <f t="shared" si="43"/>
        <v>0</v>
      </c>
      <c r="R35" s="1">
        <f>IF(AND(AND(B35=Analysis!C$35,Analysis!C$34&lt;&gt;0),AND(B35=Analysis!C$37,Analysis!C$36&lt;&gt;0)),Analysis!C$34+Analysis!C$36,IF(AND(B35=Analysis!C$35,Analysis!C$34&lt;&gt;0),Analysis!C$34,IF(AND(B35=Analysis!C$37,Analysis!C$36&lt;&gt;0),Analysis!C$36,0)))</f>
        <v>0</v>
      </c>
      <c r="S35" s="64">
        <f t="shared" si="12"/>
        <v>0.02</v>
      </c>
      <c r="T35" s="64">
        <f>IF($B35&lt;Analysis!$C$13, ((1+IF($B35-$B$2&lt;10,Analysis!$C$11,IF($B35-$B$2&lt;20,(Analysis!$C$11+Analysis!$C$12)/2,Analysis!$C$12)))/(1+$S35)-1),IF($B35=Analysis!$C$13,-Analysis!$C$14,-$S35))</f>
        <v>0</v>
      </c>
      <c r="U35" s="64">
        <f>IF($B35=$B$2,((1+Analysis!$C$16)/(1+$S35))-1,IF(B35&lt;Analysis!$C$13,U34-((Analysis!$C$16-Analysis!$C$17)/(Analysis!$C$13-$B$2)),((1+Analysis!$C$17)/(1+$S34))-1))</f>
        <v>2.1859943977591202E-2</v>
      </c>
      <c r="V35" s="64">
        <f t="shared" si="13"/>
        <v>0.26374999999999998</v>
      </c>
      <c r="W35" s="36"/>
      <c r="X35" s="1">
        <f t="shared" si="14"/>
        <v>-41228.390267293325</v>
      </c>
      <c r="Y35" s="64">
        <f t="shared" si="15"/>
        <v>2.941176470588247E-2</v>
      </c>
      <c r="Z35" s="1">
        <f t="shared" si="16"/>
        <v>-3960</v>
      </c>
      <c r="AA35" s="64">
        <f t="shared" si="17"/>
        <v>0</v>
      </c>
      <c r="AB35" s="40"/>
      <c r="AC35" s="1">
        <f t="shared" si="3"/>
        <v>-93188.390267293318</v>
      </c>
      <c r="AD35" s="1">
        <f t="shared" si="4"/>
        <v>131467.92324122589</v>
      </c>
      <c r="AE35" s="1">
        <f t="shared" si="18"/>
        <v>38279.532973932568</v>
      </c>
      <c r="AF35" s="1">
        <f>IF(AE35 &lt; 0,
    IF(AF34 + AE35 &gt; 0,
        AF34 + AE35, IF(AK34-ABS(AF34 + AE35)*(1+$V35) &gt;= AF34 + AE35,
        0, AF34 + AE35)),
    MIN(AF34 + AE35, Analysis!$C$7))+IF(AF34&lt;0, AF34*Analysis!$C$9,0)</f>
        <v>24000</v>
      </c>
      <c r="AG35" s="40"/>
      <c r="AH35" s="1">
        <f t="shared" si="19"/>
        <v>44911.195806769494</v>
      </c>
      <c r="AI35" s="1">
        <f>IF(AE35 &gt;= 0,
    MAX(0, AF34 + AE35 - Analysis!$C$7),
    0)</f>
        <v>38279.532973932568</v>
      </c>
      <c r="AJ35" s="1">
        <f t="shared" si="44"/>
        <v>1069382.5211465377</v>
      </c>
      <c r="AK35" s="1">
        <f t="shared" si="20"/>
        <v>2137688.0254255747</v>
      </c>
      <c r="AL35" s="1">
        <f t="shared" si="5"/>
        <v>1855922.4486719787</v>
      </c>
      <c r="AM35" s="36"/>
      <c r="AN35" s="1">
        <f t="shared" si="45"/>
        <v>2316494.1501193843</v>
      </c>
      <c r="AO35" s="64">
        <f t="shared" si="21"/>
        <v>2.941176470588247E-2</v>
      </c>
      <c r="AP35" s="1">
        <f>IF($B35=Analysis!$C$66,(AN35*(1+Analysis!$C$23+Analysis!$C$24+Analysis!$C$25))-IF($B35=$B$2,(Analysis!$C$6-Analysis!$C$7+Analysis!$C$68), ($CG34-Analysis!$C$7+AY35)),0)</f>
        <v>0</v>
      </c>
      <c r="AQ35" s="65">
        <f>IF($B35=Analysis!$C$66,NPER(AU35,-AX35,-AP35),0)</f>
        <v>0</v>
      </c>
      <c r="AR35" s="64">
        <f>IF($B35=Analysis!$C$66,Analysis!$C$73,0)</f>
        <v>0</v>
      </c>
      <c r="AS35" s="1">
        <f>IF($B35&lt;Analysis!$C$66,0,IF($B35=Analysis!$C$66,-AP35*AR35,IF(AX35&gt;=0,0,AX35-AV35)))</f>
        <v>0</v>
      </c>
      <c r="AT35" s="1">
        <f>IF($B35&lt;Analysis!$C$66,0,IF($B35=Analysis!$C$66,-AP35-AS35,MIN(0,AT34-AS35)))</f>
        <v>0</v>
      </c>
      <c r="AU35" s="64">
        <f>IF($B35&lt;Analysis!$C$66,0,IF($B35=Analysis!$C$66,Analysis!$C$72,IF(($B35-Analysis!$C$66)&lt;LOOKUP(Analysis!$C$66,$B:$B,AQ:AQ),AU34,0)))</f>
        <v>0</v>
      </c>
      <c r="AV35" s="1">
        <f>IF($B35&lt;Analysis!$C$66,0,IF($B35=Analysis!$C$66,-AU35*AP35,AU34*AT34))</f>
        <v>0</v>
      </c>
      <c r="AW35" s="1">
        <f>IF($B35&lt;Analysis!$C$66,0,IF($B35=Analysis!$C$66,PMT(AU35,AQ35,AP35)*AQ35-AX35-AT35,IF(($B35-Analysis!$C$66+1)&lt;LOOKUP(Analysis!$C$66,$B:$B,AQ:AQ),IF(AW34-AV35&lt;0, AW34-AV35,0),0)))</f>
        <v>0</v>
      </c>
      <c r="AX35" s="1">
        <f>IF($B35&lt;Analysis!$C$66,0,IF($B35=Analysis!$C$66,AS35+AV35,IF(AT34&lt;0,IF(AT34&gt;LOOKUP(Analysis!$C$66,$B:$B,AX:AX), AT34*(1+AU34),AX34),0)))</f>
        <v>0</v>
      </c>
      <c r="AY35" s="1">
        <f>IF($B35=Analysis!$C$66,Analysis!$C$68,0)</f>
        <v>0</v>
      </c>
      <c r="AZ35" s="1">
        <f>IF($B35=Analysis!$C$66,PMT(AU35,BA35,AY35)*BA35,0)</f>
        <v>0</v>
      </c>
      <c r="BA35" s="7">
        <f>IF($B35=Analysis!$C$66,Analysis!$C$70,0)</f>
        <v>0</v>
      </c>
      <c r="BB35" s="1">
        <f>IF($B35&lt;Analysis!$C$66,0,IF($B35=Analysis!$C$66,AZ35/BA35,IF(($B35-Analysis!$C$66)&lt;LOOKUP(Analysis!$C$66,$B:$B,BA:BA),BB34,0)))</f>
        <v>0</v>
      </c>
      <c r="BC35" s="1">
        <f>IF($B35&lt;Analysis!$C$66,0,IF($B35=Analysis!$C$66,BA35*BB35-BB35,IF(($B35-Analysis!$C$66)&lt;Analysis!$C$70,BC34-BB35,0)))</f>
        <v>0</v>
      </c>
      <c r="BD35" s="42"/>
      <c r="BE35" s="1">
        <f>IF($B35&lt;Analysis!$C$66,0,-BF35*AN35)</f>
        <v>-6949.4824503581531</v>
      </c>
      <c r="BF35" s="64">
        <f>IF($B35&lt;Analysis!$C$66,0,Analysis!$C$78)</f>
        <v>3.0000000000000001E-3</v>
      </c>
      <c r="BG35" s="1">
        <f>IF($B35&lt;Analysis!$C$66,0,-BH35*AN35)</f>
        <v>-17373.70612589538</v>
      </c>
      <c r="BH35" s="64">
        <f>IF($B35&lt;Analysis!$C$66,0,Analysis!$C$79)</f>
        <v>7.4999999999999997E-3</v>
      </c>
      <c r="BI35" s="1">
        <f>IF($B35&lt;Analysis!$C$66,0,MIN(Analysis!$C$80*12,SUM(BJ35:BN35)))</f>
        <v>-3960</v>
      </c>
      <c r="BJ35" s="1">
        <f>IF($B35&lt;Analysis!$C$66,0,Analysis!$C$81*12)</f>
        <v>-900</v>
      </c>
      <c r="BK35" s="1">
        <f>IF($B35&lt;Analysis!$C$66,0,Analysis!$C$82*12)</f>
        <v>-1500</v>
      </c>
      <c r="BL35" s="1">
        <f>IF($B35&lt;Analysis!$C$66,0,Analysis!$C$83*12)</f>
        <v>-480</v>
      </c>
      <c r="BM35" s="1">
        <f>IF($B35&lt;Analysis!$C$66,0,Analysis!$C$84*12)</f>
        <v>-480</v>
      </c>
      <c r="BN35" s="1">
        <f>IF($B35&lt;Analysis!$C$66,0,Analysis!$C$85*12)</f>
        <v>-600</v>
      </c>
      <c r="BO35" s="1">
        <v>0</v>
      </c>
      <c r="BP35" s="1">
        <f>-BO35*Analysis!$C$28</f>
        <v>0</v>
      </c>
      <c r="BQ35" s="42"/>
      <c r="BR35" s="1">
        <f t="shared" si="22"/>
        <v>-295353.00414022151</v>
      </c>
      <c r="BS35" s="64">
        <f>IF($B35&lt;Analysis!C$66,0,Analysis!C$31)</f>
        <v>0.1275</v>
      </c>
      <c r="BT35" s="1">
        <f>IF($B35&lt;Analysis!$C$66,0,AN35+BR35)</f>
        <v>2021141.1459791628</v>
      </c>
      <c r="BU35" s="1">
        <f>IF($B35-Analysis!$C$66&gt;3,0,IF($AN35&gt;LOOKUP(Analysis!$C$66,$B:$B, AN:AN),$V35*(LOOKUP(Analysis!$C$66,$B:$B, AN:AN)-AN35),0))</f>
        <v>0</v>
      </c>
      <c r="BV35" s="1">
        <f t="shared" si="23"/>
        <v>2021141.1459791628</v>
      </c>
      <c r="BW35" s="42"/>
      <c r="BX35" s="1">
        <f>IF($B35&lt;Analysis!$C$66,$P35+$N35+$X35+$Z35,$P35+$N35+AS35+AV35+BB35+BE35+BG35+MAX(BI35,SUM(BJ35:BN35))+BP35)</f>
        <v>-76283.188576253538</v>
      </c>
      <c r="BY35" s="1">
        <f t="shared" si="24"/>
        <v>131467.92324122589</v>
      </c>
      <c r="BZ35" s="1">
        <f t="shared" si="46"/>
        <v>55184.734664972348</v>
      </c>
      <c r="CA35" s="1">
        <f>IF(BZ35 &lt; 0,
    IF(CA34 + BZ35 &gt; 0,
        CA34 + BZ35, IF(CF34-ABS(CA34 + BZ35)*(1+$V35) &gt;= CA34 + BZ35,
        0, CA34 + BZ35)),
    MIN(CA34 + BZ35, Analysis!$C$7))+IF(CA34&lt;0, CA34*Analysis!$C$9,0)</f>
        <v>-2681183.8159019714</v>
      </c>
      <c r="CB35" s="42"/>
      <c r="CC35" s="1">
        <f t="shared" si="47"/>
        <v>0</v>
      </c>
      <c r="CD35" s="1">
        <f>IF(BZ35 &gt;= 0,
    MAX(0, CA34 + BZ35 - Analysis!$C$7),
    0)</f>
        <v>0</v>
      </c>
      <c r="CE35" s="1">
        <f>IF($B35=Analysis!$C$66,0,MAX(0, CE34 + CD35 - IF(BZ35 &lt; 0, MIN(ABS(BZ35), CE34 + CD35), 0)))</f>
        <v>0</v>
      </c>
      <c r="CF35" s="1">
        <f>IF($B35=Analysis!$C$66,0,IF(BZ35 &lt; 0,
    IF(BZ35 + CA34 &lt; 0,
        MAX(0, CF34 - (ABS(BZ35 + CA34) * (1+$V34))),
        CF34 + CC35),
    CF34 + CD35 + CC35))</f>
        <v>0</v>
      </c>
      <c r="CG35" s="1">
        <f t="shared" si="25"/>
        <v>0</v>
      </c>
      <c r="CH35" s="36"/>
      <c r="CI35" s="1">
        <f>IF(OR($B35&lt;Analysis!$C$100, $B35&gt;=Analysis!$C$130),0,X35)</f>
        <v>-41228.390267293325</v>
      </c>
      <c r="CJ35" s="1">
        <f>IF(OR($B35&lt;Analysis!$C$100, $B35&gt;=Analysis!$C$130),0,Z35)</f>
        <v>-3960</v>
      </c>
      <c r="CK35" s="1">
        <f t="shared" ref="CK35:CK52" si="60">CK34*(1+$CL34)</f>
        <v>1352416.1352831821</v>
      </c>
      <c r="CL35" s="64">
        <f t="shared" si="48"/>
        <v>2.941176470588247E-2</v>
      </c>
      <c r="CM35" s="1">
        <f>IF($B35=Analysis!$C$100,(CK35*(1+Analysis!$C$23+Analysis!$C$24+Analysis!$C$25))-IF($B35=$B$2,(Analysis!$C$6-Analysis!$C$7+Analysis!$C$105), (FU34-Analysis!$C$7+CV35)),0)</f>
        <v>0</v>
      </c>
      <c r="CN35" s="65">
        <f>IF($B35=Analysis!$C$100,NPER(CR35,-CU35,-CM35),0)</f>
        <v>0</v>
      </c>
      <c r="CO35" s="64">
        <f>IF($B35=Analysis!$C$100,Analysis!$C$103,0)</f>
        <v>0</v>
      </c>
      <c r="CP35" s="1">
        <f>IF(OR($B35&lt;Analysis!$C$100, $B35&gt;=Analysis!$C$101),0,IF($B35=Analysis!$C$100,-CM35*CO35,IF(CU35&gt;=0,0,CU35-CS35)))</f>
        <v>0</v>
      </c>
      <c r="CQ35" s="1">
        <f>IF(OR($B35&lt;Analysis!$C$100, $B35&gt;=Analysis!$C$101),0,IF($B35=Analysis!$C$100,-CM35-CP35,MIN(0,CQ34-CP35)))</f>
        <v>0</v>
      </c>
      <c r="CR35" s="64">
        <f>IF(OR($B35&lt;Analysis!$C$100, $B35&gt;=Analysis!$C$101),0,IF($B35=Analysis!$C$100,Analysis!$C$102,IF(($B35-Analysis!$C$100)&lt;LOOKUP(Analysis!$C$100,$B:$B,CN:CN),CR34,0)))</f>
        <v>0</v>
      </c>
      <c r="CS35" s="1">
        <f>IF(OR($B35&lt;Analysis!$C$100, $B35&gt;=Analysis!$C$101),0,IF($B35=Analysis!$C$100,-CR35*CM35,CR34*CQ34))</f>
        <v>0</v>
      </c>
      <c r="CT35" s="1">
        <f>IF(OR($B35&lt;Analysis!$C$100, $B35&gt;=Analysis!$C$101),0,IF($B35=Analysis!$C$100,PMT(CR35,CN35,CM35)*CN35-CU35-CQ35,IF(($B35-Analysis!$C$100+1)&lt;LOOKUP(Analysis!$C$100,$B:$B,CN:CN),IF(CT34-CS35&lt;0, CT34-CS35,0),0)))</f>
        <v>0</v>
      </c>
      <c r="CU35" s="1">
        <f>IF(OR($B35&lt;Analysis!$C$100, $B35&gt;=Analysis!$C$101),0,IF($B35=Analysis!$C$100,CP35+CS35,IF(CQ34&lt;0,IF(CQ34&gt;LOOKUP(Analysis!$C$100,$B:$B,CU:CU), CQ34*(1+CR34),CU34),0)))</f>
        <v>0</v>
      </c>
      <c r="CV35" s="1">
        <f>IF($B35=Analysis!$C$100,Analysis!$C$105,0)</f>
        <v>0</v>
      </c>
      <c r="CW35" s="1">
        <f>IF($B35=Analysis!$C$100,PMT(CR35,CX35,CV35)*CX35,0)</f>
        <v>0</v>
      </c>
      <c r="CX35" s="7">
        <f>IF($B35=Analysis!$C$100,Analysis!$C$107,0)</f>
        <v>0</v>
      </c>
      <c r="CY35" s="1">
        <f>IF(OR($B35&lt;Analysis!$C$100, $B35&gt;=Analysis!$C$101),0,IF($B35=Analysis!$C$100,CW35/CX35,IF(($B35-Analysis!$C$100)&lt;LOOKUP(Analysis!$C$100,$B:$B,CX:CX),CY34,0)))</f>
        <v>0</v>
      </c>
      <c r="CZ35" s="1">
        <f>IF(OR($B35&lt;Analysis!$C$100, $B35&gt;=Analysis!$C$101),0,IF($B35=Analysis!$C$100,CX35*CY35-CY35,IF(($B35-Analysis!$C$100)&lt;Analysis!$C$107,CZ34-CY35,0)))</f>
        <v>0</v>
      </c>
      <c r="DA35" s="53"/>
      <c r="DB35" s="1">
        <f>IF(OR($B35&lt;Analysis!$C$100, $B35&gt;=Analysis!$C$101),0,IF($B35=2025,(Analysis!$C$109*12),IF($B35=Analysis!$C$100,(Analysis!$C$109*12)*(1+DC35)^($B35-$B$2),DB34*(1+DC35))))</f>
        <v>36074.841483881675</v>
      </c>
      <c r="DC35" s="64">
        <f>IF(OR($B35&lt;Analysis!$C$100, $B35&gt;=Analysis!$C$101),0,((1+Analysis!$C$114)/(1+$S35))-1)</f>
        <v>2.941176470588247E-2</v>
      </c>
      <c r="DD35" s="1">
        <f t="shared" si="6"/>
        <v>44092.089889731222</v>
      </c>
      <c r="DE35" s="1">
        <f t="shared" si="27"/>
        <v>-4057.2484058495465</v>
      </c>
      <c r="DF35" s="64">
        <f>IF(OR($B35&lt;Analysis!$C$100, $B35&gt;=Analysis!$C$101),0,Analysis!$C$118)</f>
        <v>3.0000000000000001E-3</v>
      </c>
      <c r="DG35" s="1">
        <f t="shared" si="28"/>
        <v>-10143.121014623866</v>
      </c>
      <c r="DH35" s="64">
        <f>IF(OR($B35&lt;Analysis!$C$100, $B35&gt;=Analysis!$C$101),0,Analysis!$C$119)</f>
        <v>7.4999999999999997E-3</v>
      </c>
      <c r="DI35" s="1">
        <f>IF(OR($B35&lt;Analysis!$C$100, $B35&gt;=Analysis!$C$101),0,MIN(Analysis!$C$120*12,SUM(DJ35:DN35)))</f>
        <v>-3960</v>
      </c>
      <c r="DJ35" s="1">
        <f>IF(OR($B35&lt;Analysis!$C$100, $B35&gt;=Analysis!$C$101),0,Analysis!$C$121*12)</f>
        <v>-900</v>
      </c>
      <c r="DK35" s="1">
        <f>IF(OR($B35&lt;Analysis!$C$100, $B35&gt;=Analysis!$C$101),0,Analysis!$C$122*12)</f>
        <v>-1500</v>
      </c>
      <c r="DL35" s="1">
        <f>IF(OR($B35&lt;Analysis!$C$100, $B35&gt;=Analysis!$C$101),0,Analysis!$C$123*12)</f>
        <v>-480</v>
      </c>
      <c r="DM35" s="1">
        <f>IF(OR($B35&lt;Analysis!$C$100, $B35&gt;=Analysis!$C$101),0,Analysis!$C$124*12)</f>
        <v>-480</v>
      </c>
      <c r="DN35" s="1">
        <f>IF(OR($B35&lt;Analysis!$C$100, $B35&gt;=Analysis!$C$101),0,Analysis!$C$125*12)</f>
        <v>-600</v>
      </c>
      <c r="DO35" s="64">
        <f>IF(OR($B35&lt;Analysis!$C$100, $B35&gt;=Analysis!$C$101),0,Analysis!$C$113)</f>
        <v>0.02</v>
      </c>
      <c r="DP35" s="1">
        <f>-DO35*LOOKUP(Analysis!$C$100,$B:$B,CK:CK)</f>
        <v>-10392</v>
      </c>
      <c r="DQ35" s="1">
        <f>-Analysis!$C$117*DB35</f>
        <v>-2705.6131112911257</v>
      </c>
      <c r="DR35" s="1">
        <f t="shared" si="29"/>
        <v>-31257.982531764537</v>
      </c>
      <c r="DS35" s="1">
        <f>MIN(0,-(DB35+DR35)*Analysis!$C$28)-CS35*Analysis!$C$28</f>
        <v>-2134.3502016831035</v>
      </c>
      <c r="DT35" s="1">
        <f>-Analysis!$C$116*DD35/12</f>
        <v>-3674.3408241442685</v>
      </c>
      <c r="DU35" s="53"/>
      <c r="DV35" s="1">
        <f t="shared" si="30"/>
        <v>-172433.05724860574</v>
      </c>
      <c r="DW35" s="64">
        <f>IF(OR($B35&lt;Analysis!$C$100, $B35&gt;=Analysis!$C$101),0,IF($B35=Analysis!$C$100,Analysis!$C$31,DW34))</f>
        <v>0.1275</v>
      </c>
      <c r="DX35" s="1">
        <f>IF(OR($B35&lt;Analysis!$C$100, $B35&gt;=Analysis!$C$101),0,CK35+DV35)</f>
        <v>1179983.0780345765</v>
      </c>
      <c r="DY35" s="1">
        <f>IF(OR($B35&lt;Analysis!$C$100, $B35&gt;=Analysis!$C$101),0,IF($B35-Analysis!$C$100&gt;3,0,IF(CK35&gt;LOOKUP(Analysis!$C$100,$B:$B, CK:CK),$V35*(LOOKUP(Analysis!$C$100,$B:$B, CK:CK)-CK35),0)))</f>
        <v>0</v>
      </c>
      <c r="DZ35" s="1">
        <f t="shared" si="49"/>
        <v>1179983.0780345765</v>
      </c>
      <c r="EA35" s="53"/>
      <c r="EB35" s="1">
        <f t="shared" si="31"/>
        <v>1795933.6669464903</v>
      </c>
      <c r="EC35" s="64">
        <f t="shared" si="50"/>
        <v>2.941176470588247E-2</v>
      </c>
      <c r="ED35" s="1">
        <f>MAX(0,IF($B35=Analysis!$C$130,(EB35*(1+Analysis!$C$23+Analysis!$C$24+Analysis!$C$25))-(IF($B35=$B$2,(Analysis!$C$6-Analysis!$C$7+Analysis!$C$132), (FU34-Analysis!$C$7+EM35)) + IF($B35=Analysis!$C$101,DZ34+CQ34+CT34+CZ34,0)),0))</f>
        <v>0</v>
      </c>
      <c r="EE35" s="65">
        <f>IF($B35=Analysis!$C$130,IF(ED35&gt;0,NPER(EI35,-EL35,-ED35),0),0)</f>
        <v>0</v>
      </c>
      <c r="EF35" s="64">
        <f>IF($B35=Analysis!$C$130,Analysis!$C$137,0)</f>
        <v>0</v>
      </c>
      <c r="EG35" s="1">
        <f>IF($B35&lt;Analysis!$C$130,0,IF($B35=Analysis!$C$130,-ED35*EF35,IF(EL35&gt;=0,0,EL35-EJ35)))</f>
        <v>0</v>
      </c>
      <c r="EH35" s="1">
        <f>IF($B35&lt;Analysis!$C$130,0,IF($B35=Analysis!$C$130,-ED35-EG35,MIN(0,EH34-EG35)))</f>
        <v>0</v>
      </c>
      <c r="EI35" s="64">
        <f>IF($B35&lt;Analysis!$C$130,0,IF($B35=Analysis!$C$130,Analysis!$C$136,IF(($B35-Analysis!$C$130)&lt;LOOKUP(Analysis!$C$130,$B:$B,EE:EE),EI34,0)))</f>
        <v>0</v>
      </c>
      <c r="EJ35" s="1">
        <f>IF($B35&lt;Analysis!$C$130,0,IF($B35=Analysis!$C$130,-EI35*ED35,EI34*EH34))</f>
        <v>0</v>
      </c>
      <c r="EK35" s="1">
        <f>IF(OR($B35&lt;Analysis!$C$130, ED35=0),0,IF($B35=Analysis!$C$130,PMT(EI35,EE35,ED35)*EE35-EL35-EH35,IF(($B35-Analysis!$C$130+1)&lt;LOOKUP(Analysis!$C$130,$B:$B,EE:EE),IF(EK34-EJ35&lt;0, EK34-EJ35,0),0)))</f>
        <v>0</v>
      </c>
      <c r="EL35" s="1">
        <f>IF($B35&lt;Analysis!$C$130,0,IF($B35=Analysis!$C$130,EG35+EJ35,IF(EH34&lt;0,IF(EH34&gt;LOOKUP(Analysis!$C$130,$B:$B,EL:EL), EH34*(1+EI34),EL34),0)))</f>
        <v>0</v>
      </c>
      <c r="EM35" s="1">
        <f>IF($B35=Analysis!$C$130,Analysis!$C$132,0)</f>
        <v>0</v>
      </c>
      <c r="EN35" s="1">
        <f>IF($B35=Analysis!$C$130,PMT(EI35,EO35,EM35)*EO35,0)</f>
        <v>0</v>
      </c>
      <c r="EO35" s="7">
        <f>IF($B35=Analysis!$C$130,Analysis!$C$134,0)</f>
        <v>0</v>
      </c>
      <c r="EP35" s="1">
        <f>IF($B35&lt;Analysis!$C$130,0,IF($B35=Analysis!$C$130,EN35/EO35,IF(($B35-Analysis!$C$130)&lt;LOOKUP(Analysis!$C$130,$B:$B,EO:EO),EP34,0)))</f>
        <v>0</v>
      </c>
      <c r="EQ35" s="1">
        <f>IF($B35&lt;Analysis!$C$130,0,IF($B35=Analysis!$C$130,EO35*EP35-EP35,IF(($B35-Analysis!$C$130)&lt;Analysis!$C$134,EQ34-EP35,0)))</f>
        <v>0</v>
      </c>
      <c r="ER35" s="53"/>
      <c r="ES35" s="1">
        <f>IF($B35&lt;Analysis!$C$130,0,-ET35*EB35)</f>
        <v>0</v>
      </c>
      <c r="ET35" s="64">
        <f>IF($B35&lt;Analysis!$C$130,0,Analysis!$C$142)</f>
        <v>0</v>
      </c>
      <c r="EU35" s="1">
        <f>IF($B35&lt;Analysis!$C$130,0,-EV35*EB35)</f>
        <v>0</v>
      </c>
      <c r="EV35" s="64">
        <f>IF($B35&lt;Analysis!$C$130,0,Analysis!$C$143)</f>
        <v>0</v>
      </c>
      <c r="EW35" s="1">
        <f>IF($B35&lt;Analysis!$C$130,0,MIN(Analysis!$C$144*12,SUM(EX35:FB35)))</f>
        <v>0</v>
      </c>
      <c r="EX35" s="1">
        <f>IF($B35&lt;Analysis!$C$130,0,Analysis!$C$145*12)</f>
        <v>0</v>
      </c>
      <c r="EY35" s="1">
        <f>IF($B35&lt;Analysis!$C$130,0,Analysis!$C$146*12)</f>
        <v>0</v>
      </c>
      <c r="EZ35" s="1">
        <f>IF($B35&lt;Analysis!$C$130,0,Analysis!$C$147*12)</f>
        <v>0</v>
      </c>
      <c r="FA35" s="1">
        <f>IF($B35&lt;Analysis!$C$130,0,Analysis!$C$148*12)</f>
        <v>0</v>
      </c>
      <c r="FB35" s="1">
        <f>IF($B35&lt;Analysis!$C$130,0,Analysis!$C$149*12)</f>
        <v>0</v>
      </c>
      <c r="FC35" s="1">
        <v>0</v>
      </c>
      <c r="FD35" s="1">
        <f>-FC35*Analysis!$C$28</f>
        <v>0</v>
      </c>
      <c r="FE35" s="53"/>
      <c r="FF35" s="1">
        <f t="shared" si="32"/>
        <v>0</v>
      </c>
      <c r="FG35" s="64">
        <f>IF($B35&lt;Analysis!$C$130,0,Analysis!$C$31)</f>
        <v>0</v>
      </c>
      <c r="FH35" s="1">
        <f>IF($B35&lt;Analysis!$C$130,0,EB35+FF35)</f>
        <v>0</v>
      </c>
      <c r="FI35" s="1">
        <f>IF($B35-Analysis!$C$130&gt;3,0,IF(EB35&gt;LOOKUP(Analysis!$C$130,$B:$B, EB:EB),$V35*(LOOKUP(Analysis!$C$130,$B:$B, EB:EB)-EB35),0))</f>
        <v>0</v>
      </c>
      <c r="FJ35" s="1">
        <f t="shared" si="33"/>
        <v>0</v>
      </c>
      <c r="FK35" s="53"/>
      <c r="FL35" s="1">
        <f>$P35+$N35+IF($B35&lt;Analysis!$C$130,$X35+$Z35,0)+CP35+CS35+CY35+DE35+DG35+MIN(DI35,SUM(DJ35:DN35))+DQ35+DS35+DT35+EG35+EJ35+EP35+ES35+EU35+MIN(EW35,SUM(EX35:FB35))+FD35</f>
        <v>-119863.06382488522</v>
      </c>
      <c r="FM35" s="1">
        <f>$M35+$R35+DD35+IF(AND($B35&lt;&gt;Analysis!$C$130,$B35=Analysis!$C$101),DZ34+CQ34+CT34+CZ34,0)</f>
        <v>175560.01313095712</v>
      </c>
      <c r="FN35" s="1">
        <f t="shared" si="34"/>
        <v>55696.949306071896</v>
      </c>
      <c r="FO35" s="1">
        <f>IF(FN35 &lt; 0,
    IF(FO34 + FN35 &gt; 0,
        FO34 + FN35, IF(FT34-ABS(FO34 + FN35)*(1+$V35) &gt;= FO34 + FN35,
        0, FO34 + FN35)),
    MIN(FO34 + FN35, Analysis!$C$7))+IF(FO34&lt;0, FO34*Analysis!$C$9,0)</f>
        <v>24000</v>
      </c>
      <c r="FP35" s="53"/>
      <c r="FQ35" s="1">
        <f t="shared" si="51"/>
        <v>21269.724075860366</v>
      </c>
      <c r="FR35" s="1">
        <f>IF(OR($B35=Analysis!$C$100, $B35=Analysis!$C$130),0,IF(FN35 &gt;= 0,
    MAX(0, FO34 + FN35 - Analysis!$C$7),
    0))</f>
        <v>55696.949306071896</v>
      </c>
      <c r="FS35" s="1">
        <f>IF(OR($B35=Analysis!$C$100, $B35=Analysis!$C$130),0,MAX(0, FS34 + FR35 - IF(FN35 &lt; 0, MIN(ABS(FN35), FS34 + FR35), 0)))</f>
        <v>712519.27353322366</v>
      </c>
      <c r="FT35" s="1">
        <f>IF(OR($B35=Analysis!$C$100, $B35=Analysis!$C$130),0,IF(FN35 &lt; 0,
    IF(FN35 + FO34 &lt; 0,
        MAX(0, FT34 - (ABS(FN35 + FO34) * (1+$V34))),
        FT34 + FQ35),
    FT34 + FR35 + FQ35))</f>
        <v>1049966.6086820466</v>
      </c>
      <c r="FU35" s="1">
        <f t="shared" si="57"/>
        <v>960964.87403654458</v>
      </c>
      <c r="FV35" s="36"/>
      <c r="FW35" s="1">
        <f t="shared" si="52"/>
        <v>1352416.1352831821</v>
      </c>
      <c r="FX35" s="64">
        <f t="shared" si="53"/>
        <v>2.941176470588247E-2</v>
      </c>
      <c r="FY35" s="1">
        <f>IF($B35=Analysis!$C$159,(FW35*(1+Analysis!$C$23+Analysis!$C$24+Analysis!$C$25))-IF($B35=$B$2,(Analysis!$C$6-Analysis!$C$7+Analysis!$C$165), (HW34-Analysis!$C$7+GH35)),0)</f>
        <v>0</v>
      </c>
      <c r="FZ35" s="65">
        <f>IF($B35=Analysis!$C$159,NPER(GD35,-GG35,-FY35),0)</f>
        <v>0</v>
      </c>
      <c r="GA35" s="64">
        <f>IF($B35=Analysis!$C$159,Analysis!$C$161,0)</f>
        <v>0</v>
      </c>
      <c r="GB35" s="1">
        <f>IF($B35&lt;Analysis!$C$159,0,IF($B35=Analysis!$C$159,-FY35*GA35,IF(GG35&gt;=0,0,GG35-GE35)))</f>
        <v>0</v>
      </c>
      <c r="GC35" s="1">
        <f>IF($B35&lt;Analysis!$C$159,0,IF($B35=Analysis!$C$159,-FY35-GB35,MIN(0,GC34-GB35)))</f>
        <v>0</v>
      </c>
      <c r="GD35" s="64">
        <f>IF($B35&lt;Analysis!$C$159,0,IF($B35=Analysis!$C$159,Analysis!$C$160,IF(($B35-Analysis!$C$159)&lt;LOOKUP(Analysis!$C$159,$B:$B,FZ:FZ),GD34,0)))</f>
        <v>0</v>
      </c>
      <c r="GE35" s="1">
        <f>IF($B35&lt;Analysis!$C$159,0,IF($B35=Analysis!$C$159,-GD35*FY35,GD34*GC34))</f>
        <v>0</v>
      </c>
      <c r="GF35" s="1">
        <f>IF($B35&lt;Analysis!$C$159,0,IF($B35=Analysis!$C$159,PMT(GD35,FZ35,FY35)*FZ35-GG35-GC35,IF(($B35-Analysis!$C$159+1)&lt;LOOKUP(Analysis!$C$159,$B:$B,FZ:FZ),IF(GF34-GE35&lt;0, GF34-GE35,0),0)))</f>
        <v>0</v>
      </c>
      <c r="GG35" s="1">
        <f>IF($B35&lt;Analysis!$C$159,0,IF($B35=Analysis!$C$159,GB35+GE35,IF(GC34&lt;0,IF(GC34&gt;LOOKUP(Analysis!$C$159,$B:$B,GG:GG), GC34*(1+GD34),GG34),0)))</f>
        <v>0</v>
      </c>
      <c r="GH35" s="1">
        <f>IF($B35=Analysis!$C$159,Analysis!$C$165,0)</f>
        <v>0</v>
      </c>
      <c r="GI35" s="1">
        <f>IF($B35=Analysis!$C$159,PMT(GD35,GJ35,GH35)*GJ35,0)</f>
        <v>0</v>
      </c>
      <c r="GJ35" s="7">
        <f>IF($B35=Analysis!$C$159,Analysis!$C$167,0)</f>
        <v>0</v>
      </c>
      <c r="GK35" s="1">
        <f>IF($B35&lt;Analysis!$C$159,0,IF($B35=Analysis!$C$159,GI35/GJ35,IF(($B35-Analysis!$C$159)&lt;LOOKUP(Analysis!$C$159,$B:$B,GJ:GJ),GK34,0)))</f>
        <v>0</v>
      </c>
      <c r="GL35" s="1">
        <f>IF($B35&lt;Analysis!$C$159,0,IF($B35=Analysis!$C$159,GJ35*GK35-GK35,IF(($B35-Analysis!$C$159)&lt;Analysis!$C$167,GL34-GK35,0)))</f>
        <v>0</v>
      </c>
      <c r="GM35" s="38"/>
      <c r="GN35" s="1">
        <f>IF($B35&lt;Analysis!$C$159,0,IF($B35=2025,(Analysis!$C$109*12),IF($B35=Analysis!$C$159,(Analysis!$C$109*12)*(1+GO35)^($B35-$B$2),GN34*(1+GO35))))</f>
        <v>36074.841483881675</v>
      </c>
      <c r="GO35" s="64">
        <f>IF($B35&lt;Analysis!$C$159,0,((1+Analysis!$C$174)/(1+$S35))-1)</f>
        <v>2.941176470588247E-2</v>
      </c>
      <c r="GP35" s="1">
        <f t="shared" si="7"/>
        <v>44092.089889731222</v>
      </c>
      <c r="GQ35" s="1">
        <f t="shared" si="36"/>
        <v>-4057.2484058495465</v>
      </c>
      <c r="GR35" s="64">
        <f>IF($B35&lt;Analysis!$C$159,0,Analysis!$C$178)</f>
        <v>3.0000000000000001E-3</v>
      </c>
      <c r="GS35" s="1">
        <f t="shared" si="37"/>
        <v>-10143.121014623866</v>
      </c>
      <c r="GT35" s="64">
        <f>IF($B35&lt;Analysis!$C$159,0,Analysis!$C$179)</f>
        <v>7.4999999999999997E-3</v>
      </c>
      <c r="GU35" s="1">
        <f>IF($B35&lt;Analysis!$C$159,0,MIN(Analysis!$C$180*12,SUM(GV35:GZ35)))</f>
        <v>-3960</v>
      </c>
      <c r="GV35" s="1">
        <f>IF($B35&lt;Analysis!$C$159,0,Analysis!$C$181*12)</f>
        <v>-900</v>
      </c>
      <c r="GW35" s="1">
        <f>IF($B35&lt;Analysis!$C$159,0,Analysis!$C$182*12)</f>
        <v>-1500</v>
      </c>
      <c r="GX35" s="1">
        <f>IF($B35&lt;Analysis!$C$159,0,Analysis!$C$183*12)</f>
        <v>-480</v>
      </c>
      <c r="GY35" s="1">
        <f>IF($B35&lt;Analysis!$C$159,0,Analysis!$C$184*12)</f>
        <v>-480</v>
      </c>
      <c r="GZ35" s="1">
        <f>IF($B35&lt;Analysis!$C$159,0,Analysis!$C$185*12)</f>
        <v>-600</v>
      </c>
      <c r="HA35" s="64">
        <f>IF($B35&lt;Analysis!$C$159,0,Analysis!$C$173)</f>
        <v>0.02</v>
      </c>
      <c r="HB35" s="1">
        <f>-HA35*LOOKUP(Analysis!$C$159,$B:$B,FW:FW)</f>
        <v>-10392</v>
      </c>
      <c r="HC35" s="1">
        <f>-Analysis!$C$177*GN35</f>
        <v>-2705.6131112911257</v>
      </c>
      <c r="HD35" s="1">
        <f t="shared" si="38"/>
        <v>-31257.982531764537</v>
      </c>
      <c r="HE35" s="1">
        <f>MIN(0,-(GN35+HD35)*Analysis!$C$28)-GE35*Analysis!$C$28</f>
        <v>-2134.3502016831035</v>
      </c>
      <c r="HF35" s="1">
        <f>-Analysis!$C$176*GP35/12</f>
        <v>-3674.3408241442685</v>
      </c>
      <c r="HG35" s="38"/>
      <c r="HH35" s="1">
        <f>IF($B35&lt;Analysis!$C$159,0,-$HI35*$FW35)</f>
        <v>-172433.05724860574</v>
      </c>
      <c r="HI35" s="64">
        <f>IF($B35&lt;Analysis!$C$159,0,IF($B35=Analysis!$C$159,Analysis!$C$31,HI34))</f>
        <v>0.1275</v>
      </c>
      <c r="HJ35" s="1">
        <f>IF($B35&lt;Analysis!$C$159,0,$FW35+HH35)</f>
        <v>1179983.0780345765</v>
      </c>
      <c r="HK35" s="1">
        <f>IF($B35-Analysis!$C$159&gt;10,0,IF($FW35&gt;LOOKUP(Analysis!$C$159,$B:$B, FW:FW),$V35*(LOOKUP(Analysis!$C$159,$B:$B, FW:FW)-FW35),0))</f>
        <v>0</v>
      </c>
      <c r="HL35" s="1">
        <f t="shared" si="39"/>
        <v>1179983.0780345765</v>
      </c>
      <c r="HM35" s="38"/>
      <c r="HN35" s="1">
        <f t="shared" si="40"/>
        <v>-119863.06382488522</v>
      </c>
      <c r="HO35" s="1">
        <f t="shared" si="8"/>
        <v>175560.01313095712</v>
      </c>
      <c r="HP35" s="1">
        <f t="shared" si="41"/>
        <v>55696.949306071896</v>
      </c>
      <c r="HQ35" s="1">
        <f>IF(HP35 &lt; 0,
    IF(HQ34 + HP35 &gt; 0,
        HQ34 + HP35, IF(HV34-ABS(HQ34 + HP35)*(1+$V35) &gt;= HQ34 + HP35,
        0, HQ34 + HP35)),
    MIN(HQ34 + HP35, Analysis!$C$7))+IF(HQ34&lt;0, HQ34*Analysis!$C$9,0)</f>
        <v>24000</v>
      </c>
      <c r="HR35" s="38"/>
      <c r="HS35" s="1">
        <f t="shared" si="54"/>
        <v>21269.724075860366</v>
      </c>
      <c r="HT35" s="1">
        <f>IF($B35=Analysis!$C$159,0,IF(HP35 &gt;= 0,
    MAX(0, HQ34 + HP35 - Analysis!$C$7),
    0))</f>
        <v>55696.949306071896</v>
      </c>
      <c r="HU35" s="1">
        <f>IF($B35=Analysis!$C$159,0,MAX(0, HU34 + HT35 - IF(HP35 &lt; 0, MIN(ABS(HP35), HU34 + HT35), 0)))</f>
        <v>712519.27353322366</v>
      </c>
      <c r="HV35" s="1">
        <f>IF($B35=Analysis!$C$159,0,IF(HP35 &lt; 0,
    IF(HP35 + HQ34 &lt; 0,
        MAX(0, HV34 - (ABS(HP35 + HQ34) * (1+$V34))),
        HV34 + HS35),
    HV34 + HT35 + HS35))</f>
        <v>1049966.6086820466</v>
      </c>
      <c r="HW35" s="1">
        <f t="shared" si="58"/>
        <v>960964.87403654458</v>
      </c>
      <c r="HX35" s="36"/>
    </row>
    <row r="36" spans="1:232" x14ac:dyDescent="0.35">
      <c r="A36">
        <f t="shared" si="0"/>
        <v>69</v>
      </c>
      <c r="B36">
        <v>2059</v>
      </c>
      <c r="C36" s="1">
        <f>IF($B36&lt;Analysis!C$66,0,$AN36)+$AT36+$AW36+$BC36+$CF36+$CA36</f>
        <v>-456582.84340320947</v>
      </c>
      <c r="D36" s="1">
        <f>IF($B36&lt;Analysis!C$66, 0, BV36)+AT36+AW36+BC36+CG36+CA36</f>
        <v>-760622.70060637873</v>
      </c>
      <c r="E36" s="1">
        <f t="shared" si="1"/>
        <v>2241820.0911195469</v>
      </c>
      <c r="F36" s="1">
        <f t="shared" si="9"/>
        <v>1948696.0856865405</v>
      </c>
      <c r="G36" s="1">
        <f>IF(AND($B36&gt;=Analysis!$C$100, $B36&lt;Analysis!$C$101),$CK36,0)+IF($B36&gt;=Analysis!$C$130,EB36,0)+CQ36+CT36+CZ36+EH36+EK36+EQ36+$FO36+$FT36</f>
        <v>2542131.2497032215</v>
      </c>
      <c r="H36" s="1">
        <f t="shared" si="10"/>
        <v>2270045.9864885164</v>
      </c>
      <c r="I36" s="1">
        <f>IF($B36&lt;Analysis!$C$159,0,$FW36)+$GC36+$GF36+$GL36+$HQ36+$HV36</f>
        <v>2542131.2497032215</v>
      </c>
      <c r="J36" s="1">
        <f t="shared" si="59"/>
        <v>2270045.9864885164</v>
      </c>
      <c r="K36" s="36"/>
      <c r="L36" s="1">
        <f t="shared" si="11"/>
        <v>131467.92324122589</v>
      </c>
      <c r="M36" s="1">
        <f>IF($B36=Analysis!$C$47, M35 * (1 - Analysis!$C$48),
    IF($B36=Analysis!$C$52, M35 * (1 - Analysis!$C$53),
    IF($B36=Analysis!$C$58, M35 * (1 - Analysis!$C$60),
    L36)))</f>
        <v>131467.92324122589</v>
      </c>
      <c r="N36" s="1">
        <f>Analysis!$C$3*12*(1+O36)+P36</f>
        <v>-48000</v>
      </c>
      <c r="O36" s="64">
        <f>IF(OR($B36=Analysis!$C$47,$B36=Analysis!$C$52,$B36=Analysis!$C$58),-Analysis!$C$49,0)</f>
        <v>0</v>
      </c>
      <c r="P36" s="1">
        <f>IF($B36&lt;Analysis!$C$47,0,IF($B36-Analysis!$C$47&lt;=3,Analysis!$C$40+Analysis!$C$44,IF($B36-Analysis!$C$47&lt;=10,Analysis!$C$41+Analysis!$C$44,IF($B36-Analysis!$C$47&lt;=18,Analysis!$C$42+Analysis!$C$44,IF($B36-Analysis!$C$47&lt;=25,Analysis!$C$43+Analysis!$C$44,0)))) + IF(AND($B36&gt;=Analysis!$C$52, $B36-Analysis!$C$52&lt;=3),Analysis!$C$40+Analysis!$C$44,IF(AND($B36&gt;=Analysis!$C$52, $B36-Analysis!$C$52&lt;=10),Analysis!$C$41+Analysis!$C$44,IF(AND($B36&gt;=Analysis!$C$52, $B36-Analysis!$C$52&lt;=18),Analysis!$C$42+Analysis!$C$44,IF(AND($B36&gt;=Analysis!$C$52, $B36-Analysis!$C$52&lt;=25),Analysis!$C$43+Analysis!$C$44,0)))) + Analysis!$C$57*IF(AND($B36&gt;=Analysis!$C$58, $B36-Analysis!$C$58&lt;=3),Analysis!$C$40+Analysis!$C$44,IF(AND($B36&gt;=Analysis!$C$58, $B36-Analysis!$C$58&lt;=10),Analysis!$C$41+Analysis!$C$44,IF(AND($B36&gt;=Analysis!$C$58, $B36-Analysis!$C$58&lt;=18),Analysis!$C$42+Analysis!$C$44,IF(AND($B36&gt;=Analysis!$C$58, $B36-Analysis!$C$58&lt;=25),Analysis!$C$43+Analysis!$C$44,0)))))</f>
        <v>0</v>
      </c>
      <c r="Q36" s="1">
        <f t="shared" si="43"/>
        <v>0</v>
      </c>
      <c r="R36" s="1">
        <f>IF(AND(AND(B36=Analysis!C$35,Analysis!C$34&lt;&gt;0),AND(B36=Analysis!C$37,Analysis!C$36&lt;&gt;0)),Analysis!C$34+Analysis!C$36,IF(AND(B36=Analysis!C$35,Analysis!C$34&lt;&gt;0),Analysis!C$34,IF(AND(B36=Analysis!C$37,Analysis!C$36&lt;&gt;0),Analysis!C$36,0)))</f>
        <v>0</v>
      </c>
      <c r="S36" s="64">
        <f t="shared" si="12"/>
        <v>0.02</v>
      </c>
      <c r="T36" s="64">
        <f>IF($B36&lt;Analysis!$C$13, ((1+IF($B36-$B$2&lt;10,Analysis!$C$11,IF($B36-$B$2&lt;20,(Analysis!$C$11+Analysis!$C$12)/2,Analysis!$C$12)))/(1+$S36)-1),IF($B36=Analysis!$C$13,-Analysis!$C$14,-$S36))</f>
        <v>0</v>
      </c>
      <c r="U36" s="64">
        <f>IF($B36=$B$2,((1+Analysis!$C$16)/(1+$S36))-1,IF(B36&lt;Analysis!$C$13,U35-((Analysis!$C$16-Analysis!$C$17)/(Analysis!$C$13-$B$2)),((1+Analysis!$C$17)/(1+$S35))-1))</f>
        <v>2.0145658263305489E-2</v>
      </c>
      <c r="V36" s="64">
        <f t="shared" si="13"/>
        <v>0.26374999999999998</v>
      </c>
      <c r="W36" s="36"/>
      <c r="X36" s="1">
        <f t="shared" si="14"/>
        <v>-42440.989981037252</v>
      </c>
      <c r="Y36" s="64">
        <f t="shared" si="15"/>
        <v>2.941176470588247E-2</v>
      </c>
      <c r="Z36" s="1">
        <f t="shared" si="16"/>
        <v>-3960</v>
      </c>
      <c r="AA36" s="64">
        <f t="shared" si="17"/>
        <v>0</v>
      </c>
      <c r="AB36" s="40"/>
      <c r="AC36" s="1">
        <f t="shared" si="3"/>
        <v>-94400.989981037244</v>
      </c>
      <c r="AD36" s="1">
        <f t="shared" si="4"/>
        <v>131467.92324122589</v>
      </c>
      <c r="AE36" s="1">
        <f t="shared" si="18"/>
        <v>37066.933260188642</v>
      </c>
      <c r="AF36" s="1">
        <f>IF(AE36 &lt; 0,
    IF(AF35 + AE36 &gt; 0,
        AF35 + AE36, IF(AK35-ABS(AF35 + AE36)*(1+$V36) &gt;= AF35 + AE36,
        0, AF35 + AE36)),
    MIN(AF35 + AE36, Analysis!$C$7))+IF(AF35&lt;0, AF35*Analysis!$C$9,0)</f>
        <v>24000</v>
      </c>
      <c r="AG36" s="40"/>
      <c r="AH36" s="1">
        <f t="shared" si="19"/>
        <v>43065.132433783925</v>
      </c>
      <c r="AI36" s="1">
        <f>IF(AE36 &gt;= 0,
    MAX(0, AF35 + AE36 - Analysis!$C$7),
    0)</f>
        <v>37066.933260188642</v>
      </c>
      <c r="AJ36" s="1">
        <f t="shared" si="44"/>
        <v>1106449.4544067264</v>
      </c>
      <c r="AK36" s="1">
        <f t="shared" si="20"/>
        <v>2217820.0911195469</v>
      </c>
      <c r="AL36" s="1">
        <f t="shared" si="5"/>
        <v>1924696.0856865405</v>
      </c>
      <c r="AM36" s="36"/>
      <c r="AN36" s="1">
        <f t="shared" si="45"/>
        <v>2384626.3310052487</v>
      </c>
      <c r="AO36" s="64">
        <f t="shared" si="21"/>
        <v>2.941176470588247E-2</v>
      </c>
      <c r="AP36" s="1">
        <f>IF($B36=Analysis!$C$66,(AN36*(1+Analysis!$C$23+Analysis!$C$24+Analysis!$C$25))-IF($B36=$B$2,(Analysis!$C$6-Analysis!$C$7+Analysis!$C$68), ($CG35-Analysis!$C$7+AY36)),0)</f>
        <v>0</v>
      </c>
      <c r="AQ36" s="65">
        <f>IF($B36=Analysis!$C$66,NPER(AU36,-AX36,-AP36),0)</f>
        <v>0</v>
      </c>
      <c r="AR36" s="64">
        <f>IF($B36=Analysis!$C$66,Analysis!$C$73,0)</f>
        <v>0</v>
      </c>
      <c r="AS36" s="1">
        <f>IF($B36&lt;Analysis!$C$66,0,IF($B36=Analysis!$C$66,-AP36*AR36,IF(AX36&gt;=0,0,AX36-AV36)))</f>
        <v>0</v>
      </c>
      <c r="AT36" s="1">
        <f>IF($B36&lt;Analysis!$C$66,0,IF($B36=Analysis!$C$66,-AP36-AS36,MIN(0,AT35-AS36)))</f>
        <v>0</v>
      </c>
      <c r="AU36" s="64">
        <f>IF($B36&lt;Analysis!$C$66,0,IF($B36=Analysis!$C$66,Analysis!$C$72,IF(($B36-Analysis!$C$66)&lt;LOOKUP(Analysis!$C$66,$B:$B,AQ:AQ),AU35,0)))</f>
        <v>0</v>
      </c>
      <c r="AV36" s="1">
        <f>IF($B36&lt;Analysis!$C$66,0,IF($B36=Analysis!$C$66,-AU36*AP36,AU35*AT35))</f>
        <v>0</v>
      </c>
      <c r="AW36" s="1">
        <f>IF($B36&lt;Analysis!$C$66,0,IF($B36=Analysis!$C$66,PMT(AU36,AQ36,AP36)*AQ36-AX36-AT36,IF(($B36-Analysis!$C$66+1)&lt;LOOKUP(Analysis!$C$66,$B:$B,AQ:AQ),IF(AW35-AV36&lt;0, AW35-AV36,0),0)))</f>
        <v>0</v>
      </c>
      <c r="AX36" s="1">
        <f>IF($B36&lt;Analysis!$C$66,0,IF($B36=Analysis!$C$66,AS36+AV36,IF(AT35&lt;0,IF(AT35&gt;LOOKUP(Analysis!$C$66,$B:$B,AX:AX), AT35*(1+AU35),AX35),0)))</f>
        <v>0</v>
      </c>
      <c r="AY36" s="1">
        <f>IF($B36=Analysis!$C$66,Analysis!$C$68,0)</f>
        <v>0</v>
      </c>
      <c r="AZ36" s="1">
        <f>IF($B36=Analysis!$C$66,PMT(AU36,BA36,AY36)*BA36,0)</f>
        <v>0</v>
      </c>
      <c r="BA36" s="7">
        <f>IF($B36=Analysis!$C$66,Analysis!$C$70,0)</f>
        <v>0</v>
      </c>
      <c r="BB36" s="1">
        <f>IF($B36&lt;Analysis!$C$66,0,IF($B36=Analysis!$C$66,AZ36/BA36,IF(($B36-Analysis!$C$66)&lt;LOOKUP(Analysis!$C$66,$B:$B,BA:BA),BB35,0)))</f>
        <v>0</v>
      </c>
      <c r="BC36" s="1">
        <f>IF($B36&lt;Analysis!$C$66,0,IF($B36=Analysis!$C$66,BA36*BB36-BB36,IF(($B36-Analysis!$C$66)&lt;Analysis!$C$70,BC35-BB36,0)))</f>
        <v>0</v>
      </c>
      <c r="BD36" s="42"/>
      <c r="BE36" s="1">
        <f>IF($B36&lt;Analysis!$C$66,0,-BF36*AN36)</f>
        <v>-7153.8789930157463</v>
      </c>
      <c r="BF36" s="64">
        <f>IF($B36&lt;Analysis!$C$66,0,Analysis!$C$78)</f>
        <v>3.0000000000000001E-3</v>
      </c>
      <c r="BG36" s="1">
        <f>IF($B36&lt;Analysis!$C$66,0,-BH36*AN36)</f>
        <v>-17884.697482539366</v>
      </c>
      <c r="BH36" s="64">
        <f>IF($B36&lt;Analysis!$C$66,0,Analysis!$C$79)</f>
        <v>7.4999999999999997E-3</v>
      </c>
      <c r="BI36" s="1">
        <f>IF($B36&lt;Analysis!$C$66,0,MIN(Analysis!$C$80*12,SUM(BJ36:BN36)))</f>
        <v>-3960</v>
      </c>
      <c r="BJ36" s="1">
        <f>IF($B36&lt;Analysis!$C$66,0,Analysis!$C$81*12)</f>
        <v>-900</v>
      </c>
      <c r="BK36" s="1">
        <f>IF($B36&lt;Analysis!$C$66,0,Analysis!$C$82*12)</f>
        <v>-1500</v>
      </c>
      <c r="BL36" s="1">
        <f>IF($B36&lt;Analysis!$C$66,0,Analysis!$C$83*12)</f>
        <v>-480</v>
      </c>
      <c r="BM36" s="1">
        <f>IF($B36&lt;Analysis!$C$66,0,Analysis!$C$84*12)</f>
        <v>-480</v>
      </c>
      <c r="BN36" s="1">
        <f>IF($B36&lt;Analysis!$C$66,0,Analysis!$C$85*12)</f>
        <v>-600</v>
      </c>
      <c r="BO36" s="1">
        <v>0</v>
      </c>
      <c r="BP36" s="1">
        <f>-BO36*Analysis!$C$28</f>
        <v>0</v>
      </c>
      <c r="BQ36" s="42"/>
      <c r="BR36" s="1">
        <f t="shared" si="22"/>
        <v>-304039.8572031692</v>
      </c>
      <c r="BS36" s="64">
        <f>IF($B36&lt;Analysis!C$66,0,Analysis!C$31)</f>
        <v>0.1275</v>
      </c>
      <c r="BT36" s="1">
        <f>IF($B36&lt;Analysis!$C$66,0,AN36+BR36)</f>
        <v>2080586.4738020794</v>
      </c>
      <c r="BU36" s="1">
        <f>IF($B36-Analysis!$C$66&gt;3,0,IF($AN36&gt;LOOKUP(Analysis!$C$66,$B:$B, AN:AN),$V36*(LOOKUP(Analysis!$C$66,$B:$B, AN:AN)-AN36),0))</f>
        <v>0</v>
      </c>
      <c r="BV36" s="1">
        <f t="shared" si="23"/>
        <v>2080586.4738020794</v>
      </c>
      <c r="BW36" s="42"/>
      <c r="BX36" s="1">
        <f>IF($B36&lt;Analysis!$C$66,$P36+$N36+$X36+$Z36,$P36+$N36+AS36+AV36+BB36+BE36+BG36+MAX(BI36,SUM(BJ36:BN36))+BP36)</f>
        <v>-76998.576475555106</v>
      </c>
      <c r="BY36" s="1">
        <f t="shared" si="24"/>
        <v>131467.92324122589</v>
      </c>
      <c r="BZ36" s="1">
        <f t="shared" si="46"/>
        <v>54469.34676567078</v>
      </c>
      <c r="CA36" s="1">
        <f>IF(BZ36 &lt; 0,
    IF(CA35 + BZ36 &gt; 0,
        CA35 + BZ36, IF(CF35-ABS(CA35 + BZ36)*(1+$V36) &gt;= CA35 + BZ36,
        0, CA35 + BZ36)),
    MIN(CA35 + BZ36, Analysis!$C$7))+IF(CA35&lt;0, CA35*Analysis!$C$9,0)</f>
        <v>-2841209.1744084582</v>
      </c>
      <c r="CB36" s="42"/>
      <c r="CC36" s="1">
        <f t="shared" si="47"/>
        <v>0</v>
      </c>
      <c r="CD36" s="1">
        <f>IF(BZ36 &gt;= 0,
    MAX(0, CA35 + BZ36 - Analysis!$C$7),
    0)</f>
        <v>0</v>
      </c>
      <c r="CE36" s="1">
        <f>IF($B36=Analysis!$C$66,0,MAX(0, CE35 + CD36 - IF(BZ36 &lt; 0, MIN(ABS(BZ36), CE35 + CD36), 0)))</f>
        <v>0</v>
      </c>
      <c r="CF36" s="1">
        <f>IF($B36=Analysis!$C$66,0,IF(BZ36 &lt; 0,
    IF(BZ36 + CA35 &lt; 0,
        MAX(0, CF35 - (ABS(BZ36 + CA35) * (1+$V35))),
        CF35 + CC36),
    CF35 + CD36 + CC36))</f>
        <v>0</v>
      </c>
      <c r="CG36" s="1">
        <f t="shared" si="25"/>
        <v>0</v>
      </c>
      <c r="CH36" s="36"/>
      <c r="CI36" s="1">
        <f>IF(OR($B36&lt;Analysis!$C$100, $B36&gt;=Analysis!$C$130),0,X36)</f>
        <v>-42440.989981037252</v>
      </c>
      <c r="CJ36" s="1">
        <f>IF(OR($B36&lt;Analysis!$C$100, $B36&gt;=Analysis!$C$130),0,Z36)</f>
        <v>-3960</v>
      </c>
      <c r="CK36" s="1">
        <f t="shared" si="60"/>
        <v>1392193.0804385701</v>
      </c>
      <c r="CL36" s="64">
        <f t="shared" si="48"/>
        <v>2.941176470588247E-2</v>
      </c>
      <c r="CM36" s="1">
        <f>IF($B36=Analysis!$C$100,(CK36*(1+Analysis!$C$23+Analysis!$C$24+Analysis!$C$25))-IF($B36=$B$2,(Analysis!$C$6-Analysis!$C$7+Analysis!$C$105), (FU35-Analysis!$C$7+CV36)),0)</f>
        <v>0</v>
      </c>
      <c r="CN36" s="65">
        <f>IF($B36=Analysis!$C$100,NPER(CR36,-CU36,-CM36),0)</f>
        <v>0</v>
      </c>
      <c r="CO36" s="64">
        <f>IF($B36=Analysis!$C$100,Analysis!$C$103,0)</f>
        <v>0</v>
      </c>
      <c r="CP36" s="1">
        <f>IF(OR($B36&lt;Analysis!$C$100, $B36&gt;=Analysis!$C$101),0,IF($B36=Analysis!$C$100,-CM36*CO36,IF(CU36&gt;=0,0,CU36-CS36)))</f>
        <v>0</v>
      </c>
      <c r="CQ36" s="1">
        <f>IF(OR($B36&lt;Analysis!$C$100, $B36&gt;=Analysis!$C$101),0,IF($B36=Analysis!$C$100,-CM36-CP36,MIN(0,CQ35-CP36)))</f>
        <v>0</v>
      </c>
      <c r="CR36" s="64">
        <f>IF(OR($B36&lt;Analysis!$C$100, $B36&gt;=Analysis!$C$101),0,IF($B36=Analysis!$C$100,Analysis!$C$102,IF(($B36-Analysis!$C$100)&lt;LOOKUP(Analysis!$C$100,$B:$B,CN:CN),CR35,0)))</f>
        <v>0</v>
      </c>
      <c r="CS36" s="1">
        <f>IF(OR($B36&lt;Analysis!$C$100, $B36&gt;=Analysis!$C$101),0,IF($B36=Analysis!$C$100,-CR36*CM36,CR35*CQ35))</f>
        <v>0</v>
      </c>
      <c r="CT36" s="1">
        <f>IF(OR($B36&lt;Analysis!$C$100, $B36&gt;=Analysis!$C$101),0,IF($B36=Analysis!$C$100,PMT(CR36,CN36,CM36)*CN36-CU36-CQ36,IF(($B36-Analysis!$C$100+1)&lt;LOOKUP(Analysis!$C$100,$B:$B,CN:CN),IF(CT35-CS36&lt;0, CT35-CS36,0),0)))</f>
        <v>0</v>
      </c>
      <c r="CU36" s="1">
        <f>IF(OR($B36&lt;Analysis!$C$100, $B36&gt;=Analysis!$C$101),0,IF($B36=Analysis!$C$100,CP36+CS36,IF(CQ35&lt;0,IF(CQ35&gt;LOOKUP(Analysis!$C$100,$B:$B,CU:CU), CQ35*(1+CR35),CU35),0)))</f>
        <v>0</v>
      </c>
      <c r="CV36" s="1">
        <f>IF($B36=Analysis!$C$100,Analysis!$C$105,0)</f>
        <v>0</v>
      </c>
      <c r="CW36" s="1">
        <f>IF($B36=Analysis!$C$100,PMT(CR36,CX36,CV36)*CX36,0)</f>
        <v>0</v>
      </c>
      <c r="CX36" s="7">
        <f>IF($B36=Analysis!$C$100,Analysis!$C$107,0)</f>
        <v>0</v>
      </c>
      <c r="CY36" s="1">
        <f>IF(OR($B36&lt;Analysis!$C$100, $B36&gt;=Analysis!$C$101),0,IF($B36=Analysis!$C$100,CW36/CX36,IF(($B36-Analysis!$C$100)&lt;LOOKUP(Analysis!$C$100,$B:$B,CX:CX),CY35,0)))</f>
        <v>0</v>
      </c>
      <c r="CZ36" s="1">
        <f>IF(OR($B36&lt;Analysis!$C$100, $B36&gt;=Analysis!$C$101),0,IF($B36=Analysis!$C$100,CX36*CY36-CY36,IF(($B36-Analysis!$C$100)&lt;Analysis!$C$107,CZ35-CY36,0)))</f>
        <v>0</v>
      </c>
      <c r="DA36" s="53"/>
      <c r="DB36" s="1">
        <f>IF(OR($B36&lt;Analysis!$C$100, $B36&gt;=Analysis!$C$101),0,IF($B36=2025,(Analysis!$C$109*12),IF($B36=Analysis!$C$100,(Analysis!$C$109*12)*(1+DC36)^($B36-$B$2),DB35*(1+DC36))))</f>
        <v>37135.866233407614</v>
      </c>
      <c r="DC36" s="64">
        <f>IF(OR($B36&lt;Analysis!$C$100, $B36&gt;=Analysis!$C$101),0,((1+Analysis!$C$114)/(1+$S36))-1)</f>
        <v>2.941176470588247E-2</v>
      </c>
      <c r="DD36" s="1">
        <f t="shared" si="6"/>
        <v>45272.445474723325</v>
      </c>
      <c r="DE36" s="1">
        <f t="shared" si="27"/>
        <v>-4176.5792413157105</v>
      </c>
      <c r="DF36" s="64">
        <f>IF(OR($B36&lt;Analysis!$C$100, $B36&gt;=Analysis!$C$101),0,Analysis!$C$118)</f>
        <v>3.0000000000000001E-3</v>
      </c>
      <c r="DG36" s="1">
        <f t="shared" si="28"/>
        <v>-10441.448103289276</v>
      </c>
      <c r="DH36" s="64">
        <f>IF(OR($B36&lt;Analysis!$C$100, $B36&gt;=Analysis!$C$101),0,Analysis!$C$119)</f>
        <v>7.4999999999999997E-3</v>
      </c>
      <c r="DI36" s="1">
        <f>IF(OR($B36&lt;Analysis!$C$100, $B36&gt;=Analysis!$C$101),0,MIN(Analysis!$C$120*12,SUM(DJ36:DN36)))</f>
        <v>-3960</v>
      </c>
      <c r="DJ36" s="1">
        <f>IF(OR($B36&lt;Analysis!$C$100, $B36&gt;=Analysis!$C$101),0,Analysis!$C$121*12)</f>
        <v>-900</v>
      </c>
      <c r="DK36" s="1">
        <f>IF(OR($B36&lt;Analysis!$C$100, $B36&gt;=Analysis!$C$101),0,Analysis!$C$122*12)</f>
        <v>-1500</v>
      </c>
      <c r="DL36" s="1">
        <f>IF(OR($B36&lt;Analysis!$C$100, $B36&gt;=Analysis!$C$101),0,Analysis!$C$123*12)</f>
        <v>-480</v>
      </c>
      <c r="DM36" s="1">
        <f>IF(OR($B36&lt;Analysis!$C$100, $B36&gt;=Analysis!$C$101),0,Analysis!$C$124*12)</f>
        <v>-480</v>
      </c>
      <c r="DN36" s="1">
        <f>IF(OR($B36&lt;Analysis!$C$100, $B36&gt;=Analysis!$C$101),0,Analysis!$C$125*12)</f>
        <v>-600</v>
      </c>
      <c r="DO36" s="64">
        <f>IF(OR($B36&lt;Analysis!$C$100, $B36&gt;=Analysis!$C$101),0,Analysis!$C$113)</f>
        <v>0.02</v>
      </c>
      <c r="DP36" s="1">
        <f>-DO36*LOOKUP(Analysis!$C$100,$B:$B,CK:CK)</f>
        <v>-10392</v>
      </c>
      <c r="DQ36" s="1">
        <f>-Analysis!$C$117*DB36</f>
        <v>-2785.1899675055711</v>
      </c>
      <c r="DR36" s="1">
        <f t="shared" si="29"/>
        <v>-31755.217312110559</v>
      </c>
      <c r="DS36" s="1">
        <f>MIN(0,-(DB36+DR36)*Analysis!$C$28)-CS36*Analysis!$C$28</f>
        <v>-2384.1655370267249</v>
      </c>
      <c r="DT36" s="1">
        <f>-Analysis!$C$116*DD36/12</f>
        <v>-3772.7037895602771</v>
      </c>
      <c r="DU36" s="53"/>
      <c r="DV36" s="1">
        <f t="shared" si="30"/>
        <v>-177504.61775591769</v>
      </c>
      <c r="DW36" s="64">
        <f>IF(OR($B36&lt;Analysis!$C$100, $B36&gt;=Analysis!$C$101),0,IF($B36=Analysis!$C$100,Analysis!$C$31,DW35))</f>
        <v>0.1275</v>
      </c>
      <c r="DX36" s="1">
        <f>IF(OR($B36&lt;Analysis!$C$100, $B36&gt;=Analysis!$C$101),0,CK36+DV36)</f>
        <v>1214688.4626826525</v>
      </c>
      <c r="DY36" s="1">
        <f>IF(OR($B36&lt;Analysis!$C$100, $B36&gt;=Analysis!$C$101),0,IF($B36-Analysis!$C$100&gt;3,0,IF(CK36&gt;LOOKUP(Analysis!$C$100,$B:$B, CK:CK),$V36*(LOOKUP(Analysis!$C$100,$B:$B, CK:CK)-CK36),0)))</f>
        <v>0</v>
      </c>
      <c r="DZ36" s="1">
        <f t="shared" si="49"/>
        <v>1214688.4626826525</v>
      </c>
      <c r="EA36" s="53"/>
      <c r="EB36" s="1">
        <f t="shared" si="31"/>
        <v>1848755.2453860932</v>
      </c>
      <c r="EC36" s="64">
        <f t="shared" si="50"/>
        <v>2.941176470588247E-2</v>
      </c>
      <c r="ED36" s="1">
        <f>MAX(0,IF($B36=Analysis!$C$130,(EB36*(1+Analysis!$C$23+Analysis!$C$24+Analysis!$C$25))-(IF($B36=$B$2,(Analysis!$C$6-Analysis!$C$7+Analysis!$C$132), (FU35-Analysis!$C$7+EM36)) + IF($B36=Analysis!$C$101,DZ35+CQ35+CT35+CZ35,0)),0))</f>
        <v>0</v>
      </c>
      <c r="EE36" s="65">
        <f>IF($B36=Analysis!$C$130,IF(ED36&gt;0,NPER(EI36,-EL36,-ED36),0),0)</f>
        <v>0</v>
      </c>
      <c r="EF36" s="64">
        <f>IF($B36=Analysis!$C$130,Analysis!$C$137,0)</f>
        <v>0</v>
      </c>
      <c r="EG36" s="1">
        <f>IF($B36&lt;Analysis!$C$130,0,IF($B36=Analysis!$C$130,-ED36*EF36,IF(EL36&gt;=0,0,EL36-EJ36)))</f>
        <v>0</v>
      </c>
      <c r="EH36" s="1">
        <f>IF($B36&lt;Analysis!$C$130,0,IF($B36=Analysis!$C$130,-ED36-EG36,MIN(0,EH35-EG36)))</f>
        <v>0</v>
      </c>
      <c r="EI36" s="64">
        <f>IF($B36&lt;Analysis!$C$130,0,IF($B36=Analysis!$C$130,Analysis!$C$136,IF(($B36-Analysis!$C$130)&lt;LOOKUP(Analysis!$C$130,$B:$B,EE:EE),EI35,0)))</f>
        <v>0</v>
      </c>
      <c r="EJ36" s="1">
        <f>IF($B36&lt;Analysis!$C$130,0,IF($B36=Analysis!$C$130,-EI36*ED36,EI35*EH35))</f>
        <v>0</v>
      </c>
      <c r="EK36" s="1">
        <f>IF(OR($B36&lt;Analysis!$C$130, ED36=0),0,IF($B36=Analysis!$C$130,PMT(EI36,EE36,ED36)*EE36-EL36-EH36,IF(($B36-Analysis!$C$130+1)&lt;LOOKUP(Analysis!$C$130,$B:$B,EE:EE),IF(EK35-EJ36&lt;0, EK35-EJ36,0),0)))</f>
        <v>0</v>
      </c>
      <c r="EL36" s="1">
        <f>IF($B36&lt;Analysis!$C$130,0,IF($B36=Analysis!$C$130,EG36+EJ36,IF(EH35&lt;0,IF(EH35&gt;LOOKUP(Analysis!$C$130,$B:$B,EL:EL), EH35*(1+EI35),EL35),0)))</f>
        <v>0</v>
      </c>
      <c r="EM36" s="1">
        <f>IF($B36=Analysis!$C$130,Analysis!$C$132,0)</f>
        <v>0</v>
      </c>
      <c r="EN36" s="1">
        <f>IF($B36=Analysis!$C$130,PMT(EI36,EO36,EM36)*EO36,0)</f>
        <v>0</v>
      </c>
      <c r="EO36" s="7">
        <f>IF($B36=Analysis!$C$130,Analysis!$C$134,0)</f>
        <v>0</v>
      </c>
      <c r="EP36" s="1">
        <f>IF($B36&lt;Analysis!$C$130,0,IF($B36=Analysis!$C$130,EN36/EO36,IF(($B36-Analysis!$C$130)&lt;LOOKUP(Analysis!$C$130,$B:$B,EO:EO),EP35,0)))</f>
        <v>0</v>
      </c>
      <c r="EQ36" s="1">
        <f>IF($B36&lt;Analysis!$C$130,0,IF($B36=Analysis!$C$130,EO36*EP36-EP36,IF(($B36-Analysis!$C$130)&lt;Analysis!$C$134,EQ35-EP36,0)))</f>
        <v>0</v>
      </c>
      <c r="ER36" s="53"/>
      <c r="ES36" s="1">
        <f>IF($B36&lt;Analysis!$C$130,0,-ET36*EB36)</f>
        <v>0</v>
      </c>
      <c r="ET36" s="64">
        <f>IF($B36&lt;Analysis!$C$130,0,Analysis!$C$142)</f>
        <v>0</v>
      </c>
      <c r="EU36" s="1">
        <f>IF($B36&lt;Analysis!$C$130,0,-EV36*EB36)</f>
        <v>0</v>
      </c>
      <c r="EV36" s="64">
        <f>IF($B36&lt;Analysis!$C$130,0,Analysis!$C$143)</f>
        <v>0</v>
      </c>
      <c r="EW36" s="1">
        <f>IF($B36&lt;Analysis!$C$130,0,MIN(Analysis!$C$144*12,SUM(EX36:FB36)))</f>
        <v>0</v>
      </c>
      <c r="EX36" s="1">
        <f>IF($B36&lt;Analysis!$C$130,0,Analysis!$C$145*12)</f>
        <v>0</v>
      </c>
      <c r="EY36" s="1">
        <f>IF($B36&lt;Analysis!$C$130,0,Analysis!$C$146*12)</f>
        <v>0</v>
      </c>
      <c r="EZ36" s="1">
        <f>IF($B36&lt;Analysis!$C$130,0,Analysis!$C$147*12)</f>
        <v>0</v>
      </c>
      <c r="FA36" s="1">
        <f>IF($B36&lt;Analysis!$C$130,0,Analysis!$C$148*12)</f>
        <v>0</v>
      </c>
      <c r="FB36" s="1">
        <f>IF($B36&lt;Analysis!$C$130,0,Analysis!$C$149*12)</f>
        <v>0</v>
      </c>
      <c r="FC36" s="1">
        <v>0</v>
      </c>
      <c r="FD36" s="1">
        <f>-FC36*Analysis!$C$28</f>
        <v>0</v>
      </c>
      <c r="FE36" s="53"/>
      <c r="FF36" s="1">
        <f t="shared" si="32"/>
        <v>0</v>
      </c>
      <c r="FG36" s="64">
        <f>IF($B36&lt;Analysis!$C$130,0,Analysis!$C$31)</f>
        <v>0</v>
      </c>
      <c r="FH36" s="1">
        <f>IF($B36&lt;Analysis!$C$130,0,EB36+FF36)</f>
        <v>0</v>
      </c>
      <c r="FI36" s="1">
        <f>IF($B36-Analysis!$C$130&gt;3,0,IF(EB36&gt;LOOKUP(Analysis!$C$130,$B:$B, EB:EB),$V36*(LOOKUP(Analysis!$C$130,$B:$B, EB:EB)-EB36),0))</f>
        <v>0</v>
      </c>
      <c r="FJ36" s="1">
        <f t="shared" si="33"/>
        <v>0</v>
      </c>
      <c r="FK36" s="53"/>
      <c r="FL36" s="1">
        <f>$P36+$N36+IF($B36&lt;Analysis!$C$130,$X36+$Z36,0)+CP36+CS36+CY36+DE36+DG36+MIN(DI36,SUM(DJ36:DN36))+DQ36+DS36+DT36+EG36+EJ36+EP36+ES36+EU36+MIN(EW36,SUM(EX36:FB36))+FD36</f>
        <v>-121921.07661973481</v>
      </c>
      <c r="FM36" s="1">
        <f>$M36+$R36+DD36+IF(AND($B36&lt;&gt;Analysis!$C$130,$B36=Analysis!$C$101),DZ35+CQ35+CT35+CZ35,0)</f>
        <v>176740.36871594921</v>
      </c>
      <c r="FN36" s="1">
        <f t="shared" si="34"/>
        <v>54819.292096214398</v>
      </c>
      <c r="FO36" s="1">
        <f>IF(FN36 &lt; 0,
    IF(FO35 + FN36 &gt; 0,
        FO35 + FN36, IF(FT35-ABS(FO35 + FN36)*(1+$V36) &gt;= FO35 + FN36,
        0, FO35 + FN36)),
    MIN(FO35 + FN36, Analysis!$C$7))+IF(FO35&lt;0, FO35*Analysis!$C$9,0)</f>
        <v>24000</v>
      </c>
      <c r="FP36" s="53"/>
      <c r="FQ36" s="1">
        <f t="shared" si="51"/>
        <v>21152.268486390312</v>
      </c>
      <c r="FR36" s="1">
        <f>IF(OR($B36=Analysis!$C$100, $B36=Analysis!$C$130),0,IF(FN36 &gt;= 0,
    MAX(0, FO35 + FN36 - Analysis!$C$7),
    0))</f>
        <v>54819.292096214398</v>
      </c>
      <c r="FS36" s="1">
        <f>IF(OR($B36=Analysis!$C$100, $B36=Analysis!$C$130),0,MAX(0, FS35 + FR36 - IF(FN36 &lt; 0, MIN(ABS(FN36), FS35 + FR36), 0)))</f>
        <v>767338.56562943803</v>
      </c>
      <c r="FT36" s="1">
        <f>IF(OR($B36=Analysis!$C$100, $B36=Analysis!$C$130),0,IF(FN36 &lt; 0,
    IF(FN36 + FO35 &lt; 0,
        MAX(0, FT35 - (ABS(FN36 + FO35) * (1+$V35))),
        FT35 + FQ36),
    FT35 + FR36 + FQ36))</f>
        <v>1125938.1692646514</v>
      </c>
      <c r="FU36" s="1">
        <f t="shared" si="57"/>
        <v>1031357.5238058639</v>
      </c>
      <c r="FV36" s="36"/>
      <c r="FW36" s="1">
        <f t="shared" si="52"/>
        <v>1392193.0804385701</v>
      </c>
      <c r="FX36" s="64">
        <f t="shared" si="53"/>
        <v>2.941176470588247E-2</v>
      </c>
      <c r="FY36" s="1">
        <f>IF($B36=Analysis!$C$159,(FW36*(1+Analysis!$C$23+Analysis!$C$24+Analysis!$C$25))-IF($B36=$B$2,(Analysis!$C$6-Analysis!$C$7+Analysis!$C$165), (HW35-Analysis!$C$7+GH36)),0)</f>
        <v>0</v>
      </c>
      <c r="FZ36" s="65">
        <f>IF($B36=Analysis!$C$159,NPER(GD36,-GG36,-FY36),0)</f>
        <v>0</v>
      </c>
      <c r="GA36" s="64">
        <f>IF($B36=Analysis!$C$159,Analysis!$C$161,0)</f>
        <v>0</v>
      </c>
      <c r="GB36" s="1">
        <f>IF($B36&lt;Analysis!$C$159,0,IF($B36=Analysis!$C$159,-FY36*GA36,IF(GG36&gt;=0,0,GG36-GE36)))</f>
        <v>0</v>
      </c>
      <c r="GC36" s="1">
        <f>IF($B36&lt;Analysis!$C$159,0,IF($B36=Analysis!$C$159,-FY36-GB36,MIN(0,GC35-GB36)))</f>
        <v>0</v>
      </c>
      <c r="GD36" s="64">
        <f>IF($B36&lt;Analysis!$C$159,0,IF($B36=Analysis!$C$159,Analysis!$C$160,IF(($B36-Analysis!$C$159)&lt;LOOKUP(Analysis!$C$159,$B:$B,FZ:FZ),GD35,0)))</f>
        <v>0</v>
      </c>
      <c r="GE36" s="1">
        <f>IF($B36&lt;Analysis!$C$159,0,IF($B36=Analysis!$C$159,-GD36*FY36,GD35*GC35))</f>
        <v>0</v>
      </c>
      <c r="GF36" s="1">
        <f>IF($B36&lt;Analysis!$C$159,0,IF($B36=Analysis!$C$159,PMT(GD36,FZ36,FY36)*FZ36-GG36-GC36,IF(($B36-Analysis!$C$159+1)&lt;LOOKUP(Analysis!$C$159,$B:$B,FZ:FZ),IF(GF35-GE36&lt;0, GF35-GE36,0),0)))</f>
        <v>0</v>
      </c>
      <c r="GG36" s="1">
        <f>IF($B36&lt;Analysis!$C$159,0,IF($B36=Analysis!$C$159,GB36+GE36,IF(GC35&lt;0,IF(GC35&gt;LOOKUP(Analysis!$C$159,$B:$B,GG:GG), GC35*(1+GD35),GG35),0)))</f>
        <v>0</v>
      </c>
      <c r="GH36" s="1">
        <f>IF($B36=Analysis!$C$159,Analysis!$C$165,0)</f>
        <v>0</v>
      </c>
      <c r="GI36" s="1">
        <f>IF($B36=Analysis!$C$159,PMT(GD36,GJ36,GH36)*GJ36,0)</f>
        <v>0</v>
      </c>
      <c r="GJ36" s="7">
        <f>IF($B36=Analysis!$C$159,Analysis!$C$167,0)</f>
        <v>0</v>
      </c>
      <c r="GK36" s="1">
        <f>IF($B36&lt;Analysis!$C$159,0,IF($B36=Analysis!$C$159,GI36/GJ36,IF(($B36-Analysis!$C$159)&lt;LOOKUP(Analysis!$C$159,$B:$B,GJ:GJ),GK35,0)))</f>
        <v>0</v>
      </c>
      <c r="GL36" s="1">
        <f>IF($B36&lt;Analysis!$C$159,0,IF($B36=Analysis!$C$159,GJ36*GK36-GK36,IF(($B36-Analysis!$C$159)&lt;Analysis!$C$167,GL35-GK36,0)))</f>
        <v>0</v>
      </c>
      <c r="GM36" s="38"/>
      <c r="GN36" s="1">
        <f>IF($B36&lt;Analysis!$C$159,0,IF($B36=2025,(Analysis!$C$109*12),IF($B36=Analysis!$C$159,(Analysis!$C$109*12)*(1+GO36)^($B36-$B$2),GN35*(1+GO36))))</f>
        <v>37135.866233407614</v>
      </c>
      <c r="GO36" s="64">
        <f>IF($B36&lt;Analysis!$C$159,0,((1+Analysis!$C$174)/(1+$S36))-1)</f>
        <v>2.941176470588247E-2</v>
      </c>
      <c r="GP36" s="1">
        <f t="shared" si="7"/>
        <v>45272.445474723325</v>
      </c>
      <c r="GQ36" s="1">
        <f t="shared" si="36"/>
        <v>-4176.5792413157105</v>
      </c>
      <c r="GR36" s="64">
        <f>IF($B36&lt;Analysis!$C$159,0,Analysis!$C$178)</f>
        <v>3.0000000000000001E-3</v>
      </c>
      <c r="GS36" s="1">
        <f t="shared" si="37"/>
        <v>-10441.448103289276</v>
      </c>
      <c r="GT36" s="64">
        <f>IF($B36&lt;Analysis!$C$159,0,Analysis!$C$179)</f>
        <v>7.4999999999999997E-3</v>
      </c>
      <c r="GU36" s="1">
        <f>IF($B36&lt;Analysis!$C$159,0,MIN(Analysis!$C$180*12,SUM(GV36:GZ36)))</f>
        <v>-3960</v>
      </c>
      <c r="GV36" s="1">
        <f>IF($B36&lt;Analysis!$C$159,0,Analysis!$C$181*12)</f>
        <v>-900</v>
      </c>
      <c r="GW36" s="1">
        <f>IF($B36&lt;Analysis!$C$159,0,Analysis!$C$182*12)</f>
        <v>-1500</v>
      </c>
      <c r="GX36" s="1">
        <f>IF($B36&lt;Analysis!$C$159,0,Analysis!$C$183*12)</f>
        <v>-480</v>
      </c>
      <c r="GY36" s="1">
        <f>IF($B36&lt;Analysis!$C$159,0,Analysis!$C$184*12)</f>
        <v>-480</v>
      </c>
      <c r="GZ36" s="1">
        <f>IF($B36&lt;Analysis!$C$159,0,Analysis!$C$185*12)</f>
        <v>-600</v>
      </c>
      <c r="HA36" s="64">
        <f>IF($B36&lt;Analysis!$C$159,0,Analysis!$C$173)</f>
        <v>0.02</v>
      </c>
      <c r="HB36" s="1">
        <f>-HA36*LOOKUP(Analysis!$C$159,$B:$B,FW:FW)</f>
        <v>-10392</v>
      </c>
      <c r="HC36" s="1">
        <f>-Analysis!$C$177*GN36</f>
        <v>-2785.1899675055711</v>
      </c>
      <c r="HD36" s="1">
        <f t="shared" si="38"/>
        <v>-31755.217312110559</v>
      </c>
      <c r="HE36" s="1">
        <f>MIN(0,-(GN36+HD36)*Analysis!$C$28)-GE36*Analysis!$C$28</f>
        <v>-2384.1655370267249</v>
      </c>
      <c r="HF36" s="1">
        <f>-Analysis!$C$176*GP36/12</f>
        <v>-3772.7037895602771</v>
      </c>
      <c r="HG36" s="38"/>
      <c r="HH36" s="1">
        <f>IF($B36&lt;Analysis!$C$159,0,-$HI36*$FW36)</f>
        <v>-177504.61775591769</v>
      </c>
      <c r="HI36" s="64">
        <f>IF($B36&lt;Analysis!$C$159,0,IF($B36=Analysis!$C$159,Analysis!$C$31,HI35))</f>
        <v>0.1275</v>
      </c>
      <c r="HJ36" s="1">
        <f>IF($B36&lt;Analysis!$C$159,0,$FW36+HH36)</f>
        <v>1214688.4626826525</v>
      </c>
      <c r="HK36" s="1">
        <f>IF($B36-Analysis!$C$159&gt;10,0,IF($FW36&gt;LOOKUP(Analysis!$C$159,$B:$B, FW:FW),$V36*(LOOKUP(Analysis!$C$159,$B:$B, FW:FW)-FW36),0))</f>
        <v>0</v>
      </c>
      <c r="HL36" s="1">
        <f t="shared" si="39"/>
        <v>1214688.4626826525</v>
      </c>
      <c r="HM36" s="38"/>
      <c r="HN36" s="1">
        <f t="shared" si="40"/>
        <v>-121921.07661973481</v>
      </c>
      <c r="HO36" s="1">
        <f t="shared" si="8"/>
        <v>176740.36871594921</v>
      </c>
      <c r="HP36" s="1">
        <f t="shared" si="41"/>
        <v>54819.292096214398</v>
      </c>
      <c r="HQ36" s="1">
        <f>IF(HP36 &lt; 0,
    IF(HQ35 + HP36 &gt; 0,
        HQ35 + HP36, IF(HV35-ABS(HQ35 + HP36)*(1+$V36) &gt;= HQ35 + HP36,
        0, HQ35 + HP36)),
    MIN(HQ35 + HP36, Analysis!$C$7))+IF(HQ35&lt;0, HQ35*Analysis!$C$9,0)</f>
        <v>24000</v>
      </c>
      <c r="HR36" s="38"/>
      <c r="HS36" s="1">
        <f t="shared" si="54"/>
        <v>21152.268486390312</v>
      </c>
      <c r="HT36" s="1">
        <f>IF($B36=Analysis!$C$159,0,IF(HP36 &gt;= 0,
    MAX(0, HQ35 + HP36 - Analysis!$C$7),
    0))</f>
        <v>54819.292096214398</v>
      </c>
      <c r="HU36" s="1">
        <f>IF($B36=Analysis!$C$159,0,MAX(0, HU35 + HT36 - IF(HP36 &lt; 0, MIN(ABS(HP36), HU35 + HT36), 0)))</f>
        <v>767338.56562943803</v>
      </c>
      <c r="HV36" s="1">
        <f>IF($B36=Analysis!$C$159,0,IF(HP36 &lt; 0,
    IF(HP36 + HQ35 &lt; 0,
        MAX(0, HV35 - (ABS(HP36 + HQ35) * (1+$V35))),
        HV35 + HS36),
    HV35 + HT36 + HS36))</f>
        <v>1125938.1692646514</v>
      </c>
      <c r="HW36" s="1">
        <f t="shared" si="58"/>
        <v>1031357.5238058639</v>
      </c>
      <c r="HX36" s="36"/>
    </row>
    <row r="37" spans="1:232" x14ac:dyDescent="0.35">
      <c r="A37">
        <f t="shared" si="0"/>
        <v>70</v>
      </c>
      <c r="B37">
        <v>2060</v>
      </c>
      <c r="C37" s="1">
        <f>IF($B37&lt;Analysis!C$66,0,$AN37)+$AT37+$AW37+$BC37+$CF37+$CA37</f>
        <v>-625744.55237171892</v>
      </c>
      <c r="D37" s="1">
        <f>IF($B37&lt;Analysis!C$66, 0, BV37)+AT37+AW37+BC37+CG37+CA37</f>
        <v>-938726.75831615785</v>
      </c>
      <c r="E37" s="1">
        <f t="shared" si="1"/>
        <v>2210344.639879398</v>
      </c>
      <c r="F37" s="1">
        <f t="shared" si="9"/>
        <v>1911302.126242463</v>
      </c>
      <c r="G37" s="1">
        <f>IF(AND($B37&gt;=Analysis!$C$100, $B37&lt;Analysis!$C$101),$CK37,0)+IF($B37&gt;=Analysis!$C$130,EB37,0)+CQ37+CT37+CZ37+EH37+EK37+EQ37+$FO37+$FT37</f>
        <v>1855435.3783000857</v>
      </c>
      <c r="H37" s="1">
        <f t="shared" si="10"/>
        <v>1612786.2523431608</v>
      </c>
      <c r="I37" s="1">
        <f>IF($B37&lt;Analysis!$C$159,0,$FW37)+$GC37+$GF37+$GL37+$HQ37+$HV37</f>
        <v>2593337.1838338226</v>
      </c>
      <c r="J37" s="1">
        <f t="shared" si="59"/>
        <v>2307091.2955819559</v>
      </c>
      <c r="K37" s="36"/>
      <c r="L37" s="1">
        <f t="shared" si="11"/>
        <v>65733.961620612943</v>
      </c>
      <c r="M37" s="1">
        <f>IF($B37=Analysis!$C$47, M36 * (1 - Analysis!$C$48),
    IF($B37=Analysis!$C$52, M36 * (1 - Analysis!$C$53),
    IF($B37=Analysis!$C$58, M36 * (1 - Analysis!$C$60),
    L37)))</f>
        <v>65733.961620612943</v>
      </c>
      <c r="N37" s="1">
        <f>Analysis!$C$3*12*(1+O37)+P37</f>
        <v>-48000</v>
      </c>
      <c r="O37" s="64">
        <f>IF(OR($B37=Analysis!$C$47,$B37=Analysis!$C$52,$B37=Analysis!$C$58),-Analysis!$C$49,0)</f>
        <v>0</v>
      </c>
      <c r="P37" s="1">
        <f>IF($B37&lt;Analysis!$C$47,0,IF($B37-Analysis!$C$47&lt;=3,Analysis!$C$40+Analysis!$C$44,IF($B37-Analysis!$C$47&lt;=10,Analysis!$C$41+Analysis!$C$44,IF($B37-Analysis!$C$47&lt;=18,Analysis!$C$42+Analysis!$C$44,IF($B37-Analysis!$C$47&lt;=25,Analysis!$C$43+Analysis!$C$44,0)))) + IF(AND($B37&gt;=Analysis!$C$52, $B37-Analysis!$C$52&lt;=3),Analysis!$C$40+Analysis!$C$44,IF(AND($B37&gt;=Analysis!$C$52, $B37-Analysis!$C$52&lt;=10),Analysis!$C$41+Analysis!$C$44,IF(AND($B37&gt;=Analysis!$C$52, $B37-Analysis!$C$52&lt;=18),Analysis!$C$42+Analysis!$C$44,IF(AND($B37&gt;=Analysis!$C$52, $B37-Analysis!$C$52&lt;=25),Analysis!$C$43+Analysis!$C$44,0)))) + Analysis!$C$57*IF(AND($B37&gt;=Analysis!$C$58, $B37-Analysis!$C$58&lt;=3),Analysis!$C$40+Analysis!$C$44,IF(AND($B37&gt;=Analysis!$C$58, $B37-Analysis!$C$58&lt;=10),Analysis!$C$41+Analysis!$C$44,IF(AND($B37&gt;=Analysis!$C$58, $B37-Analysis!$C$58&lt;=18),Analysis!$C$42+Analysis!$C$44,IF(AND($B37&gt;=Analysis!$C$58, $B37-Analysis!$C$58&lt;=25),Analysis!$C$43+Analysis!$C$44,0)))))</f>
        <v>0</v>
      </c>
      <c r="Q37" s="1">
        <f t="shared" si="43"/>
        <v>0</v>
      </c>
      <c r="R37" s="1">
        <f>IF(AND(AND(B37=Analysis!C$35,Analysis!C$34&lt;&gt;0),AND(B37=Analysis!C$37,Analysis!C$36&lt;&gt;0)),Analysis!C$34+Analysis!C$36,IF(AND(B37=Analysis!C$35,Analysis!C$34&lt;&gt;0),Analysis!C$34,IF(AND(B37=Analysis!C$37,Analysis!C$36&lt;&gt;0),Analysis!C$36,0)))</f>
        <v>0</v>
      </c>
      <c r="S37" s="64">
        <f t="shared" si="12"/>
        <v>0.02</v>
      </c>
      <c r="T37" s="64">
        <f>IF($B37&lt;Analysis!$C$13, ((1+IF($B37-$B$2&lt;10,Analysis!$C$11,IF($B37-$B$2&lt;20,(Analysis!$C$11+Analysis!$C$12)/2,Analysis!$C$12)))/(1+$S37)-1),IF($B37=Analysis!$C$13,-Analysis!$C$14,-$S37))</f>
        <v>-0.5</v>
      </c>
      <c r="U37" s="64">
        <f>IF($B37=$B$2,((1+Analysis!$C$16)/(1+$S37))-1,IF(B37&lt;Analysis!$C$13,U36-((Analysis!$C$16-Analysis!$C$17)/(Analysis!$C$13-$B$2)),((1+Analysis!$C$17)/(1+$S36))-1))</f>
        <v>1.9607843137254832E-2</v>
      </c>
      <c r="V37" s="64">
        <f t="shared" si="13"/>
        <v>0.26374999999999998</v>
      </c>
      <c r="W37" s="36"/>
      <c r="X37" s="1">
        <f t="shared" si="14"/>
        <v>-43689.254392244235</v>
      </c>
      <c r="Y37" s="64">
        <f t="shared" si="15"/>
        <v>2.941176470588247E-2</v>
      </c>
      <c r="Z37" s="1">
        <f t="shared" si="16"/>
        <v>-3960</v>
      </c>
      <c r="AA37" s="64">
        <f t="shared" si="17"/>
        <v>0</v>
      </c>
      <c r="AB37" s="40"/>
      <c r="AC37" s="1">
        <f t="shared" si="3"/>
        <v>-95649.254392244242</v>
      </c>
      <c r="AD37" s="1">
        <f t="shared" si="4"/>
        <v>65733.961620612943</v>
      </c>
      <c r="AE37" s="1">
        <f t="shared" si="18"/>
        <v>-29915.292771631299</v>
      </c>
      <c r="AF37" s="1">
        <f>IF(AE37 &lt; 0,
    IF(AF36 + AE37 &gt; 0,
        AF36 + AE37, IF(AK36-ABS(AF36 + AE37)*(1+$V37) &gt;= AF36 + AE37,
        0, AF36 + AE37)),
    MIN(AF36 + AE37, Analysis!$C$7))+IF(AF36&lt;0, AF36*Analysis!$C$9,0)</f>
        <v>0</v>
      </c>
      <c r="AG37" s="40"/>
      <c r="AH37" s="1">
        <f t="shared" si="19"/>
        <v>43486.668453324295</v>
      </c>
      <c r="AI37" s="1">
        <f>IF(AE37 &gt;= 0,
    MAX(0, AF36 + AE37 - Analysis!$C$7),
    0)</f>
        <v>0</v>
      </c>
      <c r="AJ37" s="1">
        <f t="shared" si="44"/>
        <v>1076534.161635095</v>
      </c>
      <c r="AK37" s="1">
        <f t="shared" si="20"/>
        <v>2210344.639879398</v>
      </c>
      <c r="AL37" s="1">
        <f t="shared" si="5"/>
        <v>1911302.126242463</v>
      </c>
      <c r="AM37" s="36"/>
      <c r="AN37" s="1">
        <f t="shared" si="45"/>
        <v>2454762.3995642271</v>
      </c>
      <c r="AO37" s="64">
        <f t="shared" si="21"/>
        <v>2.941176470588247E-2</v>
      </c>
      <c r="AP37" s="1">
        <f>IF($B37=Analysis!$C$66,(AN37*(1+Analysis!$C$23+Analysis!$C$24+Analysis!$C$25))-IF($B37=$B$2,(Analysis!$C$6-Analysis!$C$7+Analysis!$C$68), ($CG36-Analysis!$C$7+AY37)),0)</f>
        <v>0</v>
      </c>
      <c r="AQ37" s="65">
        <f>IF($B37=Analysis!$C$66,NPER(AU37,-AX37,-AP37),0)</f>
        <v>0</v>
      </c>
      <c r="AR37" s="64">
        <f>IF($B37=Analysis!$C$66,Analysis!$C$73,0)</f>
        <v>0</v>
      </c>
      <c r="AS37" s="1">
        <f>IF($B37&lt;Analysis!$C$66,0,IF($B37=Analysis!$C$66,-AP37*AR37,IF(AX37&gt;=0,0,AX37-AV37)))</f>
        <v>0</v>
      </c>
      <c r="AT37" s="1">
        <f>IF($B37&lt;Analysis!$C$66,0,IF($B37=Analysis!$C$66,-AP37-AS37,MIN(0,AT36-AS37)))</f>
        <v>0</v>
      </c>
      <c r="AU37" s="64">
        <f>IF($B37&lt;Analysis!$C$66,0,IF($B37=Analysis!$C$66,Analysis!$C$72,IF(($B37-Analysis!$C$66)&lt;LOOKUP(Analysis!$C$66,$B:$B,AQ:AQ),AU36,0)))</f>
        <v>0</v>
      </c>
      <c r="AV37" s="1">
        <f>IF($B37&lt;Analysis!$C$66,0,IF($B37=Analysis!$C$66,-AU37*AP37,AU36*AT36))</f>
        <v>0</v>
      </c>
      <c r="AW37" s="1">
        <f>IF($B37&lt;Analysis!$C$66,0,IF($B37=Analysis!$C$66,PMT(AU37,AQ37,AP37)*AQ37-AX37-AT37,IF(($B37-Analysis!$C$66+1)&lt;LOOKUP(Analysis!$C$66,$B:$B,AQ:AQ),IF(AW36-AV37&lt;0, AW36-AV37,0),0)))</f>
        <v>0</v>
      </c>
      <c r="AX37" s="1">
        <f>IF($B37&lt;Analysis!$C$66,0,IF($B37=Analysis!$C$66,AS37+AV37,IF(AT36&lt;0,IF(AT36&gt;LOOKUP(Analysis!$C$66,$B:$B,AX:AX), AT36*(1+AU36),AX36),0)))</f>
        <v>0</v>
      </c>
      <c r="AY37" s="1">
        <f>IF($B37=Analysis!$C$66,Analysis!$C$68,0)</f>
        <v>0</v>
      </c>
      <c r="AZ37" s="1">
        <f>IF($B37=Analysis!$C$66,PMT(AU37,BA37,AY37)*BA37,0)</f>
        <v>0</v>
      </c>
      <c r="BA37" s="7">
        <f>IF($B37=Analysis!$C$66,Analysis!$C$70,0)</f>
        <v>0</v>
      </c>
      <c r="BB37" s="1">
        <f>IF($B37&lt;Analysis!$C$66,0,IF($B37=Analysis!$C$66,AZ37/BA37,IF(($B37-Analysis!$C$66)&lt;LOOKUP(Analysis!$C$66,$B:$B,BA:BA),BB36,0)))</f>
        <v>0</v>
      </c>
      <c r="BC37" s="1">
        <f>IF($B37&lt;Analysis!$C$66,0,IF($B37=Analysis!$C$66,BA37*BB37-BB37,IF(($B37-Analysis!$C$66)&lt;Analysis!$C$70,BC36-BB37,0)))</f>
        <v>0</v>
      </c>
      <c r="BD37" s="42"/>
      <c r="BE37" s="1">
        <f>IF($B37&lt;Analysis!$C$66,0,-BF37*AN37)</f>
        <v>-7364.2871986926812</v>
      </c>
      <c r="BF37" s="64">
        <f>IF($B37&lt;Analysis!$C$66,0,Analysis!$C$78)</f>
        <v>3.0000000000000001E-3</v>
      </c>
      <c r="BG37" s="1">
        <f>IF($B37&lt;Analysis!$C$66,0,-BH37*AN37)</f>
        <v>-18410.717996731702</v>
      </c>
      <c r="BH37" s="64">
        <f>IF($B37&lt;Analysis!$C$66,0,Analysis!$C$79)</f>
        <v>7.4999999999999997E-3</v>
      </c>
      <c r="BI37" s="1">
        <f>IF($B37&lt;Analysis!$C$66,0,MIN(Analysis!$C$80*12,SUM(BJ37:BN37)))</f>
        <v>-3960</v>
      </c>
      <c r="BJ37" s="1">
        <f>IF($B37&lt;Analysis!$C$66,0,Analysis!$C$81*12)</f>
        <v>-900</v>
      </c>
      <c r="BK37" s="1">
        <f>IF($B37&lt;Analysis!$C$66,0,Analysis!$C$82*12)</f>
        <v>-1500</v>
      </c>
      <c r="BL37" s="1">
        <f>IF($B37&lt;Analysis!$C$66,0,Analysis!$C$83*12)</f>
        <v>-480</v>
      </c>
      <c r="BM37" s="1">
        <f>IF($B37&lt;Analysis!$C$66,0,Analysis!$C$84*12)</f>
        <v>-480</v>
      </c>
      <c r="BN37" s="1">
        <f>IF($B37&lt;Analysis!$C$66,0,Analysis!$C$85*12)</f>
        <v>-600</v>
      </c>
      <c r="BO37" s="1">
        <v>0</v>
      </c>
      <c r="BP37" s="1">
        <f>-BO37*Analysis!$C$28</f>
        <v>0</v>
      </c>
      <c r="BQ37" s="42"/>
      <c r="BR37" s="1">
        <f t="shared" si="22"/>
        <v>-312982.20594443893</v>
      </c>
      <c r="BS37" s="64">
        <f>IF($B37&lt;Analysis!C$66,0,Analysis!C$31)</f>
        <v>0.1275</v>
      </c>
      <c r="BT37" s="1">
        <f>IF($B37&lt;Analysis!$C$66,0,AN37+BR37)</f>
        <v>2141780.1936197882</v>
      </c>
      <c r="BU37" s="1">
        <f>IF($B37-Analysis!$C$66&gt;3,0,IF($AN37&gt;LOOKUP(Analysis!$C$66,$B:$B, AN:AN),$V37*(LOOKUP(Analysis!$C$66,$B:$B, AN:AN)-AN37),0))</f>
        <v>0</v>
      </c>
      <c r="BV37" s="1">
        <f t="shared" si="23"/>
        <v>2141780.1936197882</v>
      </c>
      <c r="BW37" s="42"/>
      <c r="BX37" s="1">
        <f>IF($B37&lt;Analysis!$C$66,$P37+$N37+$X37+$Z37,$P37+$N37+AS37+AV37+BB37+BE37+BG37+MAX(BI37,SUM(BJ37:BN37))+BP37)</f>
        <v>-77735.005195424383</v>
      </c>
      <c r="BY37" s="1">
        <f t="shared" si="24"/>
        <v>65733.961620612943</v>
      </c>
      <c r="BZ37" s="1">
        <f t="shared" si="46"/>
        <v>-12001.04357481144</v>
      </c>
      <c r="CA37" s="1">
        <f>IF(BZ37 &lt; 0,
    IF(CA36 + BZ37 &gt; 0,
        CA36 + BZ37, IF(CF36-ABS(CA36 + BZ37)*(1+$V37) &gt;= CA36 + BZ37,
        0, CA36 + BZ37)),
    MIN(CA36 + BZ37, Analysis!$C$7))+IF(CA36&lt;0, CA36*Analysis!$C$9,0)</f>
        <v>-3080506.951935946</v>
      </c>
      <c r="CB37" s="42"/>
      <c r="CC37" s="1">
        <f t="shared" si="47"/>
        <v>0</v>
      </c>
      <c r="CD37" s="1">
        <f>IF(BZ37 &gt;= 0,
    MAX(0, CA36 + BZ37 - Analysis!$C$7),
    0)</f>
        <v>0</v>
      </c>
      <c r="CE37" s="1">
        <f>IF($B37=Analysis!$C$66,0,MAX(0, CE36 + CD37 - IF(BZ37 &lt; 0, MIN(ABS(BZ37), CE36 + CD37), 0)))</f>
        <v>0</v>
      </c>
      <c r="CF37" s="1">
        <f>IF($B37=Analysis!$C$66,0,IF(BZ37 &lt; 0,
    IF(BZ37 + CA36 &lt; 0,
        MAX(0, CF36 - (ABS(BZ37 + CA36) * (1+$V36))),
        CF36 + CC37),
    CF36 + CD37 + CC37))</f>
        <v>0</v>
      </c>
      <c r="CG37" s="1">
        <f t="shared" si="25"/>
        <v>0</v>
      </c>
      <c r="CH37" s="36"/>
      <c r="CI37" s="1">
        <f>IF(OR($B37&lt;Analysis!$C$100, $B37&gt;=Analysis!$C$130),0,X37)</f>
        <v>0</v>
      </c>
      <c r="CJ37" s="1">
        <f>IF(OR($B37&lt;Analysis!$C$100, $B37&gt;=Analysis!$C$130),0,Z37)</f>
        <v>0</v>
      </c>
      <c r="CK37" s="1">
        <f t="shared" si="60"/>
        <v>1433139.9357455871</v>
      </c>
      <c r="CL37" s="64">
        <f t="shared" si="48"/>
        <v>2.941176470588247E-2</v>
      </c>
      <c r="CM37" s="1">
        <f>IF($B37=Analysis!$C$100,(CK37*(1+Analysis!$C$23+Analysis!$C$24+Analysis!$C$25))-IF($B37=$B$2,(Analysis!$C$6-Analysis!$C$7+Analysis!$C$105), (FU36-Analysis!$C$7+CV37)),0)</f>
        <v>0</v>
      </c>
      <c r="CN37" s="65">
        <f>IF($B37=Analysis!$C$100,NPER(CR37,-CU37,-CM37),0)</f>
        <v>0</v>
      </c>
      <c r="CO37" s="64">
        <f>IF($B37=Analysis!$C$100,Analysis!$C$103,0)</f>
        <v>0</v>
      </c>
      <c r="CP37" s="1">
        <f>IF(OR($B37&lt;Analysis!$C$100, $B37&gt;=Analysis!$C$101),0,IF($B37=Analysis!$C$100,-CM37*CO37,IF(CU37&gt;=0,0,CU37-CS37)))</f>
        <v>0</v>
      </c>
      <c r="CQ37" s="1">
        <f>IF(OR($B37&lt;Analysis!$C$100, $B37&gt;=Analysis!$C$101),0,IF($B37=Analysis!$C$100,-CM37-CP37,MIN(0,CQ36-CP37)))</f>
        <v>0</v>
      </c>
      <c r="CR37" s="64">
        <f>IF(OR($B37&lt;Analysis!$C$100, $B37&gt;=Analysis!$C$101),0,IF($B37=Analysis!$C$100,Analysis!$C$102,IF(($B37-Analysis!$C$100)&lt;LOOKUP(Analysis!$C$100,$B:$B,CN:CN),CR36,0)))</f>
        <v>0</v>
      </c>
      <c r="CS37" s="1">
        <f>IF(OR($B37&lt;Analysis!$C$100, $B37&gt;=Analysis!$C$101),0,IF($B37=Analysis!$C$100,-CR37*CM37,CR36*CQ36))</f>
        <v>0</v>
      </c>
      <c r="CT37" s="1">
        <f>IF(OR($B37&lt;Analysis!$C$100, $B37&gt;=Analysis!$C$101),0,IF($B37=Analysis!$C$100,PMT(CR37,CN37,CM37)*CN37-CU37-CQ37,IF(($B37-Analysis!$C$100+1)&lt;LOOKUP(Analysis!$C$100,$B:$B,CN:CN),IF(CT36-CS37&lt;0, CT36-CS37,0),0)))</f>
        <v>0</v>
      </c>
      <c r="CU37" s="1">
        <f>IF(OR($B37&lt;Analysis!$C$100, $B37&gt;=Analysis!$C$101),0,IF($B37=Analysis!$C$100,CP37+CS37,IF(CQ36&lt;0,IF(CQ36&gt;LOOKUP(Analysis!$C$100,$B:$B,CU:CU), CQ36*(1+CR36),CU36),0)))</f>
        <v>0</v>
      </c>
      <c r="CV37" s="1">
        <f>IF($B37=Analysis!$C$100,Analysis!$C$105,0)</f>
        <v>0</v>
      </c>
      <c r="CW37" s="1">
        <f>IF($B37=Analysis!$C$100,PMT(CR37,CX37,CV37)*CX37,0)</f>
        <v>0</v>
      </c>
      <c r="CX37" s="7">
        <f>IF($B37=Analysis!$C$100,Analysis!$C$107,0)</f>
        <v>0</v>
      </c>
      <c r="CY37" s="1">
        <f>IF(OR($B37&lt;Analysis!$C$100, $B37&gt;=Analysis!$C$101),0,IF($B37=Analysis!$C$100,CW37/CX37,IF(($B37-Analysis!$C$100)&lt;LOOKUP(Analysis!$C$100,$B:$B,CX:CX),CY36,0)))</f>
        <v>0</v>
      </c>
      <c r="CZ37" s="1">
        <f>IF(OR($B37&lt;Analysis!$C$100, $B37&gt;=Analysis!$C$101),0,IF($B37=Analysis!$C$100,CX37*CY37-CY37,IF(($B37-Analysis!$C$100)&lt;Analysis!$C$107,CZ36-CY37,0)))</f>
        <v>0</v>
      </c>
      <c r="DA37" s="53"/>
      <c r="DB37" s="1">
        <f>IF(OR($B37&lt;Analysis!$C$100, $B37&gt;=Analysis!$C$101),0,IF($B37=2025,(Analysis!$C$109*12),IF($B37=Analysis!$C$100,(Analysis!$C$109*12)*(1+DC37)^($B37-$B$2),DB36*(1+DC37))))</f>
        <v>0</v>
      </c>
      <c r="DC37" s="64">
        <f>IF(OR($B37&lt;Analysis!$C$100, $B37&gt;=Analysis!$C$101),0,((1+Analysis!$C$114)/(1+$S37))-1)</f>
        <v>0</v>
      </c>
      <c r="DD37" s="1">
        <f t="shared" si="6"/>
        <v>0</v>
      </c>
      <c r="DE37" s="1">
        <f t="shared" si="27"/>
        <v>0</v>
      </c>
      <c r="DF37" s="64">
        <f>IF(OR($B37&lt;Analysis!$C$100, $B37&gt;=Analysis!$C$101),0,Analysis!$C$118)</f>
        <v>0</v>
      </c>
      <c r="DG37" s="1">
        <f t="shared" si="28"/>
        <v>0</v>
      </c>
      <c r="DH37" s="64">
        <f>IF(OR($B37&lt;Analysis!$C$100, $B37&gt;=Analysis!$C$101),0,Analysis!$C$119)</f>
        <v>0</v>
      </c>
      <c r="DI37" s="1">
        <f>IF(OR($B37&lt;Analysis!$C$100, $B37&gt;=Analysis!$C$101),0,MIN(Analysis!$C$120*12,SUM(DJ37:DN37)))</f>
        <v>0</v>
      </c>
      <c r="DJ37" s="1">
        <f>IF(OR($B37&lt;Analysis!$C$100, $B37&gt;=Analysis!$C$101),0,Analysis!$C$121*12)</f>
        <v>0</v>
      </c>
      <c r="DK37" s="1">
        <f>IF(OR($B37&lt;Analysis!$C$100, $B37&gt;=Analysis!$C$101),0,Analysis!$C$122*12)</f>
        <v>0</v>
      </c>
      <c r="DL37" s="1">
        <f>IF(OR($B37&lt;Analysis!$C$100, $B37&gt;=Analysis!$C$101),0,Analysis!$C$123*12)</f>
        <v>0</v>
      </c>
      <c r="DM37" s="1">
        <f>IF(OR($B37&lt;Analysis!$C$100, $B37&gt;=Analysis!$C$101),0,Analysis!$C$124*12)</f>
        <v>0</v>
      </c>
      <c r="DN37" s="1">
        <f>IF(OR($B37&lt;Analysis!$C$100, $B37&gt;=Analysis!$C$101),0,Analysis!$C$125*12)</f>
        <v>0</v>
      </c>
      <c r="DO37" s="64">
        <f>IF(OR($B37&lt;Analysis!$C$100, $B37&gt;=Analysis!$C$101),0,Analysis!$C$113)</f>
        <v>0</v>
      </c>
      <c r="DP37" s="1">
        <f>-DO37*LOOKUP(Analysis!$C$100,$B:$B,CK:CK)</f>
        <v>0</v>
      </c>
      <c r="DQ37" s="1">
        <f>-Analysis!$C$117*DB37</f>
        <v>0</v>
      </c>
      <c r="DR37" s="1">
        <f t="shared" si="29"/>
        <v>0</v>
      </c>
      <c r="DS37" s="1">
        <f>MIN(0,-(DB37+DR37)*Analysis!$C$28)-CS37*Analysis!$C$28</f>
        <v>0</v>
      </c>
      <c r="DT37" s="1">
        <f>-Analysis!$C$116*DD37/12</f>
        <v>0</v>
      </c>
      <c r="DU37" s="53"/>
      <c r="DV37" s="1">
        <f t="shared" si="30"/>
        <v>0</v>
      </c>
      <c r="DW37" s="64">
        <f>IF(OR($B37&lt;Analysis!$C$100, $B37&gt;=Analysis!$C$101),0,IF($B37=Analysis!$C$100,Analysis!$C$31,DW36))</f>
        <v>0</v>
      </c>
      <c r="DX37" s="1">
        <f>IF(OR($B37&lt;Analysis!$C$100, $B37&gt;=Analysis!$C$101),0,CK37+DV37)</f>
        <v>0</v>
      </c>
      <c r="DY37" s="1">
        <f>IF(OR($B37&lt;Analysis!$C$100, $B37&gt;=Analysis!$C$101),0,IF($B37-Analysis!$C$100&gt;3,0,IF(CK37&gt;LOOKUP(Analysis!$C$100,$B:$B, CK:CK),$V37*(LOOKUP(Analysis!$C$100,$B:$B, CK:CK)-CK37),0)))</f>
        <v>0</v>
      </c>
      <c r="DZ37" s="1">
        <f t="shared" si="49"/>
        <v>0</v>
      </c>
      <c r="EA37" s="53"/>
      <c r="EB37" s="1">
        <f t="shared" si="31"/>
        <v>1903130.399662155</v>
      </c>
      <c r="EC37" s="64">
        <f t="shared" si="50"/>
        <v>2.941176470588247E-2</v>
      </c>
      <c r="ED37" s="1">
        <f>MAX(0,IF($B37=Analysis!$C$130,(EB37*(1+Analysis!$C$23+Analysis!$C$24+Analysis!$C$25))-(IF($B37=$B$2,(Analysis!$C$6-Analysis!$C$7+Analysis!$C$132), (FU36-Analysis!$C$7+EM37)) + IF($B37=Analysis!$C$101,DZ36+CQ36+CT36+CZ36,0)),0))</f>
        <v>0</v>
      </c>
      <c r="EE37" s="65">
        <f>IF($B37=Analysis!$C$130,IF(ED37&gt;0,NPER(EI37,-EL37,-ED37),0),0)</f>
        <v>0</v>
      </c>
      <c r="EF37" s="64">
        <f>IF($B37=Analysis!$C$130,Analysis!$C$137,0)</f>
        <v>0.02</v>
      </c>
      <c r="EG37" s="1">
        <f>IF($B37&lt;Analysis!$C$130,0,IF($B37=Analysis!$C$130,-ED37*EF37,IF(EL37&gt;=0,0,EL37-EJ37)))</f>
        <v>0</v>
      </c>
      <c r="EH37" s="1">
        <f>IF($B37&lt;Analysis!$C$130,0,IF($B37=Analysis!$C$130,-ED37-EG37,MIN(0,EH36-EG37)))</f>
        <v>0</v>
      </c>
      <c r="EI37" s="64">
        <f>IF($B37&lt;Analysis!$C$130,0,IF($B37=Analysis!$C$130,Analysis!$C$136,IF(($B37-Analysis!$C$130)&lt;LOOKUP(Analysis!$C$130,$B:$B,EE:EE),EI36,0)))</f>
        <v>3.6999999999999998E-2</v>
      </c>
      <c r="EJ37" s="1">
        <f>IF($B37&lt;Analysis!$C$130,0,IF($B37=Analysis!$C$130,-EI37*ED37,EI36*EH36))</f>
        <v>0</v>
      </c>
      <c r="EK37" s="1">
        <f>IF(OR($B37&lt;Analysis!$C$130, ED37=0),0,IF($B37=Analysis!$C$130,PMT(EI37,EE37,ED37)*EE37-EL37-EH37,IF(($B37-Analysis!$C$130+1)&lt;LOOKUP(Analysis!$C$130,$B:$B,EE:EE),IF(EK36-EJ37&lt;0, EK36-EJ37,0),0)))</f>
        <v>0</v>
      </c>
      <c r="EL37" s="1">
        <f>IF($B37&lt;Analysis!$C$130,0,IF($B37=Analysis!$C$130,EG37+EJ37,IF(EH36&lt;0,IF(EH36&gt;LOOKUP(Analysis!$C$130,$B:$B,EL:EL), EH36*(1+EI36),EL36),0)))</f>
        <v>0</v>
      </c>
      <c r="EM37" s="1">
        <f>IF($B37=Analysis!$C$130,Analysis!$C$132,0)</f>
        <v>50000</v>
      </c>
      <c r="EN37" s="1">
        <f>IF($B37=Analysis!$C$130,PMT(EI37,EO37,EM37)*EO37,0)</f>
        <v>-60728.287787074187</v>
      </c>
      <c r="EO37" s="7">
        <f>IF($B37=Analysis!$C$130,Analysis!$C$134,0)</f>
        <v>10</v>
      </c>
      <c r="EP37" s="1">
        <f>IF($B37&lt;Analysis!$C$130,0,IF($B37=Analysis!$C$130,EN37/EO37,IF(($B37-Analysis!$C$130)&lt;LOOKUP(Analysis!$C$130,$B:$B,EO:EO),EP36,0)))</f>
        <v>-6072.8287787074187</v>
      </c>
      <c r="EQ37" s="1">
        <f>IF($B37&lt;Analysis!$C$130,0,IF($B37=Analysis!$C$130,EO37*EP37-EP37,IF(($B37-Analysis!$C$130)&lt;Analysis!$C$134,EQ36-EP37,0)))</f>
        <v>-54655.459008366772</v>
      </c>
      <c r="ER37" s="53"/>
      <c r="ES37" s="1">
        <f>IF($B37&lt;Analysis!$C$130,0,-ET37*EB37)</f>
        <v>-5709.3911989864646</v>
      </c>
      <c r="ET37" s="64">
        <f>IF($B37&lt;Analysis!$C$130,0,Analysis!$C$142)</f>
        <v>3.0000000000000001E-3</v>
      </c>
      <c r="EU37" s="1">
        <f>IF($B37&lt;Analysis!$C$130,0,-EV37*EB37)</f>
        <v>-19031.303996621551</v>
      </c>
      <c r="EV37" s="64">
        <f>IF($B37&lt;Analysis!$C$130,0,Analysis!$C$143)</f>
        <v>0.01</v>
      </c>
      <c r="EW37" s="1">
        <f>IF($B37&lt;Analysis!$C$130,0,MIN(Analysis!$C$144*12,SUM(EX37:FB37)))</f>
        <v>-3960</v>
      </c>
      <c r="EX37" s="1">
        <f>IF($B37&lt;Analysis!$C$130,0,Analysis!$C$145*12)</f>
        <v>-900</v>
      </c>
      <c r="EY37" s="1">
        <f>IF($B37&lt;Analysis!$C$130,0,Analysis!$C$146*12)</f>
        <v>-1500</v>
      </c>
      <c r="EZ37" s="1">
        <f>IF($B37&lt;Analysis!$C$130,0,Analysis!$C$147*12)</f>
        <v>-480</v>
      </c>
      <c r="FA37" s="1">
        <f>IF($B37&lt;Analysis!$C$130,0,Analysis!$C$148*12)</f>
        <v>-480</v>
      </c>
      <c r="FB37" s="1">
        <f>IF($B37&lt;Analysis!$C$130,0,Analysis!$C$149*12)</f>
        <v>-600</v>
      </c>
      <c r="FC37" s="1">
        <v>0</v>
      </c>
      <c r="FD37" s="1">
        <f>-FC37*Analysis!$C$28</f>
        <v>0</v>
      </c>
      <c r="FE37" s="53"/>
      <c r="FF37" s="1">
        <f t="shared" si="32"/>
        <v>-242649.12595692475</v>
      </c>
      <c r="FG37" s="64">
        <f>IF($B37&lt;Analysis!$C$130,0,Analysis!$C$31)</f>
        <v>0.1275</v>
      </c>
      <c r="FH37" s="1">
        <f>IF($B37&lt;Analysis!$C$130,0,EB37+FF37)</f>
        <v>1660481.2737052301</v>
      </c>
      <c r="FI37" s="1">
        <f>IF($B37-Analysis!$C$130&gt;3,0,IF(EB37&gt;LOOKUP(Analysis!$C$130,$B:$B, EB:EB),$V37*(LOOKUP(Analysis!$C$130,$B:$B, EB:EB)-EB37),0))</f>
        <v>0</v>
      </c>
      <c r="FJ37" s="1">
        <f t="shared" si="33"/>
        <v>1660481.2737052301</v>
      </c>
      <c r="FK37" s="53"/>
      <c r="FL37" s="1">
        <f>$P37+$N37+IF($B37&lt;Analysis!$C$130,$X37+$Z37,0)+CP37+CS37+CY37+DE37+DG37+MIN(DI37,SUM(DJ37:DN37))+DQ37+DS37+DT37+EG37+EJ37+EP37+ES37+EU37+MIN(EW37,SUM(EX37:FB37))+FD37</f>
        <v>-82773.523974315438</v>
      </c>
      <c r="FM37" s="1">
        <f>$M37+$R37+DD37+IF(AND($B37&lt;&gt;Analysis!$C$130,$B37=Analysis!$C$101),DZ36+CQ36+CT36+CZ36,0)</f>
        <v>65733.961620612943</v>
      </c>
      <c r="FN37" s="1">
        <f t="shared" si="34"/>
        <v>-17039.562353702495</v>
      </c>
      <c r="FO37" s="1">
        <f>IF(FN37 &lt; 0,
    IF(FO36 + FN37 &gt; 0,
        FO36 + FN37, IF(FT36-ABS(FO36 + FN37)*(1+$V37) &gt;= FO36 + FN37,
        0, FO36 + FN37)),
    MIN(FO36 + FN37, Analysis!$C$7))+IF(FO36&lt;0, FO36*Analysis!$C$9,0)</f>
        <v>6960.4376462975051</v>
      </c>
      <c r="FP37" s="53"/>
      <c r="FQ37" s="1">
        <f t="shared" si="51"/>
        <v>22077.219005189163</v>
      </c>
      <c r="FR37" s="1">
        <f>IF(OR($B37=Analysis!$C$100, $B37=Analysis!$C$130),0,IF(FN37 &gt;= 0,
    MAX(0, FO36 + FN37 - Analysis!$C$7),
    0))</f>
        <v>0</v>
      </c>
      <c r="FS37" s="1">
        <f>IF(OR($B37=Analysis!$C$100, $B37=Analysis!$C$130),0,MAX(0, FS36 + FR37 - IF(FN37 &lt; 0, MIN(ABS(FN37), FS36 + FR37), 0)))</f>
        <v>0</v>
      </c>
      <c r="FT37" s="1">
        <f>IF(OR($B37=Analysis!$C$100, $B37=Analysis!$C$130),0,IF(FN37 &lt; 0,
    IF(FN37 + FO36 &lt; 0,
        MAX(0, FT36 - (ABS(FN37 + FO36) * (1+$V36))),
        FT36 + FQ37),
    FT36 + FR37 + FQ37))</f>
        <v>0</v>
      </c>
      <c r="FU37" s="1">
        <f t="shared" si="57"/>
        <v>0</v>
      </c>
      <c r="FV37" s="36"/>
      <c r="FW37" s="1">
        <f t="shared" si="52"/>
        <v>1433139.9357455871</v>
      </c>
      <c r="FX37" s="64">
        <f t="shared" si="53"/>
        <v>2.941176470588247E-2</v>
      </c>
      <c r="FY37" s="1">
        <f>IF($B37=Analysis!$C$159,(FW37*(1+Analysis!$C$23+Analysis!$C$24+Analysis!$C$25))-IF($B37=$B$2,(Analysis!$C$6-Analysis!$C$7+Analysis!$C$165), (HW36-Analysis!$C$7+GH37)),0)</f>
        <v>0</v>
      </c>
      <c r="FZ37" s="65">
        <f>IF($B37=Analysis!$C$159,NPER(GD37,-GG37,-FY37),0)</f>
        <v>0</v>
      </c>
      <c r="GA37" s="64">
        <f>IF($B37=Analysis!$C$159,Analysis!$C$161,0)</f>
        <v>0</v>
      </c>
      <c r="GB37" s="1">
        <f>IF($B37&lt;Analysis!$C$159,0,IF($B37=Analysis!$C$159,-FY37*GA37,IF(GG37&gt;=0,0,GG37-GE37)))</f>
        <v>0</v>
      </c>
      <c r="GC37" s="1">
        <f>IF($B37&lt;Analysis!$C$159,0,IF($B37=Analysis!$C$159,-FY37-GB37,MIN(0,GC36-GB37)))</f>
        <v>0</v>
      </c>
      <c r="GD37" s="64">
        <f>IF($B37&lt;Analysis!$C$159,0,IF($B37=Analysis!$C$159,Analysis!$C$160,IF(($B37-Analysis!$C$159)&lt;LOOKUP(Analysis!$C$159,$B:$B,FZ:FZ),GD36,0)))</f>
        <v>0</v>
      </c>
      <c r="GE37" s="1">
        <f>IF($B37&lt;Analysis!$C$159,0,IF($B37=Analysis!$C$159,-GD37*FY37,GD36*GC36))</f>
        <v>0</v>
      </c>
      <c r="GF37" s="1">
        <f>IF($B37&lt;Analysis!$C$159,0,IF($B37=Analysis!$C$159,PMT(GD37,FZ37,FY37)*FZ37-GG37-GC37,IF(($B37-Analysis!$C$159+1)&lt;LOOKUP(Analysis!$C$159,$B:$B,FZ:FZ),IF(GF36-GE37&lt;0, GF36-GE37,0),0)))</f>
        <v>0</v>
      </c>
      <c r="GG37" s="1">
        <f>IF($B37&lt;Analysis!$C$159,0,IF($B37=Analysis!$C$159,GB37+GE37,IF(GC36&lt;0,IF(GC36&gt;LOOKUP(Analysis!$C$159,$B:$B,GG:GG), GC36*(1+GD36),GG36),0)))</f>
        <v>0</v>
      </c>
      <c r="GH37" s="1">
        <f>IF($B37=Analysis!$C$159,Analysis!$C$165,0)</f>
        <v>0</v>
      </c>
      <c r="GI37" s="1">
        <f>IF($B37=Analysis!$C$159,PMT(GD37,GJ37,GH37)*GJ37,0)</f>
        <v>0</v>
      </c>
      <c r="GJ37" s="7">
        <f>IF($B37=Analysis!$C$159,Analysis!$C$167,0)</f>
        <v>0</v>
      </c>
      <c r="GK37" s="1">
        <f>IF($B37&lt;Analysis!$C$159,0,IF($B37=Analysis!$C$159,GI37/GJ37,IF(($B37-Analysis!$C$159)&lt;LOOKUP(Analysis!$C$159,$B:$B,GJ:GJ),GK36,0)))</f>
        <v>0</v>
      </c>
      <c r="GL37" s="1">
        <f>IF($B37&lt;Analysis!$C$159,0,IF($B37=Analysis!$C$159,GJ37*GK37-GK37,IF(($B37-Analysis!$C$159)&lt;Analysis!$C$167,GL36-GK37,0)))</f>
        <v>0</v>
      </c>
      <c r="GM37" s="38"/>
      <c r="GN37" s="1">
        <f>IF($B37&lt;Analysis!$C$159,0,IF($B37=2025,(Analysis!$C$109*12),IF($B37=Analysis!$C$159,(Analysis!$C$109*12)*(1+GO37)^($B37-$B$2),GN36*(1+GO37))))</f>
        <v>38228.097593213723</v>
      </c>
      <c r="GO37" s="64">
        <f>IF($B37&lt;Analysis!$C$159,0,((1+Analysis!$C$174)/(1+$S37))-1)</f>
        <v>2.941176470588247E-2</v>
      </c>
      <c r="GP37" s="1">
        <f t="shared" si="7"/>
        <v>46487.517400450481</v>
      </c>
      <c r="GQ37" s="1">
        <f t="shared" si="36"/>
        <v>-4299.4198072367617</v>
      </c>
      <c r="GR37" s="64">
        <f>IF($B37&lt;Analysis!$C$159,0,Analysis!$C$178)</f>
        <v>3.0000000000000001E-3</v>
      </c>
      <c r="GS37" s="1">
        <f t="shared" si="37"/>
        <v>-10748.549518091902</v>
      </c>
      <c r="GT37" s="64">
        <f>IF($B37&lt;Analysis!$C$159,0,Analysis!$C$179)</f>
        <v>7.4999999999999997E-3</v>
      </c>
      <c r="GU37" s="1">
        <f>IF($B37&lt;Analysis!$C$159,0,MIN(Analysis!$C$180*12,SUM(GV37:GZ37)))</f>
        <v>-3960</v>
      </c>
      <c r="GV37" s="1">
        <f>IF($B37&lt;Analysis!$C$159,0,Analysis!$C$181*12)</f>
        <v>-900</v>
      </c>
      <c r="GW37" s="1">
        <f>IF($B37&lt;Analysis!$C$159,0,Analysis!$C$182*12)</f>
        <v>-1500</v>
      </c>
      <c r="GX37" s="1">
        <f>IF($B37&lt;Analysis!$C$159,0,Analysis!$C$183*12)</f>
        <v>-480</v>
      </c>
      <c r="GY37" s="1">
        <f>IF($B37&lt;Analysis!$C$159,0,Analysis!$C$184*12)</f>
        <v>-480</v>
      </c>
      <c r="GZ37" s="1">
        <f>IF($B37&lt;Analysis!$C$159,0,Analysis!$C$185*12)</f>
        <v>-600</v>
      </c>
      <c r="HA37" s="64">
        <f>IF($B37&lt;Analysis!$C$159,0,Analysis!$C$173)</f>
        <v>0.02</v>
      </c>
      <c r="HB37" s="1">
        <f>-HA37*LOOKUP(Analysis!$C$159,$B:$B,FW:FW)</f>
        <v>-10392</v>
      </c>
      <c r="HC37" s="1">
        <f>-Analysis!$C$177*GN37</f>
        <v>-2867.1073194910291</v>
      </c>
      <c r="HD37" s="1">
        <f t="shared" si="38"/>
        <v>-32267.076644819692</v>
      </c>
      <c r="HE37" s="1">
        <f>MIN(0,-(GN37+HD37)*Analysis!$C$28)-GE37*Analysis!$C$28</f>
        <v>-2641.3283822333947</v>
      </c>
      <c r="HF37" s="1">
        <f>-Analysis!$C$176*GP37/12</f>
        <v>-3873.9597833708735</v>
      </c>
      <c r="HG37" s="38"/>
      <c r="HH37" s="1">
        <f>IF($B37&lt;Analysis!$C$159,0,-$HI37*$FW37)</f>
        <v>-182725.34180756236</v>
      </c>
      <c r="HI37" s="64">
        <f>IF($B37&lt;Analysis!$C$159,0,IF($B37=Analysis!$C$159,Analysis!$C$31,HI36))</f>
        <v>0.1275</v>
      </c>
      <c r="HJ37" s="1">
        <f>IF($B37&lt;Analysis!$C$159,0,$FW37+HH37)</f>
        <v>1250414.5939380247</v>
      </c>
      <c r="HK37" s="1">
        <f>IF($B37-Analysis!$C$159&gt;10,0,IF($FW37&gt;LOOKUP(Analysis!$C$159,$B:$B, FW:FW),$V37*(LOOKUP(Analysis!$C$159,$B:$B, FW:FW)-FW37),0))</f>
        <v>0</v>
      </c>
      <c r="HL37" s="1">
        <f t="shared" si="39"/>
        <v>1250414.5939380247</v>
      </c>
      <c r="HM37" s="38"/>
      <c r="HN37" s="1">
        <f t="shared" si="40"/>
        <v>-124039.61920266818</v>
      </c>
      <c r="HO37" s="1">
        <f t="shared" si="8"/>
        <v>112221.47902106342</v>
      </c>
      <c r="HP37" s="1">
        <f t="shared" si="41"/>
        <v>-11818.140181604758</v>
      </c>
      <c r="HQ37" s="1">
        <f>IF(HP37 &lt; 0,
    IF(HQ36 + HP37 &gt; 0,
        HQ36 + HP37, IF(HV36-ABS(HQ36 + HP37)*(1+$V37) &gt;= HQ36 + HP37,
        0, HQ36 + HP37)),
    MIN(HQ36 + HP37, Analysis!$C$7))+IF(HQ36&lt;0, HQ36*Analysis!$C$9,0)</f>
        <v>12181.859818395242</v>
      </c>
      <c r="HR37" s="38"/>
      <c r="HS37" s="1">
        <f t="shared" si="54"/>
        <v>22077.219005189163</v>
      </c>
      <c r="HT37" s="1">
        <f>IF($B37=Analysis!$C$159,0,IF(HP37 &gt;= 0,
    MAX(0, HQ36 + HP37 - Analysis!$C$7),
    0))</f>
        <v>0</v>
      </c>
      <c r="HU37" s="1">
        <f>IF($B37=Analysis!$C$159,0,MAX(0, HU36 + HT37 - IF(HP37 &lt; 0, MIN(ABS(HP37), HU36 + HT37), 0)))</f>
        <v>755520.42544783326</v>
      </c>
      <c r="HV37" s="1">
        <f>IF($B37=Analysis!$C$159,0,IF(HP37 &lt; 0,
    IF(HP37 + HQ36 &lt; 0,
        MAX(0, HV36 - (ABS(HP37 + HQ36) * (1+$V36))),
        HV36 + HS37),
    HV36 + HT37 + HS37))</f>
        <v>1148015.3882698405</v>
      </c>
      <c r="HW37" s="1">
        <f t="shared" si="58"/>
        <v>1044494.8418255361</v>
      </c>
      <c r="HX37" s="36"/>
    </row>
    <row r="38" spans="1:232" x14ac:dyDescent="0.35">
      <c r="A38">
        <f t="shared" si="0"/>
        <v>71</v>
      </c>
      <c r="B38">
        <v>2061</v>
      </c>
      <c r="C38" s="1">
        <f>IF($B38&lt;Analysis!C$66,0,$AN38)+$AT38+$AW38+$BC38+$CF38+$CA38</f>
        <v>-814060.02561708866</v>
      </c>
      <c r="D38" s="1">
        <f>IF($B38&lt;Analysis!C$66, 0, BV38)+AT38+AW38+BC38+CG38+CA38</f>
        <v>-1136247.5905598933</v>
      </c>
      <c r="E38" s="1">
        <f t="shared" si="1"/>
        <v>2169253.8717228705</v>
      </c>
      <c r="F38" s="1">
        <f t="shared" si="9"/>
        <v>1872473.2301050958</v>
      </c>
      <c r="G38" s="1">
        <f>IF(AND($B38&gt;=Analysis!$C$100, $B38&lt;Analysis!$C$101),$CK38,0)+IF($B38&gt;=Analysis!$C$130,EB38,0)+CQ38+CT38+CZ38+EH38+EK38+EQ38+$FO38+$FT38</f>
        <v>1898400.7215064005</v>
      </c>
      <c r="H38" s="1">
        <f t="shared" si="10"/>
        <v>1633851.6023474811</v>
      </c>
      <c r="I38" s="1">
        <f>IF($B38&lt;Analysis!$C$159,0,$FW38)+$GC38+$GF38+$GL38+$HQ38+$HV38</f>
        <v>2620929.3811570206</v>
      </c>
      <c r="J38" s="1">
        <f t="shared" si="59"/>
        <v>2326227.1028236412</v>
      </c>
      <c r="K38" s="36"/>
      <c r="L38" s="1">
        <f t="shared" si="11"/>
        <v>64419.282388200685</v>
      </c>
      <c r="M38" s="1">
        <f>IF($B38=Analysis!$C$47, M37 * (1 - Analysis!$C$48),
    IF($B38=Analysis!$C$52, M37 * (1 - Analysis!$C$53),
    IF($B38=Analysis!$C$58, M37 * (1 - Analysis!$C$60),
    L38)))</f>
        <v>64419.282388200685</v>
      </c>
      <c r="N38" s="1">
        <f>Analysis!$C$3*12*(1+O38)+P38</f>
        <v>-48000</v>
      </c>
      <c r="O38" s="64">
        <f>IF(OR($B38=Analysis!$C$47,$B38=Analysis!$C$52,$B38=Analysis!$C$58),-Analysis!$C$49,0)</f>
        <v>0</v>
      </c>
      <c r="P38" s="1">
        <f>IF($B38&lt;Analysis!$C$47,0,IF($B38-Analysis!$C$47&lt;=3,Analysis!$C$40+Analysis!$C$44,IF($B38-Analysis!$C$47&lt;=10,Analysis!$C$41+Analysis!$C$44,IF($B38-Analysis!$C$47&lt;=18,Analysis!$C$42+Analysis!$C$44,IF($B38-Analysis!$C$47&lt;=25,Analysis!$C$43+Analysis!$C$44,0)))) + IF(AND($B38&gt;=Analysis!$C$52, $B38-Analysis!$C$52&lt;=3),Analysis!$C$40+Analysis!$C$44,IF(AND($B38&gt;=Analysis!$C$52, $B38-Analysis!$C$52&lt;=10),Analysis!$C$41+Analysis!$C$44,IF(AND($B38&gt;=Analysis!$C$52, $B38-Analysis!$C$52&lt;=18),Analysis!$C$42+Analysis!$C$44,IF(AND($B38&gt;=Analysis!$C$52, $B38-Analysis!$C$52&lt;=25),Analysis!$C$43+Analysis!$C$44,0)))) + Analysis!$C$57*IF(AND($B38&gt;=Analysis!$C$58, $B38-Analysis!$C$58&lt;=3),Analysis!$C$40+Analysis!$C$44,IF(AND($B38&gt;=Analysis!$C$58, $B38-Analysis!$C$58&lt;=10),Analysis!$C$41+Analysis!$C$44,IF(AND($B38&gt;=Analysis!$C$58, $B38-Analysis!$C$58&lt;=18),Analysis!$C$42+Analysis!$C$44,IF(AND($B38&gt;=Analysis!$C$58, $B38-Analysis!$C$58&lt;=25),Analysis!$C$43+Analysis!$C$44,0)))))</f>
        <v>0</v>
      </c>
      <c r="Q38" s="1">
        <f t="shared" si="43"/>
        <v>0</v>
      </c>
      <c r="R38" s="1">
        <f>IF(AND(AND(B38=Analysis!C$35,Analysis!C$34&lt;&gt;0),AND(B38=Analysis!C$37,Analysis!C$36&lt;&gt;0)),Analysis!C$34+Analysis!C$36,IF(AND(B38=Analysis!C$35,Analysis!C$34&lt;&gt;0),Analysis!C$34,IF(AND(B38=Analysis!C$37,Analysis!C$36&lt;&gt;0),Analysis!C$36,0)))</f>
        <v>0</v>
      </c>
      <c r="S38" s="64">
        <f t="shared" si="12"/>
        <v>0.02</v>
      </c>
      <c r="T38" s="64">
        <f>IF($B38&lt;Analysis!$C$13, ((1+IF($B38-$B$2&lt;10,Analysis!$C$11,IF($B38-$B$2&lt;20,(Analysis!$C$11+Analysis!$C$12)/2,Analysis!$C$12)))/(1+$S38)-1),IF($B38=Analysis!$C$13,-Analysis!$C$14,-$S38))</f>
        <v>-0.02</v>
      </c>
      <c r="U38" s="64">
        <f>IF($B38=$B$2,((1+Analysis!$C$16)/(1+$S38))-1,IF(B38&lt;Analysis!$C$13,U37-((Analysis!$C$16-Analysis!$C$17)/(Analysis!$C$13-$B$2)),((1+Analysis!$C$17)/(1+$S37))-1))</f>
        <v>1.9607843137254832E-2</v>
      </c>
      <c r="V38" s="64">
        <f t="shared" si="13"/>
        <v>0.26374999999999998</v>
      </c>
      <c r="W38" s="36"/>
      <c r="X38" s="1">
        <f t="shared" si="14"/>
        <v>-44974.232462604363</v>
      </c>
      <c r="Y38" s="64">
        <f t="shared" si="15"/>
        <v>2.941176470588247E-2</v>
      </c>
      <c r="Z38" s="1">
        <f t="shared" si="16"/>
        <v>-3960</v>
      </c>
      <c r="AA38" s="64">
        <f t="shared" si="17"/>
        <v>0</v>
      </c>
      <c r="AB38" s="40"/>
      <c r="AC38" s="1">
        <f t="shared" si="3"/>
        <v>-96934.232462604356</v>
      </c>
      <c r="AD38" s="1">
        <f t="shared" si="4"/>
        <v>64419.282388200685</v>
      </c>
      <c r="AE38" s="1">
        <f t="shared" si="18"/>
        <v>-32514.95007440367</v>
      </c>
      <c r="AF38" s="1">
        <f>IF(AE38 &lt; 0,
    IF(AF37 + AE38 &gt; 0,
        AF37 + AE38, IF(AK37-ABS(AF37 + AE38)*(1+$V38) &gt;= AF37 + AE38,
        0, AF37 + AE38)),
    MIN(AF37 + AE38, Analysis!$C$7))+IF(AF37&lt;0, AF37*Analysis!$C$9,0)</f>
        <v>0</v>
      </c>
      <c r="AG38" s="40"/>
      <c r="AH38" s="1">
        <f t="shared" si="19"/>
        <v>43340.090978027256</v>
      </c>
      <c r="AI38" s="1">
        <f>IF(AE38 &gt;= 0,
    MAX(0, AF37 + AE38 - Analysis!$C$7),
    0)</f>
        <v>0</v>
      </c>
      <c r="AJ38" s="1">
        <f t="shared" si="44"/>
        <v>1044019.2115606914</v>
      </c>
      <c r="AK38" s="1">
        <f t="shared" si="20"/>
        <v>2169253.8717228705</v>
      </c>
      <c r="AL38" s="1">
        <f t="shared" si="5"/>
        <v>1872473.2301050958</v>
      </c>
      <c r="AM38" s="36"/>
      <c r="AN38" s="1">
        <f t="shared" si="45"/>
        <v>2526961.2936690575</v>
      </c>
      <c r="AO38" s="64">
        <f t="shared" si="21"/>
        <v>2.941176470588247E-2</v>
      </c>
      <c r="AP38" s="1">
        <f>IF($B38=Analysis!$C$66,(AN38*(1+Analysis!$C$23+Analysis!$C$24+Analysis!$C$25))-IF($B38=$B$2,(Analysis!$C$6-Analysis!$C$7+Analysis!$C$68), ($CG37-Analysis!$C$7+AY38)),0)</f>
        <v>0</v>
      </c>
      <c r="AQ38" s="65">
        <f>IF($B38=Analysis!$C$66,NPER(AU38,-AX38,-AP38),0)</f>
        <v>0</v>
      </c>
      <c r="AR38" s="64">
        <f>IF($B38=Analysis!$C$66,Analysis!$C$73,0)</f>
        <v>0</v>
      </c>
      <c r="AS38" s="1">
        <f>IF($B38&lt;Analysis!$C$66,0,IF($B38=Analysis!$C$66,-AP38*AR38,IF(AX38&gt;=0,0,AX38-AV38)))</f>
        <v>0</v>
      </c>
      <c r="AT38" s="1">
        <f>IF($B38&lt;Analysis!$C$66,0,IF($B38=Analysis!$C$66,-AP38-AS38,MIN(0,AT37-AS38)))</f>
        <v>0</v>
      </c>
      <c r="AU38" s="64">
        <f>IF($B38&lt;Analysis!$C$66,0,IF($B38=Analysis!$C$66,Analysis!$C$72,IF(($B38-Analysis!$C$66)&lt;LOOKUP(Analysis!$C$66,$B:$B,AQ:AQ),AU37,0)))</f>
        <v>0</v>
      </c>
      <c r="AV38" s="1">
        <f>IF($B38&lt;Analysis!$C$66,0,IF($B38=Analysis!$C$66,-AU38*AP38,AU37*AT37))</f>
        <v>0</v>
      </c>
      <c r="AW38" s="1">
        <f>IF($B38&lt;Analysis!$C$66,0,IF($B38=Analysis!$C$66,PMT(AU38,AQ38,AP38)*AQ38-AX38-AT38,IF(($B38-Analysis!$C$66+1)&lt;LOOKUP(Analysis!$C$66,$B:$B,AQ:AQ),IF(AW37-AV38&lt;0, AW37-AV38,0),0)))</f>
        <v>0</v>
      </c>
      <c r="AX38" s="1">
        <f>IF($B38&lt;Analysis!$C$66,0,IF($B38=Analysis!$C$66,AS38+AV38,IF(AT37&lt;0,IF(AT37&gt;LOOKUP(Analysis!$C$66,$B:$B,AX:AX), AT37*(1+AU37),AX37),0)))</f>
        <v>0</v>
      </c>
      <c r="AY38" s="1">
        <f>IF($B38=Analysis!$C$66,Analysis!$C$68,0)</f>
        <v>0</v>
      </c>
      <c r="AZ38" s="1">
        <f>IF($B38=Analysis!$C$66,PMT(AU38,BA38,AY38)*BA38,0)</f>
        <v>0</v>
      </c>
      <c r="BA38" s="7">
        <f>IF($B38=Analysis!$C$66,Analysis!$C$70,0)</f>
        <v>0</v>
      </c>
      <c r="BB38" s="1">
        <f>IF($B38&lt;Analysis!$C$66,0,IF($B38=Analysis!$C$66,AZ38/BA38,IF(($B38-Analysis!$C$66)&lt;LOOKUP(Analysis!$C$66,$B:$B,BA:BA),BB37,0)))</f>
        <v>0</v>
      </c>
      <c r="BC38" s="1">
        <f>IF($B38&lt;Analysis!$C$66,0,IF($B38=Analysis!$C$66,BA38*BB38-BB38,IF(($B38-Analysis!$C$66)&lt;Analysis!$C$70,BC37-BB38,0)))</f>
        <v>0</v>
      </c>
      <c r="BD38" s="42"/>
      <c r="BE38" s="1">
        <f>IF($B38&lt;Analysis!$C$66,0,-BF38*AN38)</f>
        <v>-7580.8838810071729</v>
      </c>
      <c r="BF38" s="64">
        <f>IF($B38&lt;Analysis!$C$66,0,Analysis!$C$78)</f>
        <v>3.0000000000000001E-3</v>
      </c>
      <c r="BG38" s="1">
        <f>IF($B38&lt;Analysis!$C$66,0,-BH38*AN38)</f>
        <v>-18952.209702517932</v>
      </c>
      <c r="BH38" s="64">
        <f>IF($B38&lt;Analysis!$C$66,0,Analysis!$C$79)</f>
        <v>7.4999999999999997E-3</v>
      </c>
      <c r="BI38" s="1">
        <f>IF($B38&lt;Analysis!$C$66,0,MIN(Analysis!$C$80*12,SUM(BJ38:BN38)))</f>
        <v>-3960</v>
      </c>
      <c r="BJ38" s="1">
        <f>IF($B38&lt;Analysis!$C$66,0,Analysis!$C$81*12)</f>
        <v>-900</v>
      </c>
      <c r="BK38" s="1">
        <f>IF($B38&lt;Analysis!$C$66,0,Analysis!$C$82*12)</f>
        <v>-1500</v>
      </c>
      <c r="BL38" s="1">
        <f>IF($B38&lt;Analysis!$C$66,0,Analysis!$C$83*12)</f>
        <v>-480</v>
      </c>
      <c r="BM38" s="1">
        <f>IF($B38&lt;Analysis!$C$66,0,Analysis!$C$84*12)</f>
        <v>-480</v>
      </c>
      <c r="BN38" s="1">
        <f>IF($B38&lt;Analysis!$C$66,0,Analysis!$C$85*12)</f>
        <v>-600</v>
      </c>
      <c r="BO38" s="1">
        <v>0</v>
      </c>
      <c r="BP38" s="1">
        <f>-BO38*Analysis!$C$28</f>
        <v>0</v>
      </c>
      <c r="BQ38" s="42"/>
      <c r="BR38" s="1">
        <f t="shared" si="22"/>
        <v>-322187.56494280486</v>
      </c>
      <c r="BS38" s="64">
        <f>IF($B38&lt;Analysis!C$66,0,Analysis!C$31)</f>
        <v>0.1275</v>
      </c>
      <c r="BT38" s="1">
        <f>IF($B38&lt;Analysis!$C$66,0,AN38+BR38)</f>
        <v>2204773.7287262529</v>
      </c>
      <c r="BU38" s="1">
        <f>IF($B38-Analysis!$C$66&gt;3,0,IF($AN38&gt;LOOKUP(Analysis!$C$66,$B:$B, AN:AN),$V38*(LOOKUP(Analysis!$C$66,$B:$B, AN:AN)-AN38),0))</f>
        <v>0</v>
      </c>
      <c r="BV38" s="1">
        <f t="shared" si="23"/>
        <v>2204773.7287262529</v>
      </c>
      <c r="BW38" s="42"/>
      <c r="BX38" s="1">
        <f>IF($B38&lt;Analysis!$C$66,$P38+$N38+$X38+$Z38,$P38+$N38+AS38+AV38+BB38+BE38+BG38+MAX(BI38,SUM(BJ38:BN38))+BP38)</f>
        <v>-78493.0935835251</v>
      </c>
      <c r="BY38" s="1">
        <f t="shared" si="24"/>
        <v>64419.282388200685</v>
      </c>
      <c r="BZ38" s="1">
        <f t="shared" si="46"/>
        <v>-14073.811195324415</v>
      </c>
      <c r="CA38" s="1">
        <f>IF(BZ38 &lt; 0,
    IF(CA37 + BZ38 &gt; 0,
        CA37 + BZ38, IF(CF37-ABS(CA37 + BZ38)*(1+$V38) &gt;= CA37 + BZ38,
        0, CA37 + BZ38)),
    MIN(CA37 + BZ38, Analysis!$C$7))+IF(CA37&lt;0, CA37*Analysis!$C$9,0)</f>
        <v>-3341021.3192861462</v>
      </c>
      <c r="CB38" s="42"/>
      <c r="CC38" s="1">
        <f t="shared" si="47"/>
        <v>0</v>
      </c>
      <c r="CD38" s="1">
        <f>IF(BZ38 &gt;= 0,
    MAX(0, CA37 + BZ38 - Analysis!$C$7),
    0)</f>
        <v>0</v>
      </c>
      <c r="CE38" s="1">
        <f>IF($B38=Analysis!$C$66,0,MAX(0, CE37 + CD38 - IF(BZ38 &lt; 0, MIN(ABS(BZ38), CE37 + CD38), 0)))</f>
        <v>0</v>
      </c>
      <c r="CF38" s="1">
        <f>IF($B38=Analysis!$C$66,0,IF(BZ38 &lt; 0,
    IF(BZ38 + CA37 &lt; 0,
        MAX(0, CF37 - (ABS(BZ38 + CA37) * (1+$V37))),
        CF37 + CC38),
    CF37 + CD38 + CC38))</f>
        <v>0</v>
      </c>
      <c r="CG38" s="1">
        <f t="shared" si="25"/>
        <v>0</v>
      </c>
      <c r="CH38" s="36"/>
      <c r="CI38" s="1">
        <f>IF(OR($B38&lt;Analysis!$C$100, $B38&gt;=Analysis!$C$130),0,X38)</f>
        <v>0</v>
      </c>
      <c r="CJ38" s="1">
        <f>IF(OR($B38&lt;Analysis!$C$100, $B38&gt;=Analysis!$C$130),0,Z38)</f>
        <v>0</v>
      </c>
      <c r="CK38" s="1">
        <f t="shared" si="60"/>
        <v>1475291.1103263397</v>
      </c>
      <c r="CL38" s="64">
        <f t="shared" si="48"/>
        <v>2.941176470588247E-2</v>
      </c>
      <c r="CM38" s="1">
        <f>IF($B38=Analysis!$C$100,(CK38*(1+Analysis!$C$23+Analysis!$C$24+Analysis!$C$25))-IF($B38=$B$2,(Analysis!$C$6-Analysis!$C$7+Analysis!$C$105), (FU37-Analysis!$C$7+CV38)),0)</f>
        <v>0</v>
      </c>
      <c r="CN38" s="65">
        <f>IF($B38=Analysis!$C$100,NPER(CR38,-CU38,-CM38),0)</f>
        <v>0</v>
      </c>
      <c r="CO38" s="64">
        <f>IF($B38=Analysis!$C$100,Analysis!$C$103,0)</f>
        <v>0</v>
      </c>
      <c r="CP38" s="1">
        <f>IF(OR($B38&lt;Analysis!$C$100, $B38&gt;=Analysis!$C$101),0,IF($B38=Analysis!$C$100,-CM38*CO38,IF(CU38&gt;=0,0,CU38-CS38)))</f>
        <v>0</v>
      </c>
      <c r="CQ38" s="1">
        <f>IF(OR($B38&lt;Analysis!$C$100, $B38&gt;=Analysis!$C$101),0,IF($B38=Analysis!$C$100,-CM38-CP38,MIN(0,CQ37-CP38)))</f>
        <v>0</v>
      </c>
      <c r="CR38" s="64">
        <f>IF(OR($B38&lt;Analysis!$C$100, $B38&gt;=Analysis!$C$101),0,IF($B38=Analysis!$C$100,Analysis!$C$102,IF(($B38-Analysis!$C$100)&lt;LOOKUP(Analysis!$C$100,$B:$B,CN:CN),CR37,0)))</f>
        <v>0</v>
      </c>
      <c r="CS38" s="1">
        <f>IF(OR($B38&lt;Analysis!$C$100, $B38&gt;=Analysis!$C$101),0,IF($B38=Analysis!$C$100,-CR38*CM38,CR37*CQ37))</f>
        <v>0</v>
      </c>
      <c r="CT38" s="1">
        <f>IF(OR($B38&lt;Analysis!$C$100, $B38&gt;=Analysis!$C$101),0,IF($B38=Analysis!$C$100,PMT(CR38,CN38,CM38)*CN38-CU38-CQ38,IF(($B38-Analysis!$C$100+1)&lt;LOOKUP(Analysis!$C$100,$B:$B,CN:CN),IF(CT37-CS38&lt;0, CT37-CS38,0),0)))</f>
        <v>0</v>
      </c>
      <c r="CU38" s="1">
        <f>IF(OR($B38&lt;Analysis!$C$100, $B38&gt;=Analysis!$C$101),0,IF($B38=Analysis!$C$100,CP38+CS38,IF(CQ37&lt;0,IF(CQ37&gt;LOOKUP(Analysis!$C$100,$B:$B,CU:CU), CQ37*(1+CR37),CU37),0)))</f>
        <v>0</v>
      </c>
      <c r="CV38" s="1">
        <f>IF($B38=Analysis!$C$100,Analysis!$C$105,0)</f>
        <v>0</v>
      </c>
      <c r="CW38" s="1">
        <f>IF($B38=Analysis!$C$100,PMT(CR38,CX38,CV38)*CX38,0)</f>
        <v>0</v>
      </c>
      <c r="CX38" s="7">
        <f>IF($B38=Analysis!$C$100,Analysis!$C$107,0)</f>
        <v>0</v>
      </c>
      <c r="CY38" s="1">
        <f>IF(OR($B38&lt;Analysis!$C$100, $B38&gt;=Analysis!$C$101),0,IF($B38=Analysis!$C$100,CW38/CX38,IF(($B38-Analysis!$C$100)&lt;LOOKUP(Analysis!$C$100,$B:$B,CX:CX),CY37,0)))</f>
        <v>0</v>
      </c>
      <c r="CZ38" s="1">
        <f>IF(OR($B38&lt;Analysis!$C$100, $B38&gt;=Analysis!$C$101),0,IF($B38=Analysis!$C$100,CX38*CY38-CY38,IF(($B38-Analysis!$C$100)&lt;Analysis!$C$107,CZ37-CY38,0)))</f>
        <v>0</v>
      </c>
      <c r="DA38" s="53"/>
      <c r="DB38" s="1">
        <f>IF(OR($B38&lt;Analysis!$C$100, $B38&gt;=Analysis!$C$101),0,IF($B38=2025,(Analysis!$C$109*12),IF($B38=Analysis!$C$100,(Analysis!$C$109*12)*(1+DC38)^($B38-$B$2),DB37*(1+DC38))))</f>
        <v>0</v>
      </c>
      <c r="DC38" s="64">
        <f>IF(OR($B38&lt;Analysis!$C$100, $B38&gt;=Analysis!$C$101),0,((1+Analysis!$C$114)/(1+$S38))-1)</f>
        <v>0</v>
      </c>
      <c r="DD38" s="1">
        <f t="shared" si="6"/>
        <v>0</v>
      </c>
      <c r="DE38" s="1">
        <f t="shared" si="27"/>
        <v>0</v>
      </c>
      <c r="DF38" s="64">
        <f>IF(OR($B38&lt;Analysis!$C$100, $B38&gt;=Analysis!$C$101),0,Analysis!$C$118)</f>
        <v>0</v>
      </c>
      <c r="DG38" s="1">
        <f t="shared" si="28"/>
        <v>0</v>
      </c>
      <c r="DH38" s="64">
        <f>IF(OR($B38&lt;Analysis!$C$100, $B38&gt;=Analysis!$C$101),0,Analysis!$C$119)</f>
        <v>0</v>
      </c>
      <c r="DI38" s="1">
        <f>IF(OR($B38&lt;Analysis!$C$100, $B38&gt;=Analysis!$C$101),0,MIN(Analysis!$C$120*12,SUM(DJ38:DN38)))</f>
        <v>0</v>
      </c>
      <c r="DJ38" s="1">
        <f>IF(OR($B38&lt;Analysis!$C$100, $B38&gt;=Analysis!$C$101),0,Analysis!$C$121*12)</f>
        <v>0</v>
      </c>
      <c r="DK38" s="1">
        <f>IF(OR($B38&lt;Analysis!$C$100, $B38&gt;=Analysis!$C$101),0,Analysis!$C$122*12)</f>
        <v>0</v>
      </c>
      <c r="DL38" s="1">
        <f>IF(OR($B38&lt;Analysis!$C$100, $B38&gt;=Analysis!$C$101),0,Analysis!$C$123*12)</f>
        <v>0</v>
      </c>
      <c r="DM38" s="1">
        <f>IF(OR($B38&lt;Analysis!$C$100, $B38&gt;=Analysis!$C$101),0,Analysis!$C$124*12)</f>
        <v>0</v>
      </c>
      <c r="DN38" s="1">
        <f>IF(OR($B38&lt;Analysis!$C$100, $B38&gt;=Analysis!$C$101),0,Analysis!$C$125*12)</f>
        <v>0</v>
      </c>
      <c r="DO38" s="64">
        <f>IF(OR($B38&lt;Analysis!$C$100, $B38&gt;=Analysis!$C$101),0,Analysis!$C$113)</f>
        <v>0</v>
      </c>
      <c r="DP38" s="1">
        <f>-DO38*LOOKUP(Analysis!$C$100,$B:$B,CK:CK)</f>
        <v>0</v>
      </c>
      <c r="DQ38" s="1">
        <f>-Analysis!$C$117*DB38</f>
        <v>0</v>
      </c>
      <c r="DR38" s="1">
        <f t="shared" si="29"/>
        <v>0</v>
      </c>
      <c r="DS38" s="1">
        <f>MIN(0,-(DB38+DR38)*Analysis!$C$28)-CS38*Analysis!$C$28</f>
        <v>0</v>
      </c>
      <c r="DT38" s="1">
        <f>-Analysis!$C$116*DD38/12</f>
        <v>0</v>
      </c>
      <c r="DU38" s="53"/>
      <c r="DV38" s="1">
        <f t="shared" si="30"/>
        <v>0</v>
      </c>
      <c r="DW38" s="64">
        <f>IF(OR($B38&lt;Analysis!$C$100, $B38&gt;=Analysis!$C$101),0,IF($B38=Analysis!$C$100,Analysis!$C$31,DW37))</f>
        <v>0</v>
      </c>
      <c r="DX38" s="1">
        <f>IF(OR($B38&lt;Analysis!$C$100, $B38&gt;=Analysis!$C$101),0,CK38+DV38)</f>
        <v>0</v>
      </c>
      <c r="DY38" s="1">
        <f>IF(OR($B38&lt;Analysis!$C$100, $B38&gt;=Analysis!$C$101),0,IF($B38-Analysis!$C$100&gt;3,0,IF(CK38&gt;LOOKUP(Analysis!$C$100,$B:$B, CK:CK),$V38*(LOOKUP(Analysis!$C$100,$B:$B, CK:CK)-CK38),0)))</f>
        <v>0</v>
      </c>
      <c r="DZ38" s="1">
        <f t="shared" si="49"/>
        <v>0</v>
      </c>
      <c r="EA38" s="53"/>
      <c r="EB38" s="1">
        <f t="shared" si="31"/>
        <v>1959104.8231816303</v>
      </c>
      <c r="EC38" s="64">
        <f t="shared" si="50"/>
        <v>2.941176470588247E-2</v>
      </c>
      <c r="ED38" s="1">
        <f>IF($B38=Analysis!$C$130,(EB38*(1+Analysis!$C$23+Analysis!$C$24+Analysis!$C$25))-(IF($B38=$B$2,(Analysis!$C$6-Analysis!$C$7+Analysis!$C$132), (FU37-Analysis!$C$7+EM38)) + IF($B38=Analysis!$C$101,DZ37+CQ37+CT37+CZ37,0)),0)</f>
        <v>0</v>
      </c>
      <c r="EE38" s="65">
        <f>IF($B38=Analysis!$C$130,IF(ED38&gt;0,NPER(EI38,-EL38,-ED38),0),0)</f>
        <v>0</v>
      </c>
      <c r="EF38" s="64">
        <f>IF($B38=Analysis!$C$130,Analysis!$C$137,0)</f>
        <v>0</v>
      </c>
      <c r="EG38" s="1">
        <f>IF($B38&lt;Analysis!$C$130,0,IF($B38=Analysis!$C$130,-ED38*EF38,IF(EL38&gt;=0,0,EL38-EJ38)))</f>
        <v>0</v>
      </c>
      <c r="EH38" s="1">
        <f>IF($B38&lt;Analysis!$C$130,0,IF($B38=Analysis!$C$130,-ED38-EG38,MIN(0,EH37-EG38)))</f>
        <v>0</v>
      </c>
      <c r="EI38" s="64">
        <f>IF($B38&lt;Analysis!$C$130,0,IF($B38=Analysis!$C$130,Analysis!$C$136,IF(($B38-Analysis!$C$130)&lt;LOOKUP(Analysis!$C$130,$B:$B,EE:EE),EI37,0)))</f>
        <v>0</v>
      </c>
      <c r="EJ38" s="1">
        <f>IF($B38&lt;Analysis!$C$130,0,IF($B38=Analysis!$C$130,-EI38*ED38,EI37*EH37))</f>
        <v>0</v>
      </c>
      <c r="EK38" s="1">
        <f>IF(OR($B38&lt;Analysis!$C$130, ED38=0),0,IF($B38=Analysis!$C$130,PMT(EI38,EE38,ED38)*EE38-EL38-EH38,IF(($B38-Analysis!$C$130+1)&lt;LOOKUP(Analysis!$C$130,$B:$B,EE:EE),IF(EK37-EJ38&lt;0, EK37-EJ38,0),0)))</f>
        <v>0</v>
      </c>
      <c r="EL38" s="1">
        <f>IF($B38&lt;Analysis!$C$130,0,IF($B38=Analysis!$C$130,EG38+EJ38,IF(EH37&lt;0,IF(EH37&gt;LOOKUP(Analysis!$C$130,$B:$B,EL:EL), EH37*(1+EI37),EL37),0)))</f>
        <v>0</v>
      </c>
      <c r="EM38" s="1">
        <f>IF($B38=Analysis!$C$130,Analysis!$C$132,0)</f>
        <v>0</v>
      </c>
      <c r="EN38" s="1">
        <f>IF($B38=Analysis!$C$130,PMT(EI38,EO38,EM38)*EO38,0)</f>
        <v>0</v>
      </c>
      <c r="EO38" s="7">
        <f>IF($B38=Analysis!$C$130,Analysis!$C$134,0)</f>
        <v>0</v>
      </c>
      <c r="EP38" s="1">
        <f>IF($B38&lt;Analysis!$C$130,0,IF($B38=Analysis!$C$130,EN38/EO38,IF(($B38-Analysis!$C$130)&lt;LOOKUP(Analysis!$C$130,$B:$B,EO:EO),EP37,0)))</f>
        <v>-6072.8287787074187</v>
      </c>
      <c r="EQ38" s="1">
        <f>IF($B38&lt;Analysis!$C$130,0,IF($B38=Analysis!$C$130,EO38*EP38-EP38,IF(($B38-Analysis!$C$130)&lt;Analysis!$C$134,EQ37-EP38,0)))</f>
        <v>-48582.630229659349</v>
      </c>
      <c r="ER38" s="53"/>
      <c r="ES38" s="1">
        <f>IF($B38&lt;Analysis!$C$130,0,-ET38*EB38)</f>
        <v>-5877.3144695448909</v>
      </c>
      <c r="ET38" s="64">
        <f>IF($B38&lt;Analysis!$C$130,0,Analysis!$C$142)</f>
        <v>3.0000000000000001E-3</v>
      </c>
      <c r="EU38" s="1">
        <f>IF($B38&lt;Analysis!$C$130,0,-EV38*EB38)</f>
        <v>-19591.048231816305</v>
      </c>
      <c r="EV38" s="64">
        <f>IF($B38&lt;Analysis!$C$130,0,Analysis!$C$143)</f>
        <v>0.01</v>
      </c>
      <c r="EW38" s="1">
        <f>IF($B38&lt;Analysis!$C$130,0,MIN(Analysis!$C$144*12,SUM(EX38:FB38)))</f>
        <v>-3960</v>
      </c>
      <c r="EX38" s="1">
        <f>IF($B38&lt;Analysis!$C$130,0,Analysis!$C$145*12)</f>
        <v>-900</v>
      </c>
      <c r="EY38" s="1">
        <f>IF($B38&lt;Analysis!$C$130,0,Analysis!$C$146*12)</f>
        <v>-1500</v>
      </c>
      <c r="EZ38" s="1">
        <f>IF($B38&lt;Analysis!$C$130,0,Analysis!$C$147*12)</f>
        <v>-480</v>
      </c>
      <c r="FA38" s="1">
        <f>IF($B38&lt;Analysis!$C$130,0,Analysis!$C$148*12)</f>
        <v>-480</v>
      </c>
      <c r="FB38" s="1">
        <f>IF($B38&lt;Analysis!$C$130,0,Analysis!$C$149*12)</f>
        <v>-600</v>
      </c>
      <c r="FC38" s="1">
        <v>0</v>
      </c>
      <c r="FD38" s="1">
        <f>-FC38*Analysis!$C$28</f>
        <v>0</v>
      </c>
      <c r="FE38" s="53"/>
      <c r="FF38" s="1">
        <f t="shared" si="32"/>
        <v>-249785.86495565786</v>
      </c>
      <c r="FG38" s="64">
        <f>IF($B38&lt;Analysis!$C$130,0,Analysis!$C$31)</f>
        <v>0.1275</v>
      </c>
      <c r="FH38" s="1">
        <f>IF($B38&lt;Analysis!$C$130,0,EB38+FF38)</f>
        <v>1709318.9582259725</v>
      </c>
      <c r="FI38" s="1">
        <f>IF($B38-Analysis!$C$130&gt;3,0,IF(EB38&gt;LOOKUP(Analysis!$C$130,$B:$B, EB:EB),$V38*(LOOKUP(Analysis!$C$130,$B:$B, EB:EB)-EB38),0))</f>
        <v>-14763.254203261633</v>
      </c>
      <c r="FJ38" s="1">
        <f t="shared" si="33"/>
        <v>1694555.7040227109</v>
      </c>
      <c r="FK38" s="53"/>
      <c r="FL38" s="1">
        <f>$P38+$N38+IF($B38&lt;Analysis!$C$130,$X38+$Z38,0)+CP38+CS38+CY38+DE38+DG38+MIN(DI38,SUM(DJ38:DN38))+DQ38+DS38+DT38+EG38+EJ38+EP38+ES38+EU38+MIN(EW38,SUM(EX38:FB38))+FD38</f>
        <v>-83501.191480068621</v>
      </c>
      <c r="FM38" s="1">
        <f>$M38+$R38+DD38+IF(AND($B38&lt;&gt;Analysis!$C$130,$B38=Analysis!$C$101),DZ37+CQ37+CT37+CZ37,0)</f>
        <v>64419.282388200685</v>
      </c>
      <c r="FN38" s="1">
        <f t="shared" si="34"/>
        <v>-19081.909091867936</v>
      </c>
      <c r="FO38" s="1">
        <f>IF(FN38 &lt; 0,
    IF(FO37 + FN38 &gt; 0,
        FO37 + FN38, IF(FT37-ABS(FO37 + FN38)*(1+$V38) &gt;= FO37 + FN38,
        0, FO37 + FN38)),
    MIN(FO37 + FN38, Analysis!$C$7))+IF(FO37&lt;0, FO37*Analysis!$C$9,0)</f>
        <v>-12121.471445570431</v>
      </c>
      <c r="FP38" s="53"/>
      <c r="FQ38" s="1">
        <f t="shared" si="51"/>
        <v>0</v>
      </c>
      <c r="FR38" s="1">
        <f>IF(OR($B38=Analysis!$C$100, $B38=Analysis!$C$130),0,IF(FN38 &gt;= 0,
    MAX(0, FO37 + FN38 - Analysis!$C$7),
    0))</f>
        <v>0</v>
      </c>
      <c r="FS38" s="1">
        <f>IF(OR($B38=Analysis!$C$100, $B38=Analysis!$C$130),0,MAX(0, FS37 + FR38 - IF(FN38 &lt; 0, MIN(ABS(FN38), FS37 + FR38), 0)))</f>
        <v>0</v>
      </c>
      <c r="FT38" s="1">
        <f>IF(OR($B38=Analysis!$C$100, $B38=Analysis!$C$130),0,IF(FN38 &lt; 0,
    IF(FN38 + FO37 &lt; 0,
        MAX(0, FT37 - (ABS(FN38 + FO37) * (1+$V37))),
        FT37 + FQ38),
    FT37 + FR38 + FQ38))</f>
        <v>0</v>
      </c>
      <c r="FU38" s="1">
        <f t="shared" si="57"/>
        <v>0</v>
      </c>
      <c r="FV38" s="36"/>
      <c r="FW38" s="1">
        <f t="shared" si="52"/>
        <v>1475291.1103263397</v>
      </c>
      <c r="FX38" s="64">
        <f t="shared" si="53"/>
        <v>2.941176470588247E-2</v>
      </c>
      <c r="FY38" s="1">
        <f>IF($B38=Analysis!$C$159,(FW38*(1+Analysis!$C$23+Analysis!$C$24+Analysis!$C$25))-IF($B38=$B$2,(Analysis!$C$6-Analysis!$C$7+Analysis!$C$165), (HW37-Analysis!$C$7+GH38)),0)</f>
        <v>0</v>
      </c>
      <c r="FZ38" s="65">
        <f>IF($B38=Analysis!$C$159,NPER(GD38,-GG38,-FY38),0)</f>
        <v>0</v>
      </c>
      <c r="GA38" s="64">
        <f>IF($B38=Analysis!$C$159,Analysis!$C$161,0)</f>
        <v>0</v>
      </c>
      <c r="GB38" s="1">
        <f>IF($B38&lt;Analysis!$C$159,0,IF($B38=Analysis!$C$159,-FY38*GA38,IF(GG38&gt;=0,0,GG38-GE38)))</f>
        <v>0</v>
      </c>
      <c r="GC38" s="1">
        <f>IF($B38&lt;Analysis!$C$159,0,IF($B38=Analysis!$C$159,-FY38-GB38,MIN(0,GC37-GB38)))</f>
        <v>0</v>
      </c>
      <c r="GD38" s="64">
        <f>IF($B38&lt;Analysis!$C$159,0,IF($B38=Analysis!$C$159,Analysis!$C$160,IF(($B38-Analysis!$C$159)&lt;LOOKUP(Analysis!$C$159,$B:$B,FZ:FZ),GD37,0)))</f>
        <v>0</v>
      </c>
      <c r="GE38" s="1">
        <f>IF($B38&lt;Analysis!$C$159,0,IF($B38=Analysis!$C$159,-GD38*FY38,GD37*GC37))</f>
        <v>0</v>
      </c>
      <c r="GF38" s="1">
        <f>IF($B38&lt;Analysis!$C$159,0,IF($B38=Analysis!$C$159,PMT(GD38,FZ38,FY38)*FZ38-GG38-GC38,IF(($B38-Analysis!$C$159+1)&lt;LOOKUP(Analysis!$C$159,$B:$B,FZ:FZ),IF(GF37-GE38&lt;0, GF37-GE38,0),0)))</f>
        <v>0</v>
      </c>
      <c r="GG38" s="1">
        <f>IF($B38&lt;Analysis!$C$159,0,IF($B38=Analysis!$C$159,GB38+GE38,IF(GC37&lt;0,IF(GC37&gt;LOOKUP(Analysis!$C$159,$B:$B,GG:GG), GC37*(1+GD37),GG37),0)))</f>
        <v>0</v>
      </c>
      <c r="GH38" s="1">
        <f>IF($B38=Analysis!$C$159,Analysis!$C$165,0)</f>
        <v>0</v>
      </c>
      <c r="GI38" s="1">
        <f>IF($B38=Analysis!$C$159,PMT(GD38,GJ38,GH38)*GJ38,0)</f>
        <v>0</v>
      </c>
      <c r="GJ38" s="7">
        <f>IF($B38=Analysis!$C$159,Analysis!$C$167,0)</f>
        <v>0</v>
      </c>
      <c r="GK38" s="1">
        <f>IF($B38&lt;Analysis!$C$159,0,IF($B38=Analysis!$C$159,GI38/GJ38,IF(($B38-Analysis!$C$159)&lt;LOOKUP(Analysis!$C$159,$B:$B,GJ:GJ),GK37,0)))</f>
        <v>0</v>
      </c>
      <c r="GL38" s="1">
        <f>IF($B38&lt;Analysis!$C$159,0,IF($B38=Analysis!$C$159,GJ38*GK38-GK38,IF(($B38-Analysis!$C$159)&lt;Analysis!$C$167,GL37-GK38,0)))</f>
        <v>0</v>
      </c>
      <c r="GM38" s="38"/>
      <c r="GN38" s="1">
        <f>IF($B38&lt;Analysis!$C$159,0,IF($B38=2025,(Analysis!$C$109*12),IF($B38=Analysis!$C$159,(Analysis!$C$109*12)*(1+GO38)^($B38-$B$2),GN37*(1+GO38))))</f>
        <v>39352.453404778833</v>
      </c>
      <c r="GO38" s="64">
        <f>IF($B38&lt;Analysis!$C$159,0,((1+Analysis!$C$174)/(1+$S38))-1)</f>
        <v>2.941176470588247E-2</v>
      </c>
      <c r="GP38" s="1">
        <f t="shared" si="7"/>
        <v>47738.326735757852</v>
      </c>
      <c r="GQ38" s="1">
        <f t="shared" si="36"/>
        <v>-4425.8733309790196</v>
      </c>
      <c r="GR38" s="64">
        <f>IF($B38&lt;Analysis!$C$159,0,Analysis!$C$178)</f>
        <v>3.0000000000000001E-3</v>
      </c>
      <c r="GS38" s="1">
        <f t="shared" si="37"/>
        <v>-11064.683327447547</v>
      </c>
      <c r="GT38" s="64">
        <f>IF($B38&lt;Analysis!$C$159,0,Analysis!$C$179)</f>
        <v>7.4999999999999997E-3</v>
      </c>
      <c r="GU38" s="1">
        <f>IF($B38&lt;Analysis!$C$159,0,MIN(Analysis!$C$180*12,SUM(GV38:GZ38)))</f>
        <v>-3960</v>
      </c>
      <c r="GV38" s="1">
        <f>IF($B38&lt;Analysis!$C$159,0,Analysis!$C$181*12)</f>
        <v>-900</v>
      </c>
      <c r="GW38" s="1">
        <f>IF($B38&lt;Analysis!$C$159,0,Analysis!$C$182*12)</f>
        <v>-1500</v>
      </c>
      <c r="GX38" s="1">
        <f>IF($B38&lt;Analysis!$C$159,0,Analysis!$C$183*12)</f>
        <v>-480</v>
      </c>
      <c r="GY38" s="1">
        <f>IF($B38&lt;Analysis!$C$159,0,Analysis!$C$184*12)</f>
        <v>-480</v>
      </c>
      <c r="GZ38" s="1">
        <f>IF($B38&lt;Analysis!$C$159,0,Analysis!$C$185*12)</f>
        <v>-600</v>
      </c>
      <c r="HA38" s="64">
        <f>IF($B38&lt;Analysis!$C$159,0,Analysis!$C$173)</f>
        <v>0.02</v>
      </c>
      <c r="HB38" s="1">
        <f>-HA38*LOOKUP(Analysis!$C$159,$B:$B,FW:FW)</f>
        <v>-10392</v>
      </c>
      <c r="HC38" s="1">
        <f>-Analysis!$C$177*GN38</f>
        <v>-2951.4340053584124</v>
      </c>
      <c r="HD38" s="1">
        <f t="shared" si="38"/>
        <v>-32793.990663784978</v>
      </c>
      <c r="HE38" s="1">
        <f>MIN(0,-(GN38+HD38)*Analysis!$C$28)-GE38*Analysis!$C$28</f>
        <v>-2906.0548405343766</v>
      </c>
      <c r="HF38" s="1">
        <f>-Analysis!$C$176*GP38/12</f>
        <v>-3978.1938946464875</v>
      </c>
      <c r="HG38" s="38"/>
      <c r="HH38" s="1">
        <f>IF($B38&lt;Analysis!$C$159,0,-$HI38*$FW38)</f>
        <v>-188099.61656660831</v>
      </c>
      <c r="HI38" s="64">
        <f>IF($B38&lt;Analysis!$C$159,0,IF($B38=Analysis!$C$159,Analysis!$C$31,HI37))</f>
        <v>0.1275</v>
      </c>
      <c r="HJ38" s="1">
        <f>IF($B38&lt;Analysis!$C$159,0,$FW38+HH38)</f>
        <v>1287191.4937597313</v>
      </c>
      <c r="HK38" s="1">
        <f>IF($B38-Analysis!$C$159&gt;10,0,IF($FW38&gt;LOOKUP(Analysis!$C$159,$B:$B, FW:FW),$V38*(LOOKUP(Analysis!$C$159,$B:$B, FW:FW)-FW38),0))</f>
        <v>0</v>
      </c>
      <c r="HL38" s="1">
        <f t="shared" si="39"/>
        <v>1287191.4937597313</v>
      </c>
      <c r="HM38" s="38"/>
      <c r="HN38" s="1">
        <f t="shared" si="40"/>
        <v>-126220.47186157021</v>
      </c>
      <c r="HO38" s="1">
        <f t="shared" si="8"/>
        <v>112157.60912395854</v>
      </c>
      <c r="HP38" s="1">
        <f t="shared" si="41"/>
        <v>-14062.862737611678</v>
      </c>
      <c r="HQ38" s="1">
        <f>IF(HP38 &lt; 0,
    IF(HQ37 + HP38 &gt; 0,
        HQ37 + HP38, IF(HV37-ABS(HQ37 + HP38)*(1+$V38) &gt;= HQ37 + HP38,
        0, HQ37 + HP38)),
    MIN(HQ37 + HP38, Analysis!$C$7))+IF(HQ37&lt;0, HQ37*Analysis!$C$9,0)</f>
        <v>0</v>
      </c>
      <c r="HR38" s="38"/>
      <c r="HS38" s="1">
        <f t="shared" si="54"/>
        <v>22510.105652349735</v>
      </c>
      <c r="HT38" s="1">
        <f>IF($B38=Analysis!$C$159,0,IF(HP38 &gt;= 0,
    MAX(0, HQ37 + HP38 - Analysis!$C$7),
    0))</f>
        <v>0</v>
      </c>
      <c r="HU38" s="1">
        <f>IF($B38=Analysis!$C$159,0,MAX(0, HU37 + HT38 - IF(HP38 &lt; 0, MIN(ABS(HP38), HU37 + HT38), 0)))</f>
        <v>741457.56271022162</v>
      </c>
      <c r="HV38" s="1">
        <f>IF($B38=Analysis!$C$159,0,IF(HP38 &lt; 0,
    IF(HP38 + HQ37 &lt; 0,
        MAX(0, HV37 - (ABS(HP38 + HQ37) * (1+$V37))),
        HV37 + HS38),
    HV37 + HT38 + HS38))</f>
        <v>1145638.2708306808</v>
      </c>
      <c r="HW38" s="1">
        <f t="shared" si="58"/>
        <v>1039035.6090639097</v>
      </c>
      <c r="HX38" s="36"/>
    </row>
    <row r="39" spans="1:232" x14ac:dyDescent="0.35">
      <c r="A39">
        <f t="shared" si="0"/>
        <v>72</v>
      </c>
      <c r="B39">
        <v>2062</v>
      </c>
      <c r="C39" s="1">
        <f>IF($B39&lt;Analysis!C$66,0,$AN39)+$AT39+$AW39+$BC39+$CF39+$CA39</f>
        <v>-1023161.9221182</v>
      </c>
      <c r="D39" s="1">
        <f>IF($B39&lt;Analysis!C$66, 0, BV39)+AT39+AW39+BC39+CG39+CA39</f>
        <v>-1354825.591912264</v>
      </c>
      <c r="E39" s="1">
        <f t="shared" si="1"/>
        <v>2124863.2536664922</v>
      </c>
      <c r="F39" s="1">
        <f t="shared" si="9"/>
        <v>1830526.1267698945</v>
      </c>
      <c r="G39" s="1">
        <f>IF(AND($B39&gt;=Analysis!$C$100, $B39&lt;Analysis!$C$101),$CK39,0)+IF($B39&gt;=Analysis!$C$130,EB39,0)+CQ39+CT39+CZ39+EH39+EK39+EQ39+$FO39+$FT39</f>
        <v>1940005.1984321915</v>
      </c>
      <c r="H39" s="1">
        <f t="shared" si="10"/>
        <v>1652911.9686241597</v>
      </c>
      <c r="I39" s="1">
        <f>IF($B39&lt;Analysis!$C$159,0,$FW39)+$GC39+$GF39+$GL39+$HQ39+$HV39</f>
        <v>2643710.2448796965</v>
      </c>
      <c r="J39" s="1">
        <f t="shared" si="59"/>
        <v>2344610.1205469663</v>
      </c>
      <c r="K39" s="36"/>
      <c r="L39" s="1">
        <f t="shared" si="11"/>
        <v>63130.89674043667</v>
      </c>
      <c r="M39" s="1">
        <f>IF($B39=Analysis!$C$47, M38 * (1 - Analysis!$C$48),
    IF($B39=Analysis!$C$52, M38 * (1 - Analysis!$C$53),
    IF($B39=Analysis!$C$58, M38 * (1 - Analysis!$C$60),
    L39)))</f>
        <v>63130.89674043667</v>
      </c>
      <c r="N39" s="1">
        <f>Analysis!$C$3*12*(1+O39)+P39</f>
        <v>-48000</v>
      </c>
      <c r="O39" s="64">
        <f>IF(OR($B39=Analysis!$C$47,$B39=Analysis!$C$52,$B39=Analysis!$C$58),-Analysis!$C$49,0)</f>
        <v>0</v>
      </c>
      <c r="P39" s="1">
        <f>IF($B39&lt;Analysis!$C$47,0,IF($B39-Analysis!$C$47&lt;=3,Analysis!$C$40+Analysis!$C$44,IF($B39-Analysis!$C$47&lt;=10,Analysis!$C$41+Analysis!$C$44,IF($B39-Analysis!$C$47&lt;=18,Analysis!$C$42+Analysis!$C$44,IF($B39-Analysis!$C$47&lt;=25,Analysis!$C$43+Analysis!$C$44,0)))) + IF(AND($B39&gt;=Analysis!$C$52, $B39-Analysis!$C$52&lt;=3),Analysis!$C$40+Analysis!$C$44,IF(AND($B39&gt;=Analysis!$C$52, $B39-Analysis!$C$52&lt;=10),Analysis!$C$41+Analysis!$C$44,IF(AND($B39&gt;=Analysis!$C$52, $B39-Analysis!$C$52&lt;=18),Analysis!$C$42+Analysis!$C$44,IF(AND($B39&gt;=Analysis!$C$52, $B39-Analysis!$C$52&lt;=25),Analysis!$C$43+Analysis!$C$44,0)))) + Analysis!$C$57*IF(AND($B39&gt;=Analysis!$C$58, $B39-Analysis!$C$58&lt;=3),Analysis!$C$40+Analysis!$C$44,IF(AND($B39&gt;=Analysis!$C$58, $B39-Analysis!$C$58&lt;=10),Analysis!$C$41+Analysis!$C$44,IF(AND($B39&gt;=Analysis!$C$58, $B39-Analysis!$C$58&lt;=18),Analysis!$C$42+Analysis!$C$44,IF(AND($B39&gt;=Analysis!$C$58, $B39-Analysis!$C$58&lt;=25),Analysis!$C$43+Analysis!$C$44,0)))))</f>
        <v>0</v>
      </c>
      <c r="Q39" s="1">
        <f t="shared" si="43"/>
        <v>0</v>
      </c>
      <c r="R39" s="1">
        <f>IF(AND(AND(B39=Analysis!C$35,Analysis!C$34&lt;&gt;0),AND(B39=Analysis!C$37,Analysis!C$36&lt;&gt;0)),Analysis!C$34+Analysis!C$36,IF(AND(B39=Analysis!C$35,Analysis!C$34&lt;&gt;0),Analysis!C$34,IF(AND(B39=Analysis!C$37,Analysis!C$36&lt;&gt;0),Analysis!C$36,0)))</f>
        <v>0</v>
      </c>
      <c r="S39" s="64">
        <f t="shared" si="12"/>
        <v>0.02</v>
      </c>
      <c r="T39" s="64">
        <f>IF($B39&lt;Analysis!$C$13, ((1+IF($B39-$B$2&lt;10,Analysis!$C$11,IF($B39-$B$2&lt;20,(Analysis!$C$11+Analysis!$C$12)/2,Analysis!$C$12)))/(1+$S39)-1),IF($B39=Analysis!$C$13,-Analysis!$C$14,-$S39))</f>
        <v>-0.02</v>
      </c>
      <c r="U39" s="64">
        <f>IF($B39=$B$2,((1+Analysis!$C$16)/(1+$S39))-1,IF(B39&lt;Analysis!$C$13,U38-((Analysis!$C$16-Analysis!$C$17)/(Analysis!$C$13-$B$2)),((1+Analysis!$C$17)/(1+$S38))-1))</f>
        <v>1.9607843137254832E-2</v>
      </c>
      <c r="V39" s="64">
        <f t="shared" si="13"/>
        <v>0.26374999999999998</v>
      </c>
      <c r="W39" s="36"/>
      <c r="X39" s="1">
        <f t="shared" si="14"/>
        <v>-46297.004005622141</v>
      </c>
      <c r="Y39" s="64">
        <f t="shared" si="15"/>
        <v>2.941176470588247E-2</v>
      </c>
      <c r="Z39" s="1">
        <f t="shared" si="16"/>
        <v>-3960</v>
      </c>
      <c r="AA39" s="64">
        <f t="shared" si="17"/>
        <v>0</v>
      </c>
      <c r="AB39" s="40"/>
      <c r="AC39" s="1">
        <f t="shared" si="3"/>
        <v>-98257.004005622148</v>
      </c>
      <c r="AD39" s="1">
        <f t="shared" si="4"/>
        <v>63130.89674043667</v>
      </c>
      <c r="AE39" s="1">
        <f t="shared" si="18"/>
        <v>-35126.107265185477</v>
      </c>
      <c r="AF39" s="1">
        <f>IF(AE39 &lt; 0,
    IF(AF38 + AE39 &gt; 0,
        AF38 + AE39, IF(AK38-ABS(AF38 + AE39)*(1+$V39) &gt;= AF38 + AE39,
        0, AF38 + AE39)),
    MIN(AF38 + AE39, Analysis!$C$7))+IF(AF38&lt;0, AF38*Analysis!$C$9,0)</f>
        <v>0</v>
      </c>
      <c r="AG39" s="40"/>
      <c r="AH39" s="1">
        <f t="shared" si="19"/>
        <v>42534.389641624759</v>
      </c>
      <c r="AI39" s="1">
        <f>IF(AE39 &gt;= 0,
    MAX(0, AF38 + AE39 - Analysis!$C$7),
    0)</f>
        <v>0</v>
      </c>
      <c r="AJ39" s="1">
        <f t="shared" si="44"/>
        <v>1008893.1042955059</v>
      </c>
      <c r="AK39" s="1">
        <f t="shared" si="20"/>
        <v>2124863.2536664922</v>
      </c>
      <c r="AL39" s="1">
        <f t="shared" si="5"/>
        <v>1830526.1267698945</v>
      </c>
      <c r="AM39" s="36"/>
      <c r="AN39" s="1">
        <f t="shared" si="45"/>
        <v>2601283.6846593241</v>
      </c>
      <c r="AO39" s="64">
        <f t="shared" si="21"/>
        <v>2.941176470588247E-2</v>
      </c>
      <c r="AP39" s="1">
        <f>IF($B39=Analysis!$C$66,(AN39*(1+Analysis!$C$23+Analysis!$C$24+Analysis!$C$25))-IF($B39=$B$2,(Analysis!$C$6-Analysis!$C$7+Analysis!$C$68), ($CG38-Analysis!$C$7+AY39)),0)</f>
        <v>0</v>
      </c>
      <c r="AQ39" s="65">
        <f>IF($B39=Analysis!$C$66,NPER(AU39,-AX39,-AP39),0)</f>
        <v>0</v>
      </c>
      <c r="AR39" s="64">
        <f>IF($B39=Analysis!$C$66,Analysis!$C$73,0)</f>
        <v>0</v>
      </c>
      <c r="AS39" s="1">
        <f>IF($B39&lt;Analysis!$C$66,0,IF($B39=Analysis!$C$66,-AP39*AR39,IF(AX39&gt;=0,0,AX39-AV39)))</f>
        <v>0</v>
      </c>
      <c r="AT39" s="1">
        <f>IF($B39&lt;Analysis!$C$66,0,IF($B39=Analysis!$C$66,-AP39-AS39,MIN(0,AT38-AS39)))</f>
        <v>0</v>
      </c>
      <c r="AU39" s="64">
        <f>IF($B39&lt;Analysis!$C$66,0,IF($B39=Analysis!$C$66,Analysis!$C$72,IF(($B39-Analysis!$C$66)&lt;LOOKUP(Analysis!$C$66,$B:$B,AQ:AQ),AU38,0)))</f>
        <v>0</v>
      </c>
      <c r="AV39" s="1">
        <f>IF($B39&lt;Analysis!$C$66,0,IF($B39=Analysis!$C$66,-AU39*AP39,AU38*AT38))</f>
        <v>0</v>
      </c>
      <c r="AW39" s="1">
        <f>IF($B39&lt;Analysis!$C$66,0,IF($B39=Analysis!$C$66,PMT(AU39,AQ39,AP39)*AQ39-AX39-AT39,IF(($B39-Analysis!$C$66+1)&lt;LOOKUP(Analysis!$C$66,$B:$B,AQ:AQ),IF(AW38-AV39&lt;0, AW38-AV39,0),0)))</f>
        <v>0</v>
      </c>
      <c r="AX39" s="1">
        <f>IF($B39&lt;Analysis!$C$66,0,IF($B39=Analysis!$C$66,AS39+AV39,IF(AT38&lt;0,IF(AT38&gt;LOOKUP(Analysis!$C$66,$B:$B,AX:AX), AT38*(1+AU38),AX38),0)))</f>
        <v>0</v>
      </c>
      <c r="AY39" s="1">
        <f>IF($B39=Analysis!$C$66,Analysis!$C$68,0)</f>
        <v>0</v>
      </c>
      <c r="AZ39" s="1">
        <f>IF($B39=Analysis!$C$66,PMT(AU39,BA39,AY39)*BA39,0)</f>
        <v>0</v>
      </c>
      <c r="BA39" s="7">
        <f>IF($B39=Analysis!$C$66,Analysis!$C$70,0)</f>
        <v>0</v>
      </c>
      <c r="BB39" s="1">
        <f>IF($B39&lt;Analysis!$C$66,0,IF($B39=Analysis!$C$66,AZ39/BA39,IF(($B39-Analysis!$C$66)&lt;LOOKUP(Analysis!$C$66,$B:$B,BA:BA),BB38,0)))</f>
        <v>0</v>
      </c>
      <c r="BC39" s="1">
        <f>IF($B39&lt;Analysis!$C$66,0,IF($B39=Analysis!$C$66,BA39*BB39-BB39,IF(($B39-Analysis!$C$66)&lt;Analysis!$C$70,BC38-BB39,0)))</f>
        <v>0</v>
      </c>
      <c r="BD39" s="42"/>
      <c r="BE39" s="1">
        <f>IF($B39&lt;Analysis!$C$66,0,-BF39*AN39)</f>
        <v>-7803.8510539779727</v>
      </c>
      <c r="BF39" s="64">
        <f>IF($B39&lt;Analysis!$C$66,0,Analysis!$C$78)</f>
        <v>3.0000000000000001E-3</v>
      </c>
      <c r="BG39" s="1">
        <f>IF($B39&lt;Analysis!$C$66,0,-BH39*AN39)</f>
        <v>-19509.627634944929</v>
      </c>
      <c r="BH39" s="64">
        <f>IF($B39&lt;Analysis!$C$66,0,Analysis!$C$79)</f>
        <v>7.4999999999999997E-3</v>
      </c>
      <c r="BI39" s="1">
        <f>IF($B39&lt;Analysis!$C$66,0,MIN(Analysis!$C$80*12,SUM(BJ39:BN39)))</f>
        <v>-3960</v>
      </c>
      <c r="BJ39" s="1">
        <f>IF($B39&lt;Analysis!$C$66,0,Analysis!$C$81*12)</f>
        <v>-900</v>
      </c>
      <c r="BK39" s="1">
        <f>IF($B39&lt;Analysis!$C$66,0,Analysis!$C$82*12)</f>
        <v>-1500</v>
      </c>
      <c r="BL39" s="1">
        <f>IF($B39&lt;Analysis!$C$66,0,Analysis!$C$83*12)</f>
        <v>-480</v>
      </c>
      <c r="BM39" s="1">
        <f>IF($B39&lt;Analysis!$C$66,0,Analysis!$C$84*12)</f>
        <v>-480</v>
      </c>
      <c r="BN39" s="1">
        <f>IF($B39&lt;Analysis!$C$66,0,Analysis!$C$85*12)</f>
        <v>-600</v>
      </c>
      <c r="BO39" s="1">
        <v>0</v>
      </c>
      <c r="BP39" s="1">
        <f>-BO39*Analysis!$C$28</f>
        <v>0</v>
      </c>
      <c r="BQ39" s="42"/>
      <c r="BR39" s="1">
        <f t="shared" si="22"/>
        <v>-331663.66979406384</v>
      </c>
      <c r="BS39" s="64">
        <f>IF($B39&lt;Analysis!C$66,0,Analysis!C$31)</f>
        <v>0.1275</v>
      </c>
      <c r="BT39" s="1">
        <f>IF($B39&lt;Analysis!$C$66,0,AN39+BR39)</f>
        <v>2269620.0148652601</v>
      </c>
      <c r="BU39" s="1">
        <f>IF($B39-Analysis!$C$66&gt;3,0,IF($AN39&gt;LOOKUP(Analysis!$C$66,$B:$B, AN:AN),$V39*(LOOKUP(Analysis!$C$66,$B:$B, AN:AN)-AN39),0))</f>
        <v>0</v>
      </c>
      <c r="BV39" s="1">
        <f t="shared" si="23"/>
        <v>2269620.0148652601</v>
      </c>
      <c r="BW39" s="42"/>
      <c r="BX39" s="1">
        <f>IF($B39&lt;Analysis!$C$66,$P39+$N39+$X39+$Z39,$P39+$N39+AS39+AV39+BB39+BE39+BG39+MAX(BI39,SUM(BJ39:BN39))+BP39)</f>
        <v>-79273.4786889229</v>
      </c>
      <c r="BY39" s="1">
        <f t="shared" si="24"/>
        <v>63130.89674043667</v>
      </c>
      <c r="BZ39" s="1">
        <f t="shared" si="46"/>
        <v>-16142.58194848623</v>
      </c>
      <c r="CA39" s="1">
        <f>IF(BZ39 &lt; 0,
    IF(CA38 + BZ39 &gt; 0,
        CA38 + BZ39, IF(CF38-ABS(CA38 + BZ39)*(1+$V39) &gt;= CA38 + BZ39,
        0, CA38 + BZ39)),
    MIN(CA38 + BZ39, Analysis!$C$7))+IF(CA38&lt;0, CA38*Analysis!$C$9,0)</f>
        <v>-3624445.6067775241</v>
      </c>
      <c r="CB39" s="42"/>
      <c r="CC39" s="1">
        <f t="shared" si="47"/>
        <v>0</v>
      </c>
      <c r="CD39" s="1">
        <f>IF(BZ39 &gt;= 0,
    MAX(0, CA38 + BZ39 - Analysis!$C$7),
    0)</f>
        <v>0</v>
      </c>
      <c r="CE39" s="1">
        <f>IF($B39=Analysis!$C$66,0,MAX(0, CE38 + CD39 - IF(BZ39 &lt; 0, MIN(ABS(BZ39), CE38 + CD39), 0)))</f>
        <v>0</v>
      </c>
      <c r="CF39" s="1">
        <f>IF($B39=Analysis!$C$66,0,IF(BZ39 &lt; 0,
    IF(BZ39 + CA38 &lt; 0,
        MAX(0, CF38 - (ABS(BZ39 + CA38) * (1+$V38))),
        CF38 + CC39),
    CF38 + CD39 + CC39))</f>
        <v>0</v>
      </c>
      <c r="CG39" s="1">
        <f t="shared" si="25"/>
        <v>0</v>
      </c>
      <c r="CH39" s="36"/>
      <c r="CI39" s="1">
        <f>IF(OR($B39&lt;Analysis!$C$100, $B39&gt;=Analysis!$C$130),0,X39)</f>
        <v>0</v>
      </c>
      <c r="CJ39" s="1">
        <f>IF(OR($B39&lt;Analysis!$C$100, $B39&gt;=Analysis!$C$130),0,Z39)</f>
        <v>0</v>
      </c>
      <c r="CK39" s="1">
        <f t="shared" si="60"/>
        <v>1518682.0253359382</v>
      </c>
      <c r="CL39" s="64">
        <f t="shared" si="48"/>
        <v>2.941176470588247E-2</v>
      </c>
      <c r="CM39" s="1">
        <f>IF($B39=Analysis!$C$100,(CK39*(1+Analysis!$C$23+Analysis!$C$24+Analysis!$C$25))-IF($B39=$B$2,(Analysis!$C$6-Analysis!$C$7+Analysis!$C$105), (FU38-Analysis!$C$7+CV39)),0)</f>
        <v>0</v>
      </c>
      <c r="CN39" s="65">
        <f>IF($B39=Analysis!$C$100,NPER(CR39,-CU39,-CM39),0)</f>
        <v>0</v>
      </c>
      <c r="CO39" s="64">
        <f>IF($B39=Analysis!$C$100,Analysis!$C$103,0)</f>
        <v>0</v>
      </c>
      <c r="CP39" s="1">
        <f>IF(OR($B39&lt;Analysis!$C$100, $B39&gt;=Analysis!$C$101),0,IF($B39=Analysis!$C$100,-CM39*CO39,IF(CU39&gt;=0,0,CU39-CS39)))</f>
        <v>0</v>
      </c>
      <c r="CQ39" s="1">
        <f>IF(OR($B39&lt;Analysis!$C$100, $B39&gt;=Analysis!$C$101),0,IF($B39=Analysis!$C$100,-CM39-CP39,MIN(0,CQ38-CP39)))</f>
        <v>0</v>
      </c>
      <c r="CR39" s="64">
        <f>IF(OR($B39&lt;Analysis!$C$100, $B39&gt;=Analysis!$C$101),0,IF($B39=Analysis!$C$100,Analysis!$C$102,IF(($B39-Analysis!$C$100)&lt;LOOKUP(Analysis!$C$100,$B:$B,CN:CN),CR38,0)))</f>
        <v>0</v>
      </c>
      <c r="CS39" s="1">
        <f>IF(OR($B39&lt;Analysis!$C$100, $B39&gt;=Analysis!$C$101),0,IF($B39=Analysis!$C$100,-CR39*CM39,CR38*CQ38))</f>
        <v>0</v>
      </c>
      <c r="CT39" s="1">
        <f>IF(OR($B39&lt;Analysis!$C$100, $B39&gt;=Analysis!$C$101),0,IF($B39=Analysis!$C$100,PMT(CR39,CN39,CM39)*CN39-CU39-CQ39,IF(($B39-Analysis!$C$100+1)&lt;LOOKUP(Analysis!$C$100,$B:$B,CN:CN),IF(CT38-CS39&lt;0, CT38-CS39,0),0)))</f>
        <v>0</v>
      </c>
      <c r="CU39" s="1">
        <f>IF(OR($B39&lt;Analysis!$C$100, $B39&gt;=Analysis!$C$101),0,IF($B39=Analysis!$C$100,CP39+CS39,IF(CQ38&lt;0,IF(CQ38&gt;LOOKUP(Analysis!$C$100,$B:$B,CU:CU), CQ38*(1+CR38),CU38),0)))</f>
        <v>0</v>
      </c>
      <c r="CV39" s="1">
        <f>IF($B39=Analysis!$C$100,Analysis!$C$105,0)</f>
        <v>0</v>
      </c>
      <c r="CW39" s="1">
        <f>IF($B39=Analysis!$C$100,PMT(CR39,CX39,CV39)*CX39,0)</f>
        <v>0</v>
      </c>
      <c r="CX39" s="7">
        <f>IF($B39=Analysis!$C$100,Analysis!$C$107,0)</f>
        <v>0</v>
      </c>
      <c r="CY39" s="1">
        <f>IF(OR($B39&lt;Analysis!$C$100, $B39&gt;=Analysis!$C$101),0,IF($B39=Analysis!$C$100,CW39/CX39,IF(($B39-Analysis!$C$100)&lt;LOOKUP(Analysis!$C$100,$B:$B,CX:CX),CY38,0)))</f>
        <v>0</v>
      </c>
      <c r="CZ39" s="1">
        <f>IF(OR($B39&lt;Analysis!$C$100, $B39&gt;=Analysis!$C$101),0,IF($B39=Analysis!$C$100,CX39*CY39-CY39,IF(($B39-Analysis!$C$100)&lt;Analysis!$C$107,CZ38-CY39,0)))</f>
        <v>0</v>
      </c>
      <c r="DA39" s="53"/>
      <c r="DB39" s="1">
        <f>IF(OR($B39&lt;Analysis!$C$100, $B39&gt;=Analysis!$C$101),0,IF($B39=2025,(Analysis!$C$109*12),IF($B39=Analysis!$C$100,(Analysis!$C$109*12)*(1+DC39)^($B39-$B$2),DB38*(1+DC39))))</f>
        <v>0</v>
      </c>
      <c r="DC39" s="64">
        <f>IF(OR($B39&lt;Analysis!$C$100, $B39&gt;=Analysis!$C$101),0,((1+Analysis!$C$114)/(1+$S39))-1)</f>
        <v>0</v>
      </c>
      <c r="DD39" s="1">
        <f t="shared" si="6"/>
        <v>0</v>
      </c>
      <c r="DE39" s="1">
        <f t="shared" si="27"/>
        <v>0</v>
      </c>
      <c r="DF39" s="64">
        <f>IF(OR($B39&lt;Analysis!$C$100, $B39&gt;=Analysis!$C$101),0,Analysis!$C$118)</f>
        <v>0</v>
      </c>
      <c r="DG39" s="1">
        <f t="shared" si="28"/>
        <v>0</v>
      </c>
      <c r="DH39" s="64">
        <f>IF(OR($B39&lt;Analysis!$C$100, $B39&gt;=Analysis!$C$101),0,Analysis!$C$119)</f>
        <v>0</v>
      </c>
      <c r="DI39" s="1">
        <f>IF(OR($B39&lt;Analysis!$C$100, $B39&gt;=Analysis!$C$101),0,MIN(Analysis!$C$120*12,SUM(DJ39:DN39)))</f>
        <v>0</v>
      </c>
      <c r="DJ39" s="1">
        <f>IF(OR($B39&lt;Analysis!$C$100, $B39&gt;=Analysis!$C$101),0,Analysis!$C$121*12)</f>
        <v>0</v>
      </c>
      <c r="DK39" s="1">
        <f>IF(OR($B39&lt;Analysis!$C$100, $B39&gt;=Analysis!$C$101),0,Analysis!$C$122*12)</f>
        <v>0</v>
      </c>
      <c r="DL39" s="1">
        <f>IF(OR($B39&lt;Analysis!$C$100, $B39&gt;=Analysis!$C$101),0,Analysis!$C$123*12)</f>
        <v>0</v>
      </c>
      <c r="DM39" s="1">
        <f>IF(OR($B39&lt;Analysis!$C$100, $B39&gt;=Analysis!$C$101),0,Analysis!$C$124*12)</f>
        <v>0</v>
      </c>
      <c r="DN39" s="1">
        <f>IF(OR($B39&lt;Analysis!$C$100, $B39&gt;=Analysis!$C$101),0,Analysis!$C$125*12)</f>
        <v>0</v>
      </c>
      <c r="DO39" s="64">
        <f>IF(OR($B39&lt;Analysis!$C$100, $B39&gt;=Analysis!$C$101),0,Analysis!$C$113)</f>
        <v>0</v>
      </c>
      <c r="DP39" s="1">
        <f>-DO39*LOOKUP(Analysis!$C$100,$B:$B,CK:CK)</f>
        <v>0</v>
      </c>
      <c r="DQ39" s="1">
        <f>-Analysis!$C$117*DB39</f>
        <v>0</v>
      </c>
      <c r="DR39" s="1">
        <f t="shared" si="29"/>
        <v>0</v>
      </c>
      <c r="DS39" s="1">
        <f>MIN(0,-(DB39+DR39)*Analysis!$C$28)-CS39*Analysis!$C$28</f>
        <v>0</v>
      </c>
      <c r="DT39" s="1">
        <f>-Analysis!$C$116*DD39/12</f>
        <v>0</v>
      </c>
      <c r="DU39" s="53"/>
      <c r="DV39" s="1">
        <f t="shared" si="30"/>
        <v>0</v>
      </c>
      <c r="DW39" s="64">
        <f>IF(OR($B39&lt;Analysis!$C$100, $B39&gt;=Analysis!$C$101),0,IF($B39=Analysis!$C$100,Analysis!$C$31,DW38))</f>
        <v>0</v>
      </c>
      <c r="DX39" s="1">
        <f>IF(OR($B39&lt;Analysis!$C$100, $B39&gt;=Analysis!$C$101),0,CK39+DV39)</f>
        <v>0</v>
      </c>
      <c r="DY39" s="1">
        <f>IF(OR($B39&lt;Analysis!$C$100, $B39&gt;=Analysis!$C$101),0,IF($B39-Analysis!$C$100&gt;3,0,IF(CK39&gt;LOOKUP(Analysis!$C$100,$B:$B, CK:CK),$V39*(LOOKUP(Analysis!$C$100,$B:$B, CK:CK)-CK39),0)))</f>
        <v>0</v>
      </c>
      <c r="DZ39" s="1">
        <f t="shared" si="49"/>
        <v>0</v>
      </c>
      <c r="EA39" s="53"/>
      <c r="EB39" s="1">
        <f t="shared" si="31"/>
        <v>2016725.553275208</v>
      </c>
      <c r="EC39" s="64">
        <f t="shared" si="50"/>
        <v>2.941176470588247E-2</v>
      </c>
      <c r="ED39" s="1">
        <f>IF($B39=Analysis!$C$130,(EB39*(1+Analysis!$C$23+Analysis!$C$24+Analysis!$C$25))-(IF($B39=$B$2,(Analysis!$C$6-Analysis!$C$7+Analysis!$C$132), (FU38-Analysis!$C$7+EM39)) + IF($B39=Analysis!$C$101,DZ38+CQ38+CT38+CZ38,0)),0)</f>
        <v>0</v>
      </c>
      <c r="EE39" s="65">
        <f>IF($B39=Analysis!$C$130,IF(ED39&gt;0,NPER(EI39,-EL39,-ED39),0),0)</f>
        <v>0</v>
      </c>
      <c r="EF39" s="64">
        <f>IF($B39=Analysis!$C$130,Analysis!$C$137,0)</f>
        <v>0</v>
      </c>
      <c r="EG39" s="1">
        <f>IF($B39&lt;Analysis!$C$130,0,IF($B39=Analysis!$C$130,-ED39*EF39,IF(EL39&gt;=0,0,EL39-EJ39)))</f>
        <v>0</v>
      </c>
      <c r="EH39" s="1">
        <f>IF($B39&lt;Analysis!$C$130,0,IF($B39=Analysis!$C$130,-ED39-EG39,MIN(0,EH38-EG39)))</f>
        <v>0</v>
      </c>
      <c r="EI39" s="64">
        <f>IF($B39&lt;Analysis!$C$130,0,IF($B39=Analysis!$C$130,Analysis!$C$136,IF(($B39-Analysis!$C$130)&lt;LOOKUP(Analysis!$C$130,$B:$B,EE:EE),EI38,0)))</f>
        <v>0</v>
      </c>
      <c r="EJ39" s="1">
        <f>IF($B39&lt;Analysis!$C$130,0,IF($B39=Analysis!$C$130,-EI39*ED39,EI38*EH38))</f>
        <v>0</v>
      </c>
      <c r="EK39" s="1">
        <f>IF(OR($B39&lt;Analysis!$C$130, ED39=0),0,IF($B39=Analysis!$C$130,PMT(EI39,EE39,ED39)*EE39-EL39-EH39,IF(($B39-Analysis!$C$130+1)&lt;LOOKUP(Analysis!$C$130,$B:$B,EE:EE),IF(EK38-EJ39&lt;0, EK38-EJ39,0),0)))</f>
        <v>0</v>
      </c>
      <c r="EL39" s="1">
        <f>IF($B39&lt;Analysis!$C$130,0,IF($B39=Analysis!$C$130,EG39+EJ39,IF(EH38&lt;0,IF(EH38&gt;LOOKUP(Analysis!$C$130,$B:$B,EL:EL), EH38*(1+EI38),EL38),0)))</f>
        <v>0</v>
      </c>
      <c r="EM39" s="1">
        <f>IF($B39=Analysis!$C$130,Analysis!$C$132,0)</f>
        <v>0</v>
      </c>
      <c r="EN39" s="1">
        <f>IF($B39=Analysis!$C$130,PMT(EI39,EO39,EM39)*EO39,0)</f>
        <v>0</v>
      </c>
      <c r="EO39" s="7">
        <f>IF($B39=Analysis!$C$130,Analysis!$C$134,0)</f>
        <v>0</v>
      </c>
      <c r="EP39" s="1">
        <f>IF($B39&lt;Analysis!$C$130,0,IF($B39=Analysis!$C$130,EN39/EO39,IF(($B39-Analysis!$C$130)&lt;LOOKUP(Analysis!$C$130,$B:$B,EO:EO),EP38,0)))</f>
        <v>-6072.8287787074187</v>
      </c>
      <c r="EQ39" s="1">
        <f>IF($B39&lt;Analysis!$C$130,0,IF($B39=Analysis!$C$130,EO39*EP39-EP39,IF(($B39-Analysis!$C$130)&lt;Analysis!$C$134,EQ38-EP39,0)))</f>
        <v>-42509.801450951927</v>
      </c>
      <c r="ER39" s="53"/>
      <c r="ES39" s="1">
        <f>IF($B39&lt;Analysis!$C$130,0,-ET39*EB39)</f>
        <v>-6050.1766598256245</v>
      </c>
      <c r="ET39" s="64">
        <f>IF($B39&lt;Analysis!$C$130,0,Analysis!$C$142)</f>
        <v>3.0000000000000001E-3</v>
      </c>
      <c r="EU39" s="1">
        <f>IF($B39&lt;Analysis!$C$130,0,-EV39*EB39)</f>
        <v>-20167.255532752079</v>
      </c>
      <c r="EV39" s="64">
        <f>IF($B39&lt;Analysis!$C$130,0,Analysis!$C$143)</f>
        <v>0.01</v>
      </c>
      <c r="EW39" s="1">
        <f>IF($B39&lt;Analysis!$C$130,0,MIN(Analysis!$C$144*12,SUM(EX39:FB39)))</f>
        <v>-3960</v>
      </c>
      <c r="EX39" s="1">
        <f>IF($B39&lt;Analysis!$C$130,0,Analysis!$C$145*12)</f>
        <v>-900</v>
      </c>
      <c r="EY39" s="1">
        <f>IF($B39&lt;Analysis!$C$130,0,Analysis!$C$146*12)</f>
        <v>-1500</v>
      </c>
      <c r="EZ39" s="1">
        <f>IF($B39&lt;Analysis!$C$130,0,Analysis!$C$147*12)</f>
        <v>-480</v>
      </c>
      <c r="FA39" s="1">
        <f>IF($B39&lt;Analysis!$C$130,0,Analysis!$C$148*12)</f>
        <v>-480</v>
      </c>
      <c r="FB39" s="1">
        <f>IF($B39&lt;Analysis!$C$130,0,Analysis!$C$149*12)</f>
        <v>-600</v>
      </c>
      <c r="FC39" s="1">
        <v>0</v>
      </c>
      <c r="FD39" s="1">
        <f>-FC39*Analysis!$C$28</f>
        <v>0</v>
      </c>
      <c r="FE39" s="53"/>
      <c r="FF39" s="1">
        <f t="shared" si="32"/>
        <v>-257132.50804258903</v>
      </c>
      <c r="FG39" s="64">
        <f>IF($B39&lt;Analysis!$C$130,0,Analysis!$C$31)</f>
        <v>0.1275</v>
      </c>
      <c r="FH39" s="1">
        <f>IF($B39&lt;Analysis!$C$130,0,EB39+FF39)</f>
        <v>1759593.0452326189</v>
      </c>
      <c r="FI39" s="1">
        <f>IF($B39-Analysis!$C$130&gt;3,0,IF(EB39&gt;LOOKUP(Analysis!$C$130,$B:$B, EB:EB),$V39*(LOOKUP(Analysis!$C$130,$B:$B, EB:EB)-EB39),0))</f>
        <v>-29960.721765442733</v>
      </c>
      <c r="FJ39" s="1">
        <f t="shared" si="33"/>
        <v>1729632.3234671762</v>
      </c>
      <c r="FK39" s="53"/>
      <c r="FL39" s="1">
        <f>$P39+$N39+IF($B39&lt;Analysis!$C$130,$X39+$Z39,0)+CP39+CS39+CY39+DE39+DG39+MIN(DI39,SUM(DJ39:DN39))+DQ39+DS39+DT39+EG39+EJ39+EP39+ES39+EU39+MIN(EW39,SUM(EX39:FB39))+FD39</f>
        <v>-84250.260971285126</v>
      </c>
      <c r="FM39" s="1">
        <f>$M39+$R39+DD39+IF(AND($B39&lt;&gt;Analysis!$C$130,$B39=Analysis!$C$101),DZ38+CQ38+CT38+CZ38,0)</f>
        <v>63130.89674043667</v>
      </c>
      <c r="FN39" s="1">
        <f t="shared" si="34"/>
        <v>-21119.364230848456</v>
      </c>
      <c r="FO39" s="1">
        <f>IF(FN39 &lt; 0,
    IF(FO38 + FN39 &gt; 0,
        FO38 + FN39, IF(FT38-ABS(FO38 + FN39)*(1+$V39) &gt;= FO38 + FN39,
        0, FO38 + FN39)),
    MIN(FO38 + FN39, Analysis!$C$7))+IF(FO38&lt;0, FO38*Analysis!$C$9,0)</f>
        <v>-34210.553392064518</v>
      </c>
      <c r="FP39" s="53"/>
      <c r="FQ39" s="1">
        <f t="shared" si="51"/>
        <v>0</v>
      </c>
      <c r="FR39" s="1">
        <f>IF(OR($B39=Analysis!$C$100, $B39=Analysis!$C$130),0,IF(FN39 &gt;= 0,
    MAX(0, FO38 + FN39 - Analysis!$C$7),
    0))</f>
        <v>0</v>
      </c>
      <c r="FS39" s="1">
        <f>IF(OR($B39=Analysis!$C$100, $B39=Analysis!$C$130),0,MAX(0, FS38 + FR39 - IF(FN39 &lt; 0, MIN(ABS(FN39), FS38 + FR39), 0)))</f>
        <v>0</v>
      </c>
      <c r="FT39" s="1">
        <f>IF(OR($B39=Analysis!$C$100, $B39=Analysis!$C$130),0,IF(FN39 &lt; 0,
    IF(FN39 + FO38 &lt; 0,
        MAX(0, FT38 - (ABS(FN39 + FO38) * (1+$V38))),
        FT38 + FQ39),
    FT38 + FR39 + FQ39))</f>
        <v>0</v>
      </c>
      <c r="FU39" s="1">
        <f t="shared" si="57"/>
        <v>0</v>
      </c>
      <c r="FV39" s="36"/>
      <c r="FW39" s="1">
        <f t="shared" si="52"/>
        <v>1518682.0253359382</v>
      </c>
      <c r="FX39" s="64">
        <f t="shared" si="53"/>
        <v>2.941176470588247E-2</v>
      </c>
      <c r="FY39" s="1">
        <f>IF($B39=Analysis!$C$159,(FW39*(1+Analysis!$C$23+Analysis!$C$24+Analysis!$C$25))-IF($B39=$B$2,(Analysis!$C$6-Analysis!$C$7+Analysis!$C$165), (HW38-Analysis!$C$7+GH39)),0)</f>
        <v>0</v>
      </c>
      <c r="FZ39" s="65">
        <f>IF($B39=Analysis!$C$159,NPER(GD39,-GG39,-FY39),0)</f>
        <v>0</v>
      </c>
      <c r="GA39" s="64">
        <f>IF($B39=Analysis!$C$159,Analysis!$C$161,0)</f>
        <v>0</v>
      </c>
      <c r="GB39" s="1">
        <f>IF($B39&lt;Analysis!$C$159,0,IF($B39=Analysis!$C$159,-FY39*GA39,IF(GG39&gt;=0,0,GG39-GE39)))</f>
        <v>0</v>
      </c>
      <c r="GC39" s="1">
        <f>IF($B39&lt;Analysis!$C$159,0,IF($B39=Analysis!$C$159,-FY39-GB39,MIN(0,GC38-GB39)))</f>
        <v>0</v>
      </c>
      <c r="GD39" s="64">
        <f>IF($B39&lt;Analysis!$C$159,0,IF($B39=Analysis!$C$159,Analysis!$C$160,IF(($B39-Analysis!$C$159)&lt;LOOKUP(Analysis!$C$159,$B:$B,FZ:FZ),GD38,0)))</f>
        <v>0</v>
      </c>
      <c r="GE39" s="1">
        <f>IF($B39&lt;Analysis!$C$159,0,IF($B39=Analysis!$C$159,-GD39*FY39,GD38*GC38))</f>
        <v>0</v>
      </c>
      <c r="GF39" s="1">
        <f>IF($B39&lt;Analysis!$C$159,0,IF($B39=Analysis!$C$159,PMT(GD39,FZ39,FY39)*FZ39-GG39-GC39,IF(($B39-Analysis!$C$159+1)&lt;LOOKUP(Analysis!$C$159,$B:$B,FZ:FZ),IF(GF38-GE39&lt;0, GF38-GE39,0),0)))</f>
        <v>0</v>
      </c>
      <c r="GG39" s="1">
        <f>IF($B39&lt;Analysis!$C$159,0,IF($B39=Analysis!$C$159,GB39+GE39,IF(GC38&lt;0,IF(GC38&gt;LOOKUP(Analysis!$C$159,$B:$B,GG:GG), GC38*(1+GD38),GG38),0)))</f>
        <v>0</v>
      </c>
      <c r="GH39" s="1">
        <f>IF($B39=Analysis!$C$159,Analysis!$C$165,0)</f>
        <v>0</v>
      </c>
      <c r="GI39" s="1">
        <f>IF($B39=Analysis!$C$159,PMT(GD39,GJ39,GH39)*GJ39,0)</f>
        <v>0</v>
      </c>
      <c r="GJ39" s="7">
        <f>IF($B39=Analysis!$C$159,Analysis!$C$167,0)</f>
        <v>0</v>
      </c>
      <c r="GK39" s="1">
        <f>IF($B39&lt;Analysis!$C$159,0,IF($B39=Analysis!$C$159,GI39/GJ39,IF(($B39-Analysis!$C$159)&lt;LOOKUP(Analysis!$C$159,$B:$B,GJ:GJ),GK38,0)))</f>
        <v>0</v>
      </c>
      <c r="GL39" s="1">
        <f>IF($B39&lt;Analysis!$C$159,0,IF($B39=Analysis!$C$159,GJ39*GK39-GK39,IF(($B39-Analysis!$C$159)&lt;Analysis!$C$167,GL38-GK39,0)))</f>
        <v>0</v>
      </c>
      <c r="GM39" s="38"/>
      <c r="GN39" s="1">
        <f>IF($B39&lt;Analysis!$C$159,0,IF($B39=2025,(Analysis!$C$109*12),IF($B39=Analysis!$C$159,(Analysis!$C$109*12)*(1+GO39)^($B39-$B$2),GN38*(1+GO39))))</f>
        <v>40509.87850491939</v>
      </c>
      <c r="GO39" s="64">
        <f>IF($B39&lt;Analysis!$C$159,0,((1+Analysis!$C$174)/(1+$S39))-1)</f>
        <v>2.941176470588247E-2</v>
      </c>
      <c r="GP39" s="1">
        <f t="shared" si="7"/>
        <v>49025.924580927203</v>
      </c>
      <c r="GQ39" s="1">
        <f t="shared" si="36"/>
        <v>-4556.0460760078149</v>
      </c>
      <c r="GR39" s="64">
        <f>IF($B39&lt;Analysis!$C$159,0,Analysis!$C$178)</f>
        <v>3.0000000000000001E-3</v>
      </c>
      <c r="GS39" s="1">
        <f t="shared" si="37"/>
        <v>-11390.115190019536</v>
      </c>
      <c r="GT39" s="64">
        <f>IF($B39&lt;Analysis!$C$159,0,Analysis!$C$179)</f>
        <v>7.4999999999999997E-3</v>
      </c>
      <c r="GU39" s="1">
        <f>IF($B39&lt;Analysis!$C$159,0,MIN(Analysis!$C$180*12,SUM(GV39:GZ39)))</f>
        <v>-3960</v>
      </c>
      <c r="GV39" s="1">
        <f>IF($B39&lt;Analysis!$C$159,0,Analysis!$C$181*12)</f>
        <v>-900</v>
      </c>
      <c r="GW39" s="1">
        <f>IF($B39&lt;Analysis!$C$159,0,Analysis!$C$182*12)</f>
        <v>-1500</v>
      </c>
      <c r="GX39" s="1">
        <f>IF($B39&lt;Analysis!$C$159,0,Analysis!$C$183*12)</f>
        <v>-480</v>
      </c>
      <c r="GY39" s="1">
        <f>IF($B39&lt;Analysis!$C$159,0,Analysis!$C$184*12)</f>
        <v>-480</v>
      </c>
      <c r="GZ39" s="1">
        <f>IF($B39&lt;Analysis!$C$159,0,Analysis!$C$185*12)</f>
        <v>-600</v>
      </c>
      <c r="HA39" s="64">
        <f>IF($B39&lt;Analysis!$C$159,0,Analysis!$C$173)</f>
        <v>0.02</v>
      </c>
      <c r="HB39" s="1">
        <f>-HA39*LOOKUP(Analysis!$C$159,$B:$B,FW:FW)</f>
        <v>-10392</v>
      </c>
      <c r="HC39" s="1">
        <f>-Analysis!$C$177*GN39</f>
        <v>-3038.2408878689544</v>
      </c>
      <c r="HD39" s="1">
        <f t="shared" si="38"/>
        <v>-33336.402153896306</v>
      </c>
      <c r="HE39" s="1">
        <f>MIN(0,-(GN39+HD39)*Analysis!$C$28)-GE39*Analysis!$C$28</f>
        <v>-3178.5673711383283</v>
      </c>
      <c r="HF39" s="1">
        <f>-Analysis!$C$176*GP39/12</f>
        <v>-4085.4937150772671</v>
      </c>
      <c r="HG39" s="38"/>
      <c r="HH39" s="1">
        <f>IF($B39&lt;Analysis!$C$159,0,-$HI39*$FW39)</f>
        <v>-193631.95823033212</v>
      </c>
      <c r="HI39" s="64">
        <f>IF($B39&lt;Analysis!$C$159,0,IF($B39=Analysis!$C$159,Analysis!$C$31,HI38))</f>
        <v>0.1275</v>
      </c>
      <c r="HJ39" s="1">
        <f>IF($B39&lt;Analysis!$C$159,0,$FW39+HH39)</f>
        <v>1325050.0671056062</v>
      </c>
      <c r="HK39" s="1">
        <f>IF($B39-Analysis!$C$159&gt;10,0,IF($FW39&gt;LOOKUP(Analysis!$C$159,$B:$B, FW:FW),$V39*(LOOKUP(Analysis!$C$159,$B:$B, FW:FW)-FW39),0))</f>
        <v>0</v>
      </c>
      <c r="HL39" s="1">
        <f t="shared" si="39"/>
        <v>1325050.0671056062</v>
      </c>
      <c r="HM39" s="38"/>
      <c r="HN39" s="1">
        <f t="shared" si="40"/>
        <v>-128465.46724573405</v>
      </c>
      <c r="HO39" s="1">
        <f t="shared" si="8"/>
        <v>112156.82132136388</v>
      </c>
      <c r="HP39" s="1">
        <f t="shared" si="41"/>
        <v>-16308.645924370168</v>
      </c>
      <c r="HQ39" s="1">
        <f>IF(HP39 &lt; 0,
    IF(HQ38 + HP39 &gt; 0,
        HQ38 + HP39, IF(HV38-ABS(HQ38 + HP39)*(1+$V39) &gt;= HQ38 + HP39,
        0, HQ38 + HP39)),
    MIN(HQ38 + HP39, Analysis!$C$7))+IF(HQ38&lt;0, HQ38*Analysis!$C$9,0)</f>
        <v>0</v>
      </c>
      <c r="HR39" s="38"/>
      <c r="HS39" s="1">
        <f t="shared" si="54"/>
        <v>22463.495506483858</v>
      </c>
      <c r="HT39" s="1">
        <f>IF($B39=Analysis!$C$159,0,IF(HP39 &gt;= 0,
    MAX(0, HQ38 + HP39 - Analysis!$C$7),
    0))</f>
        <v>0</v>
      </c>
      <c r="HU39" s="1">
        <f>IF($B39=Analysis!$C$159,0,MAX(0, HU38 + HT39 - IF(HP39 &lt; 0, MIN(ABS(HP39), HU38 + HT39), 0)))</f>
        <v>725148.91678585147</v>
      </c>
      <c r="HV39" s="1">
        <f>IF($B39=Analysis!$C$159,0,IF(HP39 &lt; 0,
    IF(HP39 + HQ38 &lt; 0,
        MAX(0, HV38 - (ABS(HP39 + HQ38) * (1+$V38))),
        HV38 + HS39),
    HV38 + HT39 + HS39))</f>
        <v>1125028.2195437581</v>
      </c>
      <c r="HW39" s="1">
        <f t="shared" si="58"/>
        <v>1019560.0534413602</v>
      </c>
      <c r="HX39" s="36"/>
    </row>
    <row r="40" spans="1:232" x14ac:dyDescent="0.35">
      <c r="A40">
        <f t="shared" si="0"/>
        <v>73</v>
      </c>
      <c r="B40">
        <v>2063</v>
      </c>
      <c r="C40" s="1">
        <f>IF($B40&lt;Analysis!C$66,0,$AN40)+$AT40+$AW40+$BC40+$CF40+$CA40</f>
        <v>-1254817.7644857438</v>
      </c>
      <c r="D40" s="1">
        <f>IF($B40&lt;Analysis!C$66, 0, BV40)+AT40+AW40+BC40+CG40+CA40</f>
        <v>-1596236.24809728</v>
      </c>
      <c r="E40" s="1">
        <f t="shared" si="1"/>
        <v>2077156.1834064082</v>
      </c>
      <c r="F40" s="1">
        <f t="shared" si="9"/>
        <v>1785445.1278192187</v>
      </c>
      <c r="G40" s="1">
        <f>IF(AND($B40&gt;=Analysis!$C$100, $B40&lt;Analysis!$C$101),$CK40,0)+IF($B40&gt;=Analysis!$C$130,EB40,0)+CQ40+CT40+CZ40+EH40+EK40+EQ40+$FO40+$FT40</f>
        <v>1979503.5572763071</v>
      </c>
      <c r="H40" s="1">
        <f t="shared" si="10"/>
        <v>1669203.1547412481</v>
      </c>
      <c r="I40" s="1">
        <f>IF($B40&lt;Analysis!$C$159,0,$FW40)+$GC40+$GF40+$GL40+$HQ40+$HV40</f>
        <v>2664926.1818082267</v>
      </c>
      <c r="J40" s="1">
        <f t="shared" si="59"/>
        <v>2361421.8876771554</v>
      </c>
      <c r="K40" s="36"/>
      <c r="L40" s="1">
        <f t="shared" si="11"/>
        <v>61868.278805627939</v>
      </c>
      <c r="M40" s="1">
        <f>IF($B40=Analysis!$C$47, M39 * (1 - Analysis!$C$48),
    IF($B40=Analysis!$C$52, M39 * (1 - Analysis!$C$53),
    IF($B40=Analysis!$C$58, M39 * (1 - Analysis!$C$60),
    L40)))</f>
        <v>61868.278805627939</v>
      </c>
      <c r="N40" s="1">
        <f>Analysis!$C$3*12*(1+O40)+P40</f>
        <v>-48000</v>
      </c>
      <c r="O40" s="64">
        <f>IF(OR($B40=Analysis!$C$47,$B40=Analysis!$C$52,$B40=Analysis!$C$58),-Analysis!$C$49,0)</f>
        <v>0</v>
      </c>
      <c r="P40" s="1">
        <f>IF($B40&lt;Analysis!$C$47,0,IF($B40-Analysis!$C$47&lt;=3,Analysis!$C$40+Analysis!$C$44,IF($B40-Analysis!$C$47&lt;=10,Analysis!$C$41+Analysis!$C$44,IF($B40-Analysis!$C$47&lt;=18,Analysis!$C$42+Analysis!$C$44,IF($B40-Analysis!$C$47&lt;=25,Analysis!$C$43+Analysis!$C$44,0)))) + IF(AND($B40&gt;=Analysis!$C$52, $B40-Analysis!$C$52&lt;=3),Analysis!$C$40+Analysis!$C$44,IF(AND($B40&gt;=Analysis!$C$52, $B40-Analysis!$C$52&lt;=10),Analysis!$C$41+Analysis!$C$44,IF(AND($B40&gt;=Analysis!$C$52, $B40-Analysis!$C$52&lt;=18),Analysis!$C$42+Analysis!$C$44,IF(AND($B40&gt;=Analysis!$C$52, $B40-Analysis!$C$52&lt;=25),Analysis!$C$43+Analysis!$C$44,0)))) + Analysis!$C$57*IF(AND($B40&gt;=Analysis!$C$58, $B40-Analysis!$C$58&lt;=3),Analysis!$C$40+Analysis!$C$44,IF(AND($B40&gt;=Analysis!$C$58, $B40-Analysis!$C$58&lt;=10),Analysis!$C$41+Analysis!$C$44,IF(AND($B40&gt;=Analysis!$C$58, $B40-Analysis!$C$58&lt;=18),Analysis!$C$42+Analysis!$C$44,IF(AND($B40&gt;=Analysis!$C$58, $B40-Analysis!$C$58&lt;=25),Analysis!$C$43+Analysis!$C$44,0)))))</f>
        <v>0</v>
      </c>
      <c r="Q40" s="1">
        <f t="shared" si="43"/>
        <v>0</v>
      </c>
      <c r="R40" s="1">
        <f>IF(AND(AND(B40=Analysis!C$35,Analysis!C$34&lt;&gt;0),AND(B40=Analysis!C$37,Analysis!C$36&lt;&gt;0)),Analysis!C$34+Analysis!C$36,IF(AND(B40=Analysis!C$35,Analysis!C$34&lt;&gt;0),Analysis!C$34,IF(AND(B40=Analysis!C$37,Analysis!C$36&lt;&gt;0),Analysis!C$36,0)))</f>
        <v>0</v>
      </c>
      <c r="S40" s="64">
        <f t="shared" si="12"/>
        <v>0.02</v>
      </c>
      <c r="T40" s="64">
        <f>IF($B40&lt;Analysis!$C$13, ((1+IF($B40-$B$2&lt;10,Analysis!$C$11,IF($B40-$B$2&lt;20,(Analysis!$C$11+Analysis!$C$12)/2,Analysis!$C$12)))/(1+$S40)-1),IF($B40=Analysis!$C$13,-Analysis!$C$14,-$S40))</f>
        <v>-0.02</v>
      </c>
      <c r="U40" s="64">
        <f>IF($B40=$B$2,((1+Analysis!$C$16)/(1+$S40))-1,IF(B40&lt;Analysis!$C$13,U39-((Analysis!$C$16-Analysis!$C$17)/(Analysis!$C$13-$B$2)),((1+Analysis!$C$17)/(1+$S39))-1))</f>
        <v>1.9607843137254832E-2</v>
      </c>
      <c r="V40" s="64">
        <f t="shared" si="13"/>
        <v>0.26374999999999998</v>
      </c>
      <c r="W40" s="36"/>
      <c r="X40" s="1">
        <f t="shared" si="14"/>
        <v>-47658.680594022801</v>
      </c>
      <c r="Y40" s="64">
        <f t="shared" si="15"/>
        <v>2.941176470588247E-2</v>
      </c>
      <c r="Z40" s="1">
        <f t="shared" si="16"/>
        <v>-3960</v>
      </c>
      <c r="AA40" s="64">
        <f t="shared" si="17"/>
        <v>0</v>
      </c>
      <c r="AB40" s="40"/>
      <c r="AC40" s="1">
        <f t="shared" si="3"/>
        <v>-99618.680594022793</v>
      </c>
      <c r="AD40" s="1">
        <f t="shared" si="4"/>
        <v>61868.278805627939</v>
      </c>
      <c r="AE40" s="1">
        <f t="shared" si="18"/>
        <v>-37750.401788394855</v>
      </c>
      <c r="AF40" s="1">
        <f>IF(AE40 &lt; 0,
    IF(AF39 + AE40 &gt; 0,
        AF39 + AE40, IF(AK39-ABS(AF39 + AE40)*(1+$V40) &gt;= AF39 + AE40,
        0, AF39 + AE40)),
    MIN(AF39 + AE40, Analysis!$C$7))+IF(AF39&lt;0, AF39*Analysis!$C$9,0)</f>
        <v>0</v>
      </c>
      <c r="AG40" s="40"/>
      <c r="AH40" s="1">
        <f t="shared" si="19"/>
        <v>41663.985366009503</v>
      </c>
      <c r="AI40" s="1">
        <f>IF(AE40 &gt;= 0,
    MAX(0, AF39 + AE40 - Analysis!$C$7),
    0)</f>
        <v>0</v>
      </c>
      <c r="AJ40" s="1">
        <f t="shared" si="44"/>
        <v>971142.70250711101</v>
      </c>
      <c r="AK40" s="1">
        <f t="shared" si="20"/>
        <v>2077156.1834064082</v>
      </c>
      <c r="AL40" s="1">
        <f t="shared" si="5"/>
        <v>1785445.1278192187</v>
      </c>
      <c r="AM40" s="36"/>
      <c r="AN40" s="1">
        <f t="shared" si="45"/>
        <v>2677792.0283257752</v>
      </c>
      <c r="AO40" s="64">
        <f t="shared" si="21"/>
        <v>2.941176470588247E-2</v>
      </c>
      <c r="AP40" s="1">
        <f>IF($B40=Analysis!$C$66,(AN40*(1+Analysis!$C$23+Analysis!$C$24+Analysis!$C$25))-IF($B40=$B$2,(Analysis!$C$6-Analysis!$C$7+Analysis!$C$68), ($CG39-Analysis!$C$7+AY40)),0)</f>
        <v>0</v>
      </c>
      <c r="AQ40" s="65">
        <f>IF($B40=Analysis!$C$66,NPER(AU40,-AX40,-AP40),0)</f>
        <v>0</v>
      </c>
      <c r="AR40" s="64">
        <f>IF($B40=Analysis!$C$66,Analysis!$C$73,0)</f>
        <v>0</v>
      </c>
      <c r="AS40" s="1">
        <f>IF($B40&lt;Analysis!$C$66,0,IF($B40=Analysis!$C$66,-AP40*AR40,IF(AX40&gt;=0,0,AX40-AV40)))</f>
        <v>0</v>
      </c>
      <c r="AT40" s="1">
        <f>IF($B40&lt;Analysis!$C$66,0,IF($B40=Analysis!$C$66,-AP40-AS40,MIN(0,AT39-AS40)))</f>
        <v>0</v>
      </c>
      <c r="AU40" s="64">
        <f>IF($B40&lt;Analysis!$C$66,0,IF($B40=Analysis!$C$66,Analysis!$C$72,IF(($B40-Analysis!$C$66)&lt;LOOKUP(Analysis!$C$66,$B:$B,AQ:AQ),AU39,0)))</f>
        <v>0</v>
      </c>
      <c r="AV40" s="1">
        <f>IF($B40&lt;Analysis!$C$66,0,IF($B40=Analysis!$C$66,-AU40*AP40,AU39*AT39))</f>
        <v>0</v>
      </c>
      <c r="AW40" s="1">
        <f>IF($B40&lt;Analysis!$C$66,0,IF($B40=Analysis!$C$66,PMT(AU40,AQ40,AP40)*AQ40-AX40-AT40,IF(($B40-Analysis!$C$66+1)&lt;LOOKUP(Analysis!$C$66,$B:$B,AQ:AQ),IF(AW39-AV40&lt;0, AW39-AV40,0),0)))</f>
        <v>0</v>
      </c>
      <c r="AX40" s="1">
        <f>IF($B40&lt;Analysis!$C$66,0,IF($B40=Analysis!$C$66,AS40+AV40,IF(AT39&lt;0,IF(AT39&gt;LOOKUP(Analysis!$C$66,$B:$B,AX:AX), AT39*(1+AU39),AX39),0)))</f>
        <v>0</v>
      </c>
      <c r="AY40" s="1">
        <f>IF($B40=Analysis!$C$66,Analysis!$C$68,0)</f>
        <v>0</v>
      </c>
      <c r="AZ40" s="1">
        <f>IF($B40=Analysis!$C$66,PMT(AU40,BA40,AY40)*BA40,0)</f>
        <v>0</v>
      </c>
      <c r="BA40" s="7">
        <f>IF($B40=Analysis!$C$66,Analysis!$C$70,0)</f>
        <v>0</v>
      </c>
      <c r="BB40" s="1">
        <f>IF($B40&lt;Analysis!$C$66,0,IF($B40=Analysis!$C$66,AZ40/BA40,IF(($B40-Analysis!$C$66)&lt;LOOKUP(Analysis!$C$66,$B:$B,BA:BA),BB39,0)))</f>
        <v>0</v>
      </c>
      <c r="BC40" s="1">
        <f>IF($B40&lt;Analysis!$C$66,0,IF($B40=Analysis!$C$66,BA40*BB40-BB40,IF(($B40-Analysis!$C$66)&lt;Analysis!$C$70,BC39-BB40,0)))</f>
        <v>0</v>
      </c>
      <c r="BD40" s="42"/>
      <c r="BE40" s="1">
        <f>IF($B40&lt;Analysis!$C$66,0,-BF40*AN40)</f>
        <v>-8033.3760849773253</v>
      </c>
      <c r="BF40" s="64">
        <f>IF($B40&lt;Analysis!$C$66,0,Analysis!$C$78)</f>
        <v>3.0000000000000001E-3</v>
      </c>
      <c r="BG40" s="1">
        <f>IF($B40&lt;Analysis!$C$66,0,-BH40*AN40)</f>
        <v>-20083.440212443315</v>
      </c>
      <c r="BH40" s="64">
        <f>IF($B40&lt;Analysis!$C$66,0,Analysis!$C$79)</f>
        <v>7.4999999999999997E-3</v>
      </c>
      <c r="BI40" s="1">
        <f>IF($B40&lt;Analysis!$C$66,0,MIN(Analysis!$C$80*12,SUM(BJ40:BN40)))</f>
        <v>-3960</v>
      </c>
      <c r="BJ40" s="1">
        <f>IF($B40&lt;Analysis!$C$66,0,Analysis!$C$81*12)</f>
        <v>-900</v>
      </c>
      <c r="BK40" s="1">
        <f>IF($B40&lt;Analysis!$C$66,0,Analysis!$C$82*12)</f>
        <v>-1500</v>
      </c>
      <c r="BL40" s="1">
        <f>IF($B40&lt;Analysis!$C$66,0,Analysis!$C$83*12)</f>
        <v>-480</v>
      </c>
      <c r="BM40" s="1">
        <f>IF($B40&lt;Analysis!$C$66,0,Analysis!$C$84*12)</f>
        <v>-480</v>
      </c>
      <c r="BN40" s="1">
        <f>IF($B40&lt;Analysis!$C$66,0,Analysis!$C$85*12)</f>
        <v>-600</v>
      </c>
      <c r="BO40" s="1">
        <v>0</v>
      </c>
      <c r="BP40" s="1">
        <f>-BO40*Analysis!$C$28</f>
        <v>0</v>
      </c>
      <c r="BQ40" s="42"/>
      <c r="BR40" s="1">
        <f t="shared" si="22"/>
        <v>-341418.48361153633</v>
      </c>
      <c r="BS40" s="64">
        <f>IF($B40&lt;Analysis!C$66,0,Analysis!C$31)</f>
        <v>0.1275</v>
      </c>
      <c r="BT40" s="1">
        <f>IF($B40&lt;Analysis!$C$66,0,AN40+BR40)</f>
        <v>2336373.544714239</v>
      </c>
      <c r="BU40" s="1">
        <f>IF($B40-Analysis!$C$66&gt;3,0,IF($AN40&gt;LOOKUP(Analysis!$C$66,$B:$B, AN:AN),$V40*(LOOKUP(Analysis!$C$66,$B:$B, AN:AN)-AN40),0))</f>
        <v>0</v>
      </c>
      <c r="BV40" s="1">
        <f t="shared" si="23"/>
        <v>2336373.544714239</v>
      </c>
      <c r="BW40" s="42"/>
      <c r="BX40" s="1">
        <f>IF($B40&lt;Analysis!$C$66,$P40+$N40+$X40+$Z40,$P40+$N40+AS40+AV40+BB40+BE40+BG40+MAX(BI40,SUM(BJ40:BN40))+BP40)</f>
        <v>-80076.816297420635</v>
      </c>
      <c r="BY40" s="1">
        <f t="shared" si="24"/>
        <v>61868.278805627939</v>
      </c>
      <c r="BZ40" s="1">
        <f t="shared" si="46"/>
        <v>-18208.537491792697</v>
      </c>
      <c r="CA40" s="1">
        <f>IF(BZ40 &lt; 0,
    IF(CA39 + BZ40 &gt; 0,
        CA39 + BZ40, IF(CF39-ABS(CA39 + BZ40)*(1+$V40) &gt;= CA39 + BZ40,
        0, CA39 + BZ40)),
    MIN(CA39 + BZ40, Analysis!$C$7))+IF(CA39&lt;0, CA39*Analysis!$C$9,0)</f>
        <v>-3932609.792811519</v>
      </c>
      <c r="CB40" s="42"/>
      <c r="CC40" s="1">
        <f t="shared" si="47"/>
        <v>0</v>
      </c>
      <c r="CD40" s="1">
        <f>IF(BZ40 &gt;= 0,
    MAX(0, CA39 + BZ40 - Analysis!$C$7),
    0)</f>
        <v>0</v>
      </c>
      <c r="CE40" s="1">
        <f>IF($B40=Analysis!$C$66,0,MAX(0, CE39 + CD40 - IF(BZ40 &lt; 0, MIN(ABS(BZ40), CE39 + CD40), 0)))</f>
        <v>0</v>
      </c>
      <c r="CF40" s="1">
        <f>IF($B40=Analysis!$C$66,0,IF(BZ40 &lt; 0,
    IF(BZ40 + CA39 &lt; 0,
        MAX(0, CF39 - (ABS(BZ40 + CA39) * (1+$V39))),
        CF39 + CC40),
    CF39 + CD40 + CC40))</f>
        <v>0</v>
      </c>
      <c r="CG40" s="1">
        <f t="shared" si="25"/>
        <v>0</v>
      </c>
      <c r="CH40" s="36"/>
      <c r="CI40" s="1">
        <f>IF(OR($B40&lt;Analysis!$C$100, $B40&gt;=Analysis!$C$130),0,X40)</f>
        <v>0</v>
      </c>
      <c r="CJ40" s="1">
        <f>IF(OR($B40&lt;Analysis!$C$100, $B40&gt;=Analysis!$C$130),0,Z40)</f>
        <v>0</v>
      </c>
      <c r="CK40" s="1">
        <f t="shared" si="60"/>
        <v>1563349.1437281719</v>
      </c>
      <c r="CL40" s="64">
        <f t="shared" si="48"/>
        <v>2.941176470588247E-2</v>
      </c>
      <c r="CM40" s="1">
        <f>IF($B40=Analysis!$C$100,(CK40*(1+Analysis!$C$23+Analysis!$C$24+Analysis!$C$25))-IF($B40=$B$2,(Analysis!$C$6-Analysis!$C$7+Analysis!$C$105), (FU39-Analysis!$C$7+CV40)),0)</f>
        <v>0</v>
      </c>
      <c r="CN40" s="65">
        <f>IF($B40=Analysis!$C$100,NPER(CR40,-CU40,-CM40),0)</f>
        <v>0</v>
      </c>
      <c r="CO40" s="64">
        <f>IF($B40=Analysis!$C$100,Analysis!$C$103,0)</f>
        <v>0</v>
      </c>
      <c r="CP40" s="1">
        <f>IF(OR($B40&lt;Analysis!$C$100, $B40&gt;=Analysis!$C$101),0,IF($B40=Analysis!$C$100,-CM40*CO40,IF(CU40&gt;=0,0,CU40-CS40)))</f>
        <v>0</v>
      </c>
      <c r="CQ40" s="1">
        <f>IF(OR($B40&lt;Analysis!$C$100, $B40&gt;=Analysis!$C$101),0,IF($B40=Analysis!$C$100,-CM40-CP40,MIN(0,CQ39-CP40)))</f>
        <v>0</v>
      </c>
      <c r="CR40" s="64">
        <f>IF(OR($B40&lt;Analysis!$C$100, $B40&gt;=Analysis!$C$101),0,IF($B40=Analysis!$C$100,Analysis!$C$102,IF(($B40-Analysis!$C$100)&lt;LOOKUP(Analysis!$C$100,$B:$B,CN:CN),CR39,0)))</f>
        <v>0</v>
      </c>
      <c r="CS40" s="1">
        <f>IF(OR($B40&lt;Analysis!$C$100, $B40&gt;=Analysis!$C$101),0,IF($B40=Analysis!$C$100,-CR40*CM40,CR39*CQ39))</f>
        <v>0</v>
      </c>
      <c r="CT40" s="1">
        <f>IF(OR($B40&lt;Analysis!$C$100, $B40&gt;=Analysis!$C$101),0,IF($B40=Analysis!$C$100,PMT(CR40,CN40,CM40)*CN40-CU40-CQ40,IF(($B40-Analysis!$C$100+1)&lt;LOOKUP(Analysis!$C$100,$B:$B,CN:CN),IF(CT39-CS40&lt;0, CT39-CS40,0),0)))</f>
        <v>0</v>
      </c>
      <c r="CU40" s="1">
        <f>IF(OR($B40&lt;Analysis!$C$100, $B40&gt;=Analysis!$C$101),0,IF($B40=Analysis!$C$100,CP40+CS40,IF(CQ39&lt;0,IF(CQ39&gt;LOOKUP(Analysis!$C$100,$B:$B,CU:CU), CQ39*(1+CR39),CU39),0)))</f>
        <v>0</v>
      </c>
      <c r="CV40" s="1">
        <f>IF($B40=Analysis!$C$100,Analysis!$C$105,0)</f>
        <v>0</v>
      </c>
      <c r="CW40" s="1">
        <f>IF($B40=Analysis!$C$100,PMT(CR40,CX40,CV40)*CX40,0)</f>
        <v>0</v>
      </c>
      <c r="CX40" s="7">
        <f>IF($B40=Analysis!$C$100,Analysis!$C$107,0)</f>
        <v>0</v>
      </c>
      <c r="CY40" s="1">
        <f>IF(OR($B40&lt;Analysis!$C$100, $B40&gt;=Analysis!$C$101),0,IF($B40=Analysis!$C$100,CW40/CX40,IF(($B40-Analysis!$C$100)&lt;LOOKUP(Analysis!$C$100,$B:$B,CX:CX),CY39,0)))</f>
        <v>0</v>
      </c>
      <c r="CZ40" s="1">
        <f>IF(OR($B40&lt;Analysis!$C$100, $B40&gt;=Analysis!$C$101),0,IF($B40=Analysis!$C$100,CX40*CY40-CY40,IF(($B40-Analysis!$C$100)&lt;Analysis!$C$107,CZ39-CY40,0)))</f>
        <v>0</v>
      </c>
      <c r="DA40" s="53"/>
      <c r="DB40" s="1">
        <f>IF(OR($B40&lt;Analysis!$C$100, $B40&gt;=Analysis!$C$101),0,IF($B40=2025,(Analysis!$C$109*12),IF($B40=Analysis!$C$100,(Analysis!$C$109*12)*(1+DC40)^($B40-$B$2),DB39*(1+DC40))))</f>
        <v>0</v>
      </c>
      <c r="DC40" s="64">
        <f>IF(OR($B40&lt;Analysis!$C$100, $B40&gt;=Analysis!$C$101),0,((1+Analysis!$C$114)/(1+$S40))-1)</f>
        <v>0</v>
      </c>
      <c r="DD40" s="1">
        <f t="shared" si="6"/>
        <v>0</v>
      </c>
      <c r="DE40" s="1">
        <f t="shared" si="27"/>
        <v>0</v>
      </c>
      <c r="DF40" s="64">
        <f>IF(OR($B40&lt;Analysis!$C$100, $B40&gt;=Analysis!$C$101),0,Analysis!$C$118)</f>
        <v>0</v>
      </c>
      <c r="DG40" s="1">
        <f t="shared" si="28"/>
        <v>0</v>
      </c>
      <c r="DH40" s="64">
        <f>IF(OR($B40&lt;Analysis!$C$100, $B40&gt;=Analysis!$C$101),0,Analysis!$C$119)</f>
        <v>0</v>
      </c>
      <c r="DI40" s="1">
        <f>IF(OR($B40&lt;Analysis!$C$100, $B40&gt;=Analysis!$C$101),0,MIN(Analysis!$C$120*12,SUM(DJ40:DN40)))</f>
        <v>0</v>
      </c>
      <c r="DJ40" s="1">
        <f>IF(OR($B40&lt;Analysis!$C$100, $B40&gt;=Analysis!$C$101),0,Analysis!$C$121*12)</f>
        <v>0</v>
      </c>
      <c r="DK40" s="1">
        <f>IF(OR($B40&lt;Analysis!$C$100, $B40&gt;=Analysis!$C$101),0,Analysis!$C$122*12)</f>
        <v>0</v>
      </c>
      <c r="DL40" s="1">
        <f>IF(OR($B40&lt;Analysis!$C$100, $B40&gt;=Analysis!$C$101),0,Analysis!$C$123*12)</f>
        <v>0</v>
      </c>
      <c r="DM40" s="1">
        <f>IF(OR($B40&lt;Analysis!$C$100, $B40&gt;=Analysis!$C$101),0,Analysis!$C$124*12)</f>
        <v>0</v>
      </c>
      <c r="DN40" s="1">
        <f>IF(OR($B40&lt;Analysis!$C$100, $B40&gt;=Analysis!$C$101),0,Analysis!$C$125*12)</f>
        <v>0</v>
      </c>
      <c r="DO40" s="64">
        <f>IF(OR($B40&lt;Analysis!$C$100, $B40&gt;=Analysis!$C$101),0,Analysis!$C$113)</f>
        <v>0</v>
      </c>
      <c r="DP40" s="1">
        <f>-DO40*LOOKUP(Analysis!$C$100,$B:$B,CK:CK)</f>
        <v>0</v>
      </c>
      <c r="DQ40" s="1">
        <f>-Analysis!$C$117*DB40</f>
        <v>0</v>
      </c>
      <c r="DR40" s="1">
        <f t="shared" si="29"/>
        <v>0</v>
      </c>
      <c r="DS40" s="1">
        <f>MIN(0,-(DB40+DR40)*Analysis!$C$28)-CS40*Analysis!$C$28</f>
        <v>0</v>
      </c>
      <c r="DT40" s="1">
        <f>-Analysis!$C$116*DD40/12</f>
        <v>0</v>
      </c>
      <c r="DU40" s="53"/>
      <c r="DV40" s="1">
        <f t="shared" si="30"/>
        <v>0</v>
      </c>
      <c r="DW40" s="64">
        <f>IF(OR($B40&lt;Analysis!$C$100, $B40&gt;=Analysis!$C$101),0,IF($B40=Analysis!$C$100,Analysis!$C$31,DW39))</f>
        <v>0</v>
      </c>
      <c r="DX40" s="1">
        <f>IF(OR($B40&lt;Analysis!$C$100, $B40&gt;=Analysis!$C$101),0,CK40+DV40)</f>
        <v>0</v>
      </c>
      <c r="DY40" s="1">
        <f>IF(OR($B40&lt;Analysis!$C$100, $B40&gt;=Analysis!$C$101),0,IF($B40-Analysis!$C$100&gt;3,0,IF(CK40&gt;LOOKUP(Analysis!$C$100,$B:$B, CK:CK),$V40*(LOOKUP(Analysis!$C$100,$B:$B, CK:CK)-CK40),0)))</f>
        <v>0</v>
      </c>
      <c r="DZ40" s="1">
        <f t="shared" si="49"/>
        <v>0</v>
      </c>
      <c r="EA40" s="53"/>
      <c r="EB40" s="1">
        <f t="shared" si="31"/>
        <v>2076041.0107244791</v>
      </c>
      <c r="EC40" s="64">
        <f t="shared" si="50"/>
        <v>2.941176470588247E-2</v>
      </c>
      <c r="ED40" s="1">
        <f>IF($B40=Analysis!$C$130,(EB40*(1+Analysis!$C$23+Analysis!$C$24+Analysis!$C$25))-(IF($B40=$B$2,(Analysis!$C$6-Analysis!$C$7+Analysis!$C$132), (FU39-Analysis!$C$7+EM40)) + IF($B40=Analysis!$C$101,DZ39+CQ39+CT39+CZ39,0)),0)</f>
        <v>0</v>
      </c>
      <c r="EE40" s="65">
        <f>IF($B40=Analysis!$C$130,IF(ED40&gt;0,NPER(EI40,-EL40,-ED40),0),0)</f>
        <v>0</v>
      </c>
      <c r="EF40" s="64">
        <f>IF($B40=Analysis!$C$130,Analysis!$C$137,0)</f>
        <v>0</v>
      </c>
      <c r="EG40" s="1">
        <f>IF($B40&lt;Analysis!$C$130,0,IF($B40=Analysis!$C$130,-ED40*EF40,IF(EL40&gt;=0,0,EL40-EJ40)))</f>
        <v>0</v>
      </c>
      <c r="EH40" s="1">
        <f>IF($B40&lt;Analysis!$C$130,0,IF($B40=Analysis!$C$130,-ED40-EG40,MIN(0,EH39-EG40)))</f>
        <v>0</v>
      </c>
      <c r="EI40" s="64">
        <f>IF($B40&lt;Analysis!$C$130,0,IF($B40=Analysis!$C$130,Analysis!$C$136,IF(($B40-Analysis!$C$130)&lt;LOOKUP(Analysis!$C$130,$B:$B,EE:EE),EI39,0)))</f>
        <v>0</v>
      </c>
      <c r="EJ40" s="1">
        <f>IF($B40&lt;Analysis!$C$130,0,IF($B40=Analysis!$C$130,-EI40*ED40,EI39*EH39))</f>
        <v>0</v>
      </c>
      <c r="EK40" s="1">
        <f>IF(OR($B40&lt;Analysis!$C$130, ED40=0),0,IF($B40=Analysis!$C$130,PMT(EI40,EE40,ED40)*EE40-EL40-EH40,IF(($B40-Analysis!$C$130+1)&lt;LOOKUP(Analysis!$C$130,$B:$B,EE:EE),IF(EK39-EJ40&lt;0, EK39-EJ40,0),0)))</f>
        <v>0</v>
      </c>
      <c r="EL40" s="1">
        <f>IF($B40&lt;Analysis!$C$130,0,IF($B40=Analysis!$C$130,EG40+EJ40,IF(EH39&lt;0,IF(EH39&gt;LOOKUP(Analysis!$C$130,$B:$B,EL:EL), EH39*(1+EI39),EL39),0)))</f>
        <v>0</v>
      </c>
      <c r="EM40" s="1">
        <f>IF($B40=Analysis!$C$130,Analysis!$C$132,0)</f>
        <v>0</v>
      </c>
      <c r="EN40" s="1">
        <f>IF($B40=Analysis!$C$130,PMT(EI40,EO40,EM40)*EO40,0)</f>
        <v>0</v>
      </c>
      <c r="EO40" s="7">
        <f>IF($B40=Analysis!$C$130,Analysis!$C$134,0)</f>
        <v>0</v>
      </c>
      <c r="EP40" s="1">
        <f>IF($B40&lt;Analysis!$C$130,0,IF($B40=Analysis!$C$130,EN40/EO40,IF(($B40-Analysis!$C$130)&lt;LOOKUP(Analysis!$C$130,$B:$B,EO:EO),EP39,0)))</f>
        <v>-6072.8287787074187</v>
      </c>
      <c r="EQ40" s="1">
        <f>IF($B40&lt;Analysis!$C$130,0,IF($B40=Analysis!$C$130,EO40*EP40-EP40,IF(($B40-Analysis!$C$130)&lt;Analysis!$C$134,EQ39-EP40,0)))</f>
        <v>-36436.972672244505</v>
      </c>
      <c r="ER40" s="53"/>
      <c r="ES40" s="1">
        <f>IF($B40&lt;Analysis!$C$130,0,-ET40*EB40)</f>
        <v>-6228.1230321734374</v>
      </c>
      <c r="ET40" s="64">
        <f>IF($B40&lt;Analysis!$C$130,0,Analysis!$C$142)</f>
        <v>3.0000000000000001E-3</v>
      </c>
      <c r="EU40" s="1">
        <f>IF($B40&lt;Analysis!$C$130,0,-EV40*EB40)</f>
        <v>-20760.410107244792</v>
      </c>
      <c r="EV40" s="64">
        <f>IF($B40&lt;Analysis!$C$130,0,Analysis!$C$143)</f>
        <v>0.01</v>
      </c>
      <c r="EW40" s="1">
        <f>IF($B40&lt;Analysis!$C$130,0,MIN(Analysis!$C$144*12,SUM(EX40:FB40)))</f>
        <v>-3960</v>
      </c>
      <c r="EX40" s="1">
        <f>IF($B40&lt;Analysis!$C$130,0,Analysis!$C$145*12)</f>
        <v>-900</v>
      </c>
      <c r="EY40" s="1">
        <f>IF($B40&lt;Analysis!$C$130,0,Analysis!$C$146*12)</f>
        <v>-1500</v>
      </c>
      <c r="EZ40" s="1">
        <f>IF($B40&lt;Analysis!$C$130,0,Analysis!$C$147*12)</f>
        <v>-480</v>
      </c>
      <c r="FA40" s="1">
        <f>IF($B40&lt;Analysis!$C$130,0,Analysis!$C$148*12)</f>
        <v>-480</v>
      </c>
      <c r="FB40" s="1">
        <f>IF($B40&lt;Analysis!$C$130,0,Analysis!$C$149*12)</f>
        <v>-600</v>
      </c>
      <c r="FC40" s="1">
        <v>0</v>
      </c>
      <c r="FD40" s="1">
        <f>-FC40*Analysis!$C$28</f>
        <v>0</v>
      </c>
      <c r="FE40" s="53"/>
      <c r="FF40" s="1">
        <f t="shared" si="32"/>
        <v>-264695.2288673711</v>
      </c>
      <c r="FG40" s="64">
        <f>IF($B40&lt;Analysis!$C$130,0,Analysis!$C$31)</f>
        <v>0.1275</v>
      </c>
      <c r="FH40" s="1">
        <f>IF($B40&lt;Analysis!$C$130,0,EB40+FF40)</f>
        <v>1811345.781857108</v>
      </c>
      <c r="FI40" s="1">
        <f>IF($B40-Analysis!$C$130&gt;3,0,IF(EB40&gt;LOOKUP(Analysis!$C$130,$B:$B, EB:EB),$V40*(LOOKUP(Analysis!$C$130,$B:$B, EB:EB)-EB40),0))</f>
        <v>-45605.173667687988</v>
      </c>
      <c r="FJ40" s="1">
        <f t="shared" si="33"/>
        <v>1765740.6081894201</v>
      </c>
      <c r="FK40" s="53"/>
      <c r="FL40" s="1">
        <f>$P40+$N40+IF($B40&lt;Analysis!$C$130,$X40+$Z40,0)+CP40+CS40+CY40+DE40+DG40+MIN(DI40,SUM(DJ40:DN40))+DQ40+DS40+DT40+EG40+EJ40+EP40+ES40+EU40+MIN(EW40,SUM(EX40:FB40))+FD40</f>
        <v>-85021.361918125651</v>
      </c>
      <c r="FM40" s="1">
        <f>$M40+$R40+DD40+IF(AND($B40&lt;&gt;Analysis!$C$130,$B40=Analysis!$C$101),DZ39+CQ39+CT39+CZ39,0)</f>
        <v>61868.278805627939</v>
      </c>
      <c r="FN40" s="1">
        <f t="shared" si="34"/>
        <v>-23153.083112497712</v>
      </c>
      <c r="FO40" s="1">
        <f>IF(FN40 &lt; 0,
    IF(FO39 + FN40 &gt; 0,
        FO39 + FN40, IF(FT39-ABS(FO39 + FN40)*(1+$V40) &gt;= FO39 + FN40,
        0, FO39 + FN40)),
    MIN(FO39 + FN40, Analysis!$C$7))+IF(FO39&lt;0, FO39*Analysis!$C$9,0)</f>
        <v>-60100.48077592739</v>
      </c>
      <c r="FP40" s="53"/>
      <c r="FQ40" s="1">
        <f t="shared" si="51"/>
        <v>0</v>
      </c>
      <c r="FR40" s="1">
        <f>IF(OR($B40=Analysis!$C$100, $B40=Analysis!$C$130),0,IF(FN40 &gt;= 0,
    MAX(0, FO39 + FN40 - Analysis!$C$7),
    0))</f>
        <v>0</v>
      </c>
      <c r="FS40" s="1">
        <f>IF(OR($B40=Analysis!$C$100, $B40=Analysis!$C$130),0,MAX(0, FS39 + FR40 - IF(FN40 &lt; 0, MIN(ABS(FN40), FS39 + FR40), 0)))</f>
        <v>0</v>
      </c>
      <c r="FT40" s="1">
        <f>IF(OR($B40=Analysis!$C$100, $B40=Analysis!$C$130),0,IF(FN40 &lt; 0,
    IF(FN40 + FO39 &lt; 0,
        MAX(0, FT39 - (ABS(FN40 + FO39) * (1+$V39))),
        FT39 + FQ40),
    FT39 + FR40 + FQ40))</f>
        <v>0</v>
      </c>
      <c r="FU40" s="1">
        <f t="shared" si="57"/>
        <v>0</v>
      </c>
      <c r="FV40" s="36"/>
      <c r="FW40" s="1">
        <f t="shared" si="52"/>
        <v>1563349.1437281719</v>
      </c>
      <c r="FX40" s="64">
        <f t="shared" si="53"/>
        <v>2.941176470588247E-2</v>
      </c>
      <c r="FY40" s="1">
        <f>IF($B40=Analysis!$C$159,(FW40*(1+Analysis!$C$23+Analysis!$C$24+Analysis!$C$25))-IF($B40=$B$2,(Analysis!$C$6-Analysis!$C$7+Analysis!$C$165), (HW39-Analysis!$C$7+GH40)),0)</f>
        <v>0</v>
      </c>
      <c r="FZ40" s="65">
        <f>IF($B40=Analysis!$C$159,NPER(GD40,-GG40,-FY40),0)</f>
        <v>0</v>
      </c>
      <c r="GA40" s="64">
        <f>IF($B40=Analysis!$C$159,Analysis!$C$161,0)</f>
        <v>0</v>
      </c>
      <c r="GB40" s="1">
        <f>IF($B40&lt;Analysis!$C$159,0,IF($B40=Analysis!$C$159,-FY40*GA40,IF(GG40&gt;=0,0,GG40-GE40)))</f>
        <v>0</v>
      </c>
      <c r="GC40" s="1">
        <f>IF($B40&lt;Analysis!$C$159,0,IF($B40=Analysis!$C$159,-FY40-GB40,MIN(0,GC39-GB40)))</f>
        <v>0</v>
      </c>
      <c r="GD40" s="64">
        <f>IF($B40&lt;Analysis!$C$159,0,IF($B40=Analysis!$C$159,Analysis!$C$160,IF(($B40-Analysis!$C$159)&lt;LOOKUP(Analysis!$C$159,$B:$B,FZ:FZ),GD39,0)))</f>
        <v>0</v>
      </c>
      <c r="GE40" s="1">
        <f>IF($B40&lt;Analysis!$C$159,0,IF($B40=Analysis!$C$159,-GD40*FY40,GD39*GC39))</f>
        <v>0</v>
      </c>
      <c r="GF40" s="1">
        <f>IF($B40&lt;Analysis!$C$159,0,IF($B40=Analysis!$C$159,PMT(GD40,FZ40,FY40)*FZ40-GG40-GC40,IF(($B40-Analysis!$C$159+1)&lt;LOOKUP(Analysis!$C$159,$B:$B,FZ:FZ),IF(GF39-GE40&lt;0, GF39-GE40,0),0)))</f>
        <v>0</v>
      </c>
      <c r="GG40" s="1">
        <f>IF($B40&lt;Analysis!$C$159,0,IF($B40=Analysis!$C$159,GB40+GE40,IF(GC39&lt;0,IF(GC39&gt;LOOKUP(Analysis!$C$159,$B:$B,GG:GG), GC39*(1+GD39),GG39),0)))</f>
        <v>0</v>
      </c>
      <c r="GH40" s="1">
        <f>IF($B40=Analysis!$C$159,Analysis!$C$165,0)</f>
        <v>0</v>
      </c>
      <c r="GI40" s="1">
        <f>IF($B40=Analysis!$C$159,PMT(GD40,GJ40,GH40)*GJ40,0)</f>
        <v>0</v>
      </c>
      <c r="GJ40" s="7">
        <f>IF($B40=Analysis!$C$159,Analysis!$C$167,0)</f>
        <v>0</v>
      </c>
      <c r="GK40" s="1">
        <f>IF($B40&lt;Analysis!$C$159,0,IF($B40=Analysis!$C$159,GI40/GJ40,IF(($B40-Analysis!$C$159)&lt;LOOKUP(Analysis!$C$159,$B:$B,GJ:GJ),GK39,0)))</f>
        <v>0</v>
      </c>
      <c r="GL40" s="1">
        <f>IF($B40&lt;Analysis!$C$159,0,IF($B40=Analysis!$C$159,GJ40*GK40-GK40,IF(($B40-Analysis!$C$159)&lt;Analysis!$C$167,GL39-GK40,0)))</f>
        <v>0</v>
      </c>
      <c r="GM40" s="38"/>
      <c r="GN40" s="1">
        <f>IF($B40&lt;Analysis!$C$159,0,IF($B40=2025,(Analysis!$C$109*12),IF($B40=Analysis!$C$159,(Analysis!$C$109*12)*(1+GO40)^($B40-$B$2),GN39*(1+GO40))))</f>
        <v>41701.345519769966</v>
      </c>
      <c r="GO40" s="64">
        <f>IF($B40&lt;Analysis!$C$159,0,((1+Analysis!$C$174)/(1+$S40))-1)</f>
        <v>2.941176470588247E-2</v>
      </c>
      <c r="GP40" s="1">
        <f t="shared" si="7"/>
        <v>50351.392950954483</v>
      </c>
      <c r="GQ40" s="1">
        <f t="shared" si="36"/>
        <v>-4690.0474311845155</v>
      </c>
      <c r="GR40" s="64">
        <f>IF($B40&lt;Analysis!$C$159,0,Analysis!$C$178)</f>
        <v>3.0000000000000001E-3</v>
      </c>
      <c r="GS40" s="1">
        <f t="shared" si="37"/>
        <v>-11725.11857796129</v>
      </c>
      <c r="GT40" s="64">
        <f>IF($B40&lt;Analysis!$C$159,0,Analysis!$C$179)</f>
        <v>7.4999999999999997E-3</v>
      </c>
      <c r="GU40" s="1">
        <f>IF($B40&lt;Analysis!$C$159,0,MIN(Analysis!$C$180*12,SUM(GV40:GZ40)))</f>
        <v>-3960</v>
      </c>
      <c r="GV40" s="1">
        <f>IF($B40&lt;Analysis!$C$159,0,Analysis!$C$181*12)</f>
        <v>-900</v>
      </c>
      <c r="GW40" s="1">
        <f>IF($B40&lt;Analysis!$C$159,0,Analysis!$C$182*12)</f>
        <v>-1500</v>
      </c>
      <c r="GX40" s="1">
        <f>IF($B40&lt;Analysis!$C$159,0,Analysis!$C$183*12)</f>
        <v>-480</v>
      </c>
      <c r="GY40" s="1">
        <f>IF($B40&lt;Analysis!$C$159,0,Analysis!$C$184*12)</f>
        <v>-480</v>
      </c>
      <c r="GZ40" s="1">
        <f>IF($B40&lt;Analysis!$C$159,0,Analysis!$C$185*12)</f>
        <v>-600</v>
      </c>
      <c r="HA40" s="64">
        <f>IF($B40&lt;Analysis!$C$159,0,Analysis!$C$173)</f>
        <v>0.02</v>
      </c>
      <c r="HB40" s="1">
        <f>-HA40*LOOKUP(Analysis!$C$159,$B:$B,FW:FW)</f>
        <v>-10392</v>
      </c>
      <c r="HC40" s="1">
        <f>-Analysis!$C$177*GN40</f>
        <v>-3127.6009139827474</v>
      </c>
      <c r="HD40" s="1">
        <f t="shared" si="38"/>
        <v>-33894.766923128554</v>
      </c>
      <c r="HE40" s="1">
        <f>MIN(0,-(GN40+HD40)*Analysis!$C$28)-GE40*Analysis!$C$28</f>
        <v>-3459.0949761718089</v>
      </c>
      <c r="HF40" s="1">
        <f>-Analysis!$C$176*GP40/12</f>
        <v>-4195.94941257954</v>
      </c>
      <c r="HG40" s="38"/>
      <c r="HH40" s="1">
        <f>IF($B40&lt;Analysis!$C$159,0,-$HI40*$FW40)</f>
        <v>-199327.01582534192</v>
      </c>
      <c r="HI40" s="64">
        <f>IF($B40&lt;Analysis!$C$159,0,IF($B40=Analysis!$C$159,Analysis!$C$31,HI39))</f>
        <v>0.1275</v>
      </c>
      <c r="HJ40" s="1">
        <f>IF($B40&lt;Analysis!$C$159,0,$FW40+HH40)</f>
        <v>1364022.12790283</v>
      </c>
      <c r="HK40" s="1">
        <f>IF($B40-Analysis!$C$159&gt;10,0,IF($FW40&gt;LOOKUP(Analysis!$C$159,$B:$B, FW:FW),$V40*(LOOKUP(Analysis!$C$159,$B:$B, FW:FW)-FW40),0))</f>
        <v>0</v>
      </c>
      <c r="HL40" s="1">
        <f t="shared" si="39"/>
        <v>1364022.12790283</v>
      </c>
      <c r="HM40" s="38"/>
      <c r="HN40" s="1">
        <f t="shared" si="40"/>
        <v>-130776.4919059027</v>
      </c>
      <c r="HO40" s="1">
        <f t="shared" si="8"/>
        <v>112219.67175658242</v>
      </c>
      <c r="HP40" s="1">
        <f t="shared" si="41"/>
        <v>-18556.82014932028</v>
      </c>
      <c r="HQ40" s="1">
        <f>IF(HP40 &lt; 0,
    IF(HQ39 + HP40 &gt; 0,
        HQ39 + HP40, IF(HV39-ABS(HQ39 + HP40)*(1+$V40) &gt;= HQ39 + HP40,
        0, HQ39 + HP40)),
    MIN(HQ39 + HP40, Analysis!$C$7))+IF(HQ39&lt;0, HQ39*Analysis!$C$9,0)</f>
        <v>0</v>
      </c>
      <c r="HR40" s="38"/>
      <c r="HS40" s="1">
        <f t="shared" si="54"/>
        <v>22059.376853799098</v>
      </c>
      <c r="HT40" s="1">
        <f>IF($B40=Analysis!$C$159,0,IF(HP40 &gt;= 0,
    MAX(0, HQ39 + HP40 - Analysis!$C$7),
    0))</f>
        <v>0</v>
      </c>
      <c r="HU40" s="1">
        <f>IF($B40=Analysis!$C$159,0,MAX(0, HU39 + HT40 - IF(HP40 &lt; 0, MIN(ABS(HP40), HU39 + HT40), 0)))</f>
        <v>706592.09663653118</v>
      </c>
      <c r="HV40" s="1">
        <f>IF($B40=Analysis!$C$159,0,IF(HP40 &lt; 0,
    IF(HP40 + HQ39 &lt; 0,
        MAX(0, HV39 - (ABS(HP40 + HQ39) * (1+$V39))),
        HV39 + HS40),
    HV39 + HT40 + HS40))</f>
        <v>1101577.0380800546</v>
      </c>
      <c r="HW40" s="1">
        <f t="shared" si="58"/>
        <v>997399.7597743253</v>
      </c>
      <c r="HX40" s="36"/>
    </row>
    <row r="41" spans="1:232" x14ac:dyDescent="0.35">
      <c r="A41">
        <f t="shared" si="0"/>
        <v>74</v>
      </c>
      <c r="B41">
        <v>2064</v>
      </c>
      <c r="C41" s="1">
        <f>IF($B41&lt;Analysis!C$66,0,$AN41)+$AT41+$AW41+$BC41+$CF41+$CA41</f>
        <v>-1510940.8270953833</v>
      </c>
      <c r="D41" s="1">
        <f>IF($B41&lt;Analysis!C$66, 0, BV41)+AT41+AW41+BC41+CG41+CA41</f>
        <v>-1862401.0308131413</v>
      </c>
      <c r="E41" s="1">
        <f t="shared" si="1"/>
        <v>2026113.9612936091</v>
      </c>
      <c r="F41" s="1">
        <f t="shared" si="9"/>
        <v>1737212.5629402029</v>
      </c>
      <c r="G41" s="1">
        <f>IF(AND($B41&gt;=Analysis!$C$100, $B41&lt;Analysis!$C$101),$CK41,0)+IF($B41&gt;=Analysis!$C$130,EB41,0)+CQ41+CT41+CZ41+EH41+EK41+EQ41+$FO41+$FT41</f>
        <v>2016644.1482450676</v>
      </c>
      <c r="H41" s="1">
        <f t="shared" si="10"/>
        <v>1744163.7655874796</v>
      </c>
      <c r="I41" s="1">
        <f>IF($B41&lt;Analysis!$C$159,0,$FW41)+$GC41+$GF41+$GL41+$HQ41+$HV41</f>
        <v>2684610.0077468241</v>
      </c>
      <c r="J41" s="1">
        <f t="shared" si="59"/>
        <v>2376690.6940490589</v>
      </c>
      <c r="K41" s="36"/>
      <c r="L41" s="1">
        <f t="shared" si="11"/>
        <v>60630.913229515376</v>
      </c>
      <c r="M41" s="1">
        <f>IF($B41=Analysis!$C$47, M40 * (1 - Analysis!$C$48),
    IF($B41=Analysis!$C$52, M40 * (1 - Analysis!$C$53),
    IF($B41=Analysis!$C$58, M40 * (1 - Analysis!$C$60),
    L41)))</f>
        <v>60630.913229515376</v>
      </c>
      <c r="N41" s="1">
        <f>Analysis!$C$3*12*(1+O41)+P41</f>
        <v>-48000</v>
      </c>
      <c r="O41" s="64">
        <f>IF(OR($B41=Analysis!$C$47,$B41=Analysis!$C$52,$B41=Analysis!$C$58),-Analysis!$C$49,0)</f>
        <v>0</v>
      </c>
      <c r="P41" s="1">
        <f>IF($B41&lt;Analysis!$C$47,0,IF($B41-Analysis!$C$47&lt;=3,Analysis!$C$40+Analysis!$C$44,IF($B41-Analysis!$C$47&lt;=10,Analysis!$C$41+Analysis!$C$44,IF($B41-Analysis!$C$47&lt;=18,Analysis!$C$42+Analysis!$C$44,IF($B41-Analysis!$C$47&lt;=25,Analysis!$C$43+Analysis!$C$44,0)))) + IF(AND($B41&gt;=Analysis!$C$52, $B41-Analysis!$C$52&lt;=3),Analysis!$C$40+Analysis!$C$44,IF(AND($B41&gt;=Analysis!$C$52, $B41-Analysis!$C$52&lt;=10),Analysis!$C$41+Analysis!$C$44,IF(AND($B41&gt;=Analysis!$C$52, $B41-Analysis!$C$52&lt;=18),Analysis!$C$42+Analysis!$C$44,IF(AND($B41&gt;=Analysis!$C$52, $B41-Analysis!$C$52&lt;=25),Analysis!$C$43+Analysis!$C$44,0)))) + Analysis!$C$57*IF(AND($B41&gt;=Analysis!$C$58, $B41-Analysis!$C$58&lt;=3),Analysis!$C$40+Analysis!$C$44,IF(AND($B41&gt;=Analysis!$C$58, $B41-Analysis!$C$58&lt;=10),Analysis!$C$41+Analysis!$C$44,IF(AND($B41&gt;=Analysis!$C$58, $B41-Analysis!$C$58&lt;=18),Analysis!$C$42+Analysis!$C$44,IF(AND($B41&gt;=Analysis!$C$58, $B41-Analysis!$C$58&lt;=25),Analysis!$C$43+Analysis!$C$44,0)))))</f>
        <v>0</v>
      </c>
      <c r="Q41" s="1">
        <f t="shared" si="43"/>
        <v>0</v>
      </c>
      <c r="R41" s="1">
        <f>IF(AND(AND(B41=Analysis!C$35,Analysis!C$34&lt;&gt;0),AND(B41=Analysis!C$37,Analysis!C$36&lt;&gt;0)),Analysis!C$34+Analysis!C$36,IF(AND(B41=Analysis!C$35,Analysis!C$34&lt;&gt;0),Analysis!C$34,IF(AND(B41=Analysis!C$37,Analysis!C$36&lt;&gt;0),Analysis!C$36,0)))</f>
        <v>0</v>
      </c>
      <c r="S41" s="64">
        <f t="shared" si="12"/>
        <v>0.02</v>
      </c>
      <c r="T41" s="64">
        <f>IF($B41&lt;Analysis!$C$13, ((1+IF($B41-$B$2&lt;10,Analysis!$C$11,IF($B41-$B$2&lt;20,(Analysis!$C$11+Analysis!$C$12)/2,Analysis!$C$12)))/(1+$S41)-1),IF($B41=Analysis!$C$13,-Analysis!$C$14,-$S41))</f>
        <v>-0.02</v>
      </c>
      <c r="U41" s="64">
        <f>IF($B41=$B$2,((1+Analysis!$C$16)/(1+$S41))-1,IF(B41&lt;Analysis!$C$13,U40-((Analysis!$C$16-Analysis!$C$17)/(Analysis!$C$13-$B$2)),((1+Analysis!$C$17)/(1+$S40))-1))</f>
        <v>1.9607843137254832E-2</v>
      </c>
      <c r="V41" s="64">
        <f t="shared" si="13"/>
        <v>0.26374999999999998</v>
      </c>
      <c r="W41" s="36"/>
      <c r="X41" s="1">
        <f t="shared" si="14"/>
        <v>-49060.406493847004</v>
      </c>
      <c r="Y41" s="64">
        <f t="shared" si="15"/>
        <v>2.941176470588247E-2</v>
      </c>
      <c r="Z41" s="1">
        <f t="shared" si="16"/>
        <v>-3960</v>
      </c>
      <c r="AA41" s="64">
        <f t="shared" si="17"/>
        <v>0</v>
      </c>
      <c r="AB41" s="40"/>
      <c r="AC41" s="1">
        <f t="shared" si="3"/>
        <v>-101020.406493847</v>
      </c>
      <c r="AD41" s="1">
        <f t="shared" si="4"/>
        <v>60630.913229515376</v>
      </c>
      <c r="AE41" s="1">
        <f t="shared" si="18"/>
        <v>-40389.493264331621</v>
      </c>
      <c r="AF41" s="1">
        <f>IF(AE41 &lt; 0,
    IF(AF40 + AE41 &gt; 0,
        AF40 + AE41, IF(AK40-ABS(AF40 + AE41)*(1+$V41) &gt;= AF40 + AE41,
        0, AF40 + AE41)),
    MIN(AF40 + AE41, Analysis!$C$7))+IF(AF40&lt;0, AF40*Analysis!$C$9,0)</f>
        <v>0</v>
      </c>
      <c r="AG41" s="40"/>
      <c r="AH41" s="1">
        <f t="shared" si="19"/>
        <v>40728.552615811779</v>
      </c>
      <c r="AI41" s="1">
        <f>IF(AE41 &gt;= 0,
    MAX(0, AF40 + AE41 - Analysis!$C$7),
    0)</f>
        <v>0</v>
      </c>
      <c r="AJ41" s="1">
        <f t="shared" si="44"/>
        <v>930753.20924277941</v>
      </c>
      <c r="AK41" s="1">
        <f t="shared" si="20"/>
        <v>2026113.9612936091</v>
      </c>
      <c r="AL41" s="1">
        <f t="shared" si="5"/>
        <v>1737212.5629402029</v>
      </c>
      <c r="AM41" s="36"/>
      <c r="AN41" s="1">
        <f t="shared" si="45"/>
        <v>2756550.6173941805</v>
      </c>
      <c r="AO41" s="64">
        <f t="shared" si="21"/>
        <v>2.941176470588247E-2</v>
      </c>
      <c r="AP41" s="1">
        <f>IF($B41=Analysis!$C$66,(AN41*(1+Analysis!$C$23+Analysis!$C$24+Analysis!$C$25))-IF($B41=$B$2,(Analysis!$C$6-Analysis!$C$7+Analysis!$C$68), ($CG40-Analysis!$C$7+AY41)),0)</f>
        <v>0</v>
      </c>
      <c r="AQ41" s="65">
        <f>IF($B41=Analysis!$C$66,NPER(AU41,-AX41,-AP41),0)</f>
        <v>0</v>
      </c>
      <c r="AR41" s="64">
        <f>IF($B41=Analysis!$C$66,Analysis!$C$73,0)</f>
        <v>0</v>
      </c>
      <c r="AS41" s="1">
        <f>IF($B41&lt;Analysis!$C$66,0,IF($B41=Analysis!$C$66,-AP41*AR41,IF(AX41&gt;=0,0,AX41-AV41)))</f>
        <v>0</v>
      </c>
      <c r="AT41" s="1">
        <f>IF($B41&lt;Analysis!$C$66,0,IF($B41=Analysis!$C$66,-AP41-AS41,MIN(0,AT40-AS41)))</f>
        <v>0</v>
      </c>
      <c r="AU41" s="64">
        <f>IF($B41&lt;Analysis!$C$66,0,IF($B41=Analysis!$C$66,Analysis!$C$72,IF(($B41-Analysis!$C$66)&lt;LOOKUP(Analysis!$C$66,$B:$B,AQ:AQ),AU40,0)))</f>
        <v>0</v>
      </c>
      <c r="AV41" s="1">
        <f>IF($B41&lt;Analysis!$C$66,0,IF($B41=Analysis!$C$66,-AU41*AP41,AU40*AT40))</f>
        <v>0</v>
      </c>
      <c r="AW41" s="1">
        <f>IF($B41&lt;Analysis!$C$66,0,IF($B41=Analysis!$C$66,PMT(AU41,AQ41,AP41)*AQ41-AX41-AT41,IF(($B41-Analysis!$C$66+1)&lt;LOOKUP(Analysis!$C$66,$B:$B,AQ:AQ),IF(AW40-AV41&lt;0, AW40-AV41,0),0)))</f>
        <v>0</v>
      </c>
      <c r="AX41" s="1">
        <f>IF($B41&lt;Analysis!$C$66,0,IF($B41=Analysis!$C$66,AS41+AV41,IF(AT40&lt;0,IF(AT40&gt;LOOKUP(Analysis!$C$66,$B:$B,AX:AX), AT40*(1+AU40),AX40),0)))</f>
        <v>0</v>
      </c>
      <c r="AY41" s="1">
        <f>IF($B41=Analysis!$C$66,Analysis!$C$68,0)</f>
        <v>0</v>
      </c>
      <c r="AZ41" s="1">
        <f>IF($B41=Analysis!$C$66,PMT(AU41,BA41,AY41)*BA41,0)</f>
        <v>0</v>
      </c>
      <c r="BA41" s="7">
        <f>IF($B41=Analysis!$C$66,Analysis!$C$70,0)</f>
        <v>0</v>
      </c>
      <c r="BB41" s="1">
        <f>IF($B41&lt;Analysis!$C$66,0,IF($B41=Analysis!$C$66,AZ41/BA41,IF(($B41-Analysis!$C$66)&lt;LOOKUP(Analysis!$C$66,$B:$B,BA:BA),BB40,0)))</f>
        <v>0</v>
      </c>
      <c r="BC41" s="1">
        <f>IF($B41&lt;Analysis!$C$66,0,IF($B41=Analysis!$C$66,BA41*BB41-BB41,IF(($B41-Analysis!$C$66)&lt;Analysis!$C$70,BC40-BB41,0)))</f>
        <v>0</v>
      </c>
      <c r="BD41" s="42"/>
      <c r="BE41" s="1">
        <f>IF($B41&lt;Analysis!$C$66,0,-BF41*AN41)</f>
        <v>-8269.6518521825419</v>
      </c>
      <c r="BF41" s="64">
        <f>IF($B41&lt;Analysis!$C$66,0,Analysis!$C$78)</f>
        <v>3.0000000000000001E-3</v>
      </c>
      <c r="BG41" s="1">
        <f>IF($B41&lt;Analysis!$C$66,0,-BH41*AN41)</f>
        <v>-20674.129630456355</v>
      </c>
      <c r="BH41" s="64">
        <f>IF($B41&lt;Analysis!$C$66,0,Analysis!$C$79)</f>
        <v>7.4999999999999997E-3</v>
      </c>
      <c r="BI41" s="1">
        <f>IF($B41&lt;Analysis!$C$66,0,MIN(Analysis!$C$80*12,SUM(BJ41:BN41)))</f>
        <v>-3960</v>
      </c>
      <c r="BJ41" s="1">
        <f>IF($B41&lt;Analysis!$C$66,0,Analysis!$C$81*12)</f>
        <v>-900</v>
      </c>
      <c r="BK41" s="1">
        <f>IF($B41&lt;Analysis!$C$66,0,Analysis!$C$82*12)</f>
        <v>-1500</v>
      </c>
      <c r="BL41" s="1">
        <f>IF($B41&lt;Analysis!$C$66,0,Analysis!$C$83*12)</f>
        <v>-480</v>
      </c>
      <c r="BM41" s="1">
        <f>IF($B41&lt;Analysis!$C$66,0,Analysis!$C$84*12)</f>
        <v>-480</v>
      </c>
      <c r="BN41" s="1">
        <f>IF($B41&lt;Analysis!$C$66,0,Analysis!$C$85*12)</f>
        <v>-600</v>
      </c>
      <c r="BO41" s="1">
        <v>0</v>
      </c>
      <c r="BP41" s="1">
        <f>-BO41*Analysis!$C$28</f>
        <v>0</v>
      </c>
      <c r="BQ41" s="42"/>
      <c r="BR41" s="1">
        <f t="shared" si="22"/>
        <v>-351460.20371775801</v>
      </c>
      <c r="BS41" s="64">
        <f>IF($B41&lt;Analysis!C$66,0,Analysis!C$31)</f>
        <v>0.1275</v>
      </c>
      <c r="BT41" s="1">
        <f>IF($B41&lt;Analysis!$C$66,0,AN41+BR41)</f>
        <v>2405090.4136764226</v>
      </c>
      <c r="BU41" s="1">
        <f>IF($B41-Analysis!$C$66&gt;3,0,IF($AN41&gt;LOOKUP(Analysis!$C$66,$B:$B, AN:AN),$V41*(LOOKUP(Analysis!$C$66,$B:$B, AN:AN)-AN41),0))</f>
        <v>0</v>
      </c>
      <c r="BV41" s="1">
        <f t="shared" si="23"/>
        <v>2405090.4136764226</v>
      </c>
      <c r="BW41" s="42"/>
      <c r="BX41" s="1">
        <f>IF($B41&lt;Analysis!$C$66,$P41+$N41+$X41+$Z41,$P41+$N41+AS41+AV41+BB41+BE41+BG41+MAX(BI41,SUM(BJ41:BN41))+BP41)</f>
        <v>-80903.781482638893</v>
      </c>
      <c r="BY41" s="1">
        <f t="shared" si="24"/>
        <v>60630.913229515376</v>
      </c>
      <c r="BZ41" s="1">
        <f t="shared" si="46"/>
        <v>-20272.868253123517</v>
      </c>
      <c r="CA41" s="1">
        <f>IF(BZ41 &lt; 0,
    IF(CA40 + BZ41 &gt; 0,
        CA40 + BZ41, IF(CF40-ABS(CA40 + BZ41)*(1+$V41) &gt;= CA40 + BZ41,
        0, CA40 + BZ41)),
    MIN(CA40 + BZ41, Analysis!$C$7))+IF(CA40&lt;0, CA40*Analysis!$C$9,0)</f>
        <v>-4267491.4444895638</v>
      </c>
      <c r="CB41" s="42"/>
      <c r="CC41" s="1">
        <f t="shared" si="47"/>
        <v>0</v>
      </c>
      <c r="CD41" s="1">
        <f>IF(BZ41 &gt;= 0,
    MAX(0, CA40 + BZ41 - Analysis!$C$7),
    0)</f>
        <v>0</v>
      </c>
      <c r="CE41" s="1">
        <f>IF($B41=Analysis!$C$66,0,MAX(0, CE40 + CD41 - IF(BZ41 &lt; 0, MIN(ABS(BZ41), CE40 + CD41), 0)))</f>
        <v>0</v>
      </c>
      <c r="CF41" s="1">
        <f>IF($B41=Analysis!$C$66,0,IF(BZ41 &lt; 0,
    IF(BZ41 + CA40 &lt; 0,
        MAX(0, CF40 - (ABS(BZ41 + CA40) * (1+$V40))),
        CF40 + CC41),
    CF40 + CD41 + CC41))</f>
        <v>0</v>
      </c>
      <c r="CG41" s="1">
        <f t="shared" si="25"/>
        <v>0</v>
      </c>
      <c r="CH41" s="36"/>
      <c r="CI41" s="1">
        <f>IF(OR($B41&lt;Analysis!$C$100, $B41&gt;=Analysis!$C$130),0,X41)</f>
        <v>0</v>
      </c>
      <c r="CJ41" s="1">
        <f>IF(OR($B41&lt;Analysis!$C$100, $B41&gt;=Analysis!$C$130),0,Z41)</f>
        <v>0</v>
      </c>
      <c r="CK41" s="1">
        <f t="shared" si="60"/>
        <v>1609330.0008966478</v>
      </c>
      <c r="CL41" s="64">
        <f t="shared" si="48"/>
        <v>2.941176470588247E-2</v>
      </c>
      <c r="CM41" s="1">
        <f>IF($B41=Analysis!$C$100,(CK41*(1+Analysis!$C$23+Analysis!$C$24+Analysis!$C$25))-IF($B41=$B$2,(Analysis!$C$6-Analysis!$C$7+Analysis!$C$105), (FU40-Analysis!$C$7+CV41)),0)</f>
        <v>0</v>
      </c>
      <c r="CN41" s="65">
        <f>IF($B41=Analysis!$C$100,NPER(CR41,-CU41,-CM41),0)</f>
        <v>0</v>
      </c>
      <c r="CO41" s="64">
        <f>IF($B41=Analysis!$C$100,Analysis!$C$103,0)</f>
        <v>0</v>
      </c>
      <c r="CP41" s="1">
        <f>IF(OR($B41&lt;Analysis!$C$100, $B41&gt;=Analysis!$C$101),0,IF($B41=Analysis!$C$100,-CM41*CO41,IF(CU41&gt;=0,0,CU41-CS41)))</f>
        <v>0</v>
      </c>
      <c r="CQ41" s="1">
        <f>IF(OR($B41&lt;Analysis!$C$100, $B41&gt;=Analysis!$C$101),0,IF($B41=Analysis!$C$100,-CM41-CP41,MIN(0,CQ40-CP41)))</f>
        <v>0</v>
      </c>
      <c r="CR41" s="64">
        <f>IF(OR($B41&lt;Analysis!$C$100, $B41&gt;=Analysis!$C$101),0,IF($B41=Analysis!$C$100,Analysis!$C$102,IF(($B41-Analysis!$C$100)&lt;LOOKUP(Analysis!$C$100,$B:$B,CN:CN),CR40,0)))</f>
        <v>0</v>
      </c>
      <c r="CS41" s="1">
        <f>IF(OR($B41&lt;Analysis!$C$100, $B41&gt;=Analysis!$C$101),0,IF($B41=Analysis!$C$100,-CR41*CM41,CR40*CQ40))</f>
        <v>0</v>
      </c>
      <c r="CT41" s="1">
        <f>IF(OR($B41&lt;Analysis!$C$100, $B41&gt;=Analysis!$C$101),0,IF($B41=Analysis!$C$100,PMT(CR41,CN41,CM41)*CN41-CU41-CQ41,IF(($B41-Analysis!$C$100+1)&lt;LOOKUP(Analysis!$C$100,$B:$B,CN:CN),IF(CT40-CS41&lt;0, CT40-CS41,0),0)))</f>
        <v>0</v>
      </c>
      <c r="CU41" s="1">
        <f>IF(OR($B41&lt;Analysis!$C$100, $B41&gt;=Analysis!$C$101),0,IF($B41=Analysis!$C$100,CP41+CS41,IF(CQ40&lt;0,IF(CQ40&gt;LOOKUP(Analysis!$C$100,$B:$B,CU:CU), CQ40*(1+CR40),CU40),0)))</f>
        <v>0</v>
      </c>
      <c r="CV41" s="1">
        <f>IF($B41=Analysis!$C$100,Analysis!$C$105,0)</f>
        <v>0</v>
      </c>
      <c r="CW41" s="1">
        <f>IF($B41=Analysis!$C$100,PMT(CR41,CX41,CV41)*CX41,0)</f>
        <v>0</v>
      </c>
      <c r="CX41" s="7">
        <f>IF($B41=Analysis!$C$100,Analysis!$C$107,0)</f>
        <v>0</v>
      </c>
      <c r="CY41" s="1">
        <f>IF(OR($B41&lt;Analysis!$C$100, $B41&gt;=Analysis!$C$101),0,IF($B41=Analysis!$C$100,CW41/CX41,IF(($B41-Analysis!$C$100)&lt;LOOKUP(Analysis!$C$100,$B:$B,CX:CX),CY40,0)))</f>
        <v>0</v>
      </c>
      <c r="CZ41" s="1">
        <f>IF(OR($B41&lt;Analysis!$C$100, $B41&gt;=Analysis!$C$101),0,IF($B41=Analysis!$C$100,CX41*CY41-CY41,IF(($B41-Analysis!$C$100)&lt;Analysis!$C$107,CZ40-CY41,0)))</f>
        <v>0</v>
      </c>
      <c r="DA41" s="53"/>
      <c r="DB41" s="1">
        <f>IF(OR($B41&lt;Analysis!$C$100, $B41&gt;=Analysis!$C$101),0,IF($B41=2025,(Analysis!$C$109*12),IF($B41=Analysis!$C$100,(Analysis!$C$109*12)*(1+DC41)^($B41-$B$2),DB40*(1+DC41))))</f>
        <v>0</v>
      </c>
      <c r="DC41" s="64">
        <f>IF(OR($B41&lt;Analysis!$C$100, $B41&gt;=Analysis!$C$101),0,((1+Analysis!$C$114)/(1+$S41))-1)</f>
        <v>0</v>
      </c>
      <c r="DD41" s="1">
        <f t="shared" si="6"/>
        <v>0</v>
      </c>
      <c r="DE41" s="1">
        <f t="shared" si="27"/>
        <v>0</v>
      </c>
      <c r="DF41" s="64">
        <f>IF(OR($B41&lt;Analysis!$C$100, $B41&gt;=Analysis!$C$101),0,Analysis!$C$118)</f>
        <v>0</v>
      </c>
      <c r="DG41" s="1">
        <f t="shared" si="28"/>
        <v>0</v>
      </c>
      <c r="DH41" s="64">
        <f>IF(OR($B41&lt;Analysis!$C$100, $B41&gt;=Analysis!$C$101),0,Analysis!$C$119)</f>
        <v>0</v>
      </c>
      <c r="DI41" s="1">
        <f>IF(OR($B41&lt;Analysis!$C$100, $B41&gt;=Analysis!$C$101),0,MIN(Analysis!$C$120*12,SUM(DJ41:DN41)))</f>
        <v>0</v>
      </c>
      <c r="DJ41" s="1">
        <f>IF(OR($B41&lt;Analysis!$C$100, $B41&gt;=Analysis!$C$101),0,Analysis!$C$121*12)</f>
        <v>0</v>
      </c>
      <c r="DK41" s="1">
        <f>IF(OR($B41&lt;Analysis!$C$100, $B41&gt;=Analysis!$C$101),0,Analysis!$C$122*12)</f>
        <v>0</v>
      </c>
      <c r="DL41" s="1">
        <f>IF(OR($B41&lt;Analysis!$C$100, $B41&gt;=Analysis!$C$101),0,Analysis!$C$123*12)</f>
        <v>0</v>
      </c>
      <c r="DM41" s="1">
        <f>IF(OR($B41&lt;Analysis!$C$100, $B41&gt;=Analysis!$C$101),0,Analysis!$C$124*12)</f>
        <v>0</v>
      </c>
      <c r="DN41" s="1">
        <f>IF(OR($B41&lt;Analysis!$C$100, $B41&gt;=Analysis!$C$101),0,Analysis!$C$125*12)</f>
        <v>0</v>
      </c>
      <c r="DO41" s="64">
        <f>IF(OR($B41&lt;Analysis!$C$100, $B41&gt;=Analysis!$C$101),0,Analysis!$C$113)</f>
        <v>0</v>
      </c>
      <c r="DP41" s="1">
        <f>-DO41*LOOKUP(Analysis!$C$100,$B:$B,CK:CK)</f>
        <v>0</v>
      </c>
      <c r="DQ41" s="1">
        <f>-Analysis!$C$117*DB41</f>
        <v>0</v>
      </c>
      <c r="DR41" s="1">
        <f t="shared" si="29"/>
        <v>0</v>
      </c>
      <c r="DS41" s="1">
        <f>MIN(0,-(DB41+DR41)*Analysis!$C$28)-CS41*Analysis!$C$28</f>
        <v>0</v>
      </c>
      <c r="DT41" s="1">
        <f>-Analysis!$C$116*DD41/12</f>
        <v>0</v>
      </c>
      <c r="DU41" s="53"/>
      <c r="DV41" s="1">
        <f t="shared" si="30"/>
        <v>0</v>
      </c>
      <c r="DW41" s="64">
        <f>IF(OR($B41&lt;Analysis!$C$100, $B41&gt;=Analysis!$C$101),0,IF($B41=Analysis!$C$100,Analysis!$C$31,DW40))</f>
        <v>0</v>
      </c>
      <c r="DX41" s="1">
        <f>IF(OR($B41&lt;Analysis!$C$100, $B41&gt;=Analysis!$C$101),0,CK41+DV41)</f>
        <v>0</v>
      </c>
      <c r="DY41" s="1">
        <f>IF(OR($B41&lt;Analysis!$C$100, $B41&gt;=Analysis!$C$101),0,IF($B41-Analysis!$C$100&gt;3,0,IF(CK41&gt;LOOKUP(Analysis!$C$100,$B:$B, CK:CK),$V41*(LOOKUP(Analysis!$C$100,$B:$B, CK:CK)-CK41),0)))</f>
        <v>0</v>
      </c>
      <c r="DZ41" s="1">
        <f t="shared" si="49"/>
        <v>0</v>
      </c>
      <c r="EA41" s="53"/>
      <c r="EB41" s="1">
        <f t="shared" si="31"/>
        <v>2137101.0404516701</v>
      </c>
      <c r="EC41" s="64">
        <f t="shared" si="50"/>
        <v>2.941176470588247E-2</v>
      </c>
      <c r="ED41" s="1">
        <f>IF($B41=Analysis!$C$130,(EB41*(1+Analysis!$C$23+Analysis!$C$24+Analysis!$C$25))-(IF($B41=$B$2,(Analysis!$C$6-Analysis!$C$7+Analysis!$C$132), (FU40-Analysis!$C$7+EM41)) + IF($B41=Analysis!$C$101,DZ40+CQ40+CT40+CZ40,0)),0)</f>
        <v>0</v>
      </c>
      <c r="EE41" s="65">
        <f>IF($B41=Analysis!$C$130,IF(ED41&gt;0,NPER(EI41,-EL41,-ED41),0),0)</f>
        <v>0</v>
      </c>
      <c r="EF41" s="64">
        <f>IF($B41=Analysis!$C$130,Analysis!$C$137,0)</f>
        <v>0</v>
      </c>
      <c r="EG41" s="1">
        <f>IF($B41&lt;Analysis!$C$130,0,IF($B41=Analysis!$C$130,-ED41*EF41,IF(EL41&gt;=0,0,EL41-EJ41)))</f>
        <v>0</v>
      </c>
      <c r="EH41" s="1">
        <f>IF($B41&lt;Analysis!$C$130,0,IF($B41=Analysis!$C$130,-ED41-EG41,MIN(0,EH40-EG41)))</f>
        <v>0</v>
      </c>
      <c r="EI41" s="64">
        <f>IF($B41&lt;Analysis!$C$130,0,IF($B41=Analysis!$C$130,Analysis!$C$136,IF(($B41-Analysis!$C$130)&lt;LOOKUP(Analysis!$C$130,$B:$B,EE:EE),EI40,0)))</f>
        <v>0</v>
      </c>
      <c r="EJ41" s="1">
        <f>IF($B41&lt;Analysis!$C$130,0,IF($B41=Analysis!$C$130,-EI41*ED41,EI40*EH40))</f>
        <v>0</v>
      </c>
      <c r="EK41" s="1">
        <f>IF(OR($B41&lt;Analysis!$C$130, ED41=0),0,IF($B41=Analysis!$C$130,PMT(EI41,EE41,ED41)*EE41-EL41-EH41,IF(($B41-Analysis!$C$130+1)&lt;LOOKUP(Analysis!$C$130,$B:$B,EE:EE),IF(EK40-EJ41&lt;0, EK40-EJ41,0),0)))</f>
        <v>0</v>
      </c>
      <c r="EL41" s="1">
        <f>IF($B41&lt;Analysis!$C$130,0,IF($B41=Analysis!$C$130,EG41+EJ41,IF(EH40&lt;0,IF(EH40&gt;LOOKUP(Analysis!$C$130,$B:$B,EL:EL), EH40*(1+EI40),EL40),0)))</f>
        <v>0</v>
      </c>
      <c r="EM41" s="1">
        <f>IF($B41=Analysis!$C$130,Analysis!$C$132,0)</f>
        <v>0</v>
      </c>
      <c r="EN41" s="1">
        <f>IF($B41=Analysis!$C$130,PMT(EI41,EO41,EM41)*EO41,0)</f>
        <v>0</v>
      </c>
      <c r="EO41" s="7">
        <f>IF($B41=Analysis!$C$130,Analysis!$C$134,0)</f>
        <v>0</v>
      </c>
      <c r="EP41" s="1">
        <f>IF($B41&lt;Analysis!$C$130,0,IF($B41=Analysis!$C$130,EN41/EO41,IF(($B41-Analysis!$C$130)&lt;LOOKUP(Analysis!$C$130,$B:$B,EO:EO),EP40,0)))</f>
        <v>-6072.8287787074187</v>
      </c>
      <c r="EQ41" s="1">
        <f>IF($B41&lt;Analysis!$C$130,0,IF($B41=Analysis!$C$130,EO41*EP41-EP41,IF(($B41-Analysis!$C$130)&lt;Analysis!$C$134,EQ40-EP41,0)))</f>
        <v>-30364.143893537086</v>
      </c>
      <c r="ER41" s="53"/>
      <c r="ES41" s="1">
        <f>IF($B41&lt;Analysis!$C$130,0,-ET41*EB41)</f>
        <v>-6411.3031213550103</v>
      </c>
      <c r="ET41" s="64">
        <f>IF($B41&lt;Analysis!$C$130,0,Analysis!$C$142)</f>
        <v>3.0000000000000001E-3</v>
      </c>
      <c r="EU41" s="1">
        <f>IF($B41&lt;Analysis!$C$130,0,-EV41*EB41)</f>
        <v>-21371.010404516703</v>
      </c>
      <c r="EV41" s="64">
        <f>IF($B41&lt;Analysis!$C$130,0,Analysis!$C$143)</f>
        <v>0.01</v>
      </c>
      <c r="EW41" s="1">
        <f>IF($B41&lt;Analysis!$C$130,0,MIN(Analysis!$C$144*12,SUM(EX41:FB41)))</f>
        <v>-3960</v>
      </c>
      <c r="EX41" s="1">
        <f>IF($B41&lt;Analysis!$C$130,0,Analysis!$C$145*12)</f>
        <v>-900</v>
      </c>
      <c r="EY41" s="1">
        <f>IF($B41&lt;Analysis!$C$130,0,Analysis!$C$146*12)</f>
        <v>-1500</v>
      </c>
      <c r="EZ41" s="1">
        <f>IF($B41&lt;Analysis!$C$130,0,Analysis!$C$147*12)</f>
        <v>-480</v>
      </c>
      <c r="FA41" s="1">
        <f>IF($B41&lt;Analysis!$C$130,0,Analysis!$C$148*12)</f>
        <v>-480</v>
      </c>
      <c r="FB41" s="1">
        <f>IF($B41&lt;Analysis!$C$130,0,Analysis!$C$149*12)</f>
        <v>-600</v>
      </c>
      <c r="FC41" s="1">
        <v>0</v>
      </c>
      <c r="FD41" s="1">
        <f>-FC41*Analysis!$C$28</f>
        <v>0</v>
      </c>
      <c r="FE41" s="53"/>
      <c r="FF41" s="1">
        <f t="shared" si="32"/>
        <v>-272480.38265758794</v>
      </c>
      <c r="FG41" s="64">
        <f>IF($B41&lt;Analysis!$C$130,0,Analysis!$C$31)</f>
        <v>0.1275</v>
      </c>
      <c r="FH41" s="1">
        <f>IF($B41&lt;Analysis!$C$130,0,EB41+FF41)</f>
        <v>1864620.6577940821</v>
      </c>
      <c r="FI41" s="1">
        <f>IF($B41-Analysis!$C$130&gt;3,0,IF(EB41&gt;LOOKUP(Analysis!$C$130,$B:$B, EB:EB),$V41*(LOOKUP(Analysis!$C$130,$B:$B, EB:EB)-EB41),0))</f>
        <v>0</v>
      </c>
      <c r="FJ41" s="1">
        <f t="shared" si="33"/>
        <v>1864620.6577940821</v>
      </c>
      <c r="FK41" s="53"/>
      <c r="FL41" s="1">
        <f>$P41+$N41+IF($B41&lt;Analysis!$C$130,$X41+$Z41,0)+CP41+CS41+CY41+DE41+DG41+MIN(DI41,SUM(DJ41:DN41))+DQ41+DS41+DT41+EG41+EJ41+EP41+ES41+EU41+MIN(EW41,SUM(EX41:FB41))+FD41</f>
        <v>-85815.142304579145</v>
      </c>
      <c r="FM41" s="1">
        <f>$M41+$R41+DD41+IF(AND($B41&lt;&gt;Analysis!$C$130,$B41=Analysis!$C$101),DZ40+CQ40+CT40+CZ40,0)</f>
        <v>60630.913229515376</v>
      </c>
      <c r="FN41" s="1">
        <f t="shared" si="34"/>
        <v>-25184.229075063769</v>
      </c>
      <c r="FO41" s="1">
        <f>IF(FN41 &lt; 0,
    IF(FO40 + FN41 &gt; 0,
        FO40 + FN41, IF(FT40-ABS(FO40 + FN41)*(1+$V41) &gt;= FO40 + FN41,
        0, FO40 + FN41)),
    MIN(FO40 + FN41, Analysis!$C$7))+IF(FO40&lt;0, FO40*Analysis!$C$9,0)</f>
        <v>-90092.748313065356</v>
      </c>
      <c r="FP41" s="53"/>
      <c r="FQ41" s="1">
        <f t="shared" si="51"/>
        <v>0</v>
      </c>
      <c r="FR41" s="1">
        <f>IF(OR($B41=Analysis!$C$100, $B41=Analysis!$C$130),0,IF(FN41 &gt;= 0,
    MAX(0, FO40 + FN41 - Analysis!$C$7),
    0))</f>
        <v>0</v>
      </c>
      <c r="FS41" s="1">
        <f>IF(OR($B41=Analysis!$C$100, $B41=Analysis!$C$130),0,MAX(0, FS40 + FR41 - IF(FN41 &lt; 0, MIN(ABS(FN41), FS40 + FR41), 0)))</f>
        <v>0</v>
      </c>
      <c r="FT41" s="1">
        <f>IF(OR($B41=Analysis!$C$100, $B41=Analysis!$C$130),0,IF(FN41 &lt; 0,
    IF(FN41 + FO40 &lt; 0,
        MAX(0, FT40 - (ABS(FN41 + FO40) * (1+$V40))),
        FT40 + FQ41),
    FT40 + FR41 + FQ41))</f>
        <v>0</v>
      </c>
      <c r="FU41" s="1">
        <f t="shared" si="57"/>
        <v>0</v>
      </c>
      <c r="FV41" s="36"/>
      <c r="FW41" s="1">
        <f t="shared" si="52"/>
        <v>1609330.0008966478</v>
      </c>
      <c r="FX41" s="64">
        <f t="shared" si="53"/>
        <v>2.941176470588247E-2</v>
      </c>
      <c r="FY41" s="1">
        <f>IF($B41=Analysis!$C$159,(FW41*(1+Analysis!$C$23+Analysis!$C$24+Analysis!$C$25))-IF($B41=$B$2,(Analysis!$C$6-Analysis!$C$7+Analysis!$C$165), (HW40-Analysis!$C$7+GH41)),0)</f>
        <v>0</v>
      </c>
      <c r="FZ41" s="65">
        <f>IF($B41=Analysis!$C$159,NPER(GD41,-GG41,-FY41),0)</f>
        <v>0</v>
      </c>
      <c r="GA41" s="64">
        <f>IF($B41=Analysis!$C$159,Analysis!$C$161,0)</f>
        <v>0</v>
      </c>
      <c r="GB41" s="1">
        <f>IF($B41&lt;Analysis!$C$159,0,IF($B41=Analysis!$C$159,-FY41*GA41,IF(GG41&gt;=0,0,GG41-GE41)))</f>
        <v>0</v>
      </c>
      <c r="GC41" s="1">
        <f>IF($B41&lt;Analysis!$C$159,0,IF($B41=Analysis!$C$159,-FY41-GB41,MIN(0,GC40-GB41)))</f>
        <v>0</v>
      </c>
      <c r="GD41" s="64">
        <f>IF($B41&lt;Analysis!$C$159,0,IF($B41=Analysis!$C$159,Analysis!$C$160,IF(($B41-Analysis!$C$159)&lt;LOOKUP(Analysis!$C$159,$B:$B,FZ:FZ),GD40,0)))</f>
        <v>0</v>
      </c>
      <c r="GE41" s="1">
        <f>IF($B41&lt;Analysis!$C$159,0,IF($B41=Analysis!$C$159,-GD41*FY41,GD40*GC40))</f>
        <v>0</v>
      </c>
      <c r="GF41" s="1">
        <f>IF($B41&lt;Analysis!$C$159,0,IF($B41=Analysis!$C$159,PMT(GD41,FZ41,FY41)*FZ41-GG41-GC41,IF(($B41-Analysis!$C$159+1)&lt;LOOKUP(Analysis!$C$159,$B:$B,FZ:FZ),IF(GF40-GE41&lt;0, GF40-GE41,0),0)))</f>
        <v>0</v>
      </c>
      <c r="GG41" s="1">
        <f>IF($B41&lt;Analysis!$C$159,0,IF($B41=Analysis!$C$159,GB41+GE41,IF(GC40&lt;0,IF(GC40&gt;LOOKUP(Analysis!$C$159,$B:$B,GG:GG), GC40*(1+GD40),GG40),0)))</f>
        <v>0</v>
      </c>
      <c r="GH41" s="1">
        <f>IF($B41=Analysis!$C$159,Analysis!$C$165,0)</f>
        <v>0</v>
      </c>
      <c r="GI41" s="1">
        <f>IF($B41=Analysis!$C$159,PMT(GD41,GJ41,GH41)*GJ41,0)</f>
        <v>0</v>
      </c>
      <c r="GJ41" s="7">
        <f>IF($B41=Analysis!$C$159,Analysis!$C$167,0)</f>
        <v>0</v>
      </c>
      <c r="GK41" s="1">
        <f>IF($B41&lt;Analysis!$C$159,0,IF($B41=Analysis!$C$159,GI41/GJ41,IF(($B41-Analysis!$C$159)&lt;LOOKUP(Analysis!$C$159,$B:$B,GJ:GJ),GK40,0)))</f>
        <v>0</v>
      </c>
      <c r="GL41" s="1">
        <f>IF($B41&lt;Analysis!$C$159,0,IF($B41=Analysis!$C$159,GJ41*GK41-GK41,IF(($B41-Analysis!$C$159)&lt;Analysis!$C$167,GL40-GK41,0)))</f>
        <v>0</v>
      </c>
      <c r="GM41" s="38"/>
      <c r="GN41" s="1">
        <f>IF($B41&lt;Analysis!$C$159,0,IF($B41=2025,(Analysis!$C$109*12),IF($B41=Analysis!$C$159,(Analysis!$C$109*12)*(1+GO41)^($B41-$B$2),GN40*(1+GO41))))</f>
        <v>42927.855682116147</v>
      </c>
      <c r="GO41" s="64">
        <f>IF($B41&lt;Analysis!$C$159,0,((1+Analysis!$C$174)/(1+$S41))-1)</f>
        <v>2.941176470588247E-2</v>
      </c>
      <c r="GP41" s="1">
        <f t="shared" si="7"/>
        <v>51715.845684806089</v>
      </c>
      <c r="GQ41" s="1">
        <f t="shared" si="36"/>
        <v>-4827.9900026899431</v>
      </c>
      <c r="GR41" s="64">
        <f>IF($B41&lt;Analysis!$C$159,0,Analysis!$C$178)</f>
        <v>3.0000000000000001E-3</v>
      </c>
      <c r="GS41" s="1">
        <f t="shared" si="37"/>
        <v>-12069.975006724859</v>
      </c>
      <c r="GT41" s="64">
        <f>IF($B41&lt;Analysis!$C$159,0,Analysis!$C$179)</f>
        <v>7.4999999999999997E-3</v>
      </c>
      <c r="GU41" s="1">
        <f>IF($B41&lt;Analysis!$C$159,0,MIN(Analysis!$C$180*12,SUM(GV41:GZ41)))</f>
        <v>-3960</v>
      </c>
      <c r="GV41" s="1">
        <f>IF($B41&lt;Analysis!$C$159,0,Analysis!$C$181*12)</f>
        <v>-900</v>
      </c>
      <c r="GW41" s="1">
        <f>IF($B41&lt;Analysis!$C$159,0,Analysis!$C$182*12)</f>
        <v>-1500</v>
      </c>
      <c r="GX41" s="1">
        <f>IF($B41&lt;Analysis!$C$159,0,Analysis!$C$183*12)</f>
        <v>-480</v>
      </c>
      <c r="GY41" s="1">
        <f>IF($B41&lt;Analysis!$C$159,0,Analysis!$C$184*12)</f>
        <v>-480</v>
      </c>
      <c r="GZ41" s="1">
        <f>IF($B41&lt;Analysis!$C$159,0,Analysis!$C$185*12)</f>
        <v>-600</v>
      </c>
      <c r="HA41" s="64">
        <f>IF($B41&lt;Analysis!$C$159,0,Analysis!$C$173)</f>
        <v>0.02</v>
      </c>
      <c r="HB41" s="1">
        <f>-HA41*LOOKUP(Analysis!$C$159,$B:$B,FW:FW)</f>
        <v>-10392</v>
      </c>
      <c r="HC41" s="1">
        <f>-Analysis!$C$177*GN41</f>
        <v>-3219.5891761587109</v>
      </c>
      <c r="HD41" s="1">
        <f t="shared" si="38"/>
        <v>-34469.554185573514</v>
      </c>
      <c r="HE41" s="1">
        <f>MIN(0,-(GN41+HD41)*Analysis!$C$28)-GE41*Analysis!$C$28</f>
        <v>-3747.8733931180404</v>
      </c>
      <c r="HF41" s="1">
        <f>-Analysis!$C$176*GP41/12</f>
        <v>-4309.6538070671741</v>
      </c>
      <c r="HG41" s="38"/>
      <c r="HH41" s="1">
        <f>IF($B41&lt;Analysis!$C$159,0,-$HI41*$FW41)</f>
        <v>-205189.57511432259</v>
      </c>
      <c r="HI41" s="64">
        <f>IF($B41&lt;Analysis!$C$159,0,IF($B41=Analysis!$C$159,Analysis!$C$31,HI40))</f>
        <v>0.1275</v>
      </c>
      <c r="HJ41" s="1">
        <f>IF($B41&lt;Analysis!$C$159,0,$FW41+HH41)</f>
        <v>1404140.4257823252</v>
      </c>
      <c r="HK41" s="1">
        <f>IF($B41-Analysis!$C$159&gt;10,0,IF($FW41&gt;LOOKUP(Analysis!$C$159,$B:$B, FW:FW),$V41*(LOOKUP(Analysis!$C$159,$B:$B, FW:FW)-FW41),0))</f>
        <v>0</v>
      </c>
      <c r="HL41" s="1">
        <f t="shared" si="39"/>
        <v>1404140.4257823252</v>
      </c>
      <c r="HM41" s="38"/>
      <c r="HN41" s="1">
        <f t="shared" si="40"/>
        <v>-133155.48787960573</v>
      </c>
      <c r="HO41" s="1">
        <f t="shared" si="8"/>
        <v>112346.75891432146</v>
      </c>
      <c r="HP41" s="1">
        <f t="shared" si="41"/>
        <v>-20808.728965284274</v>
      </c>
      <c r="HQ41" s="1">
        <f>IF(HP41 &lt; 0,
    IF(HQ40 + HP41 &gt; 0,
        HQ40 + HP41, IF(HV40-ABS(HQ40 + HP41)*(1+$V41) &gt;= HQ40 + HP41,
        0, HQ40 + HP41)),
    MIN(HQ40 + HP41, Analysis!$C$7))+IF(HQ40&lt;0, HQ40*Analysis!$C$9,0)</f>
        <v>0</v>
      </c>
      <c r="HR41" s="38"/>
      <c r="HS41" s="1">
        <f t="shared" si="54"/>
        <v>21599.549766275504</v>
      </c>
      <c r="HT41" s="1">
        <f>IF($B41=Analysis!$C$159,0,IF(HP41 &gt;= 0,
    MAX(0, HQ40 + HP41 - Analysis!$C$7),
    0))</f>
        <v>0</v>
      </c>
      <c r="HU41" s="1">
        <f>IF($B41=Analysis!$C$159,0,MAX(0, HU40 + HT41 - IF(HP41 &lt; 0, MIN(ABS(HP41), HU40 + HT41), 0)))</f>
        <v>685783.36767124687</v>
      </c>
      <c r="HV41" s="1">
        <f>IF($B41=Analysis!$C$159,0,IF(HP41 &lt; 0,
    IF(HP41 + HQ40 &lt; 0,
        MAX(0, HV40 - (ABS(HP41 + HQ40) * (1+$V40))),
        HV40 + HS41),
    HV40 + HT41 + HS41))</f>
        <v>1075280.0068501765</v>
      </c>
      <c r="HW41" s="1">
        <f t="shared" si="58"/>
        <v>972550.26826673385</v>
      </c>
      <c r="HX41" s="36"/>
    </row>
    <row r="42" spans="1:232" x14ac:dyDescent="0.35">
      <c r="A42">
        <f t="shared" si="0"/>
        <v>75</v>
      </c>
      <c r="B42">
        <v>2065</v>
      </c>
      <c r="C42" s="1">
        <f>IF($B42&lt;Analysis!C$66,0,$AN42)+$AT42+$AW42+$BC42+$CF42+$CA42</f>
        <v>-1793601.898704275</v>
      </c>
      <c r="D42" s="1">
        <f>IF($B42&lt;Analysis!C$66, 0, BV42)+AT42+AW42+BC42+CG42+CA42</f>
        <v>-2155399.1672372613</v>
      </c>
      <c r="E42" s="1">
        <f t="shared" si="1"/>
        <v>1971715.7608281516</v>
      </c>
      <c r="F42" s="1">
        <f t="shared" si="9"/>
        <v>1685808.7520431462</v>
      </c>
      <c r="G42" s="1">
        <f>IF(AND($B42&gt;=Analysis!$C$100, $B42&lt;Analysis!$C$101),$CK42,0)+IF($B42&gt;=Analysis!$C$130,EB42,0)+CQ42+CT42+CZ42+EH42+EK42+EQ42+$FO42+$FT42</f>
        <v>2051151.495905129</v>
      </c>
      <c r="H42" s="1">
        <f t="shared" si="10"/>
        <v>1770656.9843458473</v>
      </c>
      <c r="I42" s="1">
        <f>IF($B42&lt;Analysis!$C$159,0,$FW42)+$GC42+$GF42+$GL42+$HQ42+$HV42</f>
        <v>2702793.9268091577</v>
      </c>
      <c r="J42" s="1">
        <f t="shared" si="59"/>
        <v>2390444.1714897431</v>
      </c>
      <c r="K42" s="36"/>
      <c r="L42" s="1">
        <f t="shared" si="11"/>
        <v>59418.294964925066</v>
      </c>
      <c r="M42" s="1">
        <f>IF($B42=Analysis!$C$47, M41 * (1 - Analysis!$C$48),
    IF($B42=Analysis!$C$52, M41 * (1 - Analysis!$C$53),
    IF($B42=Analysis!$C$58, M41 * (1 - Analysis!$C$60),
    L42)))</f>
        <v>59418.294964925066</v>
      </c>
      <c r="N42" s="1">
        <f>Analysis!$C$3*12*(1+O42)+P42</f>
        <v>-48000</v>
      </c>
      <c r="O42" s="64">
        <f>IF(OR($B42=Analysis!$C$47,$B42=Analysis!$C$52,$B42=Analysis!$C$58),-Analysis!$C$49,0)</f>
        <v>0</v>
      </c>
      <c r="P42" s="1">
        <f>IF($B42&lt;Analysis!$C$47,0,IF($B42-Analysis!$C$47&lt;=3,Analysis!$C$40+Analysis!$C$44,IF($B42-Analysis!$C$47&lt;=10,Analysis!$C$41+Analysis!$C$44,IF($B42-Analysis!$C$47&lt;=18,Analysis!$C$42+Analysis!$C$44,IF($B42-Analysis!$C$47&lt;=25,Analysis!$C$43+Analysis!$C$44,0)))) + IF(AND($B42&gt;=Analysis!$C$52, $B42-Analysis!$C$52&lt;=3),Analysis!$C$40+Analysis!$C$44,IF(AND($B42&gt;=Analysis!$C$52, $B42-Analysis!$C$52&lt;=10),Analysis!$C$41+Analysis!$C$44,IF(AND($B42&gt;=Analysis!$C$52, $B42-Analysis!$C$52&lt;=18),Analysis!$C$42+Analysis!$C$44,IF(AND($B42&gt;=Analysis!$C$52, $B42-Analysis!$C$52&lt;=25),Analysis!$C$43+Analysis!$C$44,0)))) + Analysis!$C$57*IF(AND($B42&gt;=Analysis!$C$58, $B42-Analysis!$C$58&lt;=3),Analysis!$C$40+Analysis!$C$44,IF(AND($B42&gt;=Analysis!$C$58, $B42-Analysis!$C$58&lt;=10),Analysis!$C$41+Analysis!$C$44,IF(AND($B42&gt;=Analysis!$C$58, $B42-Analysis!$C$58&lt;=18),Analysis!$C$42+Analysis!$C$44,IF(AND($B42&gt;=Analysis!$C$58, $B42-Analysis!$C$58&lt;=25),Analysis!$C$43+Analysis!$C$44,0)))))</f>
        <v>0</v>
      </c>
      <c r="Q42" s="1">
        <f t="shared" si="43"/>
        <v>0</v>
      </c>
      <c r="R42" s="1">
        <f>IF(AND(AND(B42=Analysis!C$35,Analysis!C$34&lt;&gt;0),AND(B42=Analysis!C$37,Analysis!C$36&lt;&gt;0)),Analysis!C$34+Analysis!C$36,IF(AND(B42=Analysis!C$35,Analysis!C$34&lt;&gt;0),Analysis!C$34,IF(AND(B42=Analysis!C$37,Analysis!C$36&lt;&gt;0),Analysis!C$36,0)))</f>
        <v>0</v>
      </c>
      <c r="S42" s="64">
        <f t="shared" si="12"/>
        <v>0.02</v>
      </c>
      <c r="T42" s="64">
        <f>IF($B42&lt;Analysis!$C$13, ((1+IF($B42-$B$2&lt;10,Analysis!$C$11,IF($B42-$B$2&lt;20,(Analysis!$C$11+Analysis!$C$12)/2,Analysis!$C$12)))/(1+$S42)-1),IF($B42=Analysis!$C$13,-Analysis!$C$14,-$S42))</f>
        <v>-0.02</v>
      </c>
      <c r="U42" s="64">
        <f>IF($B42=$B$2,((1+Analysis!$C$16)/(1+$S42))-1,IF(B42&lt;Analysis!$C$13,U41-((Analysis!$C$16-Analysis!$C$17)/(Analysis!$C$13-$B$2)),((1+Analysis!$C$17)/(1+$S41))-1))</f>
        <v>1.9607843137254832E-2</v>
      </c>
      <c r="V42" s="64">
        <f t="shared" si="13"/>
        <v>0.26374999999999998</v>
      </c>
      <c r="W42" s="36"/>
      <c r="X42" s="1">
        <f t="shared" si="14"/>
        <v>-50503.359626018981</v>
      </c>
      <c r="Y42" s="64">
        <f t="shared" si="15"/>
        <v>2.941176470588247E-2</v>
      </c>
      <c r="Z42" s="1">
        <f t="shared" si="16"/>
        <v>-3960</v>
      </c>
      <c r="AA42" s="64">
        <f t="shared" si="17"/>
        <v>0</v>
      </c>
      <c r="AB42" s="40"/>
      <c r="AC42" s="1">
        <f t="shared" si="3"/>
        <v>-102463.35962601898</v>
      </c>
      <c r="AD42" s="1">
        <f t="shared" si="4"/>
        <v>59418.294964925066</v>
      </c>
      <c r="AE42" s="1">
        <f t="shared" si="18"/>
        <v>-43045.064661093915</v>
      </c>
      <c r="AF42" s="1">
        <f>IF(AE42 &lt; 0,
    IF(AF41 + AE42 &gt; 0,
        AF41 + AE42, IF(AK41-ABS(AF41 + AE42)*(1+$V42) &gt;= AF41 + AE42,
        0, AF41 + AE42)),
    MIN(AF41 + AE42, Analysis!$C$7))+IF(AF41&lt;0, AF41*Analysis!$C$9,0)</f>
        <v>0</v>
      </c>
      <c r="AG42" s="40"/>
      <c r="AH42" s="1">
        <f t="shared" si="19"/>
        <v>39727.724731247094</v>
      </c>
      <c r="AI42" s="1">
        <f>IF(AE42 &gt;= 0,
    MAX(0, AF41 + AE42 - Analysis!$C$7),
    0)</f>
        <v>0</v>
      </c>
      <c r="AJ42" s="1">
        <f t="shared" si="44"/>
        <v>887708.14458168554</v>
      </c>
      <c r="AK42" s="1">
        <f t="shared" si="20"/>
        <v>1971715.7608281516</v>
      </c>
      <c r="AL42" s="1">
        <f t="shared" si="5"/>
        <v>1685808.7520431462</v>
      </c>
      <c r="AM42" s="36"/>
      <c r="AN42" s="1">
        <f t="shared" si="45"/>
        <v>2837625.6355528333</v>
      </c>
      <c r="AO42" s="64">
        <f t="shared" si="21"/>
        <v>2.941176470588247E-2</v>
      </c>
      <c r="AP42" s="1">
        <f>IF($B42=Analysis!$C$66,(AN42*(1+Analysis!$C$23+Analysis!$C$24+Analysis!$C$25))-IF($B42=$B$2,(Analysis!$C$6-Analysis!$C$7+Analysis!$C$68), ($CG41-Analysis!$C$7+AY42)),0)</f>
        <v>0</v>
      </c>
      <c r="AQ42" s="65">
        <f>IF($B42=Analysis!$C$66,NPER(AU42,-AX42,-AP42),0)</f>
        <v>0</v>
      </c>
      <c r="AR42" s="64">
        <f>IF($B42=Analysis!$C$66,Analysis!$C$73,0)</f>
        <v>0</v>
      </c>
      <c r="AS42" s="1">
        <f>IF($B42&lt;Analysis!$C$66,0,IF($B42=Analysis!$C$66,-AP42*AR42,IF(AX42&gt;=0,0,AX42-AV42)))</f>
        <v>0</v>
      </c>
      <c r="AT42" s="1">
        <f>IF($B42&lt;Analysis!$C$66,0,IF($B42=Analysis!$C$66,-AP42-AS42,MIN(0,AT41-AS42)))</f>
        <v>0</v>
      </c>
      <c r="AU42" s="64">
        <f>IF($B42&lt;Analysis!$C$66,0,IF($B42=Analysis!$C$66,Analysis!$C$72,IF(($B42-Analysis!$C$66)&lt;LOOKUP(Analysis!$C$66,$B:$B,AQ:AQ),AU41,0)))</f>
        <v>0</v>
      </c>
      <c r="AV42" s="1">
        <f>IF($B42&lt;Analysis!$C$66,0,IF($B42=Analysis!$C$66,-AU42*AP42,AU41*AT41))</f>
        <v>0</v>
      </c>
      <c r="AW42" s="1">
        <f>IF($B42&lt;Analysis!$C$66,0,IF($B42=Analysis!$C$66,PMT(AU42,AQ42,AP42)*AQ42-AX42-AT42,IF(($B42-Analysis!$C$66+1)&lt;LOOKUP(Analysis!$C$66,$B:$B,AQ:AQ),IF(AW41-AV42&lt;0, AW41-AV42,0),0)))</f>
        <v>0</v>
      </c>
      <c r="AX42" s="1">
        <f>IF($B42&lt;Analysis!$C$66,0,IF($B42=Analysis!$C$66,AS42+AV42,IF(AT41&lt;0,IF(AT41&gt;LOOKUP(Analysis!$C$66,$B:$B,AX:AX), AT41*(1+AU41),AX41),0)))</f>
        <v>0</v>
      </c>
      <c r="AY42" s="1">
        <f>IF($B42=Analysis!$C$66,Analysis!$C$68,0)</f>
        <v>0</v>
      </c>
      <c r="AZ42" s="1">
        <f>IF($B42=Analysis!$C$66,PMT(AU42,BA42,AY42)*BA42,0)</f>
        <v>0</v>
      </c>
      <c r="BA42" s="7">
        <f>IF($B42=Analysis!$C$66,Analysis!$C$70,0)</f>
        <v>0</v>
      </c>
      <c r="BB42" s="1">
        <f>IF($B42&lt;Analysis!$C$66,0,IF($B42=Analysis!$C$66,AZ42/BA42,IF(($B42-Analysis!$C$66)&lt;LOOKUP(Analysis!$C$66,$B:$B,BA:BA),BB41,0)))</f>
        <v>0</v>
      </c>
      <c r="BC42" s="1">
        <f>IF($B42&lt;Analysis!$C$66,0,IF($B42=Analysis!$C$66,BA42*BB42-BB42,IF(($B42-Analysis!$C$66)&lt;Analysis!$C$70,BC41-BB42,0)))</f>
        <v>0</v>
      </c>
      <c r="BD42" s="42"/>
      <c r="BE42" s="1">
        <f>IF($B42&lt;Analysis!$C$66,0,-BF42*AN42)</f>
        <v>-8512.876906658501</v>
      </c>
      <c r="BF42" s="64">
        <f>IF($B42&lt;Analysis!$C$66,0,Analysis!$C$78)</f>
        <v>3.0000000000000001E-3</v>
      </c>
      <c r="BG42" s="1">
        <f>IF($B42&lt;Analysis!$C$66,0,-BH42*AN42)</f>
        <v>-21282.192266646249</v>
      </c>
      <c r="BH42" s="64">
        <f>IF($B42&lt;Analysis!$C$66,0,Analysis!$C$79)</f>
        <v>7.4999999999999997E-3</v>
      </c>
      <c r="BI42" s="1">
        <f>IF($B42&lt;Analysis!$C$66,0,MIN(Analysis!$C$80*12,SUM(BJ42:BN42)))</f>
        <v>-3960</v>
      </c>
      <c r="BJ42" s="1">
        <f>IF($B42&lt;Analysis!$C$66,0,Analysis!$C$81*12)</f>
        <v>-900</v>
      </c>
      <c r="BK42" s="1">
        <f>IF($B42&lt;Analysis!$C$66,0,Analysis!$C$82*12)</f>
        <v>-1500</v>
      </c>
      <c r="BL42" s="1">
        <f>IF($B42&lt;Analysis!$C$66,0,Analysis!$C$83*12)</f>
        <v>-480</v>
      </c>
      <c r="BM42" s="1">
        <f>IF($B42&lt;Analysis!$C$66,0,Analysis!$C$84*12)</f>
        <v>-480</v>
      </c>
      <c r="BN42" s="1">
        <f>IF($B42&lt;Analysis!$C$66,0,Analysis!$C$85*12)</f>
        <v>-600</v>
      </c>
      <c r="BO42" s="1">
        <v>0</v>
      </c>
      <c r="BP42" s="1">
        <f>-BO42*Analysis!$C$28</f>
        <v>0</v>
      </c>
      <c r="BQ42" s="42"/>
      <c r="BR42" s="1">
        <f t="shared" si="22"/>
        <v>-361797.26853298623</v>
      </c>
      <c r="BS42" s="64">
        <f>IF($B42&lt;Analysis!C$66,0,Analysis!C$31)</f>
        <v>0.1275</v>
      </c>
      <c r="BT42" s="1">
        <f>IF($B42&lt;Analysis!$C$66,0,AN42+BR42)</f>
        <v>2475828.367019847</v>
      </c>
      <c r="BU42" s="1">
        <f>IF($B42-Analysis!$C$66&gt;3,0,IF($AN42&gt;LOOKUP(Analysis!$C$66,$B:$B, AN:AN),$V42*(LOOKUP(Analysis!$C$66,$B:$B, AN:AN)-AN42),0))</f>
        <v>0</v>
      </c>
      <c r="BV42" s="1">
        <f t="shared" si="23"/>
        <v>2475828.367019847</v>
      </c>
      <c r="BW42" s="42"/>
      <c r="BX42" s="1">
        <f>IF($B42&lt;Analysis!$C$66,$P42+$N42+$X42+$Z42,$P42+$N42+AS42+AV42+BB42+BE42+BG42+MAX(BI42,SUM(BJ42:BN42))+BP42)</f>
        <v>-81755.069173304742</v>
      </c>
      <c r="BY42" s="1">
        <f t="shared" si="24"/>
        <v>59418.294964925066</v>
      </c>
      <c r="BZ42" s="1">
        <f t="shared" si="46"/>
        <v>-22336.774208379677</v>
      </c>
      <c r="CA42" s="1">
        <f>IF(BZ42 &lt; 0,
    IF(CA41 + BZ42 &gt; 0,
        CA41 + BZ42, IF(CF41-ABS(CA41 + BZ42)*(1+$V42) &gt;= CA41 + BZ42,
        0, CA41 + BZ42)),
    MIN(CA41 + BZ42, Analysis!$C$7))+IF(CA41&lt;0, CA41*Analysis!$C$9,0)</f>
        <v>-4631227.5342571083</v>
      </c>
      <c r="CB42" s="42"/>
      <c r="CC42" s="1">
        <f t="shared" si="47"/>
        <v>0</v>
      </c>
      <c r="CD42" s="1">
        <f>IF(BZ42 &gt;= 0,
    MAX(0, CA41 + BZ42 - Analysis!$C$7),
    0)</f>
        <v>0</v>
      </c>
      <c r="CE42" s="1">
        <f>IF($B42=Analysis!$C$66,0,MAX(0, CE41 + CD42 - IF(BZ42 &lt; 0, MIN(ABS(BZ42), CE41 + CD42), 0)))</f>
        <v>0</v>
      </c>
      <c r="CF42" s="1">
        <f>IF($B42=Analysis!$C$66,0,IF(BZ42 &lt; 0,
    IF(BZ42 + CA41 &lt; 0,
        MAX(0, CF41 - (ABS(BZ42 + CA41) * (1+$V41))),
        CF41 + CC42),
    CF41 + CD42 + CC42))</f>
        <v>0</v>
      </c>
      <c r="CG42" s="1">
        <f t="shared" si="25"/>
        <v>0</v>
      </c>
      <c r="CH42" s="36"/>
      <c r="CI42" s="1">
        <f>IF(OR($B42&lt;Analysis!$C$100, $B42&gt;=Analysis!$C$130),0,X42)</f>
        <v>0</v>
      </c>
      <c r="CJ42" s="1">
        <f>IF(OR($B42&lt;Analysis!$C$100, $B42&gt;=Analysis!$C$130),0,Z42)</f>
        <v>0</v>
      </c>
      <c r="CK42" s="1">
        <f t="shared" si="60"/>
        <v>1656663.2362171377</v>
      </c>
      <c r="CL42" s="64">
        <f t="shared" si="48"/>
        <v>2.941176470588247E-2</v>
      </c>
      <c r="CM42" s="1">
        <f>IF($B42=Analysis!$C$100,(CK42*(1+Analysis!$C$23+Analysis!$C$24+Analysis!$C$25))-IF($B42=$B$2,(Analysis!$C$6-Analysis!$C$7+Analysis!$C$105), (FU41-Analysis!$C$7+CV42)),0)</f>
        <v>0</v>
      </c>
      <c r="CN42" s="65">
        <f>IF($B42=Analysis!$C$100,NPER(CR42,-CU42,-CM42),0)</f>
        <v>0</v>
      </c>
      <c r="CO42" s="64">
        <f>IF($B42=Analysis!$C$100,Analysis!$C$103,0)</f>
        <v>0</v>
      </c>
      <c r="CP42" s="1">
        <f>IF(OR($B42&lt;Analysis!$C$100, $B42&gt;=Analysis!$C$101),0,IF($B42=Analysis!$C$100,-CM42*CO42,IF(CU42&gt;=0,0,CU42-CS42)))</f>
        <v>0</v>
      </c>
      <c r="CQ42" s="1">
        <f>IF(OR($B42&lt;Analysis!$C$100, $B42&gt;=Analysis!$C$101),0,IF($B42=Analysis!$C$100,-CM42-CP42,MIN(0,CQ41-CP42)))</f>
        <v>0</v>
      </c>
      <c r="CR42" s="64">
        <f>IF(OR($B42&lt;Analysis!$C$100, $B42&gt;=Analysis!$C$101),0,IF($B42=Analysis!$C$100,Analysis!$C$102,IF(($B42-Analysis!$C$100)&lt;LOOKUP(Analysis!$C$100,$B:$B,CN:CN),CR41,0)))</f>
        <v>0</v>
      </c>
      <c r="CS42" s="1">
        <f>IF(OR($B42&lt;Analysis!$C$100, $B42&gt;=Analysis!$C$101),0,IF($B42=Analysis!$C$100,-CR42*CM42,CR41*CQ41))</f>
        <v>0</v>
      </c>
      <c r="CT42" s="1">
        <f>IF(OR($B42&lt;Analysis!$C$100, $B42&gt;=Analysis!$C$101),0,IF($B42=Analysis!$C$100,PMT(CR42,CN42,CM42)*CN42-CU42-CQ42,IF(($B42-Analysis!$C$100+1)&lt;LOOKUP(Analysis!$C$100,$B:$B,CN:CN),IF(CT41-CS42&lt;0, CT41-CS42,0),0)))</f>
        <v>0</v>
      </c>
      <c r="CU42" s="1">
        <f>IF(OR($B42&lt;Analysis!$C$100, $B42&gt;=Analysis!$C$101),0,IF($B42=Analysis!$C$100,CP42+CS42,IF(CQ41&lt;0,IF(CQ41&gt;LOOKUP(Analysis!$C$100,$B:$B,CU:CU), CQ41*(1+CR41),CU41),0)))</f>
        <v>0</v>
      </c>
      <c r="CV42" s="1">
        <f>IF($B42=Analysis!$C$100,Analysis!$C$105,0)</f>
        <v>0</v>
      </c>
      <c r="CW42" s="1">
        <f>IF($B42=Analysis!$C$100,PMT(CR42,CX42,CV42)*CX42,0)</f>
        <v>0</v>
      </c>
      <c r="CX42" s="7">
        <f>IF($B42=Analysis!$C$100,Analysis!$C$107,0)</f>
        <v>0</v>
      </c>
      <c r="CY42" s="1">
        <f>IF(OR($B42&lt;Analysis!$C$100, $B42&gt;=Analysis!$C$101),0,IF($B42=Analysis!$C$100,CW42/CX42,IF(($B42-Analysis!$C$100)&lt;LOOKUP(Analysis!$C$100,$B:$B,CX:CX),CY41,0)))</f>
        <v>0</v>
      </c>
      <c r="CZ42" s="1">
        <f>IF(OR($B42&lt;Analysis!$C$100, $B42&gt;=Analysis!$C$101),0,IF($B42=Analysis!$C$100,CX42*CY42-CY42,IF(($B42-Analysis!$C$100)&lt;Analysis!$C$107,CZ41-CY42,0)))</f>
        <v>0</v>
      </c>
      <c r="DA42" s="53"/>
      <c r="DB42" s="1">
        <f>IF(OR($B42&lt;Analysis!$C$100, $B42&gt;=Analysis!$C$101),0,IF($B42=2025,(Analysis!$C$109*12),IF($B42=Analysis!$C$100,(Analysis!$C$109*12)*(1+DC42)^($B42-$B$2),DB41*(1+DC42))))</f>
        <v>0</v>
      </c>
      <c r="DC42" s="64">
        <f>IF(OR($B42&lt;Analysis!$C$100, $B42&gt;=Analysis!$C$101),0,((1+Analysis!$C$114)/(1+$S42))-1)</f>
        <v>0</v>
      </c>
      <c r="DD42" s="1">
        <f t="shared" si="6"/>
        <v>0</v>
      </c>
      <c r="DE42" s="1">
        <f t="shared" si="27"/>
        <v>0</v>
      </c>
      <c r="DF42" s="64">
        <f>IF(OR($B42&lt;Analysis!$C$100, $B42&gt;=Analysis!$C$101),0,Analysis!$C$118)</f>
        <v>0</v>
      </c>
      <c r="DG42" s="1">
        <f t="shared" si="28"/>
        <v>0</v>
      </c>
      <c r="DH42" s="64">
        <f>IF(OR($B42&lt;Analysis!$C$100, $B42&gt;=Analysis!$C$101),0,Analysis!$C$119)</f>
        <v>0</v>
      </c>
      <c r="DI42" s="1">
        <f>IF(OR($B42&lt;Analysis!$C$100, $B42&gt;=Analysis!$C$101),0,MIN(Analysis!$C$120*12,SUM(DJ42:DN42)))</f>
        <v>0</v>
      </c>
      <c r="DJ42" s="1">
        <f>IF(OR($B42&lt;Analysis!$C$100, $B42&gt;=Analysis!$C$101),0,Analysis!$C$121*12)</f>
        <v>0</v>
      </c>
      <c r="DK42" s="1">
        <f>IF(OR($B42&lt;Analysis!$C$100, $B42&gt;=Analysis!$C$101),0,Analysis!$C$122*12)</f>
        <v>0</v>
      </c>
      <c r="DL42" s="1">
        <f>IF(OR($B42&lt;Analysis!$C$100, $B42&gt;=Analysis!$C$101),0,Analysis!$C$123*12)</f>
        <v>0</v>
      </c>
      <c r="DM42" s="1">
        <f>IF(OR($B42&lt;Analysis!$C$100, $B42&gt;=Analysis!$C$101),0,Analysis!$C$124*12)</f>
        <v>0</v>
      </c>
      <c r="DN42" s="1">
        <f>IF(OR($B42&lt;Analysis!$C$100, $B42&gt;=Analysis!$C$101),0,Analysis!$C$125*12)</f>
        <v>0</v>
      </c>
      <c r="DO42" s="64">
        <f>IF(OR($B42&lt;Analysis!$C$100, $B42&gt;=Analysis!$C$101),0,Analysis!$C$113)</f>
        <v>0</v>
      </c>
      <c r="DP42" s="1">
        <f>-DO42*LOOKUP(Analysis!$C$100,$B:$B,CK:CK)</f>
        <v>0</v>
      </c>
      <c r="DQ42" s="1">
        <f>-Analysis!$C$117*DB42</f>
        <v>0</v>
      </c>
      <c r="DR42" s="1">
        <f t="shared" si="29"/>
        <v>0</v>
      </c>
      <c r="DS42" s="1">
        <f>MIN(0,-(DB42+DR42)*Analysis!$C$28)-CS42*Analysis!$C$28</f>
        <v>0</v>
      </c>
      <c r="DT42" s="1">
        <f>-Analysis!$C$116*DD42/12</f>
        <v>0</v>
      </c>
      <c r="DU42" s="53"/>
      <c r="DV42" s="1">
        <f t="shared" si="30"/>
        <v>0</v>
      </c>
      <c r="DW42" s="64">
        <f>IF(OR($B42&lt;Analysis!$C$100, $B42&gt;=Analysis!$C$101),0,IF($B42=Analysis!$C$100,Analysis!$C$31,DW41))</f>
        <v>0</v>
      </c>
      <c r="DX42" s="1">
        <f>IF(OR($B42&lt;Analysis!$C$100, $B42&gt;=Analysis!$C$101),0,CK42+DV42)</f>
        <v>0</v>
      </c>
      <c r="DY42" s="1">
        <f>IF(OR($B42&lt;Analysis!$C$100, $B42&gt;=Analysis!$C$101),0,IF($B42-Analysis!$C$100&gt;3,0,IF(CK42&gt;LOOKUP(Analysis!$C$100,$B:$B, CK:CK),$V42*(LOOKUP(Analysis!$C$100,$B:$B, CK:CK)-CK42),0)))</f>
        <v>0</v>
      </c>
      <c r="DZ42" s="1">
        <f t="shared" si="49"/>
        <v>0</v>
      </c>
      <c r="EA42" s="53"/>
      <c r="EB42" s="1">
        <f t="shared" si="31"/>
        <v>2199956.9534061314</v>
      </c>
      <c r="EC42" s="64">
        <f t="shared" si="50"/>
        <v>2.941176470588247E-2</v>
      </c>
      <c r="ED42" s="1">
        <f>IF($B42=Analysis!$C$130,(EB42*(1+Analysis!$C$23+Analysis!$C$24+Analysis!$C$25))-(IF($B42=$B$2,(Analysis!$C$6-Analysis!$C$7+Analysis!$C$132), (FU41-Analysis!$C$7+EM42)) + IF($B42=Analysis!$C$101,DZ41+CQ41+CT41+CZ41,0)),0)</f>
        <v>0</v>
      </c>
      <c r="EE42" s="65">
        <f>IF($B42=Analysis!$C$130,IF(ED42&gt;0,NPER(EI42,-EL42,-ED42),0),0)</f>
        <v>0</v>
      </c>
      <c r="EF42" s="64">
        <f>IF($B42=Analysis!$C$130,Analysis!$C$137,0)</f>
        <v>0</v>
      </c>
      <c r="EG42" s="1">
        <f>IF($B42&lt;Analysis!$C$130,0,IF($B42=Analysis!$C$130,-ED42*EF42,IF(EL42&gt;=0,0,EL42-EJ42)))</f>
        <v>0</v>
      </c>
      <c r="EH42" s="1">
        <f>IF($B42&lt;Analysis!$C$130,0,IF($B42=Analysis!$C$130,-ED42-EG42,MIN(0,EH41-EG42)))</f>
        <v>0</v>
      </c>
      <c r="EI42" s="64">
        <f>IF($B42&lt;Analysis!$C$130,0,IF($B42=Analysis!$C$130,Analysis!$C$136,IF(($B42-Analysis!$C$130)&lt;LOOKUP(Analysis!$C$130,$B:$B,EE:EE),EI41,0)))</f>
        <v>0</v>
      </c>
      <c r="EJ42" s="1">
        <f>IF($B42&lt;Analysis!$C$130,0,IF($B42=Analysis!$C$130,-EI42*ED42,EI41*EH41))</f>
        <v>0</v>
      </c>
      <c r="EK42" s="1">
        <f>IF(OR($B42&lt;Analysis!$C$130, ED42=0),0,IF($B42=Analysis!$C$130,PMT(EI42,EE42,ED42)*EE42-EL42-EH42,IF(($B42-Analysis!$C$130+1)&lt;LOOKUP(Analysis!$C$130,$B:$B,EE:EE),IF(EK41-EJ42&lt;0, EK41-EJ42,0),0)))</f>
        <v>0</v>
      </c>
      <c r="EL42" s="1">
        <f>IF($B42&lt;Analysis!$C$130,0,IF($B42=Analysis!$C$130,EG42+EJ42,IF(EH41&lt;0,IF(EH41&gt;LOOKUP(Analysis!$C$130,$B:$B,EL:EL), EH41*(1+EI41),EL41),0)))</f>
        <v>0</v>
      </c>
      <c r="EM42" s="1">
        <f>IF($B42=Analysis!$C$130,Analysis!$C$132,0)</f>
        <v>0</v>
      </c>
      <c r="EN42" s="1">
        <f>IF($B42=Analysis!$C$130,PMT(EI42,EO42,EM42)*EO42,0)</f>
        <v>0</v>
      </c>
      <c r="EO42" s="7">
        <f>IF($B42=Analysis!$C$130,Analysis!$C$134,0)</f>
        <v>0</v>
      </c>
      <c r="EP42" s="1">
        <f>IF($B42&lt;Analysis!$C$130,0,IF($B42=Analysis!$C$130,EN42/EO42,IF(($B42-Analysis!$C$130)&lt;LOOKUP(Analysis!$C$130,$B:$B,EO:EO),EP41,0)))</f>
        <v>-6072.8287787074187</v>
      </c>
      <c r="EQ42" s="1">
        <f>IF($B42&lt;Analysis!$C$130,0,IF($B42=Analysis!$C$130,EO42*EP42-EP42,IF(($B42-Analysis!$C$130)&lt;Analysis!$C$134,EQ41-EP42,0)))</f>
        <v>-24291.315114829667</v>
      </c>
      <c r="ER42" s="53"/>
      <c r="ES42" s="1">
        <f>IF($B42&lt;Analysis!$C$130,0,-ET42*EB42)</f>
        <v>-6599.8708602183942</v>
      </c>
      <c r="ET42" s="64">
        <f>IF($B42&lt;Analysis!$C$130,0,Analysis!$C$142)</f>
        <v>3.0000000000000001E-3</v>
      </c>
      <c r="EU42" s="1">
        <f>IF($B42&lt;Analysis!$C$130,0,-EV42*EB42)</f>
        <v>-21999.569534061313</v>
      </c>
      <c r="EV42" s="64">
        <f>IF($B42&lt;Analysis!$C$130,0,Analysis!$C$143)</f>
        <v>0.01</v>
      </c>
      <c r="EW42" s="1">
        <f>IF($B42&lt;Analysis!$C$130,0,MIN(Analysis!$C$144*12,SUM(EX42:FB42)))</f>
        <v>-3960</v>
      </c>
      <c r="EX42" s="1">
        <f>IF($B42&lt;Analysis!$C$130,0,Analysis!$C$145*12)</f>
        <v>-900</v>
      </c>
      <c r="EY42" s="1">
        <f>IF($B42&lt;Analysis!$C$130,0,Analysis!$C$146*12)</f>
        <v>-1500</v>
      </c>
      <c r="EZ42" s="1">
        <f>IF($B42&lt;Analysis!$C$130,0,Analysis!$C$147*12)</f>
        <v>-480</v>
      </c>
      <c r="FA42" s="1">
        <f>IF($B42&lt;Analysis!$C$130,0,Analysis!$C$148*12)</f>
        <v>-480</v>
      </c>
      <c r="FB42" s="1">
        <f>IF($B42&lt;Analysis!$C$130,0,Analysis!$C$149*12)</f>
        <v>-600</v>
      </c>
      <c r="FC42" s="1">
        <v>0</v>
      </c>
      <c r="FD42" s="1">
        <f>-FC42*Analysis!$C$28</f>
        <v>0</v>
      </c>
      <c r="FE42" s="53"/>
      <c r="FF42" s="1">
        <f t="shared" si="32"/>
        <v>-280494.51155928173</v>
      </c>
      <c r="FG42" s="64">
        <f>IF($B42&lt;Analysis!$C$130,0,Analysis!$C$31)</f>
        <v>0.1275</v>
      </c>
      <c r="FH42" s="1">
        <f>IF($B42&lt;Analysis!$C$130,0,EB42+FF42)</f>
        <v>1919462.4418468496</v>
      </c>
      <c r="FI42" s="1">
        <f>IF($B42-Analysis!$C$130&gt;3,0,IF(EB42&gt;LOOKUP(Analysis!$C$130,$B:$B, EB:EB),$V42*(LOOKUP(Analysis!$C$130,$B:$B, EB:EB)-EB42),0))</f>
        <v>0</v>
      </c>
      <c r="FJ42" s="1">
        <f t="shared" si="33"/>
        <v>1919462.4418468496</v>
      </c>
      <c r="FK42" s="53"/>
      <c r="FL42" s="1">
        <f>$P42+$N42+IF($B42&lt;Analysis!$C$130,$X42+$Z42,0)+CP42+CS42+CY42+DE42+DG42+MIN(DI42,SUM(DJ42:DN42))+DQ42+DS42+DT42+EG42+EJ42+EP42+ES42+EU42+MIN(EW42,SUM(EX42:FB42))+FD42</f>
        <v>-86632.269172987129</v>
      </c>
      <c r="FM42" s="1">
        <f>$M42+$R42+DD42+IF(AND($B42&lt;&gt;Analysis!$C$130,$B42=Analysis!$C$101),DZ41+CQ41+CT41+CZ41,0)</f>
        <v>59418.294964925066</v>
      </c>
      <c r="FN42" s="1">
        <f t="shared" si="34"/>
        <v>-27213.974208062064</v>
      </c>
      <c r="FO42" s="1">
        <f>IF(FN42 &lt; 0,
    IF(FO41 + FN42 &gt; 0,
        FO41 + FN42, IF(FT41-ABS(FO41 + FN42)*(1+$V42) &gt;= FO41 + FN42,
        0, FO41 + FN42)),
    MIN(FO41 + FN42, Analysis!$C$7))+IF(FO41&lt;0, FO41*Analysis!$C$9,0)</f>
        <v>-124514.14238617265</v>
      </c>
      <c r="FP42" s="53"/>
      <c r="FQ42" s="1">
        <f t="shared" si="51"/>
        <v>0</v>
      </c>
      <c r="FR42" s="1">
        <f>IF(OR($B42=Analysis!$C$100, $B42=Analysis!$C$130),0,IF(FN42 &gt;= 0,
    MAX(0, FO41 + FN42 - Analysis!$C$7),
    0))</f>
        <v>0</v>
      </c>
      <c r="FS42" s="1">
        <f>IF(OR($B42=Analysis!$C$100, $B42=Analysis!$C$130),0,MAX(0, FS41 + FR42 - IF(FN42 &lt; 0, MIN(ABS(FN42), FS41 + FR42), 0)))</f>
        <v>0</v>
      </c>
      <c r="FT42" s="1">
        <f>IF(OR($B42=Analysis!$C$100, $B42=Analysis!$C$130),0,IF(FN42 &lt; 0,
    IF(FN42 + FO41 &lt; 0,
        MAX(0, FT41 - (ABS(FN42 + FO41) * (1+$V41))),
        FT41 + FQ42),
    FT41 + FR42 + FQ42))</f>
        <v>0</v>
      </c>
      <c r="FU42" s="1">
        <f t="shared" si="57"/>
        <v>0</v>
      </c>
      <c r="FV42" s="36"/>
      <c r="FW42" s="1">
        <f t="shared" si="52"/>
        <v>1656663.2362171377</v>
      </c>
      <c r="FX42" s="64">
        <f t="shared" si="53"/>
        <v>2.941176470588247E-2</v>
      </c>
      <c r="FY42" s="1">
        <f>IF($B42=Analysis!$C$159,(FW42*(1+Analysis!$C$23+Analysis!$C$24+Analysis!$C$25))-IF($B42=$B$2,(Analysis!$C$6-Analysis!$C$7+Analysis!$C$165), (HW41-Analysis!$C$7+GH42)),0)</f>
        <v>0</v>
      </c>
      <c r="FZ42" s="65">
        <f>IF($B42=Analysis!$C$159,NPER(GD42,-GG42,-FY42),0)</f>
        <v>0</v>
      </c>
      <c r="GA42" s="64">
        <f>IF($B42=Analysis!$C$159,Analysis!$C$161,0)</f>
        <v>0</v>
      </c>
      <c r="GB42" s="1">
        <f>IF($B42&lt;Analysis!$C$159,0,IF($B42=Analysis!$C$159,-FY42*GA42,IF(GG42&gt;=0,0,GG42-GE42)))</f>
        <v>0</v>
      </c>
      <c r="GC42" s="1">
        <f>IF($B42&lt;Analysis!$C$159,0,IF($B42=Analysis!$C$159,-FY42-GB42,MIN(0,GC41-GB42)))</f>
        <v>0</v>
      </c>
      <c r="GD42" s="64">
        <f>IF($B42&lt;Analysis!$C$159,0,IF($B42=Analysis!$C$159,Analysis!$C$160,IF(($B42-Analysis!$C$159)&lt;LOOKUP(Analysis!$C$159,$B:$B,FZ:FZ),GD41,0)))</f>
        <v>0</v>
      </c>
      <c r="GE42" s="1">
        <f>IF($B42&lt;Analysis!$C$159,0,IF($B42=Analysis!$C$159,-GD42*FY42,GD41*GC41))</f>
        <v>0</v>
      </c>
      <c r="GF42" s="1">
        <f>IF($B42&lt;Analysis!$C$159,0,IF($B42=Analysis!$C$159,PMT(GD42,FZ42,FY42)*FZ42-GG42-GC42,IF(($B42-Analysis!$C$159+1)&lt;LOOKUP(Analysis!$C$159,$B:$B,FZ:FZ),IF(GF41-GE42&lt;0, GF41-GE42,0),0)))</f>
        <v>0</v>
      </c>
      <c r="GG42" s="1">
        <f>IF($B42&lt;Analysis!$C$159,0,IF($B42=Analysis!$C$159,GB42+GE42,IF(GC41&lt;0,IF(GC41&gt;LOOKUP(Analysis!$C$159,$B:$B,GG:GG), GC41*(1+GD41),GG41),0)))</f>
        <v>0</v>
      </c>
      <c r="GH42" s="1">
        <f>IF($B42=Analysis!$C$159,Analysis!$C$165,0)</f>
        <v>0</v>
      </c>
      <c r="GI42" s="1">
        <f>IF($B42=Analysis!$C$159,PMT(GD42,GJ42,GH42)*GJ42,0)</f>
        <v>0</v>
      </c>
      <c r="GJ42" s="7">
        <f>IF($B42=Analysis!$C$159,Analysis!$C$167,0)</f>
        <v>0</v>
      </c>
      <c r="GK42" s="1">
        <f>IF($B42&lt;Analysis!$C$159,0,IF($B42=Analysis!$C$159,GI42/GJ42,IF(($B42-Analysis!$C$159)&lt;LOOKUP(Analysis!$C$159,$B:$B,GJ:GJ),GK41,0)))</f>
        <v>0</v>
      </c>
      <c r="GL42" s="1">
        <f>IF($B42&lt;Analysis!$C$159,0,IF($B42=Analysis!$C$159,GJ42*GK42-GK42,IF(($B42-Analysis!$C$159)&lt;Analysis!$C$167,GL41-GK42,0)))</f>
        <v>0</v>
      </c>
      <c r="GM42" s="38"/>
      <c r="GN42" s="1">
        <f>IF($B42&lt;Analysis!$C$159,0,IF($B42=2025,(Analysis!$C$109*12),IF($B42=Analysis!$C$159,(Analysis!$C$109*12)*(1+GO42)^($B42-$B$2),GN41*(1+GO42))))</f>
        <v>44190.439672766624</v>
      </c>
      <c r="GO42" s="64">
        <f>IF($B42&lt;Analysis!$C$159,0,((1+Analysis!$C$174)/(1+$S42))-1)</f>
        <v>2.941176470588247E-2</v>
      </c>
      <c r="GP42" s="1">
        <f t="shared" si="7"/>
        <v>53120.429381418035</v>
      </c>
      <c r="GQ42" s="1">
        <f t="shared" si="36"/>
        <v>-4969.9897086514129</v>
      </c>
      <c r="GR42" s="64">
        <f>IF($B42&lt;Analysis!$C$159,0,Analysis!$C$178)</f>
        <v>3.0000000000000001E-3</v>
      </c>
      <c r="GS42" s="1">
        <f t="shared" si="37"/>
        <v>-12424.974271628533</v>
      </c>
      <c r="GT42" s="64">
        <f>IF($B42&lt;Analysis!$C$159,0,Analysis!$C$179)</f>
        <v>7.4999999999999997E-3</v>
      </c>
      <c r="GU42" s="1">
        <f>IF($B42&lt;Analysis!$C$159,0,MIN(Analysis!$C$180*12,SUM(GV42:GZ42)))</f>
        <v>-3960</v>
      </c>
      <c r="GV42" s="1">
        <f>IF($B42&lt;Analysis!$C$159,0,Analysis!$C$181*12)</f>
        <v>-900</v>
      </c>
      <c r="GW42" s="1">
        <f>IF($B42&lt;Analysis!$C$159,0,Analysis!$C$182*12)</f>
        <v>-1500</v>
      </c>
      <c r="GX42" s="1">
        <f>IF($B42&lt;Analysis!$C$159,0,Analysis!$C$183*12)</f>
        <v>-480</v>
      </c>
      <c r="GY42" s="1">
        <f>IF($B42&lt;Analysis!$C$159,0,Analysis!$C$184*12)</f>
        <v>-480</v>
      </c>
      <c r="GZ42" s="1">
        <f>IF($B42&lt;Analysis!$C$159,0,Analysis!$C$185*12)</f>
        <v>-600</v>
      </c>
      <c r="HA42" s="64">
        <f>IF($B42&lt;Analysis!$C$159,0,Analysis!$C$173)</f>
        <v>0.02</v>
      </c>
      <c r="HB42" s="1">
        <f>-HA42*LOOKUP(Analysis!$C$159,$B:$B,FW:FW)</f>
        <v>-10392</v>
      </c>
      <c r="HC42" s="1">
        <f>-Analysis!$C$177*GN42</f>
        <v>-3314.2829754574968</v>
      </c>
      <c r="HD42" s="1">
        <f t="shared" si="38"/>
        <v>-35061.246955737442</v>
      </c>
      <c r="HE42" s="1">
        <f>MIN(0,-(GN42+HD42)*Analysis!$C$28)-GE42*Analysis!$C$28</f>
        <v>-4045.1452929156299</v>
      </c>
      <c r="HF42" s="1">
        <f>-Analysis!$C$176*GP42/12</f>
        <v>-4426.7024484515032</v>
      </c>
      <c r="HG42" s="38"/>
      <c r="HH42" s="1">
        <f>IF($B42&lt;Analysis!$C$159,0,-$HI42*$FW42)</f>
        <v>-211224.56261768506</v>
      </c>
      <c r="HI42" s="64">
        <f>IF($B42&lt;Analysis!$C$159,0,IF($B42=Analysis!$C$159,Analysis!$C$31,HI41))</f>
        <v>0.1275</v>
      </c>
      <c r="HJ42" s="1">
        <f>IF($B42&lt;Analysis!$C$159,0,$FW42+HH42)</f>
        <v>1445438.6735994527</v>
      </c>
      <c r="HK42" s="1">
        <f>IF($B42-Analysis!$C$159&gt;10,0,IF($FW42&gt;LOOKUP(Analysis!$C$159,$B:$B, FW:FW),$V42*(LOOKUP(Analysis!$C$159,$B:$B, FW:FW)-FW42),0))</f>
        <v>0</v>
      </c>
      <c r="HL42" s="1">
        <f t="shared" si="39"/>
        <v>1445438.6735994527</v>
      </c>
      <c r="HM42" s="38"/>
      <c r="HN42" s="1">
        <f t="shared" si="40"/>
        <v>-135604.45432312356</v>
      </c>
      <c r="HO42" s="1">
        <f t="shared" si="8"/>
        <v>112538.72434634311</v>
      </c>
      <c r="HP42" s="1">
        <f t="shared" si="41"/>
        <v>-23065.729976780451</v>
      </c>
      <c r="HQ42" s="1">
        <f>IF(HP42 &lt; 0,
    IF(HQ41 + HP42 &gt; 0,
        HQ41 + HP42, IF(HV41-ABS(HQ41 + HP42)*(1+$V42) &gt;= HQ41 + HP42,
        0, HQ41 + HP42)),
    MIN(HQ41 + HP42, Analysis!$C$7))+IF(HQ41&lt;0, HQ41*Analysis!$C$9,0)</f>
        <v>0</v>
      </c>
      <c r="HR42" s="38"/>
      <c r="HS42" s="1">
        <f t="shared" si="54"/>
        <v>21083.921702944561</v>
      </c>
      <c r="HT42" s="1">
        <f>IF($B42=Analysis!$C$159,0,IF(HP42 &gt;= 0,
    MAX(0, HQ41 + HP42 - Analysis!$C$7),
    0))</f>
        <v>0</v>
      </c>
      <c r="HU42" s="1">
        <f>IF($B42=Analysis!$C$159,0,MAX(0, HU41 + HT42 - IF(HP42 &lt; 0, MIN(ABS(HP42), HU41 + HT42), 0)))</f>
        <v>662717.63769446639</v>
      </c>
      <c r="HV42" s="1">
        <f>IF($B42=Analysis!$C$159,0,IF(HP42 &lt; 0,
    IF(HP42 + HQ41 &lt; 0,
        MAX(0, HV41 - (ABS(HP42 + HQ41) * (1+$V41))),
        HV41 + HS42),
    HV41 + HT42 + HS42))</f>
        <v>1046130.6905920202</v>
      </c>
      <c r="HW42" s="1">
        <f t="shared" si="58"/>
        <v>945005.49789029034</v>
      </c>
      <c r="HX42" s="36"/>
    </row>
    <row r="43" spans="1:232" x14ac:dyDescent="0.35">
      <c r="A43">
        <f t="shared" si="0"/>
        <v>76</v>
      </c>
      <c r="B43">
        <v>2066</v>
      </c>
      <c r="C43" s="1">
        <f>IF($B43&lt;Analysis!C$66,0,$AN43)+$AT43+$AW43+$BC43+$CF43+$CA43</f>
        <v>-2105041.9896001825</v>
      </c>
      <c r="D43" s="1">
        <f>IF($B43&lt;Analysis!C$66, 0, BV43)+AT43+AW43+BC43+CG43+CA43</f>
        <v>-2477480.3542664917</v>
      </c>
      <c r="E43" s="1">
        <f t="shared" si="1"/>
        <v>1913938.5976419444</v>
      </c>
      <c r="F43" s="1">
        <f t="shared" si="9"/>
        <v>1631211.9759516635</v>
      </c>
      <c r="G43" s="1">
        <f>IF(AND($B43&gt;=Analysis!$C$100, $B43&lt;Analysis!$C$101),$CK43,0)+IF($B43&gt;=Analysis!$C$130,EB43,0)+CQ43+CT43+CZ43+EH43+EK43+EQ43+$FO43+$FT43</f>
        <v>2082724.3094506369</v>
      </c>
      <c r="H43" s="1">
        <f t="shared" si="10"/>
        <v>1793979.9593160821</v>
      </c>
      <c r="I43" s="1">
        <f>IF($B43&lt;Analysis!$C$159,0,$FW43)+$GC43+$GF43+$GL43+$HQ43+$HV43</f>
        <v>2719509.5449646767</v>
      </c>
      <c r="J43" s="1">
        <f t="shared" si="59"/>
        <v>2402709.3042665515</v>
      </c>
      <c r="K43" s="36"/>
      <c r="L43" s="1">
        <f t="shared" si="11"/>
        <v>58229.929065626566</v>
      </c>
      <c r="M43" s="1">
        <f>IF($B43=Analysis!$C$47, M42 * (1 - Analysis!$C$48),
    IF($B43=Analysis!$C$52, M42 * (1 - Analysis!$C$53),
    IF($B43=Analysis!$C$58, M42 * (1 - Analysis!$C$60),
    L43)))</f>
        <v>58229.929065626566</v>
      </c>
      <c r="N43" s="1">
        <f>Analysis!$C$3*12*(1+O43)+P43</f>
        <v>-48000</v>
      </c>
      <c r="O43" s="64">
        <f>IF(OR($B43=Analysis!$C$47,$B43=Analysis!$C$52,$B43=Analysis!$C$58),-Analysis!$C$49,0)</f>
        <v>0</v>
      </c>
      <c r="P43" s="1">
        <f>IF($B43&lt;Analysis!$C$47,0,IF($B43-Analysis!$C$47&lt;=3,Analysis!$C$40+Analysis!$C$44,IF($B43-Analysis!$C$47&lt;=10,Analysis!$C$41+Analysis!$C$44,IF($B43-Analysis!$C$47&lt;=18,Analysis!$C$42+Analysis!$C$44,IF($B43-Analysis!$C$47&lt;=25,Analysis!$C$43+Analysis!$C$44,0)))) + IF(AND($B43&gt;=Analysis!$C$52, $B43-Analysis!$C$52&lt;=3),Analysis!$C$40+Analysis!$C$44,IF(AND($B43&gt;=Analysis!$C$52, $B43-Analysis!$C$52&lt;=10),Analysis!$C$41+Analysis!$C$44,IF(AND($B43&gt;=Analysis!$C$52, $B43-Analysis!$C$52&lt;=18),Analysis!$C$42+Analysis!$C$44,IF(AND($B43&gt;=Analysis!$C$52, $B43-Analysis!$C$52&lt;=25),Analysis!$C$43+Analysis!$C$44,0)))) + Analysis!$C$57*IF(AND($B43&gt;=Analysis!$C$58, $B43-Analysis!$C$58&lt;=3),Analysis!$C$40+Analysis!$C$44,IF(AND($B43&gt;=Analysis!$C$58, $B43-Analysis!$C$58&lt;=10),Analysis!$C$41+Analysis!$C$44,IF(AND($B43&gt;=Analysis!$C$58, $B43-Analysis!$C$58&lt;=18),Analysis!$C$42+Analysis!$C$44,IF(AND($B43&gt;=Analysis!$C$58, $B43-Analysis!$C$58&lt;=25),Analysis!$C$43+Analysis!$C$44,0)))))</f>
        <v>0</v>
      </c>
      <c r="Q43" s="1">
        <f t="shared" si="43"/>
        <v>0</v>
      </c>
      <c r="R43" s="1">
        <f>IF(AND(AND(B43=Analysis!C$35,Analysis!C$34&lt;&gt;0),AND(B43=Analysis!C$37,Analysis!C$36&lt;&gt;0)),Analysis!C$34+Analysis!C$36,IF(AND(B43=Analysis!C$35,Analysis!C$34&lt;&gt;0),Analysis!C$34,IF(AND(B43=Analysis!C$37,Analysis!C$36&lt;&gt;0),Analysis!C$36,0)))</f>
        <v>0</v>
      </c>
      <c r="S43" s="64">
        <f t="shared" si="12"/>
        <v>0.02</v>
      </c>
      <c r="T43" s="64">
        <f>IF($B43&lt;Analysis!$C$13, ((1+IF($B43-$B$2&lt;10,Analysis!$C$11,IF($B43-$B$2&lt;20,(Analysis!$C$11+Analysis!$C$12)/2,Analysis!$C$12)))/(1+$S43)-1),IF($B43=Analysis!$C$13,-Analysis!$C$14,-$S43))</f>
        <v>-0.02</v>
      </c>
      <c r="U43" s="64">
        <f>IF($B43=$B$2,((1+Analysis!$C$16)/(1+$S43))-1,IF(B43&lt;Analysis!$C$13,U42-((Analysis!$C$16-Analysis!$C$17)/(Analysis!$C$13-$B$2)),((1+Analysis!$C$17)/(1+$S42))-1))</f>
        <v>1.9607843137254832E-2</v>
      </c>
      <c r="V43" s="64">
        <f t="shared" si="13"/>
        <v>0.26374999999999998</v>
      </c>
      <c r="W43" s="36"/>
      <c r="X43" s="1">
        <f t="shared" si="14"/>
        <v>-51988.752556196014</v>
      </c>
      <c r="Y43" s="64">
        <f t="shared" si="15"/>
        <v>2.941176470588247E-2</v>
      </c>
      <c r="Z43" s="1">
        <f t="shared" si="16"/>
        <v>-3960</v>
      </c>
      <c r="AA43" s="64">
        <f t="shared" si="17"/>
        <v>0</v>
      </c>
      <c r="AB43" s="40"/>
      <c r="AC43" s="1">
        <f t="shared" si="3"/>
        <v>-103948.75255619601</v>
      </c>
      <c r="AD43" s="1">
        <f t="shared" si="4"/>
        <v>58229.929065626566</v>
      </c>
      <c r="AE43" s="1">
        <f t="shared" si="18"/>
        <v>-45718.823490569441</v>
      </c>
      <c r="AF43" s="1">
        <f>IF(AE43 &lt; 0,
    IF(AF42 + AE43 &gt; 0,
        AF42 + AE43, IF(AK42-ABS(AF42 + AE43)*(1+$V43) &gt;= AF42 + AE43,
        0, AF42 + AE43)),
    MIN(AF42 + AE43, Analysis!$C$7))+IF(AF42&lt;0, AF42*Analysis!$C$9,0)</f>
        <v>0</v>
      </c>
      <c r="AG43" s="40"/>
      <c r="AH43" s="1">
        <f t="shared" si="19"/>
        <v>38661.093349571463</v>
      </c>
      <c r="AI43" s="1">
        <f>IF(AE43 &gt;= 0,
    MAX(0, AF42 + AE43 - Analysis!$C$7),
    0)</f>
        <v>0</v>
      </c>
      <c r="AJ43" s="1">
        <f t="shared" si="44"/>
        <v>841989.32109111606</v>
      </c>
      <c r="AK43" s="1">
        <f t="shared" si="20"/>
        <v>1913938.5976419444</v>
      </c>
      <c r="AL43" s="1">
        <f t="shared" si="5"/>
        <v>1631211.9759516635</v>
      </c>
      <c r="AM43" s="36"/>
      <c r="AN43" s="1">
        <f t="shared" si="45"/>
        <v>2921085.2130690934</v>
      </c>
      <c r="AO43" s="64">
        <f t="shared" si="21"/>
        <v>2.941176470588247E-2</v>
      </c>
      <c r="AP43" s="1">
        <f>IF($B43=Analysis!$C$66,(AN43*(1+Analysis!$C$23+Analysis!$C$24+Analysis!$C$25))-IF($B43=$B$2,(Analysis!$C$6-Analysis!$C$7+Analysis!$C$68), ($CG42-Analysis!$C$7+AY43)),0)</f>
        <v>0</v>
      </c>
      <c r="AQ43" s="65">
        <f>IF($B43=Analysis!$C$66,NPER(AU43,-AX43,-AP43),0)</f>
        <v>0</v>
      </c>
      <c r="AR43" s="64">
        <f>IF($B43=Analysis!$C$66,Analysis!$C$73,0)</f>
        <v>0</v>
      </c>
      <c r="AS43" s="1">
        <f>IF($B43&lt;Analysis!$C$66,0,IF($B43=Analysis!$C$66,-AP43*AR43,IF(AX43&gt;=0,0,AX43-AV43)))</f>
        <v>0</v>
      </c>
      <c r="AT43" s="1">
        <f>IF($B43&lt;Analysis!$C$66,0,IF($B43=Analysis!$C$66,-AP43-AS43,MIN(0,AT42-AS43)))</f>
        <v>0</v>
      </c>
      <c r="AU43" s="64">
        <f>IF($B43&lt;Analysis!$C$66,0,IF($B43=Analysis!$C$66,Analysis!$C$72,IF(($B43-Analysis!$C$66)&lt;LOOKUP(Analysis!$C$66,$B:$B,AQ:AQ),AU42,0)))</f>
        <v>0</v>
      </c>
      <c r="AV43" s="1">
        <f>IF($B43&lt;Analysis!$C$66,0,IF($B43=Analysis!$C$66,-AU43*AP43,AU42*AT42))</f>
        <v>0</v>
      </c>
      <c r="AW43" s="1">
        <f>IF($B43&lt;Analysis!$C$66,0,IF($B43=Analysis!$C$66,PMT(AU43,AQ43,AP43)*AQ43-AX43-AT43,IF(($B43-Analysis!$C$66+1)&lt;LOOKUP(Analysis!$C$66,$B:$B,AQ:AQ),IF(AW42-AV43&lt;0, AW42-AV43,0),0)))</f>
        <v>0</v>
      </c>
      <c r="AX43" s="1">
        <f>IF($B43&lt;Analysis!$C$66,0,IF($B43=Analysis!$C$66,AS43+AV43,IF(AT42&lt;0,IF(AT42&gt;LOOKUP(Analysis!$C$66,$B:$B,AX:AX), AT42*(1+AU42),AX42),0)))</f>
        <v>0</v>
      </c>
      <c r="AY43" s="1">
        <f>IF($B43=Analysis!$C$66,Analysis!$C$68,0)</f>
        <v>0</v>
      </c>
      <c r="AZ43" s="1">
        <f>IF($B43=Analysis!$C$66,PMT(AU43,BA43,AY43)*BA43,0)</f>
        <v>0</v>
      </c>
      <c r="BA43" s="7">
        <f>IF($B43=Analysis!$C$66,Analysis!$C$70,0)</f>
        <v>0</v>
      </c>
      <c r="BB43" s="1">
        <f>IF($B43&lt;Analysis!$C$66,0,IF($B43=Analysis!$C$66,AZ43/BA43,IF(($B43-Analysis!$C$66)&lt;LOOKUP(Analysis!$C$66,$B:$B,BA:BA),BB42,0)))</f>
        <v>0</v>
      </c>
      <c r="BC43" s="1">
        <f>IF($B43&lt;Analysis!$C$66,0,IF($B43=Analysis!$C$66,BA43*BB43-BB43,IF(($B43-Analysis!$C$66)&lt;Analysis!$C$70,BC42-BB43,0)))</f>
        <v>0</v>
      </c>
      <c r="BD43" s="42"/>
      <c r="BE43" s="1">
        <f>IF($B43&lt;Analysis!$C$66,0,-BF43*AN43)</f>
        <v>-8763.2556392072802</v>
      </c>
      <c r="BF43" s="64">
        <f>IF($B43&lt;Analysis!$C$66,0,Analysis!$C$78)</f>
        <v>3.0000000000000001E-3</v>
      </c>
      <c r="BG43" s="1">
        <f>IF($B43&lt;Analysis!$C$66,0,-BH43*AN43)</f>
        <v>-21908.1390980182</v>
      </c>
      <c r="BH43" s="64">
        <f>IF($B43&lt;Analysis!$C$66,0,Analysis!$C$79)</f>
        <v>7.4999999999999997E-3</v>
      </c>
      <c r="BI43" s="1">
        <f>IF($B43&lt;Analysis!$C$66,0,MIN(Analysis!$C$80*12,SUM(BJ43:BN43)))</f>
        <v>-3960</v>
      </c>
      <c r="BJ43" s="1">
        <f>IF($B43&lt;Analysis!$C$66,0,Analysis!$C$81*12)</f>
        <v>-900</v>
      </c>
      <c r="BK43" s="1">
        <f>IF($B43&lt;Analysis!$C$66,0,Analysis!$C$82*12)</f>
        <v>-1500</v>
      </c>
      <c r="BL43" s="1">
        <f>IF($B43&lt;Analysis!$C$66,0,Analysis!$C$83*12)</f>
        <v>-480</v>
      </c>
      <c r="BM43" s="1">
        <f>IF($B43&lt;Analysis!$C$66,0,Analysis!$C$84*12)</f>
        <v>-480</v>
      </c>
      <c r="BN43" s="1">
        <f>IF($B43&lt;Analysis!$C$66,0,Analysis!$C$85*12)</f>
        <v>-600</v>
      </c>
      <c r="BO43" s="1">
        <v>0</v>
      </c>
      <c r="BP43" s="1">
        <f>-BO43*Analysis!$C$28</f>
        <v>0</v>
      </c>
      <c r="BQ43" s="42"/>
      <c r="BR43" s="1">
        <f t="shared" si="22"/>
        <v>-372438.36466630944</v>
      </c>
      <c r="BS43" s="64">
        <f>IF($B43&lt;Analysis!C$66,0,Analysis!C$31)</f>
        <v>0.1275</v>
      </c>
      <c r="BT43" s="1">
        <f>IF($B43&lt;Analysis!$C$66,0,AN43+BR43)</f>
        <v>2548646.8484027842</v>
      </c>
      <c r="BU43" s="1">
        <f>IF($B43-Analysis!$C$66&gt;3,0,IF($AN43&gt;LOOKUP(Analysis!$C$66,$B:$B, AN:AN),$V43*(LOOKUP(Analysis!$C$66,$B:$B, AN:AN)-AN43),0))</f>
        <v>0</v>
      </c>
      <c r="BV43" s="1">
        <f t="shared" si="23"/>
        <v>2548646.8484027842</v>
      </c>
      <c r="BW43" s="42"/>
      <c r="BX43" s="1">
        <f>IF($B43&lt;Analysis!$C$66,$P43+$N43+$X43+$Z43,$P43+$N43+AS43+AV43+BB43+BE43+BG43+MAX(BI43,SUM(BJ43:BN43))+BP43)</f>
        <v>-82631.394737225477</v>
      </c>
      <c r="BY43" s="1">
        <f t="shared" si="24"/>
        <v>58229.929065626566</v>
      </c>
      <c r="BZ43" s="1">
        <f t="shared" si="46"/>
        <v>-24401.465671598911</v>
      </c>
      <c r="CA43" s="1">
        <f>IF(BZ43 &lt; 0,
    IF(CA42 + BZ43 &gt; 0,
        CA42 + BZ43, IF(CF42-ABS(CA42 + BZ43)*(1+$V43) &gt;= CA42 + BZ43,
        0, CA42 + BZ43)),
    MIN(CA42 + BZ43, Analysis!$C$7))+IF(CA42&lt;0, CA42*Analysis!$C$9,0)</f>
        <v>-5026127.2026692759</v>
      </c>
      <c r="CB43" s="42"/>
      <c r="CC43" s="1">
        <f t="shared" si="47"/>
        <v>0</v>
      </c>
      <c r="CD43" s="1">
        <f>IF(BZ43 &gt;= 0,
    MAX(0, CA42 + BZ43 - Analysis!$C$7),
    0)</f>
        <v>0</v>
      </c>
      <c r="CE43" s="1">
        <f>IF($B43=Analysis!$C$66,0,MAX(0, CE42 + CD43 - IF(BZ43 &lt; 0, MIN(ABS(BZ43), CE42 + CD43), 0)))</f>
        <v>0</v>
      </c>
      <c r="CF43" s="1">
        <f>IF($B43=Analysis!$C$66,0,IF(BZ43 &lt; 0,
    IF(BZ43 + CA42 &lt; 0,
        MAX(0, CF42 - (ABS(BZ43 + CA42) * (1+$V42))),
        CF42 + CC43),
    CF42 + CD43 + CC43))</f>
        <v>0</v>
      </c>
      <c r="CG43" s="1">
        <f t="shared" si="25"/>
        <v>0</v>
      </c>
      <c r="CH43" s="36"/>
      <c r="CI43" s="1">
        <f>IF(OR($B43&lt;Analysis!$C$100, $B43&gt;=Analysis!$C$130),0,X43)</f>
        <v>0</v>
      </c>
      <c r="CJ43" s="1">
        <f>IF(OR($B43&lt;Analysis!$C$100, $B43&gt;=Analysis!$C$130),0,Z43)</f>
        <v>0</v>
      </c>
      <c r="CK43" s="1">
        <f t="shared" si="60"/>
        <v>1705388.6255176419</v>
      </c>
      <c r="CL43" s="64">
        <f t="shared" si="48"/>
        <v>2.941176470588247E-2</v>
      </c>
      <c r="CM43" s="1">
        <f>IF($B43=Analysis!$C$100,(CK43*(1+Analysis!$C$23+Analysis!$C$24+Analysis!$C$25))-IF($B43=$B$2,(Analysis!$C$6-Analysis!$C$7+Analysis!$C$105), (FU42-Analysis!$C$7+CV43)),0)</f>
        <v>0</v>
      </c>
      <c r="CN43" s="65">
        <f>IF($B43=Analysis!$C$100,NPER(CR43,-CU43,-CM43),0)</f>
        <v>0</v>
      </c>
      <c r="CO43" s="64">
        <f>IF($B43=Analysis!$C$100,Analysis!$C$103,0)</f>
        <v>0</v>
      </c>
      <c r="CP43" s="1">
        <f>IF(OR($B43&lt;Analysis!$C$100, $B43&gt;=Analysis!$C$101),0,IF($B43=Analysis!$C$100,-CM43*CO43,IF(CU43&gt;=0,0,CU43-CS43)))</f>
        <v>0</v>
      </c>
      <c r="CQ43" s="1">
        <f>IF(OR($B43&lt;Analysis!$C$100, $B43&gt;=Analysis!$C$101),0,IF($B43=Analysis!$C$100,-CM43-CP43,MIN(0,CQ42-CP43)))</f>
        <v>0</v>
      </c>
      <c r="CR43" s="64">
        <f>IF(OR($B43&lt;Analysis!$C$100, $B43&gt;=Analysis!$C$101),0,IF($B43=Analysis!$C$100,Analysis!$C$102,IF(($B43-Analysis!$C$100)&lt;LOOKUP(Analysis!$C$100,$B:$B,CN:CN),CR42,0)))</f>
        <v>0</v>
      </c>
      <c r="CS43" s="1">
        <f>IF(OR($B43&lt;Analysis!$C$100, $B43&gt;=Analysis!$C$101),0,IF($B43=Analysis!$C$100,-CR43*CM43,CR42*CQ42))</f>
        <v>0</v>
      </c>
      <c r="CT43" s="1">
        <f>IF(OR($B43&lt;Analysis!$C$100, $B43&gt;=Analysis!$C$101),0,IF($B43=Analysis!$C$100,PMT(CR43,CN43,CM43)*CN43-CU43-CQ43,IF(($B43-Analysis!$C$100+1)&lt;LOOKUP(Analysis!$C$100,$B:$B,CN:CN),IF(CT42-CS43&lt;0, CT42-CS43,0),0)))</f>
        <v>0</v>
      </c>
      <c r="CU43" s="1">
        <f>IF(OR($B43&lt;Analysis!$C$100, $B43&gt;=Analysis!$C$101),0,IF($B43=Analysis!$C$100,CP43+CS43,IF(CQ42&lt;0,IF(CQ42&gt;LOOKUP(Analysis!$C$100,$B:$B,CU:CU), CQ42*(1+CR42),CU42),0)))</f>
        <v>0</v>
      </c>
      <c r="CV43" s="1">
        <f>IF($B43=Analysis!$C$100,Analysis!$C$105,0)</f>
        <v>0</v>
      </c>
      <c r="CW43" s="1">
        <f>IF($B43=Analysis!$C$100,PMT(CR43,CX43,CV43)*CX43,0)</f>
        <v>0</v>
      </c>
      <c r="CX43" s="7">
        <f>IF($B43=Analysis!$C$100,Analysis!$C$107,0)</f>
        <v>0</v>
      </c>
      <c r="CY43" s="1">
        <f>IF(OR($B43&lt;Analysis!$C$100, $B43&gt;=Analysis!$C$101),0,IF($B43=Analysis!$C$100,CW43/CX43,IF(($B43-Analysis!$C$100)&lt;LOOKUP(Analysis!$C$100,$B:$B,CX:CX),CY42,0)))</f>
        <v>0</v>
      </c>
      <c r="CZ43" s="1">
        <f>IF(OR($B43&lt;Analysis!$C$100, $B43&gt;=Analysis!$C$101),0,IF($B43=Analysis!$C$100,CX43*CY43-CY43,IF(($B43-Analysis!$C$100)&lt;Analysis!$C$107,CZ42-CY43,0)))</f>
        <v>0</v>
      </c>
      <c r="DA43" s="53"/>
      <c r="DB43" s="1">
        <f>IF(OR($B43&lt;Analysis!$C$100, $B43&gt;=Analysis!$C$101),0,IF($B43=2025,(Analysis!$C$109*12),IF($B43=Analysis!$C$100,(Analysis!$C$109*12)*(1+DC43)^($B43-$B$2),DB42*(1+DC43))))</f>
        <v>0</v>
      </c>
      <c r="DC43" s="64">
        <f>IF(OR($B43&lt;Analysis!$C$100, $B43&gt;=Analysis!$C$101),0,((1+Analysis!$C$114)/(1+$S43))-1)</f>
        <v>0</v>
      </c>
      <c r="DD43" s="1">
        <f t="shared" si="6"/>
        <v>0</v>
      </c>
      <c r="DE43" s="1">
        <f t="shared" si="27"/>
        <v>0</v>
      </c>
      <c r="DF43" s="64">
        <f>IF(OR($B43&lt;Analysis!$C$100, $B43&gt;=Analysis!$C$101),0,Analysis!$C$118)</f>
        <v>0</v>
      </c>
      <c r="DG43" s="1">
        <f t="shared" si="28"/>
        <v>0</v>
      </c>
      <c r="DH43" s="64">
        <f>IF(OR($B43&lt;Analysis!$C$100, $B43&gt;=Analysis!$C$101),0,Analysis!$C$119)</f>
        <v>0</v>
      </c>
      <c r="DI43" s="1">
        <f>IF(OR($B43&lt;Analysis!$C$100, $B43&gt;=Analysis!$C$101),0,MIN(Analysis!$C$120*12,SUM(DJ43:DN43)))</f>
        <v>0</v>
      </c>
      <c r="DJ43" s="1">
        <f>IF(OR($B43&lt;Analysis!$C$100, $B43&gt;=Analysis!$C$101),0,Analysis!$C$121*12)</f>
        <v>0</v>
      </c>
      <c r="DK43" s="1">
        <f>IF(OR($B43&lt;Analysis!$C$100, $B43&gt;=Analysis!$C$101),0,Analysis!$C$122*12)</f>
        <v>0</v>
      </c>
      <c r="DL43" s="1">
        <f>IF(OR($B43&lt;Analysis!$C$100, $B43&gt;=Analysis!$C$101),0,Analysis!$C$123*12)</f>
        <v>0</v>
      </c>
      <c r="DM43" s="1">
        <f>IF(OR($B43&lt;Analysis!$C$100, $B43&gt;=Analysis!$C$101),0,Analysis!$C$124*12)</f>
        <v>0</v>
      </c>
      <c r="DN43" s="1">
        <f>IF(OR($B43&lt;Analysis!$C$100, $B43&gt;=Analysis!$C$101),0,Analysis!$C$125*12)</f>
        <v>0</v>
      </c>
      <c r="DO43" s="64">
        <f>IF(OR($B43&lt;Analysis!$C$100, $B43&gt;=Analysis!$C$101),0,Analysis!$C$113)</f>
        <v>0</v>
      </c>
      <c r="DP43" s="1">
        <f>-DO43*LOOKUP(Analysis!$C$100,$B:$B,CK:CK)</f>
        <v>0</v>
      </c>
      <c r="DQ43" s="1">
        <f>-Analysis!$C$117*DB43</f>
        <v>0</v>
      </c>
      <c r="DR43" s="1">
        <f t="shared" si="29"/>
        <v>0</v>
      </c>
      <c r="DS43" s="1">
        <f>MIN(0,-(DB43+DR43)*Analysis!$C$28)-CS43*Analysis!$C$28</f>
        <v>0</v>
      </c>
      <c r="DT43" s="1">
        <f>-Analysis!$C$116*DD43/12</f>
        <v>0</v>
      </c>
      <c r="DU43" s="53"/>
      <c r="DV43" s="1">
        <f t="shared" si="30"/>
        <v>0</v>
      </c>
      <c r="DW43" s="64">
        <f>IF(OR($B43&lt;Analysis!$C$100, $B43&gt;=Analysis!$C$101),0,IF($B43=Analysis!$C$100,Analysis!$C$31,DW42))</f>
        <v>0</v>
      </c>
      <c r="DX43" s="1">
        <f>IF(OR($B43&lt;Analysis!$C$100, $B43&gt;=Analysis!$C$101),0,CK43+DV43)</f>
        <v>0</v>
      </c>
      <c r="DY43" s="1">
        <f>IF(OR($B43&lt;Analysis!$C$100, $B43&gt;=Analysis!$C$101),0,IF($B43-Analysis!$C$100&gt;3,0,IF(CK43&gt;LOOKUP(Analysis!$C$100,$B:$B, CK:CK),$V43*(LOOKUP(Analysis!$C$100,$B:$B, CK:CK)-CK43),0)))</f>
        <v>0</v>
      </c>
      <c r="DZ43" s="1">
        <f t="shared" si="49"/>
        <v>0</v>
      </c>
      <c r="EA43" s="53"/>
      <c r="EB43" s="1">
        <f t="shared" si="31"/>
        <v>2264661.5696827825</v>
      </c>
      <c r="EC43" s="64">
        <f t="shared" si="50"/>
        <v>2.941176470588247E-2</v>
      </c>
      <c r="ED43" s="1">
        <f>IF($B43=Analysis!$C$130,(EB43*(1+Analysis!$C$23+Analysis!$C$24+Analysis!$C$25))-(IF($B43=$B$2,(Analysis!$C$6-Analysis!$C$7+Analysis!$C$132), (FU42-Analysis!$C$7+EM43)) + IF($B43=Analysis!$C$101,DZ42+CQ42+CT42+CZ42,0)),0)</f>
        <v>0</v>
      </c>
      <c r="EE43" s="65">
        <f>IF($B43=Analysis!$C$130,IF(ED43&gt;0,NPER(EI43,-EL43,-ED43),0),0)</f>
        <v>0</v>
      </c>
      <c r="EF43" s="64">
        <f>IF($B43=Analysis!$C$130,Analysis!$C$137,0)</f>
        <v>0</v>
      </c>
      <c r="EG43" s="1">
        <f>IF($B43&lt;Analysis!$C$130,0,IF($B43=Analysis!$C$130,-ED43*EF43,IF(EL43&gt;=0,0,EL43-EJ43)))</f>
        <v>0</v>
      </c>
      <c r="EH43" s="1">
        <f>IF($B43&lt;Analysis!$C$130,0,IF($B43=Analysis!$C$130,-ED43-EG43,MIN(0,EH42-EG43)))</f>
        <v>0</v>
      </c>
      <c r="EI43" s="64">
        <f>IF($B43&lt;Analysis!$C$130,0,IF($B43=Analysis!$C$130,Analysis!$C$136,IF(($B43-Analysis!$C$130)&lt;LOOKUP(Analysis!$C$130,$B:$B,EE:EE),EI42,0)))</f>
        <v>0</v>
      </c>
      <c r="EJ43" s="1">
        <f>IF($B43&lt;Analysis!$C$130,0,IF($B43=Analysis!$C$130,-EI43*ED43,EI42*EH42))</f>
        <v>0</v>
      </c>
      <c r="EK43" s="1">
        <f>IF(OR($B43&lt;Analysis!$C$130, ED43=0),0,IF($B43=Analysis!$C$130,PMT(EI43,EE43,ED43)*EE43-EL43-EH43,IF(($B43-Analysis!$C$130+1)&lt;LOOKUP(Analysis!$C$130,$B:$B,EE:EE),IF(EK42-EJ43&lt;0, EK42-EJ43,0),0)))</f>
        <v>0</v>
      </c>
      <c r="EL43" s="1">
        <f>IF($B43&lt;Analysis!$C$130,0,IF($B43=Analysis!$C$130,EG43+EJ43,IF(EH42&lt;0,IF(EH42&gt;LOOKUP(Analysis!$C$130,$B:$B,EL:EL), EH42*(1+EI42),EL42),0)))</f>
        <v>0</v>
      </c>
      <c r="EM43" s="1">
        <f>IF($B43=Analysis!$C$130,Analysis!$C$132,0)</f>
        <v>0</v>
      </c>
      <c r="EN43" s="1">
        <f>IF($B43=Analysis!$C$130,PMT(EI43,EO43,EM43)*EO43,0)</f>
        <v>0</v>
      </c>
      <c r="EO43" s="7">
        <f>IF($B43=Analysis!$C$130,Analysis!$C$134,0)</f>
        <v>0</v>
      </c>
      <c r="EP43" s="1">
        <f>IF($B43&lt;Analysis!$C$130,0,IF($B43=Analysis!$C$130,EN43/EO43,IF(($B43-Analysis!$C$130)&lt;LOOKUP(Analysis!$C$130,$B:$B,EO:EO),EP42,0)))</f>
        <v>-6072.8287787074187</v>
      </c>
      <c r="EQ43" s="1">
        <f>IF($B43&lt;Analysis!$C$130,0,IF($B43=Analysis!$C$130,EO43*EP43-EP43,IF(($B43-Analysis!$C$130)&lt;Analysis!$C$134,EQ42-EP43,0)))</f>
        <v>-18218.486336122249</v>
      </c>
      <c r="ER43" s="53"/>
      <c r="ES43" s="1">
        <f>IF($B43&lt;Analysis!$C$130,0,-ET43*EB43)</f>
        <v>-6793.9847090483481</v>
      </c>
      <c r="ET43" s="64">
        <f>IF($B43&lt;Analysis!$C$130,0,Analysis!$C$142)</f>
        <v>3.0000000000000001E-3</v>
      </c>
      <c r="EU43" s="1">
        <f>IF($B43&lt;Analysis!$C$130,0,-EV43*EB43)</f>
        <v>-22646.615696827826</v>
      </c>
      <c r="EV43" s="64">
        <f>IF($B43&lt;Analysis!$C$130,0,Analysis!$C$143)</f>
        <v>0.01</v>
      </c>
      <c r="EW43" s="1">
        <f>IF($B43&lt;Analysis!$C$130,0,MIN(Analysis!$C$144*12,SUM(EX43:FB43)))</f>
        <v>-3960</v>
      </c>
      <c r="EX43" s="1">
        <f>IF($B43&lt;Analysis!$C$130,0,Analysis!$C$145*12)</f>
        <v>-900</v>
      </c>
      <c r="EY43" s="1">
        <f>IF($B43&lt;Analysis!$C$130,0,Analysis!$C$146*12)</f>
        <v>-1500</v>
      </c>
      <c r="EZ43" s="1">
        <f>IF($B43&lt;Analysis!$C$130,0,Analysis!$C$147*12)</f>
        <v>-480</v>
      </c>
      <c r="FA43" s="1">
        <f>IF($B43&lt;Analysis!$C$130,0,Analysis!$C$148*12)</f>
        <v>-480</v>
      </c>
      <c r="FB43" s="1">
        <f>IF($B43&lt;Analysis!$C$130,0,Analysis!$C$149*12)</f>
        <v>-600</v>
      </c>
      <c r="FC43" s="1">
        <v>0</v>
      </c>
      <c r="FD43" s="1">
        <f>-FC43*Analysis!$C$28</f>
        <v>0</v>
      </c>
      <c r="FE43" s="53"/>
      <c r="FF43" s="1">
        <f t="shared" si="32"/>
        <v>-288744.35013455478</v>
      </c>
      <c r="FG43" s="64">
        <f>IF($B43&lt;Analysis!$C$130,0,Analysis!$C$31)</f>
        <v>0.1275</v>
      </c>
      <c r="FH43" s="1">
        <f>IF($B43&lt;Analysis!$C$130,0,EB43+FF43)</f>
        <v>1975917.2195482277</v>
      </c>
      <c r="FI43" s="1">
        <f>IF($B43-Analysis!$C$130&gt;3,0,IF(EB43&gt;LOOKUP(Analysis!$C$130,$B:$B, EB:EB),$V43*(LOOKUP(Analysis!$C$130,$B:$B, EB:EB)-EB43),0))</f>
        <v>0</v>
      </c>
      <c r="FJ43" s="1">
        <f t="shared" si="33"/>
        <v>1975917.2195482277</v>
      </c>
      <c r="FK43" s="53"/>
      <c r="FL43" s="1">
        <f>$P43+$N43+IF($B43&lt;Analysis!$C$130,$X43+$Z43,0)+CP43+CS43+CY43+DE43+DG43+MIN(DI43,SUM(DJ43:DN43))+DQ43+DS43+DT43+EG43+EJ43+EP43+ES43+EU43+MIN(EW43,SUM(EX43:FB43))+FD43</f>
        <v>-87473.429184583598</v>
      </c>
      <c r="FM43" s="1">
        <f>$M43+$R43+DD43+IF(AND($B43&lt;&gt;Analysis!$C$130,$B43=Analysis!$C$101),DZ42+CQ42+CT42+CZ42,0)</f>
        <v>58229.929065626566</v>
      </c>
      <c r="FN43" s="1">
        <f t="shared" si="34"/>
        <v>-29243.500118957032</v>
      </c>
      <c r="FO43" s="1">
        <f>IF(FN43 &lt; 0,
    IF(FO42 + FN43 &gt; 0,
        FO42 + FN43, IF(FT42-ABS(FO42 + FN43)*(1+$V43) &gt;= FO42 + FN43,
        0, FO42 + FN43)),
    MIN(FO42 + FN43, Analysis!$C$7))+IF(FO42&lt;0, FO42*Analysis!$C$9,0)</f>
        <v>-163718.77389602349</v>
      </c>
      <c r="FP43" s="53"/>
      <c r="FQ43" s="1">
        <f t="shared" si="51"/>
        <v>0</v>
      </c>
      <c r="FR43" s="1">
        <f>IF(OR($B43=Analysis!$C$100, $B43=Analysis!$C$130),0,IF(FN43 &gt;= 0,
    MAX(0, FO42 + FN43 - Analysis!$C$7),
    0))</f>
        <v>0</v>
      </c>
      <c r="FS43" s="1">
        <f>IF(OR($B43=Analysis!$C$100, $B43=Analysis!$C$130),0,MAX(0, FS42 + FR43 - IF(FN43 &lt; 0, MIN(ABS(FN43), FS42 + FR43), 0)))</f>
        <v>0</v>
      </c>
      <c r="FT43" s="1">
        <f>IF(OR($B43=Analysis!$C$100, $B43=Analysis!$C$130),0,IF(FN43 &lt; 0,
    IF(FN43 + FO42 &lt; 0,
        MAX(0, FT42 - (ABS(FN43 + FO42) * (1+$V42))),
        FT42 + FQ43),
    FT42 + FR43 + FQ43))</f>
        <v>0</v>
      </c>
      <c r="FU43" s="1">
        <f t="shared" si="57"/>
        <v>0</v>
      </c>
      <c r="FV43" s="36"/>
      <c r="FW43" s="1">
        <f t="shared" si="52"/>
        <v>1705388.6255176419</v>
      </c>
      <c r="FX43" s="64">
        <f t="shared" si="53"/>
        <v>2.941176470588247E-2</v>
      </c>
      <c r="FY43" s="1">
        <f>IF($B43=Analysis!$C$159,(FW43*(1+Analysis!$C$23+Analysis!$C$24+Analysis!$C$25))-IF($B43=$B$2,(Analysis!$C$6-Analysis!$C$7+Analysis!$C$165), (HW42-Analysis!$C$7+GH43)),0)</f>
        <v>0</v>
      </c>
      <c r="FZ43" s="65">
        <f>IF($B43=Analysis!$C$159,NPER(GD43,-GG43,-FY43),0)</f>
        <v>0</v>
      </c>
      <c r="GA43" s="64">
        <f>IF($B43=Analysis!$C$159,Analysis!$C$161,0)</f>
        <v>0</v>
      </c>
      <c r="GB43" s="1">
        <f>IF($B43&lt;Analysis!$C$159,0,IF($B43=Analysis!$C$159,-FY43*GA43,IF(GG43&gt;=0,0,GG43-GE43)))</f>
        <v>0</v>
      </c>
      <c r="GC43" s="1">
        <f>IF($B43&lt;Analysis!$C$159,0,IF($B43=Analysis!$C$159,-FY43-GB43,MIN(0,GC42-GB43)))</f>
        <v>0</v>
      </c>
      <c r="GD43" s="64">
        <f>IF($B43&lt;Analysis!$C$159,0,IF($B43=Analysis!$C$159,Analysis!$C$160,IF(($B43-Analysis!$C$159)&lt;LOOKUP(Analysis!$C$159,$B:$B,FZ:FZ),GD42,0)))</f>
        <v>0</v>
      </c>
      <c r="GE43" s="1">
        <f>IF($B43&lt;Analysis!$C$159,0,IF($B43=Analysis!$C$159,-GD43*FY43,GD42*GC42))</f>
        <v>0</v>
      </c>
      <c r="GF43" s="1">
        <f>IF($B43&lt;Analysis!$C$159,0,IF($B43=Analysis!$C$159,PMT(GD43,FZ43,FY43)*FZ43-GG43-GC43,IF(($B43-Analysis!$C$159+1)&lt;LOOKUP(Analysis!$C$159,$B:$B,FZ:FZ),IF(GF42-GE43&lt;0, GF42-GE43,0),0)))</f>
        <v>0</v>
      </c>
      <c r="GG43" s="1">
        <f>IF($B43&lt;Analysis!$C$159,0,IF($B43=Analysis!$C$159,GB43+GE43,IF(GC42&lt;0,IF(GC42&gt;LOOKUP(Analysis!$C$159,$B:$B,GG:GG), GC42*(1+GD42),GG42),0)))</f>
        <v>0</v>
      </c>
      <c r="GH43" s="1">
        <f>IF($B43=Analysis!$C$159,Analysis!$C$165,0)</f>
        <v>0</v>
      </c>
      <c r="GI43" s="1">
        <f>IF($B43=Analysis!$C$159,PMT(GD43,GJ43,GH43)*GJ43,0)</f>
        <v>0</v>
      </c>
      <c r="GJ43" s="7">
        <f>IF($B43=Analysis!$C$159,Analysis!$C$167,0)</f>
        <v>0</v>
      </c>
      <c r="GK43" s="1">
        <f>IF($B43&lt;Analysis!$C$159,0,IF($B43=Analysis!$C$159,GI43/GJ43,IF(($B43-Analysis!$C$159)&lt;LOOKUP(Analysis!$C$159,$B:$B,GJ:GJ),GK42,0)))</f>
        <v>0</v>
      </c>
      <c r="GL43" s="1">
        <f>IF($B43&lt;Analysis!$C$159,0,IF($B43=Analysis!$C$159,GJ43*GK43-GK43,IF(($B43-Analysis!$C$159)&lt;Analysis!$C$167,GL42-GK43,0)))</f>
        <v>0</v>
      </c>
      <c r="GM43" s="38"/>
      <c r="GN43" s="1">
        <f>IF($B43&lt;Analysis!$C$159,0,IF($B43=2025,(Analysis!$C$109*12),IF($B43=Analysis!$C$159,(Analysis!$C$109*12)*(1+GO43)^($B43-$B$2),GN42*(1+GO43))))</f>
        <v>45490.158486671527</v>
      </c>
      <c r="GO43" s="64">
        <f>IF($B43&lt;Analysis!$C$159,0,((1+Analysis!$C$174)/(1+$S43))-1)</f>
        <v>2.941176470588247E-2</v>
      </c>
      <c r="GP43" s="1">
        <f t="shared" si="7"/>
        <v>54566.324363224456</v>
      </c>
      <c r="GQ43" s="1">
        <f t="shared" si="36"/>
        <v>-5116.1658765529255</v>
      </c>
      <c r="GR43" s="64">
        <f>IF($B43&lt;Analysis!$C$159,0,Analysis!$C$178)</f>
        <v>3.0000000000000001E-3</v>
      </c>
      <c r="GS43" s="1">
        <f t="shared" si="37"/>
        <v>-12790.414691382313</v>
      </c>
      <c r="GT43" s="64">
        <f>IF($B43&lt;Analysis!$C$159,0,Analysis!$C$179)</f>
        <v>7.4999999999999997E-3</v>
      </c>
      <c r="GU43" s="1">
        <f>IF($B43&lt;Analysis!$C$159,0,MIN(Analysis!$C$180*12,SUM(GV43:GZ43)))</f>
        <v>-3960</v>
      </c>
      <c r="GV43" s="1">
        <f>IF($B43&lt;Analysis!$C$159,0,Analysis!$C$181*12)</f>
        <v>-900</v>
      </c>
      <c r="GW43" s="1">
        <f>IF($B43&lt;Analysis!$C$159,0,Analysis!$C$182*12)</f>
        <v>-1500</v>
      </c>
      <c r="GX43" s="1">
        <f>IF($B43&lt;Analysis!$C$159,0,Analysis!$C$183*12)</f>
        <v>-480</v>
      </c>
      <c r="GY43" s="1">
        <f>IF($B43&lt;Analysis!$C$159,0,Analysis!$C$184*12)</f>
        <v>-480</v>
      </c>
      <c r="GZ43" s="1">
        <f>IF($B43&lt;Analysis!$C$159,0,Analysis!$C$185*12)</f>
        <v>-600</v>
      </c>
      <c r="HA43" s="64">
        <f>IF($B43&lt;Analysis!$C$159,0,Analysis!$C$173)</f>
        <v>0.02</v>
      </c>
      <c r="HB43" s="1">
        <f>-HA43*LOOKUP(Analysis!$C$159,$B:$B,FW:FW)</f>
        <v>-10392</v>
      </c>
      <c r="HC43" s="1">
        <f>-Analysis!$C$177*GN43</f>
        <v>-3411.7618865003647</v>
      </c>
      <c r="HD43" s="1">
        <f t="shared" si="38"/>
        <v>-35670.342454435602</v>
      </c>
      <c r="HE43" s="1">
        <f>MIN(0,-(GN43+HD43)*Analysis!$C$28)-GE43*Analysis!$C$28</f>
        <v>-4351.1604838837384</v>
      </c>
      <c r="HF43" s="1">
        <f>-Analysis!$C$176*GP43/12</f>
        <v>-4547.193696935371</v>
      </c>
      <c r="HG43" s="38"/>
      <c r="HH43" s="1">
        <f>IF($B43&lt;Analysis!$C$159,0,-$HI43*$FW43)</f>
        <v>-217437.04975349933</v>
      </c>
      <c r="HI43" s="64">
        <f>IF($B43&lt;Analysis!$C$159,0,IF($B43=Analysis!$C$159,Analysis!$C$31,HI42))</f>
        <v>0.1275</v>
      </c>
      <c r="HJ43" s="1">
        <f>IF($B43&lt;Analysis!$C$159,0,$FW43+HH43)</f>
        <v>1487951.5757641424</v>
      </c>
      <c r="HK43" s="1">
        <f>IF($B43-Analysis!$C$159&gt;10,0,IF($FW43&gt;LOOKUP(Analysis!$C$159,$B:$B, FW:FW),$V43*(LOOKUP(Analysis!$C$159,$B:$B, FW:FW)-FW43),0))</f>
        <v>0</v>
      </c>
      <c r="HL43" s="1">
        <f t="shared" si="39"/>
        <v>1487951.5757641424</v>
      </c>
      <c r="HM43" s="38"/>
      <c r="HN43" s="1">
        <f t="shared" si="40"/>
        <v>-138125.44919145072</v>
      </c>
      <c r="HO43" s="1">
        <f t="shared" si="8"/>
        <v>112796.25342885102</v>
      </c>
      <c r="HP43" s="1">
        <f t="shared" si="41"/>
        <v>-25329.195762599702</v>
      </c>
      <c r="HQ43" s="1">
        <f>IF(HP43 &lt; 0,
    IF(HQ42 + HP43 &gt; 0,
        HQ42 + HP43, IF(HV42-ABS(HQ42 + HP43)*(1+$V43) &gt;= HQ42 + HP43,
        0, HQ42 + HP43)),
    MIN(HQ42 + HP43, Analysis!$C$7))+IF(HQ42&lt;0, HQ42*Analysis!$C$9,0)</f>
        <v>0</v>
      </c>
      <c r="HR43" s="38"/>
      <c r="HS43" s="1">
        <f t="shared" si="54"/>
        <v>20512.366482196401</v>
      </c>
      <c r="HT43" s="1">
        <f>IF($B43=Analysis!$C$159,0,IF(HP43 &gt;= 0,
    MAX(0, HQ42 + HP43 - Analysis!$C$7),
    0))</f>
        <v>0</v>
      </c>
      <c r="HU43" s="1">
        <f>IF($B43=Analysis!$C$159,0,MAX(0, HU42 + HT43 - IF(HP43 &lt; 0, MIN(ABS(HP43), HU42 + HT43), 0)))</f>
        <v>637388.44193186669</v>
      </c>
      <c r="HV43" s="1">
        <f>IF($B43=Analysis!$C$159,0,IF(HP43 &lt; 0,
    IF(HP43 + HQ42 &lt; 0,
        MAX(0, HV42 - (ABS(HP43 + HQ42) * (1+$V42))),
        HV42 + HS43),
    HV42 + HT43 + HS43))</f>
        <v>1014120.9194470348</v>
      </c>
      <c r="HW43" s="1">
        <f t="shared" si="58"/>
        <v>914757.7285024093</v>
      </c>
      <c r="HX43" s="36"/>
    </row>
    <row r="44" spans="1:232" x14ac:dyDescent="0.35">
      <c r="A44">
        <f t="shared" si="0"/>
        <v>77</v>
      </c>
      <c r="B44">
        <v>2067</v>
      </c>
      <c r="C44" s="1">
        <f>IF($B44&lt;Analysis!C$66,0,$AN44)+$AT44+$AW44+$BC44+$CF44+$CA44</f>
        <v>-2447686.0589392278</v>
      </c>
      <c r="D44" s="1">
        <f>IF($B44&lt;Analysis!C$66, 0, BV44)+AT44+AW44+BC44+CG44+CA44</f>
        <v>-2831078.4931545462</v>
      </c>
      <c r="E44" s="1">
        <f t="shared" si="1"/>
        <v>1852757.2969385185</v>
      </c>
      <c r="F44" s="1">
        <f t="shared" si="9"/>
        <v>1573398.4456347574</v>
      </c>
      <c r="G44" s="1">
        <f>IF(AND($B44&gt;=Analysis!$C$100, $B44&lt;Analysis!$C$101),$CK44,0)+IF($B44&gt;=Analysis!$C$130,EB44,0)+CQ44+CT44+CZ44+EH44+EK44+EQ44+$FO44+$FT44</f>
        <v>2111033.3308314197</v>
      </c>
      <c r="H44" s="1">
        <f t="shared" si="10"/>
        <v>1813796.4998105546</v>
      </c>
      <c r="I44" s="1">
        <f>IF($B44&lt;Analysis!$C$159,0,$FW44)+$GC44+$GF44+$GL44+$HQ44+$HV44</f>
        <v>2734787.8833526159</v>
      </c>
      <c r="J44" s="1">
        <f t="shared" si="59"/>
        <v>2413512.4392464459</v>
      </c>
      <c r="K44" s="36"/>
      <c r="L44" s="1">
        <f t="shared" si="11"/>
        <v>57065.330484314036</v>
      </c>
      <c r="M44" s="1">
        <f>IF($B44=Analysis!$C$47, M43 * (1 - Analysis!$C$48),
    IF($B44=Analysis!$C$52, M43 * (1 - Analysis!$C$53),
    IF($B44=Analysis!$C$58, M43 * (1 - Analysis!$C$60),
    L44)))</f>
        <v>57065.330484314036</v>
      </c>
      <c r="N44" s="1">
        <f>Analysis!$C$3*12*(1+O44)+P44</f>
        <v>-48000</v>
      </c>
      <c r="O44" s="64">
        <f>IF(OR($B44=Analysis!$C$47,$B44=Analysis!$C$52,$B44=Analysis!$C$58),-Analysis!$C$49,0)</f>
        <v>0</v>
      </c>
      <c r="P44" s="1">
        <f>IF($B44&lt;Analysis!$C$47,0,IF($B44-Analysis!$C$47&lt;=3,Analysis!$C$40+Analysis!$C$44,IF($B44-Analysis!$C$47&lt;=10,Analysis!$C$41+Analysis!$C$44,IF($B44-Analysis!$C$47&lt;=18,Analysis!$C$42+Analysis!$C$44,IF($B44-Analysis!$C$47&lt;=25,Analysis!$C$43+Analysis!$C$44,0)))) + IF(AND($B44&gt;=Analysis!$C$52, $B44-Analysis!$C$52&lt;=3),Analysis!$C$40+Analysis!$C$44,IF(AND($B44&gt;=Analysis!$C$52, $B44-Analysis!$C$52&lt;=10),Analysis!$C$41+Analysis!$C$44,IF(AND($B44&gt;=Analysis!$C$52, $B44-Analysis!$C$52&lt;=18),Analysis!$C$42+Analysis!$C$44,IF(AND($B44&gt;=Analysis!$C$52, $B44-Analysis!$C$52&lt;=25),Analysis!$C$43+Analysis!$C$44,0)))) + Analysis!$C$57*IF(AND($B44&gt;=Analysis!$C$58, $B44-Analysis!$C$58&lt;=3),Analysis!$C$40+Analysis!$C$44,IF(AND($B44&gt;=Analysis!$C$58, $B44-Analysis!$C$58&lt;=10),Analysis!$C$41+Analysis!$C$44,IF(AND($B44&gt;=Analysis!$C$58, $B44-Analysis!$C$58&lt;=18),Analysis!$C$42+Analysis!$C$44,IF(AND($B44&gt;=Analysis!$C$58, $B44-Analysis!$C$58&lt;=25),Analysis!$C$43+Analysis!$C$44,0)))))</f>
        <v>0</v>
      </c>
      <c r="Q44" s="1">
        <f t="shared" si="43"/>
        <v>0</v>
      </c>
      <c r="R44" s="1">
        <f>IF(AND(AND(B44=Analysis!C$35,Analysis!C$34&lt;&gt;0),AND(B44=Analysis!C$37,Analysis!C$36&lt;&gt;0)),Analysis!C$34+Analysis!C$36,IF(AND(B44=Analysis!C$35,Analysis!C$34&lt;&gt;0),Analysis!C$34,IF(AND(B44=Analysis!C$37,Analysis!C$36&lt;&gt;0),Analysis!C$36,0)))</f>
        <v>0</v>
      </c>
      <c r="S44" s="64">
        <f t="shared" si="12"/>
        <v>0.02</v>
      </c>
      <c r="T44" s="64">
        <f>IF($B44&lt;Analysis!$C$13, ((1+IF($B44-$B$2&lt;10,Analysis!$C$11,IF($B44-$B$2&lt;20,(Analysis!$C$11+Analysis!$C$12)/2,Analysis!$C$12)))/(1+$S44)-1),IF($B44=Analysis!$C$13,-Analysis!$C$14,-$S44))</f>
        <v>-0.02</v>
      </c>
      <c r="U44" s="64">
        <f>IF($B44=$B$2,((1+Analysis!$C$16)/(1+$S44))-1,IF(B44&lt;Analysis!$C$13,U43-((Analysis!$C$16-Analysis!$C$17)/(Analysis!$C$13-$B$2)),((1+Analysis!$C$17)/(1+$S43))-1))</f>
        <v>1.9607843137254832E-2</v>
      </c>
      <c r="V44" s="64">
        <f t="shared" si="13"/>
        <v>0.26374999999999998</v>
      </c>
      <c r="W44" s="36"/>
      <c r="X44" s="1">
        <f t="shared" si="14"/>
        <v>-53517.833513731195</v>
      </c>
      <c r="Y44" s="64">
        <f t="shared" si="15"/>
        <v>2.941176470588247E-2</v>
      </c>
      <c r="Z44" s="1">
        <f t="shared" si="16"/>
        <v>-3960</v>
      </c>
      <c r="AA44" s="64">
        <f t="shared" si="17"/>
        <v>0</v>
      </c>
      <c r="AB44" s="40"/>
      <c r="AC44" s="1">
        <f t="shared" si="3"/>
        <v>-105477.8335137312</v>
      </c>
      <c r="AD44" s="1">
        <f t="shared" si="4"/>
        <v>57065.330484314036</v>
      </c>
      <c r="AE44" s="1">
        <f t="shared" si="18"/>
        <v>-48412.503029417159</v>
      </c>
      <c r="AF44" s="1">
        <f>IF(AE44 &lt; 0,
    IF(AF43 + AE44 &gt; 0,
        AF43 + AE44, IF(AK43-ABS(AF43 + AE44)*(1+$V44) &gt;= AF43 + AE44,
        0, AF43 + AE44)),
    MIN(AF43 + AE44, Analysis!$C$7))+IF(AF43&lt;0, AF43*Analysis!$C$9,0)</f>
        <v>0</v>
      </c>
      <c r="AG44" s="40"/>
      <c r="AH44" s="1">
        <f t="shared" si="19"/>
        <v>37528.207796900737</v>
      </c>
      <c r="AI44" s="1">
        <f>IF(AE44 &gt;= 0,
    MAX(0, AF43 + AE44 - Analysis!$C$7),
    0)</f>
        <v>0</v>
      </c>
      <c r="AJ44" s="1">
        <f t="shared" si="44"/>
        <v>793576.81806169893</v>
      </c>
      <c r="AK44" s="1">
        <f t="shared" si="20"/>
        <v>1852757.2969385185</v>
      </c>
      <c r="AL44" s="1">
        <f t="shared" si="5"/>
        <v>1573398.4456347574</v>
      </c>
      <c r="AM44" s="36"/>
      <c r="AN44" s="1">
        <f t="shared" si="45"/>
        <v>3006999.4840417141</v>
      </c>
      <c r="AO44" s="64">
        <f t="shared" si="21"/>
        <v>2.941176470588247E-2</v>
      </c>
      <c r="AP44" s="1">
        <f>IF($B44=Analysis!$C$66,(AN44*(1+Analysis!$C$23+Analysis!$C$24+Analysis!$C$25))-IF($B44=$B$2,(Analysis!$C$6-Analysis!$C$7+Analysis!$C$68), ($CG43-Analysis!$C$7+AY44)),0)</f>
        <v>0</v>
      </c>
      <c r="AQ44" s="65">
        <f>IF($B44=Analysis!$C$66,NPER(AU44,-AX44,-AP44),0)</f>
        <v>0</v>
      </c>
      <c r="AR44" s="64">
        <f>IF($B44=Analysis!$C$66,Analysis!$C$73,0)</f>
        <v>0</v>
      </c>
      <c r="AS44" s="1">
        <f>IF($B44&lt;Analysis!$C$66,0,IF($B44=Analysis!$C$66,-AP44*AR44,IF(AX44&gt;=0,0,AX44-AV44)))</f>
        <v>0</v>
      </c>
      <c r="AT44" s="1">
        <f>IF($B44&lt;Analysis!$C$66,0,IF($B44=Analysis!$C$66,-AP44-AS44,MIN(0,AT43-AS44)))</f>
        <v>0</v>
      </c>
      <c r="AU44" s="64">
        <f>IF($B44&lt;Analysis!$C$66,0,IF($B44=Analysis!$C$66,Analysis!$C$72,IF(($B44-Analysis!$C$66)&lt;LOOKUP(Analysis!$C$66,$B:$B,AQ:AQ),AU43,0)))</f>
        <v>0</v>
      </c>
      <c r="AV44" s="1">
        <f>IF($B44&lt;Analysis!$C$66,0,IF($B44=Analysis!$C$66,-AU44*AP44,AU43*AT43))</f>
        <v>0</v>
      </c>
      <c r="AW44" s="1">
        <f>IF($B44&lt;Analysis!$C$66,0,IF($B44=Analysis!$C$66,PMT(AU44,AQ44,AP44)*AQ44-AX44-AT44,IF(($B44-Analysis!$C$66+1)&lt;LOOKUP(Analysis!$C$66,$B:$B,AQ:AQ),IF(AW43-AV44&lt;0, AW43-AV44,0),0)))</f>
        <v>0</v>
      </c>
      <c r="AX44" s="1">
        <f>IF($B44&lt;Analysis!$C$66,0,IF($B44=Analysis!$C$66,AS44+AV44,IF(AT43&lt;0,IF(AT43&gt;LOOKUP(Analysis!$C$66,$B:$B,AX:AX), AT43*(1+AU43),AX43),0)))</f>
        <v>0</v>
      </c>
      <c r="AY44" s="1">
        <f>IF($B44=Analysis!$C$66,Analysis!$C$68,0)</f>
        <v>0</v>
      </c>
      <c r="AZ44" s="1">
        <f>IF($B44=Analysis!$C$66,PMT(AU44,BA44,AY44)*BA44,0)</f>
        <v>0</v>
      </c>
      <c r="BA44" s="7">
        <f>IF($B44=Analysis!$C$66,Analysis!$C$70,0)</f>
        <v>0</v>
      </c>
      <c r="BB44" s="1">
        <f>IF($B44&lt;Analysis!$C$66,0,IF($B44=Analysis!$C$66,AZ44/BA44,IF(($B44-Analysis!$C$66)&lt;LOOKUP(Analysis!$C$66,$B:$B,BA:BA),BB43,0)))</f>
        <v>0</v>
      </c>
      <c r="BC44" s="1">
        <f>IF($B44&lt;Analysis!$C$66,0,IF($B44=Analysis!$C$66,BA44*BB44-BB44,IF(($B44-Analysis!$C$66)&lt;Analysis!$C$70,BC43-BB44,0)))</f>
        <v>0</v>
      </c>
      <c r="BD44" s="42"/>
      <c r="BE44" s="1">
        <f>IF($B44&lt;Analysis!$C$66,0,-BF44*AN44)</f>
        <v>-9020.9984521251426</v>
      </c>
      <c r="BF44" s="64">
        <f>IF($B44&lt;Analysis!$C$66,0,Analysis!$C$78)</f>
        <v>3.0000000000000001E-3</v>
      </c>
      <c r="BG44" s="1">
        <f>IF($B44&lt;Analysis!$C$66,0,-BH44*AN44)</f>
        <v>-22552.496130312855</v>
      </c>
      <c r="BH44" s="64">
        <f>IF($B44&lt;Analysis!$C$66,0,Analysis!$C$79)</f>
        <v>7.4999999999999997E-3</v>
      </c>
      <c r="BI44" s="1">
        <f>IF($B44&lt;Analysis!$C$66,0,MIN(Analysis!$C$80*12,SUM(BJ44:BN44)))</f>
        <v>-3960</v>
      </c>
      <c r="BJ44" s="1">
        <f>IF($B44&lt;Analysis!$C$66,0,Analysis!$C$81*12)</f>
        <v>-900</v>
      </c>
      <c r="BK44" s="1">
        <f>IF($B44&lt;Analysis!$C$66,0,Analysis!$C$82*12)</f>
        <v>-1500</v>
      </c>
      <c r="BL44" s="1">
        <f>IF($B44&lt;Analysis!$C$66,0,Analysis!$C$83*12)</f>
        <v>-480</v>
      </c>
      <c r="BM44" s="1">
        <f>IF($B44&lt;Analysis!$C$66,0,Analysis!$C$84*12)</f>
        <v>-480</v>
      </c>
      <c r="BN44" s="1">
        <f>IF($B44&lt;Analysis!$C$66,0,Analysis!$C$85*12)</f>
        <v>-600</v>
      </c>
      <c r="BO44" s="1">
        <v>0</v>
      </c>
      <c r="BP44" s="1">
        <f>-BO44*Analysis!$C$28</f>
        <v>0</v>
      </c>
      <c r="BQ44" s="42"/>
      <c r="BR44" s="1">
        <f t="shared" si="22"/>
        <v>-383392.43421531853</v>
      </c>
      <c r="BS44" s="64">
        <f>IF($B44&lt;Analysis!C$66,0,Analysis!C$31)</f>
        <v>0.1275</v>
      </c>
      <c r="BT44" s="1">
        <f>IF($B44&lt;Analysis!$C$66,0,AN44+BR44)</f>
        <v>2623607.0498263957</v>
      </c>
      <c r="BU44" s="1">
        <f>IF($B44-Analysis!$C$66&gt;3,0,IF($AN44&gt;LOOKUP(Analysis!$C$66,$B:$B, AN:AN),$V44*(LOOKUP(Analysis!$C$66,$B:$B, AN:AN)-AN44),0))</f>
        <v>0</v>
      </c>
      <c r="BV44" s="1">
        <f t="shared" si="23"/>
        <v>2623607.0498263957</v>
      </c>
      <c r="BW44" s="42"/>
      <c r="BX44" s="1">
        <f>IF($B44&lt;Analysis!$C$66,$P44+$N44+$X44+$Z44,$P44+$N44+AS44+AV44+BB44+BE44+BG44+MAX(BI44,SUM(BJ44:BN44))+BP44)</f>
        <v>-83533.494582437997</v>
      </c>
      <c r="BY44" s="1">
        <f t="shared" si="24"/>
        <v>57065.330484314036</v>
      </c>
      <c r="BZ44" s="1">
        <f t="shared" si="46"/>
        <v>-26468.164098123962</v>
      </c>
      <c r="CA44" s="1">
        <f>IF(BZ44 &lt; 0,
    IF(CA43 + BZ44 &gt; 0,
        CA43 + BZ44, IF(CF43-ABS(CA43 + BZ44)*(1+$V44) &gt;= CA43 + BZ44,
        0, CA43 + BZ44)),
    MIN(CA43 + BZ44, Analysis!$C$7))+IF(CA43&lt;0, CA43*Analysis!$C$9,0)</f>
        <v>-5454685.5429809419</v>
      </c>
      <c r="CB44" s="42"/>
      <c r="CC44" s="1">
        <f t="shared" si="47"/>
        <v>0</v>
      </c>
      <c r="CD44" s="1">
        <f>IF(BZ44 &gt;= 0,
    MAX(0, CA43 + BZ44 - Analysis!$C$7),
    0)</f>
        <v>0</v>
      </c>
      <c r="CE44" s="1">
        <f>IF($B44=Analysis!$C$66,0,MAX(0, CE43 + CD44 - IF(BZ44 &lt; 0, MIN(ABS(BZ44), CE43 + CD44), 0)))</f>
        <v>0</v>
      </c>
      <c r="CF44" s="1">
        <f>IF($B44=Analysis!$C$66,0,IF(BZ44 &lt; 0,
    IF(BZ44 + CA43 &lt; 0,
        MAX(0, CF43 - (ABS(BZ44 + CA43) * (1+$V43))),
        CF43 + CC44),
    CF43 + CD44 + CC44))</f>
        <v>0</v>
      </c>
      <c r="CG44" s="1">
        <f t="shared" si="25"/>
        <v>0</v>
      </c>
      <c r="CH44" s="36"/>
      <c r="CI44" s="1">
        <f>IF(OR($B44&lt;Analysis!$C$100, $B44&gt;=Analysis!$C$130),0,X44)</f>
        <v>0</v>
      </c>
      <c r="CJ44" s="1">
        <f>IF(OR($B44&lt;Analysis!$C$100, $B44&gt;=Analysis!$C$130),0,Z44)</f>
        <v>0</v>
      </c>
      <c r="CK44" s="1">
        <f t="shared" si="60"/>
        <v>1755547.1145034551</v>
      </c>
      <c r="CL44" s="64">
        <f t="shared" si="48"/>
        <v>2.941176470588247E-2</v>
      </c>
      <c r="CM44" s="1">
        <f>IF($B44=Analysis!$C$100,(CK44*(1+Analysis!$C$23+Analysis!$C$24+Analysis!$C$25))-IF($B44=$B$2,(Analysis!$C$6-Analysis!$C$7+Analysis!$C$105), (FU43-Analysis!$C$7+CV44)),0)</f>
        <v>0</v>
      </c>
      <c r="CN44" s="65">
        <f>IF($B44=Analysis!$C$100,NPER(CR44,-CU44,-CM44),0)</f>
        <v>0</v>
      </c>
      <c r="CO44" s="64">
        <f>IF($B44=Analysis!$C$100,Analysis!$C$103,0)</f>
        <v>0</v>
      </c>
      <c r="CP44" s="1">
        <f>IF(OR($B44&lt;Analysis!$C$100, $B44&gt;=Analysis!$C$101),0,IF($B44=Analysis!$C$100,-CM44*CO44,IF(CU44&gt;=0,0,CU44-CS44)))</f>
        <v>0</v>
      </c>
      <c r="CQ44" s="1">
        <f>IF(OR($B44&lt;Analysis!$C$100, $B44&gt;=Analysis!$C$101),0,IF($B44=Analysis!$C$100,-CM44-CP44,MIN(0,CQ43-CP44)))</f>
        <v>0</v>
      </c>
      <c r="CR44" s="64">
        <f>IF(OR($B44&lt;Analysis!$C$100, $B44&gt;=Analysis!$C$101),0,IF($B44=Analysis!$C$100,Analysis!$C$102,IF(($B44-Analysis!$C$100)&lt;LOOKUP(Analysis!$C$100,$B:$B,CN:CN),CR43,0)))</f>
        <v>0</v>
      </c>
      <c r="CS44" s="1">
        <f>IF(OR($B44&lt;Analysis!$C$100, $B44&gt;=Analysis!$C$101),0,IF($B44=Analysis!$C$100,-CR44*CM44,CR43*CQ43))</f>
        <v>0</v>
      </c>
      <c r="CT44" s="1">
        <f>IF(OR($B44&lt;Analysis!$C$100, $B44&gt;=Analysis!$C$101),0,IF($B44=Analysis!$C$100,PMT(CR44,CN44,CM44)*CN44-CU44-CQ44,IF(($B44-Analysis!$C$100+1)&lt;LOOKUP(Analysis!$C$100,$B:$B,CN:CN),IF(CT43-CS44&lt;0, CT43-CS44,0),0)))</f>
        <v>0</v>
      </c>
      <c r="CU44" s="1">
        <f>IF(OR($B44&lt;Analysis!$C$100, $B44&gt;=Analysis!$C$101),0,IF($B44=Analysis!$C$100,CP44+CS44,IF(CQ43&lt;0,IF(CQ43&gt;LOOKUP(Analysis!$C$100,$B:$B,CU:CU), CQ43*(1+CR43),CU43),0)))</f>
        <v>0</v>
      </c>
      <c r="CV44" s="1">
        <f>IF($B44=Analysis!$C$100,Analysis!$C$105,0)</f>
        <v>0</v>
      </c>
      <c r="CW44" s="1">
        <f>IF($B44=Analysis!$C$100,PMT(CR44,CX44,CV44)*CX44,0)</f>
        <v>0</v>
      </c>
      <c r="CX44" s="7">
        <f>IF($B44=Analysis!$C$100,Analysis!$C$107,0)</f>
        <v>0</v>
      </c>
      <c r="CY44" s="1">
        <f>IF(OR($B44&lt;Analysis!$C$100, $B44&gt;=Analysis!$C$101),0,IF($B44=Analysis!$C$100,CW44/CX44,IF(($B44-Analysis!$C$100)&lt;LOOKUP(Analysis!$C$100,$B:$B,CX:CX),CY43,0)))</f>
        <v>0</v>
      </c>
      <c r="CZ44" s="1">
        <f>IF(OR($B44&lt;Analysis!$C$100, $B44&gt;=Analysis!$C$101),0,IF($B44=Analysis!$C$100,CX44*CY44-CY44,IF(($B44-Analysis!$C$100)&lt;Analysis!$C$107,CZ43-CY44,0)))</f>
        <v>0</v>
      </c>
      <c r="DA44" s="53"/>
      <c r="DB44" s="1">
        <f>IF(OR($B44&lt;Analysis!$C$100, $B44&gt;=Analysis!$C$101),0,IF($B44=2025,(Analysis!$C$109*12),IF($B44=Analysis!$C$100,(Analysis!$C$109*12)*(1+DC44)^($B44-$B$2),DB43*(1+DC44))))</f>
        <v>0</v>
      </c>
      <c r="DC44" s="64">
        <f>IF(OR($B44&lt;Analysis!$C$100, $B44&gt;=Analysis!$C$101),0,((1+Analysis!$C$114)/(1+$S44))-1)</f>
        <v>0</v>
      </c>
      <c r="DD44" s="1">
        <f t="shared" si="6"/>
        <v>0</v>
      </c>
      <c r="DE44" s="1">
        <f t="shared" si="27"/>
        <v>0</v>
      </c>
      <c r="DF44" s="64">
        <f>IF(OR($B44&lt;Analysis!$C$100, $B44&gt;=Analysis!$C$101),0,Analysis!$C$118)</f>
        <v>0</v>
      </c>
      <c r="DG44" s="1">
        <f t="shared" si="28"/>
        <v>0</v>
      </c>
      <c r="DH44" s="64">
        <f>IF(OR($B44&lt;Analysis!$C$100, $B44&gt;=Analysis!$C$101),0,Analysis!$C$119)</f>
        <v>0</v>
      </c>
      <c r="DI44" s="1">
        <f>IF(OR($B44&lt;Analysis!$C$100, $B44&gt;=Analysis!$C$101),0,MIN(Analysis!$C$120*12,SUM(DJ44:DN44)))</f>
        <v>0</v>
      </c>
      <c r="DJ44" s="1">
        <f>IF(OR($B44&lt;Analysis!$C$100, $B44&gt;=Analysis!$C$101),0,Analysis!$C$121*12)</f>
        <v>0</v>
      </c>
      <c r="DK44" s="1">
        <f>IF(OR($B44&lt;Analysis!$C$100, $B44&gt;=Analysis!$C$101),0,Analysis!$C$122*12)</f>
        <v>0</v>
      </c>
      <c r="DL44" s="1">
        <f>IF(OR($B44&lt;Analysis!$C$100, $B44&gt;=Analysis!$C$101),0,Analysis!$C$123*12)</f>
        <v>0</v>
      </c>
      <c r="DM44" s="1">
        <f>IF(OR($B44&lt;Analysis!$C$100, $B44&gt;=Analysis!$C$101),0,Analysis!$C$124*12)</f>
        <v>0</v>
      </c>
      <c r="DN44" s="1">
        <f>IF(OR($B44&lt;Analysis!$C$100, $B44&gt;=Analysis!$C$101),0,Analysis!$C$125*12)</f>
        <v>0</v>
      </c>
      <c r="DO44" s="64">
        <f>IF(OR($B44&lt;Analysis!$C$100, $B44&gt;=Analysis!$C$101),0,Analysis!$C$113)</f>
        <v>0</v>
      </c>
      <c r="DP44" s="1">
        <f>-DO44*LOOKUP(Analysis!$C$100,$B:$B,CK:CK)</f>
        <v>0</v>
      </c>
      <c r="DQ44" s="1">
        <f>-Analysis!$C$117*DB44</f>
        <v>0</v>
      </c>
      <c r="DR44" s="1">
        <f t="shared" si="29"/>
        <v>0</v>
      </c>
      <c r="DS44" s="1">
        <f>MIN(0,-(DB44+DR44)*Analysis!$C$28)-CS44*Analysis!$C$28</f>
        <v>0</v>
      </c>
      <c r="DT44" s="1">
        <f>-Analysis!$C$116*DD44/12</f>
        <v>0</v>
      </c>
      <c r="DU44" s="53"/>
      <c r="DV44" s="1">
        <f t="shared" si="30"/>
        <v>0</v>
      </c>
      <c r="DW44" s="64">
        <f>IF(OR($B44&lt;Analysis!$C$100, $B44&gt;=Analysis!$C$101),0,IF($B44=Analysis!$C$100,Analysis!$C$31,DW43))</f>
        <v>0</v>
      </c>
      <c r="DX44" s="1">
        <f>IF(OR($B44&lt;Analysis!$C$100, $B44&gt;=Analysis!$C$101),0,CK44+DV44)</f>
        <v>0</v>
      </c>
      <c r="DY44" s="1">
        <f>IF(OR($B44&lt;Analysis!$C$100, $B44&gt;=Analysis!$C$101),0,IF($B44-Analysis!$C$100&gt;3,0,IF(CK44&gt;LOOKUP(Analysis!$C$100,$B:$B, CK:CK),$V44*(LOOKUP(Analysis!$C$100,$B:$B, CK:CK)-CK44),0)))</f>
        <v>0</v>
      </c>
      <c r="DZ44" s="1">
        <f t="shared" si="49"/>
        <v>0</v>
      </c>
      <c r="EA44" s="53"/>
      <c r="EB44" s="1">
        <f t="shared" si="31"/>
        <v>2331269.262908747</v>
      </c>
      <c r="EC44" s="64">
        <f t="shared" si="50"/>
        <v>2.941176470588247E-2</v>
      </c>
      <c r="ED44" s="1">
        <f>IF($B44=Analysis!$C$130,(EB44*(1+Analysis!$C$23+Analysis!$C$24+Analysis!$C$25))-(IF($B44=$B$2,(Analysis!$C$6-Analysis!$C$7+Analysis!$C$132), (FU43-Analysis!$C$7+EM44)) + IF($B44=Analysis!$C$101,DZ43+CQ43+CT43+CZ43,0)),0)</f>
        <v>0</v>
      </c>
      <c r="EE44" s="65">
        <f>IF($B44=Analysis!$C$130,IF(ED44&gt;0,NPER(EI44,-EL44,-ED44),0),0)</f>
        <v>0</v>
      </c>
      <c r="EF44" s="64">
        <f>IF($B44=Analysis!$C$130,Analysis!$C$137,0)</f>
        <v>0</v>
      </c>
      <c r="EG44" s="1">
        <f>IF($B44&lt;Analysis!$C$130,0,IF($B44=Analysis!$C$130,-ED44*EF44,IF(EL44&gt;=0,0,EL44-EJ44)))</f>
        <v>0</v>
      </c>
      <c r="EH44" s="1">
        <f>IF($B44&lt;Analysis!$C$130,0,IF($B44=Analysis!$C$130,-ED44-EG44,MIN(0,EH43-EG44)))</f>
        <v>0</v>
      </c>
      <c r="EI44" s="64">
        <f>IF($B44&lt;Analysis!$C$130,0,IF($B44=Analysis!$C$130,Analysis!$C$136,IF(($B44-Analysis!$C$130)&lt;LOOKUP(Analysis!$C$130,$B:$B,EE:EE),EI43,0)))</f>
        <v>0</v>
      </c>
      <c r="EJ44" s="1">
        <f>IF($B44&lt;Analysis!$C$130,0,IF($B44=Analysis!$C$130,-EI44*ED44,EI43*EH43))</f>
        <v>0</v>
      </c>
      <c r="EK44" s="1">
        <f>IF(OR($B44&lt;Analysis!$C$130, ED44=0),0,IF($B44=Analysis!$C$130,PMT(EI44,EE44,ED44)*EE44-EL44-EH44,IF(($B44-Analysis!$C$130+1)&lt;LOOKUP(Analysis!$C$130,$B:$B,EE:EE),IF(EK43-EJ44&lt;0, EK43-EJ44,0),0)))</f>
        <v>0</v>
      </c>
      <c r="EL44" s="1">
        <f>IF($B44&lt;Analysis!$C$130,0,IF($B44=Analysis!$C$130,EG44+EJ44,IF(EH43&lt;0,IF(EH43&gt;LOOKUP(Analysis!$C$130,$B:$B,EL:EL), EH43*(1+EI43),EL43),0)))</f>
        <v>0</v>
      </c>
      <c r="EM44" s="1">
        <f>IF($B44=Analysis!$C$130,Analysis!$C$132,0)</f>
        <v>0</v>
      </c>
      <c r="EN44" s="1">
        <f>IF($B44=Analysis!$C$130,PMT(EI44,EO44,EM44)*EO44,0)</f>
        <v>0</v>
      </c>
      <c r="EO44" s="7">
        <f>IF($B44=Analysis!$C$130,Analysis!$C$134,0)</f>
        <v>0</v>
      </c>
      <c r="EP44" s="1">
        <f>IF($B44&lt;Analysis!$C$130,0,IF($B44=Analysis!$C$130,EN44/EO44,IF(($B44-Analysis!$C$130)&lt;LOOKUP(Analysis!$C$130,$B:$B,EO:EO),EP43,0)))</f>
        <v>-6072.8287787074187</v>
      </c>
      <c r="EQ44" s="1">
        <f>IF($B44&lt;Analysis!$C$130,0,IF($B44=Analysis!$C$130,EO44*EP44-EP44,IF(($B44-Analysis!$C$130)&lt;Analysis!$C$134,EQ43-EP44,0)))</f>
        <v>-12145.65755741483</v>
      </c>
      <c r="ER44" s="53"/>
      <c r="ES44" s="1">
        <f>IF($B44&lt;Analysis!$C$130,0,-ET44*EB44)</f>
        <v>-6993.8077887262407</v>
      </c>
      <c r="ET44" s="64">
        <f>IF($B44&lt;Analysis!$C$130,0,Analysis!$C$142)</f>
        <v>3.0000000000000001E-3</v>
      </c>
      <c r="EU44" s="1">
        <f>IF($B44&lt;Analysis!$C$130,0,-EV44*EB44)</f>
        <v>-23312.692629087469</v>
      </c>
      <c r="EV44" s="64">
        <f>IF($B44&lt;Analysis!$C$130,0,Analysis!$C$143)</f>
        <v>0.01</v>
      </c>
      <c r="EW44" s="1">
        <f>IF($B44&lt;Analysis!$C$130,0,MIN(Analysis!$C$144*12,SUM(EX44:FB44)))</f>
        <v>-3960</v>
      </c>
      <c r="EX44" s="1">
        <f>IF($B44&lt;Analysis!$C$130,0,Analysis!$C$145*12)</f>
        <v>-900</v>
      </c>
      <c r="EY44" s="1">
        <f>IF($B44&lt;Analysis!$C$130,0,Analysis!$C$146*12)</f>
        <v>-1500</v>
      </c>
      <c r="EZ44" s="1">
        <f>IF($B44&lt;Analysis!$C$130,0,Analysis!$C$147*12)</f>
        <v>-480</v>
      </c>
      <c r="FA44" s="1">
        <f>IF($B44&lt;Analysis!$C$130,0,Analysis!$C$148*12)</f>
        <v>-480</v>
      </c>
      <c r="FB44" s="1">
        <f>IF($B44&lt;Analysis!$C$130,0,Analysis!$C$149*12)</f>
        <v>-600</v>
      </c>
      <c r="FC44" s="1">
        <v>0</v>
      </c>
      <c r="FD44" s="1">
        <f>-FC44*Analysis!$C$28</f>
        <v>0</v>
      </c>
      <c r="FE44" s="53"/>
      <c r="FF44" s="1">
        <f t="shared" si="32"/>
        <v>-297236.83102086524</v>
      </c>
      <c r="FG44" s="64">
        <f>IF($B44&lt;Analysis!$C$130,0,Analysis!$C$31)</f>
        <v>0.1275</v>
      </c>
      <c r="FH44" s="1">
        <f>IF($B44&lt;Analysis!$C$130,0,EB44+FF44)</f>
        <v>2034032.4318878818</v>
      </c>
      <c r="FI44" s="1">
        <f>IF($B44-Analysis!$C$130&gt;3,0,IF(EB44&gt;LOOKUP(Analysis!$C$130,$B:$B, EB:EB),$V44*(LOOKUP(Analysis!$C$130,$B:$B, EB:EB)-EB44),0))</f>
        <v>0</v>
      </c>
      <c r="FJ44" s="1">
        <f t="shared" si="33"/>
        <v>2034032.4318878818</v>
      </c>
      <c r="FK44" s="53"/>
      <c r="FL44" s="1">
        <f>$P44+$N44+IF($B44&lt;Analysis!$C$130,$X44+$Z44,0)+CP44+CS44+CY44+DE44+DG44+MIN(DI44,SUM(DJ44:DN44))+DQ44+DS44+DT44+EG44+EJ44+EP44+ES44+EU44+MIN(EW44,SUM(EX44:FB44))+FD44</f>
        <v>-88339.329196521139</v>
      </c>
      <c r="FM44" s="1">
        <f>$M44+$R44+DD44+IF(AND($B44&lt;&gt;Analysis!$C$130,$B44=Analysis!$C$101),DZ43+CQ43+CT43+CZ43,0)</f>
        <v>57065.330484314036</v>
      </c>
      <c r="FN44" s="1">
        <f t="shared" si="34"/>
        <v>-31273.998712207103</v>
      </c>
      <c r="FO44" s="1">
        <f>IF(FN44 &lt; 0,
    IF(FO43 + FN44 &gt; 0,
        FO43 + FN44, IF(FT43-ABS(FO43 + FN44)*(1+$V44) &gt;= FO43 + FN44,
        0, FO43 + FN44)),
    MIN(FO43 + FN44, Analysis!$C$7))+IF(FO43&lt;0, FO43*Analysis!$C$9,0)</f>
        <v>-208090.27451991246</v>
      </c>
      <c r="FP44" s="53"/>
      <c r="FQ44" s="1">
        <f t="shared" si="51"/>
        <v>0</v>
      </c>
      <c r="FR44" s="1">
        <f>IF(OR($B44=Analysis!$C$100, $B44=Analysis!$C$130),0,IF(FN44 &gt;= 0,
    MAX(0, FO43 + FN44 - Analysis!$C$7),
    0))</f>
        <v>0</v>
      </c>
      <c r="FS44" s="1">
        <f>IF(OR($B44=Analysis!$C$100, $B44=Analysis!$C$130),0,MAX(0, FS43 + FR44 - IF(FN44 &lt; 0, MIN(ABS(FN44), FS43 + FR44), 0)))</f>
        <v>0</v>
      </c>
      <c r="FT44" s="1">
        <f>IF(OR($B44=Analysis!$C$100, $B44=Analysis!$C$130),0,IF(FN44 &lt; 0,
    IF(FN44 + FO43 &lt; 0,
        MAX(0, FT43 - (ABS(FN44 + FO43) * (1+$V43))),
        FT43 + FQ44),
    FT43 + FR44 + FQ44))</f>
        <v>0</v>
      </c>
      <c r="FU44" s="1">
        <f t="shared" si="57"/>
        <v>0</v>
      </c>
      <c r="FV44" s="36"/>
      <c r="FW44" s="1">
        <f t="shared" si="52"/>
        <v>1755547.1145034551</v>
      </c>
      <c r="FX44" s="64">
        <f t="shared" si="53"/>
        <v>2.941176470588247E-2</v>
      </c>
      <c r="FY44" s="1">
        <f>IF($B44=Analysis!$C$159,(FW44*(1+Analysis!$C$23+Analysis!$C$24+Analysis!$C$25))-IF($B44=$B$2,(Analysis!$C$6-Analysis!$C$7+Analysis!$C$165), (HW43-Analysis!$C$7+GH44)),0)</f>
        <v>0</v>
      </c>
      <c r="FZ44" s="65">
        <f>IF($B44=Analysis!$C$159,NPER(GD44,-GG44,-FY44),0)</f>
        <v>0</v>
      </c>
      <c r="GA44" s="64">
        <f>IF($B44=Analysis!$C$159,Analysis!$C$161,0)</f>
        <v>0</v>
      </c>
      <c r="GB44" s="1">
        <f>IF($B44&lt;Analysis!$C$159,0,IF($B44=Analysis!$C$159,-FY44*GA44,IF(GG44&gt;=0,0,GG44-GE44)))</f>
        <v>0</v>
      </c>
      <c r="GC44" s="1">
        <f>IF($B44&lt;Analysis!$C$159,0,IF($B44=Analysis!$C$159,-FY44-GB44,MIN(0,GC43-GB44)))</f>
        <v>0</v>
      </c>
      <c r="GD44" s="64">
        <f>IF($B44&lt;Analysis!$C$159,0,IF($B44=Analysis!$C$159,Analysis!$C$160,IF(($B44-Analysis!$C$159)&lt;LOOKUP(Analysis!$C$159,$B:$B,FZ:FZ),GD43,0)))</f>
        <v>0</v>
      </c>
      <c r="GE44" s="1">
        <f>IF($B44&lt;Analysis!$C$159,0,IF($B44=Analysis!$C$159,-GD44*FY44,GD43*GC43))</f>
        <v>0</v>
      </c>
      <c r="GF44" s="1">
        <f>IF($B44&lt;Analysis!$C$159,0,IF($B44=Analysis!$C$159,PMT(GD44,FZ44,FY44)*FZ44-GG44-GC44,IF(($B44-Analysis!$C$159+1)&lt;LOOKUP(Analysis!$C$159,$B:$B,FZ:FZ),IF(GF43-GE44&lt;0, GF43-GE44,0),0)))</f>
        <v>0</v>
      </c>
      <c r="GG44" s="1">
        <f>IF($B44&lt;Analysis!$C$159,0,IF($B44=Analysis!$C$159,GB44+GE44,IF(GC43&lt;0,IF(GC43&gt;LOOKUP(Analysis!$C$159,$B:$B,GG:GG), GC43*(1+GD43),GG43),0)))</f>
        <v>0</v>
      </c>
      <c r="GH44" s="1">
        <f>IF($B44=Analysis!$C$159,Analysis!$C$165,0)</f>
        <v>0</v>
      </c>
      <c r="GI44" s="1">
        <f>IF($B44=Analysis!$C$159,PMT(GD44,GJ44,GH44)*GJ44,0)</f>
        <v>0</v>
      </c>
      <c r="GJ44" s="7">
        <f>IF($B44=Analysis!$C$159,Analysis!$C$167,0)</f>
        <v>0</v>
      </c>
      <c r="GK44" s="1">
        <f>IF($B44&lt;Analysis!$C$159,0,IF($B44=Analysis!$C$159,GI44/GJ44,IF(($B44-Analysis!$C$159)&lt;LOOKUP(Analysis!$C$159,$B:$B,GJ:GJ),GK43,0)))</f>
        <v>0</v>
      </c>
      <c r="GL44" s="1">
        <f>IF($B44&lt;Analysis!$C$159,0,IF($B44=Analysis!$C$159,GJ44*GK44-GK44,IF(($B44-Analysis!$C$159)&lt;Analysis!$C$167,GL43-GK44,0)))</f>
        <v>0</v>
      </c>
      <c r="GM44" s="38"/>
      <c r="GN44" s="1">
        <f>IF($B44&lt;Analysis!$C$159,0,IF($B44=2025,(Analysis!$C$109*12),IF($B44=Analysis!$C$159,(Analysis!$C$109*12)*(1+GO44)^($B44-$B$2),GN43*(1+GO44))))</f>
        <v>46828.10432451481</v>
      </c>
      <c r="GO44" s="64">
        <f>IF($B44&lt;Analysis!$C$159,0,((1+Analysis!$C$174)/(1+$S44))-1)</f>
        <v>2.941176470588247E-2</v>
      </c>
      <c r="GP44" s="1">
        <f t="shared" si="7"/>
        <v>56054.745668025178</v>
      </c>
      <c r="GQ44" s="1">
        <f t="shared" si="36"/>
        <v>-5266.641343510365</v>
      </c>
      <c r="GR44" s="64">
        <f>IF($B44&lt;Analysis!$C$159,0,Analysis!$C$178)</f>
        <v>3.0000000000000001E-3</v>
      </c>
      <c r="GS44" s="1">
        <f t="shared" si="37"/>
        <v>-13166.603358775912</v>
      </c>
      <c r="GT44" s="64">
        <f>IF($B44&lt;Analysis!$C$159,0,Analysis!$C$179)</f>
        <v>7.4999999999999997E-3</v>
      </c>
      <c r="GU44" s="1">
        <f>IF($B44&lt;Analysis!$C$159,0,MIN(Analysis!$C$180*12,SUM(GV44:GZ44)))</f>
        <v>-3960</v>
      </c>
      <c r="GV44" s="1">
        <f>IF($B44&lt;Analysis!$C$159,0,Analysis!$C$181*12)</f>
        <v>-900</v>
      </c>
      <c r="GW44" s="1">
        <f>IF($B44&lt;Analysis!$C$159,0,Analysis!$C$182*12)</f>
        <v>-1500</v>
      </c>
      <c r="GX44" s="1">
        <f>IF($B44&lt;Analysis!$C$159,0,Analysis!$C$183*12)</f>
        <v>-480</v>
      </c>
      <c r="GY44" s="1">
        <f>IF($B44&lt;Analysis!$C$159,0,Analysis!$C$184*12)</f>
        <v>-480</v>
      </c>
      <c r="GZ44" s="1">
        <f>IF($B44&lt;Analysis!$C$159,0,Analysis!$C$185*12)</f>
        <v>-600</v>
      </c>
      <c r="HA44" s="64">
        <f>IF($B44&lt;Analysis!$C$159,0,Analysis!$C$173)</f>
        <v>0.02</v>
      </c>
      <c r="HB44" s="1">
        <f>-HA44*LOOKUP(Analysis!$C$159,$B:$B,FW:FW)</f>
        <v>-10392</v>
      </c>
      <c r="HC44" s="1">
        <f>-Analysis!$C$177*GN44</f>
        <v>-3512.1078243386105</v>
      </c>
      <c r="HD44" s="1">
        <f t="shared" si="38"/>
        <v>-36297.352526624883</v>
      </c>
      <c r="HE44" s="1">
        <f>MIN(0,-(GN44+HD44)*Analysis!$C$28)-GE44*Analysis!$C$28</f>
        <v>-4666.1761216450259</v>
      </c>
      <c r="HF44" s="1">
        <f>-Analysis!$C$176*GP44/12</f>
        <v>-4671.2288056687648</v>
      </c>
      <c r="HG44" s="38"/>
      <c r="HH44" s="1">
        <f>IF($B44&lt;Analysis!$C$159,0,-$HI44*$FW44)</f>
        <v>-223832.25709919052</v>
      </c>
      <c r="HI44" s="64">
        <f>IF($B44&lt;Analysis!$C$159,0,IF($B44=Analysis!$C$159,Analysis!$C$31,HI43))</f>
        <v>0.1275</v>
      </c>
      <c r="HJ44" s="1">
        <f>IF($B44&lt;Analysis!$C$159,0,$FW44+HH44)</f>
        <v>1531714.8574042646</v>
      </c>
      <c r="HK44" s="1">
        <f>IF($B44-Analysis!$C$159&gt;10,0,IF($FW44&gt;LOOKUP(Analysis!$C$159,$B:$B, FW:FW),$V44*(LOOKUP(Analysis!$C$159,$B:$B, FW:FW)-FW44),0))</f>
        <v>0</v>
      </c>
      <c r="HL44" s="1">
        <f t="shared" si="39"/>
        <v>1531714.8574042646</v>
      </c>
      <c r="HM44" s="38"/>
      <c r="HN44" s="1">
        <f t="shared" si="40"/>
        <v>-140720.59096766988</v>
      </c>
      <c r="HO44" s="1">
        <f t="shared" si="8"/>
        <v>113120.07615233921</v>
      </c>
      <c r="HP44" s="1">
        <f t="shared" si="41"/>
        <v>-27600.514815330665</v>
      </c>
      <c r="HQ44" s="1">
        <f>IF(HP44 &lt; 0,
    IF(HQ43 + HP44 &gt; 0,
        HQ43 + HP44, IF(HV43-ABS(HQ43 + HP44)*(1+$V44) &gt;= HQ43 + HP44,
        0, HQ43 + HP44)),
    MIN(HQ43 + HP44, Analysis!$C$7))+IF(HQ43&lt;0, HQ43*Analysis!$C$9,0)</f>
        <v>0</v>
      </c>
      <c r="HR44" s="38"/>
      <c r="HS44" s="1">
        <f t="shared" si="54"/>
        <v>19884.723910726101</v>
      </c>
      <c r="HT44" s="1">
        <f>IF($B44=Analysis!$C$159,0,IF(HP44 &gt;= 0,
    MAX(0, HQ43 + HP44 - Analysis!$C$7),
    0))</f>
        <v>0</v>
      </c>
      <c r="HU44" s="1">
        <f>IF($B44=Analysis!$C$159,0,MAX(0, HU43 + HT44 - IF(HP44 &lt; 0, MIN(ABS(HP44), HU43 + HT44), 0)))</f>
        <v>609787.92711653607</v>
      </c>
      <c r="HV44" s="1">
        <f>IF($B44=Analysis!$C$159,0,IF(HP44 &lt; 0,
    IF(HP44 + HQ43 &lt; 0,
        MAX(0, HV43 - (ABS(HP44 + HQ43) * (1+$V43))),
        HV43 + HS44),
    HV43 + HT44 + HS44))</f>
        <v>979240.76884916076</v>
      </c>
      <c r="HW44" s="1">
        <f t="shared" si="58"/>
        <v>881797.58184218104</v>
      </c>
      <c r="HX44" s="36"/>
    </row>
    <row r="45" spans="1:232" x14ac:dyDescent="0.35">
      <c r="A45">
        <f t="shared" si="0"/>
        <v>78</v>
      </c>
      <c r="B45">
        <v>2068</v>
      </c>
      <c r="C45" s="1">
        <f>IF($B45&lt;Analysis!C$66,0,$AN45)+$AT45+$AW45+$BC45+$CF45+$CA45</f>
        <v>-2824157.8439837694</v>
      </c>
      <c r="D45" s="1">
        <f>IF($B45&lt;Analysis!C$66, 0, BV45)+AT45+AW45+BC45+CG45+CA45</f>
        <v>-3218826.5262642447</v>
      </c>
      <c r="E45" s="1">
        <f t="shared" si="1"/>
        <v>1788144.4593570139</v>
      </c>
      <c r="F45" s="1">
        <f t="shared" si="9"/>
        <v>1512342.2699498478</v>
      </c>
      <c r="G45" s="1">
        <f>IF(AND($B45&gt;=Analysis!$C$100, $B45&lt;Analysis!$C$101),$CK45,0)+IF($B45&gt;=Analysis!$C$130,EB45,0)+CQ45+CT45+CZ45+EH45+EK45+EQ45+$FO45+$FT45</f>
        <v>2135719.0076940213</v>
      </c>
      <c r="H45" s="1">
        <f t="shared" si="10"/>
        <v>1829739.9169372485</v>
      </c>
      <c r="I45" s="1">
        <f>IF($B45&lt;Analysis!$C$159,0,$FW45)+$GC45+$GF45+$GL45+$HQ45+$HV45</f>
        <v>2748659.3913694578</v>
      </c>
      <c r="J45" s="1">
        <f t="shared" si="59"/>
        <v>2422879.2957700356</v>
      </c>
      <c r="K45" s="36"/>
      <c r="L45" s="1">
        <f t="shared" si="11"/>
        <v>55924.023874627754</v>
      </c>
      <c r="M45" s="1">
        <f>IF($B45=Analysis!$C$47, M44 * (1 - Analysis!$C$48),
    IF($B45=Analysis!$C$52, M44 * (1 - Analysis!$C$53),
    IF($B45=Analysis!$C$58, M44 * (1 - Analysis!$C$60),
    L45)))</f>
        <v>55924.023874627754</v>
      </c>
      <c r="N45" s="1">
        <f>Analysis!$C$3*12*(1+O45)+P45</f>
        <v>-48000</v>
      </c>
      <c r="O45" s="64">
        <f>IF(OR($B45=Analysis!$C$47,$B45=Analysis!$C$52,$B45=Analysis!$C$58),-Analysis!$C$49,0)</f>
        <v>0</v>
      </c>
      <c r="P45" s="1">
        <f>IF($B45&lt;Analysis!$C$47,0,IF($B45-Analysis!$C$47&lt;=3,Analysis!$C$40+Analysis!$C$44,IF($B45-Analysis!$C$47&lt;=10,Analysis!$C$41+Analysis!$C$44,IF($B45-Analysis!$C$47&lt;=18,Analysis!$C$42+Analysis!$C$44,IF($B45-Analysis!$C$47&lt;=25,Analysis!$C$43+Analysis!$C$44,0)))) + IF(AND($B45&gt;=Analysis!$C$52, $B45-Analysis!$C$52&lt;=3),Analysis!$C$40+Analysis!$C$44,IF(AND($B45&gt;=Analysis!$C$52, $B45-Analysis!$C$52&lt;=10),Analysis!$C$41+Analysis!$C$44,IF(AND($B45&gt;=Analysis!$C$52, $B45-Analysis!$C$52&lt;=18),Analysis!$C$42+Analysis!$C$44,IF(AND($B45&gt;=Analysis!$C$52, $B45-Analysis!$C$52&lt;=25),Analysis!$C$43+Analysis!$C$44,0)))) + Analysis!$C$57*IF(AND($B45&gt;=Analysis!$C$58, $B45-Analysis!$C$58&lt;=3),Analysis!$C$40+Analysis!$C$44,IF(AND($B45&gt;=Analysis!$C$58, $B45-Analysis!$C$58&lt;=10),Analysis!$C$41+Analysis!$C$44,IF(AND($B45&gt;=Analysis!$C$58, $B45-Analysis!$C$58&lt;=18),Analysis!$C$42+Analysis!$C$44,IF(AND($B45&gt;=Analysis!$C$58, $B45-Analysis!$C$58&lt;=25),Analysis!$C$43+Analysis!$C$44,0)))))</f>
        <v>0</v>
      </c>
      <c r="Q45" s="1">
        <f t="shared" si="43"/>
        <v>0</v>
      </c>
      <c r="R45" s="1">
        <f>IF(AND(AND(B45=Analysis!C$35,Analysis!C$34&lt;&gt;0),AND(B45=Analysis!C$37,Analysis!C$36&lt;&gt;0)),Analysis!C$34+Analysis!C$36,IF(AND(B45=Analysis!C$35,Analysis!C$34&lt;&gt;0),Analysis!C$34,IF(AND(B45=Analysis!C$37,Analysis!C$36&lt;&gt;0),Analysis!C$36,0)))</f>
        <v>0</v>
      </c>
      <c r="S45" s="64">
        <f t="shared" si="12"/>
        <v>0.02</v>
      </c>
      <c r="T45" s="64">
        <f>IF($B45&lt;Analysis!$C$13, ((1+IF($B45-$B$2&lt;10,Analysis!$C$11,IF($B45-$B$2&lt;20,(Analysis!$C$11+Analysis!$C$12)/2,Analysis!$C$12)))/(1+$S45)-1),IF($B45=Analysis!$C$13,-Analysis!$C$14,-$S45))</f>
        <v>-0.02</v>
      </c>
      <c r="U45" s="64">
        <f>IF($B45=$B$2,((1+Analysis!$C$16)/(1+$S45))-1,IF(B45&lt;Analysis!$C$13,U44-((Analysis!$C$16-Analysis!$C$17)/(Analysis!$C$13-$B$2)),((1+Analysis!$C$17)/(1+$S44))-1))</f>
        <v>1.9607843137254832E-2</v>
      </c>
      <c r="V45" s="64">
        <f t="shared" si="13"/>
        <v>0.26374999999999998</v>
      </c>
      <c r="W45" s="36"/>
      <c r="X45" s="1">
        <f t="shared" si="14"/>
        <v>-55091.887440605649</v>
      </c>
      <c r="Y45" s="64">
        <f t="shared" si="15"/>
        <v>2.941176470588247E-2</v>
      </c>
      <c r="Z45" s="1">
        <f t="shared" si="16"/>
        <v>-3960</v>
      </c>
      <c r="AA45" s="64">
        <f t="shared" si="17"/>
        <v>0</v>
      </c>
      <c r="AB45" s="40"/>
      <c r="AC45" s="1">
        <f t="shared" si="3"/>
        <v>-107051.88744060564</v>
      </c>
      <c r="AD45" s="1">
        <f t="shared" si="4"/>
        <v>55924.023874627754</v>
      </c>
      <c r="AE45" s="1">
        <f t="shared" si="18"/>
        <v>-51127.863565977888</v>
      </c>
      <c r="AF45" s="1">
        <f>IF(AE45 &lt; 0,
    IF(AF44 + AE45 &gt; 0,
        AF44 + AE45, IF(AK44-ABS(AF44 + AE45)*(1+$V45) &gt;= AF44 + AE45,
        0, AF44 + AE45)),
    MIN(AF44 + AE45, Analysis!$C$7))+IF(AF44&lt;0, AF44*Analysis!$C$9,0)</f>
        <v>0</v>
      </c>
      <c r="AG45" s="40"/>
      <c r="AH45" s="1">
        <f t="shared" si="19"/>
        <v>36328.574449774744</v>
      </c>
      <c r="AI45" s="1">
        <f>IF(AE45 &gt;= 0,
    MAX(0, AF44 + AE45 - Analysis!$C$7),
    0)</f>
        <v>0</v>
      </c>
      <c r="AJ45" s="1">
        <f t="shared" si="44"/>
        <v>742448.95449572103</v>
      </c>
      <c r="AK45" s="1">
        <f t="shared" si="20"/>
        <v>1788144.4593570139</v>
      </c>
      <c r="AL45" s="1">
        <f t="shared" si="5"/>
        <v>1512342.2699498478</v>
      </c>
      <c r="AM45" s="36"/>
      <c r="AN45" s="1">
        <f t="shared" si="45"/>
        <v>3095440.6453370592</v>
      </c>
      <c r="AO45" s="64">
        <f t="shared" si="21"/>
        <v>2.941176470588247E-2</v>
      </c>
      <c r="AP45" s="1">
        <f>IF($B45=Analysis!$C$66,(AN45*(1+Analysis!$C$23+Analysis!$C$24+Analysis!$C$25))-IF($B45=$B$2,(Analysis!$C$6-Analysis!$C$7+Analysis!$C$68), ($CG44-Analysis!$C$7+AY45)),0)</f>
        <v>0</v>
      </c>
      <c r="AQ45" s="65">
        <f>IF($B45=Analysis!$C$66,NPER(AU45,-AX45,-AP45),0)</f>
        <v>0</v>
      </c>
      <c r="AR45" s="64">
        <f>IF($B45=Analysis!$C$66,Analysis!$C$73,0)</f>
        <v>0</v>
      </c>
      <c r="AS45" s="1">
        <f>IF($B45&lt;Analysis!$C$66,0,IF($B45=Analysis!$C$66,-AP45*AR45,IF(AX45&gt;=0,0,AX45-AV45)))</f>
        <v>0</v>
      </c>
      <c r="AT45" s="1">
        <f>IF($B45&lt;Analysis!$C$66,0,IF($B45=Analysis!$C$66,-AP45-AS45,MIN(0,AT44-AS45)))</f>
        <v>0</v>
      </c>
      <c r="AU45" s="64">
        <f>IF($B45&lt;Analysis!$C$66,0,IF($B45=Analysis!$C$66,Analysis!$C$72,IF(($B45-Analysis!$C$66)&lt;LOOKUP(Analysis!$C$66,$B:$B,AQ:AQ),AU44,0)))</f>
        <v>0</v>
      </c>
      <c r="AV45" s="1">
        <f>IF($B45&lt;Analysis!$C$66,0,IF($B45=Analysis!$C$66,-AU45*AP45,AU44*AT44))</f>
        <v>0</v>
      </c>
      <c r="AW45" s="1">
        <f>IF($B45&lt;Analysis!$C$66,0,IF($B45=Analysis!$C$66,PMT(AU45,AQ45,AP45)*AQ45-AX45-AT45,IF(($B45-Analysis!$C$66+1)&lt;LOOKUP(Analysis!$C$66,$B:$B,AQ:AQ),IF(AW44-AV45&lt;0, AW44-AV45,0),0)))</f>
        <v>0</v>
      </c>
      <c r="AX45" s="1">
        <f>IF($B45&lt;Analysis!$C$66,0,IF($B45=Analysis!$C$66,AS45+AV45,IF(AT44&lt;0,IF(AT44&gt;LOOKUP(Analysis!$C$66,$B:$B,AX:AX), AT44*(1+AU44),AX44),0)))</f>
        <v>0</v>
      </c>
      <c r="AY45" s="1">
        <f>IF($B45=Analysis!$C$66,Analysis!$C$68,0)</f>
        <v>0</v>
      </c>
      <c r="AZ45" s="1">
        <f>IF($B45=Analysis!$C$66,PMT(AU45,BA45,AY45)*BA45,0)</f>
        <v>0</v>
      </c>
      <c r="BA45" s="7">
        <f>IF($B45=Analysis!$C$66,Analysis!$C$70,0)</f>
        <v>0</v>
      </c>
      <c r="BB45" s="1">
        <f>IF($B45&lt;Analysis!$C$66,0,IF($B45=Analysis!$C$66,AZ45/BA45,IF(($B45-Analysis!$C$66)&lt;LOOKUP(Analysis!$C$66,$B:$B,BA:BA),BB44,0)))</f>
        <v>0</v>
      </c>
      <c r="BC45" s="1">
        <f>IF($B45&lt;Analysis!$C$66,0,IF($B45=Analysis!$C$66,BA45*BB45-BB45,IF(($B45-Analysis!$C$66)&lt;Analysis!$C$70,BC44-BB45,0)))</f>
        <v>0</v>
      </c>
      <c r="BD45" s="42"/>
      <c r="BE45" s="1">
        <f>IF($B45&lt;Analysis!$C$66,0,-BF45*AN45)</f>
        <v>-9286.321936011178</v>
      </c>
      <c r="BF45" s="64">
        <f>IF($B45&lt;Analysis!$C$66,0,Analysis!$C$78)</f>
        <v>3.0000000000000001E-3</v>
      </c>
      <c r="BG45" s="1">
        <f>IF($B45&lt;Analysis!$C$66,0,-BH45*AN45)</f>
        <v>-23215.804840027944</v>
      </c>
      <c r="BH45" s="64">
        <f>IF($B45&lt;Analysis!$C$66,0,Analysis!$C$79)</f>
        <v>7.4999999999999997E-3</v>
      </c>
      <c r="BI45" s="1">
        <f>IF($B45&lt;Analysis!$C$66,0,MIN(Analysis!$C$80*12,SUM(BJ45:BN45)))</f>
        <v>-3960</v>
      </c>
      <c r="BJ45" s="1">
        <f>IF($B45&lt;Analysis!$C$66,0,Analysis!$C$81*12)</f>
        <v>-900</v>
      </c>
      <c r="BK45" s="1">
        <f>IF($B45&lt;Analysis!$C$66,0,Analysis!$C$82*12)</f>
        <v>-1500</v>
      </c>
      <c r="BL45" s="1">
        <f>IF($B45&lt;Analysis!$C$66,0,Analysis!$C$83*12)</f>
        <v>-480</v>
      </c>
      <c r="BM45" s="1">
        <f>IF($B45&lt;Analysis!$C$66,0,Analysis!$C$84*12)</f>
        <v>-480</v>
      </c>
      <c r="BN45" s="1">
        <f>IF($B45&lt;Analysis!$C$66,0,Analysis!$C$85*12)</f>
        <v>-600</v>
      </c>
      <c r="BO45" s="1">
        <v>0</v>
      </c>
      <c r="BP45" s="1">
        <f>-BO45*Analysis!$C$28</f>
        <v>0</v>
      </c>
      <c r="BQ45" s="42"/>
      <c r="BR45" s="1">
        <f t="shared" si="22"/>
        <v>-394668.68228047504</v>
      </c>
      <c r="BS45" s="64">
        <f>IF($B45&lt;Analysis!C$66,0,Analysis!C$31)</f>
        <v>0.1275</v>
      </c>
      <c r="BT45" s="1">
        <f>IF($B45&lt;Analysis!$C$66,0,AN45+BR45)</f>
        <v>2700771.9630565839</v>
      </c>
      <c r="BU45" s="1">
        <f>IF($B45-Analysis!$C$66&gt;3,0,IF($AN45&gt;LOOKUP(Analysis!$C$66,$B:$B, AN:AN),$V45*(LOOKUP(Analysis!$C$66,$B:$B, AN:AN)-AN45),0))</f>
        <v>0</v>
      </c>
      <c r="BV45" s="1">
        <f t="shared" si="23"/>
        <v>2700771.9630565839</v>
      </c>
      <c r="BW45" s="42"/>
      <c r="BX45" s="1">
        <f>IF($B45&lt;Analysis!$C$66,$P45+$N45+$X45+$Z45,$P45+$N45+AS45+AV45+BB45+BE45+BG45+MAX(BI45,SUM(BJ45:BN45))+BP45)</f>
        <v>-84462.12677603912</v>
      </c>
      <c r="BY45" s="1">
        <f t="shared" si="24"/>
        <v>55924.023874627754</v>
      </c>
      <c r="BZ45" s="1">
        <f t="shared" si="46"/>
        <v>-28538.102901411366</v>
      </c>
      <c r="CA45" s="1">
        <f>IF(BZ45 &lt; 0,
    IF(CA44 + BZ45 &gt; 0,
        CA44 + BZ45, IF(CF44-ABS(CA44 + BZ45)*(1+$V45) &gt;= CA44 + BZ45,
        0, CA44 + BZ45)),
    MIN(CA44 + BZ45, Analysis!$C$7))+IF(CA44&lt;0, CA44*Analysis!$C$9,0)</f>
        <v>-5919598.4893208286</v>
      </c>
      <c r="CB45" s="42"/>
      <c r="CC45" s="1">
        <f t="shared" si="47"/>
        <v>0</v>
      </c>
      <c r="CD45" s="1">
        <f>IF(BZ45 &gt;= 0,
    MAX(0, CA44 + BZ45 - Analysis!$C$7),
    0)</f>
        <v>0</v>
      </c>
      <c r="CE45" s="1">
        <f>IF($B45=Analysis!$C$66,0,MAX(0, CE44 + CD45 - IF(BZ45 &lt; 0, MIN(ABS(BZ45), CE44 + CD45), 0)))</f>
        <v>0</v>
      </c>
      <c r="CF45" s="1">
        <f>IF($B45=Analysis!$C$66,0,IF(BZ45 &lt; 0,
    IF(BZ45 + CA44 &lt; 0,
        MAX(0, CF44 - (ABS(BZ45 + CA44) * (1+$V44))),
        CF44 + CC45),
    CF44 + CD45 + CC45))</f>
        <v>0</v>
      </c>
      <c r="CG45" s="1">
        <f t="shared" si="25"/>
        <v>0</v>
      </c>
      <c r="CH45" s="36"/>
      <c r="CI45" s="1">
        <f>IF(OR($B45&lt;Analysis!$C$100, $B45&gt;=Analysis!$C$130),0,X45)</f>
        <v>0</v>
      </c>
      <c r="CJ45" s="1">
        <f>IF(OR($B45&lt;Analysis!$C$100, $B45&gt;=Analysis!$C$130),0,Z45)</f>
        <v>0</v>
      </c>
      <c r="CK45" s="1">
        <f t="shared" si="60"/>
        <v>1807180.8531653218</v>
      </c>
      <c r="CL45" s="64">
        <f t="shared" si="48"/>
        <v>2.941176470588247E-2</v>
      </c>
      <c r="CM45" s="1">
        <f>IF($B45=Analysis!$C$100,(CK45*(1+Analysis!$C$23+Analysis!$C$24+Analysis!$C$25))-IF($B45=$B$2,(Analysis!$C$6-Analysis!$C$7+Analysis!$C$105), (FU44-Analysis!$C$7+CV45)),0)</f>
        <v>0</v>
      </c>
      <c r="CN45" s="65">
        <f>IF($B45=Analysis!$C$100,NPER(CR45,-CU45,-CM45),0)</f>
        <v>0</v>
      </c>
      <c r="CO45" s="64">
        <f>IF($B45=Analysis!$C$100,Analysis!$C$103,0)</f>
        <v>0</v>
      </c>
      <c r="CP45" s="1">
        <f>IF(OR($B45&lt;Analysis!$C$100, $B45&gt;=Analysis!$C$101),0,IF($B45=Analysis!$C$100,-CM45*CO45,IF(CU45&gt;=0,0,CU45-CS45)))</f>
        <v>0</v>
      </c>
      <c r="CQ45" s="1">
        <f>IF(OR($B45&lt;Analysis!$C$100, $B45&gt;=Analysis!$C$101),0,IF($B45=Analysis!$C$100,-CM45-CP45,MIN(0,CQ44-CP45)))</f>
        <v>0</v>
      </c>
      <c r="CR45" s="64">
        <f>IF(OR($B45&lt;Analysis!$C$100, $B45&gt;=Analysis!$C$101),0,IF($B45=Analysis!$C$100,Analysis!$C$102,IF(($B45-Analysis!$C$100)&lt;LOOKUP(Analysis!$C$100,$B:$B,CN:CN),CR44,0)))</f>
        <v>0</v>
      </c>
      <c r="CS45" s="1">
        <f>IF(OR($B45&lt;Analysis!$C$100, $B45&gt;=Analysis!$C$101),0,IF($B45=Analysis!$C$100,-CR45*CM45,CR44*CQ44))</f>
        <v>0</v>
      </c>
      <c r="CT45" s="1">
        <f>IF(OR($B45&lt;Analysis!$C$100, $B45&gt;=Analysis!$C$101),0,IF($B45=Analysis!$C$100,PMT(CR45,CN45,CM45)*CN45-CU45-CQ45,IF(($B45-Analysis!$C$100+1)&lt;LOOKUP(Analysis!$C$100,$B:$B,CN:CN),IF(CT44-CS45&lt;0, CT44-CS45,0),0)))</f>
        <v>0</v>
      </c>
      <c r="CU45" s="1">
        <f>IF(OR($B45&lt;Analysis!$C$100, $B45&gt;=Analysis!$C$101),0,IF($B45=Analysis!$C$100,CP45+CS45,IF(CQ44&lt;0,IF(CQ44&gt;LOOKUP(Analysis!$C$100,$B:$B,CU:CU), CQ44*(1+CR44),CU44),0)))</f>
        <v>0</v>
      </c>
      <c r="CV45" s="1">
        <f>IF($B45=Analysis!$C$100,Analysis!$C$105,0)</f>
        <v>0</v>
      </c>
      <c r="CW45" s="1">
        <f>IF($B45=Analysis!$C$100,PMT(CR45,CX45,CV45)*CX45,0)</f>
        <v>0</v>
      </c>
      <c r="CX45" s="7">
        <f>IF($B45=Analysis!$C$100,Analysis!$C$107,0)</f>
        <v>0</v>
      </c>
      <c r="CY45" s="1">
        <f>IF(OR($B45&lt;Analysis!$C$100, $B45&gt;=Analysis!$C$101),0,IF($B45=Analysis!$C$100,CW45/CX45,IF(($B45-Analysis!$C$100)&lt;LOOKUP(Analysis!$C$100,$B:$B,CX:CX),CY44,0)))</f>
        <v>0</v>
      </c>
      <c r="CZ45" s="1">
        <f>IF(OR($B45&lt;Analysis!$C$100, $B45&gt;=Analysis!$C$101),0,IF($B45=Analysis!$C$100,CX45*CY45-CY45,IF(($B45-Analysis!$C$100)&lt;Analysis!$C$107,CZ44-CY45,0)))</f>
        <v>0</v>
      </c>
      <c r="DA45" s="53"/>
      <c r="DB45" s="1">
        <f>IF(OR($B45&lt;Analysis!$C$100, $B45&gt;=Analysis!$C$101),0,IF($B45=2025,(Analysis!$C$109*12),IF($B45=Analysis!$C$100,(Analysis!$C$109*12)*(1+DC45)^($B45-$B$2),DB44*(1+DC45))))</f>
        <v>0</v>
      </c>
      <c r="DC45" s="64">
        <f>IF(OR($B45&lt;Analysis!$C$100, $B45&gt;=Analysis!$C$101),0,((1+Analysis!$C$114)/(1+$S45))-1)</f>
        <v>0</v>
      </c>
      <c r="DD45" s="1">
        <f t="shared" si="6"/>
        <v>0</v>
      </c>
      <c r="DE45" s="1">
        <f t="shared" si="27"/>
        <v>0</v>
      </c>
      <c r="DF45" s="64">
        <f>IF(OR($B45&lt;Analysis!$C$100, $B45&gt;=Analysis!$C$101),0,Analysis!$C$118)</f>
        <v>0</v>
      </c>
      <c r="DG45" s="1">
        <f t="shared" si="28"/>
        <v>0</v>
      </c>
      <c r="DH45" s="64">
        <f>IF(OR($B45&lt;Analysis!$C$100, $B45&gt;=Analysis!$C$101),0,Analysis!$C$119)</f>
        <v>0</v>
      </c>
      <c r="DI45" s="1">
        <f>IF(OR($B45&lt;Analysis!$C$100, $B45&gt;=Analysis!$C$101),0,MIN(Analysis!$C$120*12,SUM(DJ45:DN45)))</f>
        <v>0</v>
      </c>
      <c r="DJ45" s="1">
        <f>IF(OR($B45&lt;Analysis!$C$100, $B45&gt;=Analysis!$C$101),0,Analysis!$C$121*12)</f>
        <v>0</v>
      </c>
      <c r="DK45" s="1">
        <f>IF(OR($B45&lt;Analysis!$C$100, $B45&gt;=Analysis!$C$101),0,Analysis!$C$122*12)</f>
        <v>0</v>
      </c>
      <c r="DL45" s="1">
        <f>IF(OR($B45&lt;Analysis!$C$100, $B45&gt;=Analysis!$C$101),0,Analysis!$C$123*12)</f>
        <v>0</v>
      </c>
      <c r="DM45" s="1">
        <f>IF(OR($B45&lt;Analysis!$C$100, $B45&gt;=Analysis!$C$101),0,Analysis!$C$124*12)</f>
        <v>0</v>
      </c>
      <c r="DN45" s="1">
        <f>IF(OR($B45&lt;Analysis!$C$100, $B45&gt;=Analysis!$C$101),0,Analysis!$C$125*12)</f>
        <v>0</v>
      </c>
      <c r="DO45" s="64">
        <f>IF(OR($B45&lt;Analysis!$C$100, $B45&gt;=Analysis!$C$101),0,Analysis!$C$113)</f>
        <v>0</v>
      </c>
      <c r="DP45" s="1">
        <f>-DO45*LOOKUP(Analysis!$C$100,$B:$B,CK:CK)</f>
        <v>0</v>
      </c>
      <c r="DQ45" s="1">
        <f>-Analysis!$C$117*DB45</f>
        <v>0</v>
      </c>
      <c r="DR45" s="1">
        <f t="shared" si="29"/>
        <v>0</v>
      </c>
      <c r="DS45" s="1">
        <f>MIN(0,-(DB45+DR45)*Analysis!$C$28)-CS45*Analysis!$C$28</f>
        <v>0</v>
      </c>
      <c r="DT45" s="1">
        <f>-Analysis!$C$116*DD45/12</f>
        <v>0</v>
      </c>
      <c r="DU45" s="53"/>
      <c r="DV45" s="1">
        <f t="shared" si="30"/>
        <v>0</v>
      </c>
      <c r="DW45" s="64">
        <f>IF(OR($B45&lt;Analysis!$C$100, $B45&gt;=Analysis!$C$101),0,IF($B45=Analysis!$C$100,Analysis!$C$31,DW44))</f>
        <v>0</v>
      </c>
      <c r="DX45" s="1">
        <f>IF(OR($B45&lt;Analysis!$C$100, $B45&gt;=Analysis!$C$101),0,CK45+DV45)</f>
        <v>0</v>
      </c>
      <c r="DY45" s="1">
        <f>IF(OR($B45&lt;Analysis!$C$100, $B45&gt;=Analysis!$C$101),0,IF($B45-Analysis!$C$100&gt;3,0,IF(CK45&gt;LOOKUP(Analysis!$C$100,$B:$B, CK:CK),$V45*(LOOKUP(Analysis!$C$100,$B:$B, CK:CK)-CK45),0)))</f>
        <v>0</v>
      </c>
      <c r="DZ45" s="1">
        <f t="shared" si="49"/>
        <v>0</v>
      </c>
      <c r="EA45" s="53"/>
      <c r="EB45" s="1">
        <f t="shared" si="31"/>
        <v>2399836.0059354752</v>
      </c>
      <c r="EC45" s="64">
        <f t="shared" si="50"/>
        <v>2.941176470588247E-2</v>
      </c>
      <c r="ED45" s="1">
        <f>IF($B45=Analysis!$C$130,(EB45*(1+Analysis!$C$23+Analysis!$C$24+Analysis!$C$25))-(IF($B45=$B$2,(Analysis!$C$6-Analysis!$C$7+Analysis!$C$132), (FU44-Analysis!$C$7+EM45)) + IF($B45=Analysis!$C$101,DZ44+CQ44+CT44+CZ44,0)),0)</f>
        <v>0</v>
      </c>
      <c r="EE45" s="65">
        <f>IF($B45=Analysis!$C$130,IF(ED45&gt;0,NPER(EI45,-EL45,-ED45),0),0)</f>
        <v>0</v>
      </c>
      <c r="EF45" s="64">
        <f>IF($B45=Analysis!$C$130,Analysis!$C$137,0)</f>
        <v>0</v>
      </c>
      <c r="EG45" s="1">
        <f>IF($B45&lt;Analysis!$C$130,0,IF($B45=Analysis!$C$130,-ED45*EF45,IF(EL45&gt;=0,0,EL45-EJ45)))</f>
        <v>0</v>
      </c>
      <c r="EH45" s="1">
        <f>IF($B45&lt;Analysis!$C$130,0,IF($B45=Analysis!$C$130,-ED45-EG45,MIN(0,EH44-EG45)))</f>
        <v>0</v>
      </c>
      <c r="EI45" s="64">
        <f>IF($B45&lt;Analysis!$C$130,0,IF($B45=Analysis!$C$130,Analysis!$C$136,IF(($B45-Analysis!$C$130)&lt;LOOKUP(Analysis!$C$130,$B:$B,EE:EE),EI44,0)))</f>
        <v>0</v>
      </c>
      <c r="EJ45" s="1">
        <f>IF($B45&lt;Analysis!$C$130,0,IF($B45=Analysis!$C$130,-EI45*ED45,EI44*EH44))</f>
        <v>0</v>
      </c>
      <c r="EK45" s="1">
        <f>IF(OR($B45&lt;Analysis!$C$130, ED45=0),0,IF($B45=Analysis!$C$130,PMT(EI45,EE45,ED45)*EE45-EL45-EH45,IF(($B45-Analysis!$C$130+1)&lt;LOOKUP(Analysis!$C$130,$B:$B,EE:EE),IF(EK44-EJ45&lt;0, EK44-EJ45,0),0)))</f>
        <v>0</v>
      </c>
      <c r="EL45" s="1">
        <f>IF($B45&lt;Analysis!$C$130,0,IF($B45=Analysis!$C$130,EG45+EJ45,IF(EH44&lt;0,IF(EH44&gt;LOOKUP(Analysis!$C$130,$B:$B,EL:EL), EH44*(1+EI44),EL44),0)))</f>
        <v>0</v>
      </c>
      <c r="EM45" s="1">
        <f>IF($B45=Analysis!$C$130,Analysis!$C$132,0)</f>
        <v>0</v>
      </c>
      <c r="EN45" s="1">
        <f>IF($B45=Analysis!$C$130,PMT(EI45,EO45,EM45)*EO45,0)</f>
        <v>0</v>
      </c>
      <c r="EO45" s="7">
        <f>IF($B45=Analysis!$C$130,Analysis!$C$134,0)</f>
        <v>0</v>
      </c>
      <c r="EP45" s="1">
        <f>IF($B45&lt;Analysis!$C$130,0,IF($B45=Analysis!$C$130,EN45/EO45,IF(($B45-Analysis!$C$130)&lt;LOOKUP(Analysis!$C$130,$B:$B,EO:EO),EP44,0)))</f>
        <v>-6072.8287787074187</v>
      </c>
      <c r="EQ45" s="1">
        <f>IF($B45&lt;Analysis!$C$130,0,IF($B45=Analysis!$C$130,EO45*EP45-EP45,IF(($B45-Analysis!$C$130)&lt;Analysis!$C$134,EQ44-EP45,0)))</f>
        <v>-6072.8287787074114</v>
      </c>
      <c r="ER45" s="53"/>
      <c r="ES45" s="1">
        <f>IF($B45&lt;Analysis!$C$130,0,-ET45*EB45)</f>
        <v>-7199.5080178064254</v>
      </c>
      <c r="ET45" s="64">
        <f>IF($B45&lt;Analysis!$C$130,0,Analysis!$C$142)</f>
        <v>3.0000000000000001E-3</v>
      </c>
      <c r="EU45" s="1">
        <f>IF($B45&lt;Analysis!$C$130,0,-EV45*EB45)</f>
        <v>-23998.360059354753</v>
      </c>
      <c r="EV45" s="64">
        <f>IF($B45&lt;Analysis!$C$130,0,Analysis!$C$143)</f>
        <v>0.01</v>
      </c>
      <c r="EW45" s="1">
        <f>IF($B45&lt;Analysis!$C$130,0,MIN(Analysis!$C$144*12,SUM(EX45:FB45)))</f>
        <v>-3960</v>
      </c>
      <c r="EX45" s="1">
        <f>IF($B45&lt;Analysis!$C$130,0,Analysis!$C$145*12)</f>
        <v>-900</v>
      </c>
      <c r="EY45" s="1">
        <f>IF($B45&lt;Analysis!$C$130,0,Analysis!$C$146*12)</f>
        <v>-1500</v>
      </c>
      <c r="EZ45" s="1">
        <f>IF($B45&lt;Analysis!$C$130,0,Analysis!$C$147*12)</f>
        <v>-480</v>
      </c>
      <c r="FA45" s="1">
        <f>IF($B45&lt;Analysis!$C$130,0,Analysis!$C$148*12)</f>
        <v>-480</v>
      </c>
      <c r="FB45" s="1">
        <f>IF($B45&lt;Analysis!$C$130,0,Analysis!$C$149*12)</f>
        <v>-600</v>
      </c>
      <c r="FC45" s="1">
        <v>0</v>
      </c>
      <c r="FD45" s="1">
        <f>-FC45*Analysis!$C$28</f>
        <v>0</v>
      </c>
      <c r="FE45" s="53"/>
      <c r="FF45" s="1">
        <f t="shared" si="32"/>
        <v>-305979.09075677308</v>
      </c>
      <c r="FG45" s="64">
        <f>IF($B45&lt;Analysis!$C$130,0,Analysis!$C$31)</f>
        <v>0.1275</v>
      </c>
      <c r="FH45" s="1">
        <f>IF($B45&lt;Analysis!$C$130,0,EB45+FF45)</f>
        <v>2093856.9151787022</v>
      </c>
      <c r="FI45" s="1">
        <f>IF($B45-Analysis!$C$130&gt;3,0,IF(EB45&gt;LOOKUP(Analysis!$C$130,$B:$B, EB:EB),$V45*(LOOKUP(Analysis!$C$130,$B:$B, EB:EB)-EB45),0))</f>
        <v>0</v>
      </c>
      <c r="FJ45" s="1">
        <f t="shared" si="33"/>
        <v>2093856.9151787022</v>
      </c>
      <c r="FK45" s="53"/>
      <c r="FL45" s="1">
        <f>$P45+$N45+IF($B45&lt;Analysis!$C$130,$X45+$Z45,0)+CP45+CS45+CY45+DE45+DG45+MIN(DI45,SUM(DJ45:DN45))+DQ45+DS45+DT45+EG45+EJ45+EP45+ES45+EU45+MIN(EW45,SUM(EX45:FB45))+FD45</f>
        <v>-89230.696855868591</v>
      </c>
      <c r="FM45" s="1">
        <f>$M45+$R45+DD45+IF(AND($B45&lt;&gt;Analysis!$C$130,$B45=Analysis!$C$101),DZ44+CQ44+CT44+CZ44,0)</f>
        <v>55924.023874627754</v>
      </c>
      <c r="FN45" s="1">
        <f t="shared" si="34"/>
        <v>-33306.672981240838</v>
      </c>
      <c r="FO45" s="1">
        <f>IF(FN45 &lt; 0,
    IF(FO44 + FN45 &gt; 0,
        FO44 + FN45, IF(FT44-ABS(FO44 + FN45)*(1+$V45) &gt;= FO44 + FN45,
        0, FO44 + FN45)),
    MIN(FO44 + FN45, Analysis!$C$7))+IF(FO44&lt;0, FO44*Analysis!$C$9,0)</f>
        <v>-258044.1694627463</v>
      </c>
      <c r="FP45" s="53"/>
      <c r="FQ45" s="1">
        <f t="shared" si="51"/>
        <v>0</v>
      </c>
      <c r="FR45" s="1">
        <f>IF(OR($B45=Analysis!$C$100, $B45=Analysis!$C$130),0,IF(FN45 &gt;= 0,
    MAX(0, FO44 + FN45 - Analysis!$C$7),
    0))</f>
        <v>0</v>
      </c>
      <c r="FS45" s="1">
        <f>IF(OR($B45=Analysis!$C$100, $B45=Analysis!$C$130),0,MAX(0, FS44 + FR45 - IF(FN45 &lt; 0, MIN(ABS(FN45), FS44 + FR45), 0)))</f>
        <v>0</v>
      </c>
      <c r="FT45" s="1">
        <f>IF(OR($B45=Analysis!$C$100, $B45=Analysis!$C$130),0,IF(FN45 &lt; 0,
    IF(FN45 + FO44 &lt; 0,
        MAX(0, FT44 - (ABS(FN45 + FO44) * (1+$V44))),
        FT44 + FQ45),
    FT44 + FR45 + FQ45))</f>
        <v>0</v>
      </c>
      <c r="FU45" s="1">
        <f t="shared" si="57"/>
        <v>0</v>
      </c>
      <c r="FV45" s="36"/>
      <c r="FW45" s="1">
        <f t="shared" si="52"/>
        <v>1807180.8531653218</v>
      </c>
      <c r="FX45" s="64">
        <f t="shared" si="53"/>
        <v>2.941176470588247E-2</v>
      </c>
      <c r="FY45" s="1">
        <f>IF($B45=Analysis!$C$159,(FW45*(1+Analysis!$C$23+Analysis!$C$24+Analysis!$C$25))-IF($B45=$B$2,(Analysis!$C$6-Analysis!$C$7+Analysis!$C$165), (HW44-Analysis!$C$7+GH45)),0)</f>
        <v>0</v>
      </c>
      <c r="FZ45" s="65">
        <f>IF($B45=Analysis!$C$159,NPER(GD45,-GG45,-FY45),0)</f>
        <v>0</v>
      </c>
      <c r="GA45" s="64">
        <f>IF($B45=Analysis!$C$159,Analysis!$C$161,0)</f>
        <v>0</v>
      </c>
      <c r="GB45" s="1">
        <f>IF($B45&lt;Analysis!$C$159,0,IF($B45=Analysis!$C$159,-FY45*GA45,IF(GG45&gt;=0,0,GG45-GE45)))</f>
        <v>0</v>
      </c>
      <c r="GC45" s="1">
        <f>IF($B45&lt;Analysis!$C$159,0,IF($B45=Analysis!$C$159,-FY45-GB45,MIN(0,GC44-GB45)))</f>
        <v>0</v>
      </c>
      <c r="GD45" s="64">
        <f>IF($B45&lt;Analysis!$C$159,0,IF($B45=Analysis!$C$159,Analysis!$C$160,IF(($B45-Analysis!$C$159)&lt;LOOKUP(Analysis!$C$159,$B:$B,FZ:FZ),GD44,0)))</f>
        <v>0</v>
      </c>
      <c r="GE45" s="1">
        <f>IF($B45&lt;Analysis!$C$159,0,IF($B45=Analysis!$C$159,-GD45*FY45,GD44*GC44))</f>
        <v>0</v>
      </c>
      <c r="GF45" s="1">
        <f>IF($B45&lt;Analysis!$C$159,0,IF($B45=Analysis!$C$159,PMT(GD45,FZ45,FY45)*FZ45-GG45-GC45,IF(($B45-Analysis!$C$159+1)&lt;LOOKUP(Analysis!$C$159,$B:$B,FZ:FZ),IF(GF44-GE45&lt;0, GF44-GE45,0),0)))</f>
        <v>0</v>
      </c>
      <c r="GG45" s="1">
        <f>IF($B45&lt;Analysis!$C$159,0,IF($B45=Analysis!$C$159,GB45+GE45,IF(GC44&lt;0,IF(GC44&gt;LOOKUP(Analysis!$C$159,$B:$B,GG:GG), GC44*(1+GD44),GG44),0)))</f>
        <v>0</v>
      </c>
      <c r="GH45" s="1">
        <f>IF($B45=Analysis!$C$159,Analysis!$C$165,0)</f>
        <v>0</v>
      </c>
      <c r="GI45" s="1">
        <f>IF($B45=Analysis!$C$159,PMT(GD45,GJ45,GH45)*GJ45,0)</f>
        <v>0</v>
      </c>
      <c r="GJ45" s="7">
        <f>IF($B45=Analysis!$C$159,Analysis!$C$167,0)</f>
        <v>0</v>
      </c>
      <c r="GK45" s="1">
        <f>IF($B45&lt;Analysis!$C$159,0,IF($B45=Analysis!$C$159,GI45/GJ45,IF(($B45-Analysis!$C$159)&lt;LOOKUP(Analysis!$C$159,$B:$B,GJ:GJ),GK44,0)))</f>
        <v>0</v>
      </c>
      <c r="GL45" s="1">
        <f>IF($B45&lt;Analysis!$C$159,0,IF($B45=Analysis!$C$159,GJ45*GK45-GK45,IF(($B45-Analysis!$C$159)&lt;Analysis!$C$167,GL44-GK45,0)))</f>
        <v>0</v>
      </c>
      <c r="GM45" s="38"/>
      <c r="GN45" s="1">
        <f>IF($B45&lt;Analysis!$C$159,0,IF($B45=2025,(Analysis!$C$109*12),IF($B45=Analysis!$C$159,(Analysis!$C$109*12)*(1+GO45)^($B45-$B$2),GN44*(1+GO45))))</f>
        <v>48205.401510529955</v>
      </c>
      <c r="GO45" s="64">
        <f>IF($B45&lt;Analysis!$C$159,0,((1+Analysis!$C$174)/(1+$S45))-1)</f>
        <v>2.941176470588247E-2</v>
      </c>
      <c r="GP45" s="1">
        <f t="shared" si="7"/>
        <v>57586.944070025922</v>
      </c>
      <c r="GQ45" s="1">
        <f t="shared" si="36"/>
        <v>-5421.5425594959652</v>
      </c>
      <c r="GR45" s="64">
        <f>IF($B45&lt;Analysis!$C$159,0,Analysis!$C$178)</f>
        <v>3.0000000000000001E-3</v>
      </c>
      <c r="GS45" s="1">
        <f t="shared" si="37"/>
        <v>-13553.856398739912</v>
      </c>
      <c r="GT45" s="64">
        <f>IF($B45&lt;Analysis!$C$159,0,Analysis!$C$179)</f>
        <v>7.4999999999999997E-3</v>
      </c>
      <c r="GU45" s="1">
        <f>IF($B45&lt;Analysis!$C$159,0,MIN(Analysis!$C$180*12,SUM(GV45:GZ45)))</f>
        <v>-3960</v>
      </c>
      <c r="GV45" s="1">
        <f>IF($B45&lt;Analysis!$C$159,0,Analysis!$C$181*12)</f>
        <v>-900</v>
      </c>
      <c r="GW45" s="1">
        <f>IF($B45&lt;Analysis!$C$159,0,Analysis!$C$182*12)</f>
        <v>-1500</v>
      </c>
      <c r="GX45" s="1">
        <f>IF($B45&lt;Analysis!$C$159,0,Analysis!$C$183*12)</f>
        <v>-480</v>
      </c>
      <c r="GY45" s="1">
        <f>IF($B45&lt;Analysis!$C$159,0,Analysis!$C$184*12)</f>
        <v>-480</v>
      </c>
      <c r="GZ45" s="1">
        <f>IF($B45&lt;Analysis!$C$159,0,Analysis!$C$185*12)</f>
        <v>-600</v>
      </c>
      <c r="HA45" s="64">
        <f>IF($B45&lt;Analysis!$C$159,0,Analysis!$C$173)</f>
        <v>0.02</v>
      </c>
      <c r="HB45" s="1">
        <f>-HA45*LOOKUP(Analysis!$C$159,$B:$B,FW:FW)</f>
        <v>-10392</v>
      </c>
      <c r="HC45" s="1">
        <f>-Analysis!$C$177*GN45</f>
        <v>-3615.4051132897466</v>
      </c>
      <c r="HD45" s="1">
        <f t="shared" si="38"/>
        <v>-36942.804071525621</v>
      </c>
      <c r="HE45" s="1">
        <f>MIN(0,-(GN45+HD45)*Analysis!$C$28)-GE45*Analysis!$C$28</f>
        <v>-4990.4569252228193</v>
      </c>
      <c r="HF45" s="1">
        <f>-Analysis!$C$176*GP45/12</f>
        <v>-4798.9120058354938</v>
      </c>
      <c r="HG45" s="38"/>
      <c r="HH45" s="1">
        <f>IF($B45&lt;Analysis!$C$159,0,-$HI45*$FW45)</f>
        <v>-230415.55877857853</v>
      </c>
      <c r="HI45" s="64">
        <f>IF($B45&lt;Analysis!$C$159,0,IF($B45=Analysis!$C$159,Analysis!$C$31,HI44))</f>
        <v>0.1275</v>
      </c>
      <c r="HJ45" s="1">
        <f>IF($B45&lt;Analysis!$C$159,0,$FW45+HH45)</f>
        <v>1576765.2943867431</v>
      </c>
      <c r="HK45" s="1">
        <f>IF($B45-Analysis!$C$159&gt;10,0,IF($FW45&gt;LOOKUP(Analysis!$C$159,$B:$B, FW:FW),$V45*(LOOKUP(Analysis!$C$159,$B:$B, FW:FW)-FW45),0))</f>
        <v>0</v>
      </c>
      <c r="HL45" s="1">
        <f t="shared" si="39"/>
        <v>1576765.2943867431</v>
      </c>
      <c r="HM45" s="38"/>
      <c r="HN45" s="1">
        <f t="shared" si="40"/>
        <v>-143392.06044318961</v>
      </c>
      <c r="HO45" s="1">
        <f t="shared" si="8"/>
        <v>113510.96794465368</v>
      </c>
      <c r="HP45" s="1">
        <f t="shared" si="41"/>
        <v>-29881.092498535931</v>
      </c>
      <c r="HQ45" s="1">
        <f>IF(HP45 &lt; 0,
    IF(HQ44 + HP45 &gt; 0,
        HQ44 + HP45, IF(HV44-ABS(HQ44 + HP45)*(1+$V45) &gt;= HQ44 + HP45,
        0, HQ44 + HP45)),
    MIN(HQ44 + HP45, Analysis!$C$7))+IF(HQ44&lt;0, HQ44*Analysis!$C$9,0)</f>
        <v>0</v>
      </c>
      <c r="HR45" s="38"/>
      <c r="HS45" s="1">
        <f t="shared" si="54"/>
        <v>19200.799389199161</v>
      </c>
      <c r="HT45" s="1">
        <f>IF($B45=Analysis!$C$159,0,IF(HP45 &gt;= 0,
    MAX(0, HQ44 + HP45 - Analysis!$C$7),
    0))</f>
        <v>0</v>
      </c>
      <c r="HU45" s="1">
        <f>IF($B45=Analysis!$C$159,0,MAX(0, HU44 + HT45 - IF(HP45 &lt; 0, MIN(ABS(HP45), HU44 + HT45), 0)))</f>
        <v>579906.83461800008</v>
      </c>
      <c r="HV45" s="1">
        <f>IF($B45=Analysis!$C$159,0,IF(HP45 &lt; 0,
    IF(HP45 + HQ44 &lt; 0,
        MAX(0, HV44 - (ABS(HP45 + HQ44) * (1+$V44))),
        HV44 + HS45),
    HV44 + HT45 + HS45))</f>
        <v>941478.53820413596</v>
      </c>
      <c r="HW45" s="1">
        <f t="shared" si="58"/>
        <v>846114.00138329261</v>
      </c>
      <c r="HX45" s="36"/>
    </row>
    <row r="46" spans="1:232" x14ac:dyDescent="0.35">
      <c r="A46">
        <f t="shared" si="0"/>
        <v>79</v>
      </c>
      <c r="B46">
        <v>2069</v>
      </c>
      <c r="C46" s="1">
        <f>IF($B46&lt;Analysis!C$66,0,$AN46)+$AT46+$AW46+$BC46+$CF46+$CA46</f>
        <v>-3237295.8794918382</v>
      </c>
      <c r="D46" s="1">
        <f>IF($B46&lt;Analysis!C$66, 0, BV46)+AT46+AW46+BC46+CG46+CA46</f>
        <v>-3643572.4641923271</v>
      </c>
      <c r="E46" s="1">
        <f t="shared" si="1"/>
        <v>1720070.4252263997</v>
      </c>
      <c r="F46" s="1">
        <f t="shared" si="9"/>
        <v>1448015.4218646456</v>
      </c>
      <c r="G46" s="1">
        <f>IF(AND($B46&gt;=Analysis!$C$100, $B46&lt;Analysis!$C$101),$CK46,0)+IF($B46&gt;=Analysis!$C$130,EB46,0)+CQ46+CT46+CZ46+EH46+EK46+EQ46+$FO46+$FT46</f>
        <v>2156388.9770410443</v>
      </c>
      <c r="H46" s="1">
        <f t="shared" si="10"/>
        <v>1841410.5012620129</v>
      </c>
      <c r="I46" s="1">
        <f>IF($B46&lt;Analysis!$C$159,0,$FW46)+$GC46+$GF46+$GL46+$HQ46+$HV46</f>
        <v>2761153.9595355531</v>
      </c>
      <c r="J46" s="1">
        <f t="shared" si="59"/>
        <v>2430834.9752436122</v>
      </c>
      <c r="K46" s="36"/>
      <c r="L46" s="1">
        <f t="shared" si="11"/>
        <v>54805.543397135196</v>
      </c>
      <c r="M46" s="1">
        <f>IF($B46=Analysis!$C$47, M45 * (1 - Analysis!$C$48),
    IF($B46=Analysis!$C$52, M45 * (1 - Analysis!$C$53),
    IF($B46=Analysis!$C$58, M45 * (1 - Analysis!$C$60),
    L46)))</f>
        <v>54805.543397135196</v>
      </c>
      <c r="N46" s="1">
        <f>Analysis!$C$3*12*(1+O46)+P46</f>
        <v>-48000</v>
      </c>
      <c r="O46" s="64">
        <f>IF(OR($B46=Analysis!$C$47,$B46=Analysis!$C$52,$B46=Analysis!$C$58),-Analysis!$C$49,0)</f>
        <v>0</v>
      </c>
      <c r="P46" s="1">
        <f>IF($B46&lt;Analysis!$C$47,0,IF($B46-Analysis!$C$47&lt;=3,Analysis!$C$40+Analysis!$C$44,IF($B46-Analysis!$C$47&lt;=10,Analysis!$C$41+Analysis!$C$44,IF($B46-Analysis!$C$47&lt;=18,Analysis!$C$42+Analysis!$C$44,IF($B46-Analysis!$C$47&lt;=25,Analysis!$C$43+Analysis!$C$44,0)))) + IF(AND($B46&gt;=Analysis!$C$52, $B46-Analysis!$C$52&lt;=3),Analysis!$C$40+Analysis!$C$44,IF(AND($B46&gt;=Analysis!$C$52, $B46-Analysis!$C$52&lt;=10),Analysis!$C$41+Analysis!$C$44,IF(AND($B46&gt;=Analysis!$C$52, $B46-Analysis!$C$52&lt;=18),Analysis!$C$42+Analysis!$C$44,IF(AND($B46&gt;=Analysis!$C$52, $B46-Analysis!$C$52&lt;=25),Analysis!$C$43+Analysis!$C$44,0)))) + Analysis!$C$57*IF(AND($B46&gt;=Analysis!$C$58, $B46-Analysis!$C$58&lt;=3),Analysis!$C$40+Analysis!$C$44,IF(AND($B46&gt;=Analysis!$C$58, $B46-Analysis!$C$58&lt;=10),Analysis!$C$41+Analysis!$C$44,IF(AND($B46&gt;=Analysis!$C$58, $B46-Analysis!$C$58&lt;=18),Analysis!$C$42+Analysis!$C$44,IF(AND($B46&gt;=Analysis!$C$58, $B46-Analysis!$C$58&lt;=25),Analysis!$C$43+Analysis!$C$44,0)))))</f>
        <v>0</v>
      </c>
      <c r="Q46" s="1">
        <f t="shared" si="43"/>
        <v>0</v>
      </c>
      <c r="R46" s="1">
        <f>IF(AND(AND(B46=Analysis!C$35,Analysis!C$34&lt;&gt;0),AND(B46=Analysis!C$37,Analysis!C$36&lt;&gt;0)),Analysis!C$34+Analysis!C$36,IF(AND(B46=Analysis!C$35,Analysis!C$34&lt;&gt;0),Analysis!C$34,IF(AND(B46=Analysis!C$37,Analysis!C$36&lt;&gt;0),Analysis!C$36,0)))</f>
        <v>0</v>
      </c>
      <c r="S46" s="64">
        <f t="shared" si="12"/>
        <v>0.02</v>
      </c>
      <c r="T46" s="64">
        <f>IF($B46&lt;Analysis!$C$13, ((1+IF($B46-$B$2&lt;10,Analysis!$C$11,IF($B46-$B$2&lt;20,(Analysis!$C$11+Analysis!$C$12)/2,Analysis!$C$12)))/(1+$S46)-1),IF($B46=Analysis!$C$13,-Analysis!$C$14,-$S46))</f>
        <v>-0.02</v>
      </c>
      <c r="U46" s="64">
        <f>IF($B46=$B$2,((1+Analysis!$C$16)/(1+$S46))-1,IF(B46&lt;Analysis!$C$13,U45-((Analysis!$C$16-Analysis!$C$17)/(Analysis!$C$13-$B$2)),((1+Analysis!$C$17)/(1+$S45))-1))</f>
        <v>1.9607843137254832E-2</v>
      </c>
      <c r="V46" s="64">
        <f t="shared" si="13"/>
        <v>0.26374999999999998</v>
      </c>
      <c r="W46" s="36"/>
      <c r="X46" s="1">
        <f t="shared" si="14"/>
        <v>-56712.237071211704</v>
      </c>
      <c r="Y46" s="64">
        <f t="shared" si="15"/>
        <v>2.941176470588247E-2</v>
      </c>
      <c r="Z46" s="1">
        <f t="shared" si="16"/>
        <v>-3960</v>
      </c>
      <c r="AA46" s="64">
        <f t="shared" si="17"/>
        <v>0</v>
      </c>
      <c r="AB46" s="40"/>
      <c r="AC46" s="1">
        <f t="shared" si="3"/>
        <v>-108672.23707121171</v>
      </c>
      <c r="AD46" s="1">
        <f t="shared" si="4"/>
        <v>54805.543397135196</v>
      </c>
      <c r="AE46" s="1">
        <f t="shared" si="18"/>
        <v>-53866.693674076516</v>
      </c>
      <c r="AF46" s="1">
        <f>IF(AE46 &lt; 0,
    IF(AF45 + AE46 &gt; 0,
        AF45 + AE46, IF(AK45-ABS(AF45 + AE46)*(1+$V46) &gt;= AF45 + AE46,
        0, AF45 + AE46)),
    MIN(AF45 + AE46, Analysis!$C$7))+IF(AF45&lt;0, AF45*Analysis!$C$9,0)</f>
        <v>0</v>
      </c>
      <c r="AG46" s="40"/>
      <c r="AH46" s="1">
        <f t="shared" si="19"/>
        <v>35061.656065823678</v>
      </c>
      <c r="AI46" s="1">
        <f>IF(AE46 &gt;= 0,
    MAX(0, AF45 + AE46 - Analysis!$C$7),
    0)</f>
        <v>0</v>
      </c>
      <c r="AJ46" s="1">
        <f t="shared" si="44"/>
        <v>688582.26082164457</v>
      </c>
      <c r="AK46" s="1">
        <f t="shared" si="20"/>
        <v>1720070.4252263997</v>
      </c>
      <c r="AL46" s="1">
        <f t="shared" si="5"/>
        <v>1448015.4218646456</v>
      </c>
      <c r="AM46" s="36"/>
      <c r="AN46" s="1">
        <f t="shared" si="45"/>
        <v>3186483.0172587377</v>
      </c>
      <c r="AO46" s="64">
        <f t="shared" si="21"/>
        <v>2.941176470588247E-2</v>
      </c>
      <c r="AP46" s="1">
        <f>IF($B46=Analysis!$C$66,(AN46*(1+Analysis!$C$23+Analysis!$C$24+Analysis!$C$25))-IF($B46=$B$2,(Analysis!$C$6-Analysis!$C$7+Analysis!$C$68), ($CG45-Analysis!$C$7+AY46)),0)</f>
        <v>0</v>
      </c>
      <c r="AQ46" s="65">
        <f>IF($B46=Analysis!$C$66,NPER(AU46,-AX46,-AP46),0)</f>
        <v>0</v>
      </c>
      <c r="AR46" s="64">
        <f>IF($B46=Analysis!$C$66,Analysis!$C$73,0)</f>
        <v>0</v>
      </c>
      <c r="AS46" s="1">
        <f>IF($B46&lt;Analysis!$C$66,0,IF($B46=Analysis!$C$66,-AP46*AR46,IF(AX46&gt;=0,0,AX46-AV46)))</f>
        <v>0</v>
      </c>
      <c r="AT46" s="1">
        <f>IF($B46&lt;Analysis!$C$66,0,IF($B46=Analysis!$C$66,-AP46-AS46,MIN(0,AT45-AS46)))</f>
        <v>0</v>
      </c>
      <c r="AU46" s="64">
        <f>IF($B46&lt;Analysis!$C$66,0,IF($B46=Analysis!$C$66,Analysis!$C$72,IF(($B46-Analysis!$C$66)&lt;LOOKUP(Analysis!$C$66,$B:$B,AQ:AQ),AU45,0)))</f>
        <v>0</v>
      </c>
      <c r="AV46" s="1">
        <f>IF($B46&lt;Analysis!$C$66,0,IF($B46=Analysis!$C$66,-AU46*AP46,AU45*AT45))</f>
        <v>0</v>
      </c>
      <c r="AW46" s="1">
        <f>IF($B46&lt;Analysis!$C$66,0,IF($B46=Analysis!$C$66,PMT(AU46,AQ46,AP46)*AQ46-AX46-AT46,IF(($B46-Analysis!$C$66+1)&lt;LOOKUP(Analysis!$C$66,$B:$B,AQ:AQ),IF(AW45-AV46&lt;0, AW45-AV46,0),0)))</f>
        <v>0</v>
      </c>
      <c r="AX46" s="1">
        <f>IF($B46&lt;Analysis!$C$66,0,IF($B46=Analysis!$C$66,AS46+AV46,IF(AT45&lt;0,IF(AT45&gt;LOOKUP(Analysis!$C$66,$B:$B,AX:AX), AT45*(1+AU45),AX45),0)))</f>
        <v>0</v>
      </c>
      <c r="AY46" s="1">
        <f>IF($B46=Analysis!$C$66,Analysis!$C$68,0)</f>
        <v>0</v>
      </c>
      <c r="AZ46" s="1">
        <f>IF($B46=Analysis!$C$66,PMT(AU46,BA46,AY46)*BA46,0)</f>
        <v>0</v>
      </c>
      <c r="BA46" s="7">
        <f>IF($B46=Analysis!$C$66,Analysis!$C$70,0)</f>
        <v>0</v>
      </c>
      <c r="BB46" s="1">
        <f>IF($B46&lt;Analysis!$C$66,0,IF($B46=Analysis!$C$66,AZ46/BA46,IF(($B46-Analysis!$C$66)&lt;LOOKUP(Analysis!$C$66,$B:$B,BA:BA),BB45,0)))</f>
        <v>0</v>
      </c>
      <c r="BC46" s="1">
        <f>IF($B46&lt;Analysis!$C$66,0,IF($B46=Analysis!$C$66,BA46*BB46-BB46,IF(($B46-Analysis!$C$66)&lt;Analysis!$C$70,BC45-BB46,0)))</f>
        <v>0</v>
      </c>
      <c r="BD46" s="42"/>
      <c r="BE46" s="1">
        <f>IF($B46&lt;Analysis!$C$66,0,-BF46*AN46)</f>
        <v>-9559.4490517762133</v>
      </c>
      <c r="BF46" s="64">
        <f>IF($B46&lt;Analysis!$C$66,0,Analysis!$C$78)</f>
        <v>3.0000000000000001E-3</v>
      </c>
      <c r="BG46" s="1">
        <f>IF($B46&lt;Analysis!$C$66,0,-BH46*AN46)</f>
        <v>-23898.622629440531</v>
      </c>
      <c r="BH46" s="64">
        <f>IF($B46&lt;Analysis!$C$66,0,Analysis!$C$79)</f>
        <v>7.4999999999999997E-3</v>
      </c>
      <c r="BI46" s="1">
        <f>IF($B46&lt;Analysis!$C$66,0,MIN(Analysis!$C$80*12,SUM(BJ46:BN46)))</f>
        <v>-3960</v>
      </c>
      <c r="BJ46" s="1">
        <f>IF($B46&lt;Analysis!$C$66,0,Analysis!$C$81*12)</f>
        <v>-900</v>
      </c>
      <c r="BK46" s="1">
        <f>IF($B46&lt;Analysis!$C$66,0,Analysis!$C$82*12)</f>
        <v>-1500</v>
      </c>
      <c r="BL46" s="1">
        <f>IF($B46&lt;Analysis!$C$66,0,Analysis!$C$83*12)</f>
        <v>-480</v>
      </c>
      <c r="BM46" s="1">
        <f>IF($B46&lt;Analysis!$C$66,0,Analysis!$C$84*12)</f>
        <v>-480</v>
      </c>
      <c r="BN46" s="1">
        <f>IF($B46&lt;Analysis!$C$66,0,Analysis!$C$85*12)</f>
        <v>-600</v>
      </c>
      <c r="BO46" s="1">
        <v>0</v>
      </c>
      <c r="BP46" s="1">
        <f>-BO46*Analysis!$C$28</f>
        <v>0</v>
      </c>
      <c r="BQ46" s="42"/>
      <c r="BR46" s="1">
        <f t="shared" si="22"/>
        <v>-406276.58470048907</v>
      </c>
      <c r="BS46" s="64">
        <f>IF($B46&lt;Analysis!C$66,0,Analysis!C$31)</f>
        <v>0.1275</v>
      </c>
      <c r="BT46" s="1">
        <f>IF($B46&lt;Analysis!$C$66,0,AN46+BR46)</f>
        <v>2780206.4325582488</v>
      </c>
      <c r="BU46" s="1">
        <f>IF($B46-Analysis!$C$66&gt;3,0,IF($AN46&gt;LOOKUP(Analysis!$C$66,$B:$B, AN:AN),$V46*(LOOKUP(Analysis!$C$66,$B:$B, AN:AN)-AN46),0))</f>
        <v>0</v>
      </c>
      <c r="BV46" s="1">
        <f t="shared" si="23"/>
        <v>2780206.4325582488</v>
      </c>
      <c r="BW46" s="42"/>
      <c r="BX46" s="1">
        <f>IF($B46&lt;Analysis!$C$66,$P46+$N46+$X46+$Z46,$P46+$N46+AS46+AV46+BB46+BE46+BG46+MAX(BI46,SUM(BJ46:BN46))+BP46)</f>
        <v>-85418.071681216752</v>
      </c>
      <c r="BY46" s="1">
        <f t="shared" si="24"/>
        <v>54805.543397135196</v>
      </c>
      <c r="BZ46" s="1">
        <f t="shared" si="46"/>
        <v>-30612.528284081556</v>
      </c>
      <c r="CA46" s="1">
        <f>IF(BZ46 &lt; 0,
    IF(CA45 + BZ46 &gt; 0,
        CA45 + BZ46, IF(CF45-ABS(CA45 + BZ46)*(1+$V46) &gt;= CA45 + BZ46,
        0, CA45 + BZ46)),
    MIN(CA45 + BZ46, Analysis!$C$7))+IF(CA45&lt;0, CA45*Analysis!$C$9,0)</f>
        <v>-6423778.8967505759</v>
      </c>
      <c r="CB46" s="42"/>
      <c r="CC46" s="1">
        <f t="shared" si="47"/>
        <v>0</v>
      </c>
      <c r="CD46" s="1">
        <f>IF(BZ46 &gt;= 0,
    MAX(0, CA45 + BZ46 - Analysis!$C$7),
    0)</f>
        <v>0</v>
      </c>
      <c r="CE46" s="1">
        <f>IF($B46=Analysis!$C$66,0,MAX(0, CE45 + CD46 - IF(BZ46 &lt; 0, MIN(ABS(BZ46), CE45 + CD46), 0)))</f>
        <v>0</v>
      </c>
      <c r="CF46" s="1">
        <f>IF($B46=Analysis!$C$66,0,IF(BZ46 &lt; 0,
    IF(BZ46 + CA45 &lt; 0,
        MAX(0, CF45 - (ABS(BZ46 + CA45) * (1+$V45))),
        CF45 + CC46),
    CF45 + CD46 + CC46))</f>
        <v>0</v>
      </c>
      <c r="CG46" s="1">
        <f t="shared" si="25"/>
        <v>0</v>
      </c>
      <c r="CH46" s="36"/>
      <c r="CI46" s="1">
        <f>IF(OR($B46&lt;Analysis!$C$100, $B46&gt;=Analysis!$C$130),0,X46)</f>
        <v>0</v>
      </c>
      <c r="CJ46" s="1">
        <f>IF(OR($B46&lt;Analysis!$C$100, $B46&gt;=Analysis!$C$130),0,Z46)</f>
        <v>0</v>
      </c>
      <c r="CK46" s="1">
        <f t="shared" si="60"/>
        <v>1860333.2311995961</v>
      </c>
      <c r="CL46" s="64">
        <f t="shared" si="48"/>
        <v>2.941176470588247E-2</v>
      </c>
      <c r="CM46" s="1">
        <f>IF($B46=Analysis!$C$100,(CK46*(1+Analysis!$C$23+Analysis!$C$24+Analysis!$C$25))-IF($B46=$B$2,(Analysis!$C$6-Analysis!$C$7+Analysis!$C$105), (FU45-Analysis!$C$7+CV46)),0)</f>
        <v>0</v>
      </c>
      <c r="CN46" s="65">
        <f>IF($B46=Analysis!$C$100,NPER(CR46,-CU46,-CM46),0)</f>
        <v>0</v>
      </c>
      <c r="CO46" s="64">
        <f>IF($B46=Analysis!$C$100,Analysis!$C$103,0)</f>
        <v>0</v>
      </c>
      <c r="CP46" s="1">
        <f>IF(OR($B46&lt;Analysis!$C$100, $B46&gt;=Analysis!$C$101),0,IF($B46=Analysis!$C$100,-CM46*CO46,IF(CU46&gt;=0,0,CU46-CS46)))</f>
        <v>0</v>
      </c>
      <c r="CQ46" s="1">
        <f>IF(OR($B46&lt;Analysis!$C$100, $B46&gt;=Analysis!$C$101),0,IF($B46=Analysis!$C$100,-CM46-CP46,MIN(0,CQ45-CP46)))</f>
        <v>0</v>
      </c>
      <c r="CR46" s="64">
        <f>IF(OR($B46&lt;Analysis!$C$100, $B46&gt;=Analysis!$C$101),0,IF($B46=Analysis!$C$100,Analysis!$C$102,IF(($B46-Analysis!$C$100)&lt;LOOKUP(Analysis!$C$100,$B:$B,CN:CN),CR45,0)))</f>
        <v>0</v>
      </c>
      <c r="CS46" s="1">
        <f>IF(OR($B46&lt;Analysis!$C$100, $B46&gt;=Analysis!$C$101),0,IF($B46=Analysis!$C$100,-CR46*CM46,CR45*CQ45))</f>
        <v>0</v>
      </c>
      <c r="CT46" s="1">
        <f>IF(OR($B46&lt;Analysis!$C$100, $B46&gt;=Analysis!$C$101),0,IF($B46=Analysis!$C$100,PMT(CR46,CN46,CM46)*CN46-CU46-CQ46,IF(($B46-Analysis!$C$100+1)&lt;LOOKUP(Analysis!$C$100,$B:$B,CN:CN),IF(CT45-CS46&lt;0, CT45-CS46,0),0)))</f>
        <v>0</v>
      </c>
      <c r="CU46" s="1">
        <f>IF(OR($B46&lt;Analysis!$C$100, $B46&gt;=Analysis!$C$101),0,IF($B46=Analysis!$C$100,CP46+CS46,IF(CQ45&lt;0,IF(CQ45&gt;LOOKUP(Analysis!$C$100,$B:$B,CU:CU), CQ45*(1+CR45),CU45),0)))</f>
        <v>0</v>
      </c>
      <c r="CV46" s="1">
        <f>IF($B46=Analysis!$C$100,Analysis!$C$105,0)</f>
        <v>0</v>
      </c>
      <c r="CW46" s="1">
        <f>IF($B46=Analysis!$C$100,PMT(CR46,CX46,CV46)*CX46,0)</f>
        <v>0</v>
      </c>
      <c r="CX46" s="7">
        <f>IF($B46=Analysis!$C$100,Analysis!$C$107,0)</f>
        <v>0</v>
      </c>
      <c r="CY46" s="1">
        <f>IF(OR($B46&lt;Analysis!$C$100, $B46&gt;=Analysis!$C$101),0,IF($B46=Analysis!$C$100,CW46/CX46,IF(($B46-Analysis!$C$100)&lt;LOOKUP(Analysis!$C$100,$B:$B,CX:CX),CY45,0)))</f>
        <v>0</v>
      </c>
      <c r="CZ46" s="1">
        <f>IF(OR($B46&lt;Analysis!$C$100, $B46&gt;=Analysis!$C$101),0,IF($B46=Analysis!$C$100,CX46*CY46-CY46,IF(($B46-Analysis!$C$100)&lt;Analysis!$C$107,CZ45-CY46,0)))</f>
        <v>0</v>
      </c>
      <c r="DA46" s="53"/>
      <c r="DB46" s="1">
        <f>IF(OR($B46&lt;Analysis!$C$100, $B46&gt;=Analysis!$C$101),0,IF($B46=2025,(Analysis!$C$109*12),IF($B46=Analysis!$C$100,(Analysis!$C$109*12)*(1+DC46)^($B46-$B$2),DB45*(1+DC46))))</f>
        <v>0</v>
      </c>
      <c r="DC46" s="64">
        <f>IF(OR($B46&lt;Analysis!$C$100, $B46&gt;=Analysis!$C$101),0,((1+Analysis!$C$114)/(1+$S46))-1)</f>
        <v>0</v>
      </c>
      <c r="DD46" s="1">
        <f t="shared" si="6"/>
        <v>0</v>
      </c>
      <c r="DE46" s="1">
        <f t="shared" si="27"/>
        <v>0</v>
      </c>
      <c r="DF46" s="64">
        <f>IF(OR($B46&lt;Analysis!$C$100, $B46&gt;=Analysis!$C$101),0,Analysis!$C$118)</f>
        <v>0</v>
      </c>
      <c r="DG46" s="1">
        <f t="shared" si="28"/>
        <v>0</v>
      </c>
      <c r="DH46" s="64">
        <f>IF(OR($B46&lt;Analysis!$C$100, $B46&gt;=Analysis!$C$101),0,Analysis!$C$119)</f>
        <v>0</v>
      </c>
      <c r="DI46" s="1">
        <f>IF(OR($B46&lt;Analysis!$C$100, $B46&gt;=Analysis!$C$101),0,MIN(Analysis!$C$120*12,SUM(DJ46:DN46)))</f>
        <v>0</v>
      </c>
      <c r="DJ46" s="1">
        <f>IF(OR($B46&lt;Analysis!$C$100, $B46&gt;=Analysis!$C$101),0,Analysis!$C$121*12)</f>
        <v>0</v>
      </c>
      <c r="DK46" s="1">
        <f>IF(OR($B46&lt;Analysis!$C$100, $B46&gt;=Analysis!$C$101),0,Analysis!$C$122*12)</f>
        <v>0</v>
      </c>
      <c r="DL46" s="1">
        <f>IF(OR($B46&lt;Analysis!$C$100, $B46&gt;=Analysis!$C$101),0,Analysis!$C$123*12)</f>
        <v>0</v>
      </c>
      <c r="DM46" s="1">
        <f>IF(OR($B46&lt;Analysis!$C$100, $B46&gt;=Analysis!$C$101),0,Analysis!$C$124*12)</f>
        <v>0</v>
      </c>
      <c r="DN46" s="1">
        <f>IF(OR($B46&lt;Analysis!$C$100, $B46&gt;=Analysis!$C$101),0,Analysis!$C$125*12)</f>
        <v>0</v>
      </c>
      <c r="DO46" s="64">
        <f>IF(OR($B46&lt;Analysis!$C$100, $B46&gt;=Analysis!$C$101),0,Analysis!$C$113)</f>
        <v>0</v>
      </c>
      <c r="DP46" s="1">
        <f>-DO46*LOOKUP(Analysis!$C$100,$B:$B,CK:CK)</f>
        <v>0</v>
      </c>
      <c r="DQ46" s="1">
        <f>-Analysis!$C$117*DB46</f>
        <v>0</v>
      </c>
      <c r="DR46" s="1">
        <f t="shared" si="29"/>
        <v>0</v>
      </c>
      <c r="DS46" s="1">
        <f>MIN(0,-(DB46+DR46)*Analysis!$C$28)-CS46*Analysis!$C$28</f>
        <v>0</v>
      </c>
      <c r="DT46" s="1">
        <f>-Analysis!$C$116*DD46/12</f>
        <v>0</v>
      </c>
      <c r="DU46" s="53"/>
      <c r="DV46" s="1">
        <f t="shared" si="30"/>
        <v>0</v>
      </c>
      <c r="DW46" s="64">
        <f>IF(OR($B46&lt;Analysis!$C$100, $B46&gt;=Analysis!$C$101),0,IF($B46=Analysis!$C$100,Analysis!$C$31,DW45))</f>
        <v>0</v>
      </c>
      <c r="DX46" s="1">
        <f>IF(OR($B46&lt;Analysis!$C$100, $B46&gt;=Analysis!$C$101),0,CK46+DV46)</f>
        <v>0</v>
      </c>
      <c r="DY46" s="1">
        <f>IF(OR($B46&lt;Analysis!$C$100, $B46&gt;=Analysis!$C$101),0,IF($B46-Analysis!$C$100&gt;3,0,IF(CK46&gt;LOOKUP(Analysis!$C$100,$B:$B, CK:CK),$V46*(LOOKUP(Analysis!$C$100,$B:$B, CK:CK)-CK46),0)))</f>
        <v>0</v>
      </c>
      <c r="DZ46" s="1">
        <f t="shared" si="49"/>
        <v>0</v>
      </c>
      <c r="EA46" s="53"/>
      <c r="EB46" s="1">
        <f t="shared" si="31"/>
        <v>2470419.4178747544</v>
      </c>
      <c r="EC46" s="64">
        <f t="shared" si="50"/>
        <v>2.941176470588247E-2</v>
      </c>
      <c r="ED46" s="1">
        <f>IF($B46=Analysis!$C$130,(EB46*(1+Analysis!$C$23+Analysis!$C$24+Analysis!$C$25))-(IF($B46=$B$2,(Analysis!$C$6-Analysis!$C$7+Analysis!$C$132), (FU45-Analysis!$C$7+EM46)) + IF($B46=Analysis!$C$101,DZ45+CQ45+CT45+CZ45,0)),0)</f>
        <v>0</v>
      </c>
      <c r="EE46" s="65">
        <f>IF($B46=Analysis!$C$130,IF(ED46&gt;0,NPER(EI46,-EL46,-ED46),0),0)</f>
        <v>0</v>
      </c>
      <c r="EF46" s="64">
        <f>IF($B46=Analysis!$C$130,Analysis!$C$137,0)</f>
        <v>0</v>
      </c>
      <c r="EG46" s="1">
        <f>IF($B46&lt;Analysis!$C$130,0,IF($B46=Analysis!$C$130,-ED46*EF46,IF(EL46&gt;=0,0,EL46-EJ46)))</f>
        <v>0</v>
      </c>
      <c r="EH46" s="1">
        <f>IF($B46&lt;Analysis!$C$130,0,IF($B46=Analysis!$C$130,-ED46-EG46,MIN(0,EH45-EG46)))</f>
        <v>0</v>
      </c>
      <c r="EI46" s="64">
        <f>IF($B46&lt;Analysis!$C$130,0,IF($B46=Analysis!$C$130,Analysis!$C$136,IF(($B46-Analysis!$C$130)&lt;LOOKUP(Analysis!$C$130,$B:$B,EE:EE),EI45,0)))</f>
        <v>0</v>
      </c>
      <c r="EJ46" s="1">
        <f>IF($B46&lt;Analysis!$C$130,0,IF($B46=Analysis!$C$130,-EI46*ED46,EI45*EH45))</f>
        <v>0</v>
      </c>
      <c r="EK46" s="1">
        <f>IF(OR($B46&lt;Analysis!$C$130, ED46=0),0,IF($B46=Analysis!$C$130,PMT(EI46,EE46,ED46)*EE46-EL46-EH46,IF(($B46-Analysis!$C$130+1)&lt;LOOKUP(Analysis!$C$130,$B:$B,EE:EE),IF(EK45-EJ46&lt;0, EK45-EJ46,0),0)))</f>
        <v>0</v>
      </c>
      <c r="EL46" s="1">
        <f>IF($B46&lt;Analysis!$C$130,0,IF($B46=Analysis!$C$130,EG46+EJ46,IF(EH45&lt;0,IF(EH45&gt;LOOKUP(Analysis!$C$130,$B:$B,EL:EL), EH45*(1+EI45),EL45),0)))</f>
        <v>0</v>
      </c>
      <c r="EM46" s="1">
        <f>IF($B46=Analysis!$C$130,Analysis!$C$132,0)</f>
        <v>0</v>
      </c>
      <c r="EN46" s="1">
        <f>IF($B46=Analysis!$C$130,PMT(EI46,EO46,EM46)*EO46,0)</f>
        <v>0</v>
      </c>
      <c r="EO46" s="7">
        <f>IF($B46=Analysis!$C$130,Analysis!$C$134,0)</f>
        <v>0</v>
      </c>
      <c r="EP46" s="1">
        <f>IF($B46&lt;Analysis!$C$130,0,IF($B46=Analysis!$C$130,EN46/EO46,IF(($B46-Analysis!$C$130)&lt;LOOKUP(Analysis!$C$130,$B:$B,EO:EO),EP45,0)))</f>
        <v>-6072.8287787074187</v>
      </c>
      <c r="EQ46" s="1">
        <f>IF($B46&lt;Analysis!$C$130,0,IF($B46=Analysis!$C$130,EO46*EP46-EP46,IF(($B46-Analysis!$C$130)&lt;Analysis!$C$134,EQ45-EP46,0)))</f>
        <v>7.2759576141834259E-12</v>
      </c>
      <c r="ER46" s="53"/>
      <c r="ES46" s="1">
        <f>IF($B46&lt;Analysis!$C$130,0,-ET46*EB46)</f>
        <v>-7411.2582536242635</v>
      </c>
      <c r="ET46" s="64">
        <f>IF($B46&lt;Analysis!$C$130,0,Analysis!$C$142)</f>
        <v>3.0000000000000001E-3</v>
      </c>
      <c r="EU46" s="1">
        <f>IF($B46&lt;Analysis!$C$130,0,-EV46*EB46)</f>
        <v>-24704.194178747544</v>
      </c>
      <c r="EV46" s="64">
        <f>IF($B46&lt;Analysis!$C$130,0,Analysis!$C$143)</f>
        <v>0.01</v>
      </c>
      <c r="EW46" s="1">
        <f>IF($B46&lt;Analysis!$C$130,0,MIN(Analysis!$C$144*12,SUM(EX46:FB46)))</f>
        <v>-3960</v>
      </c>
      <c r="EX46" s="1">
        <f>IF($B46&lt;Analysis!$C$130,0,Analysis!$C$145*12)</f>
        <v>-900</v>
      </c>
      <c r="EY46" s="1">
        <f>IF($B46&lt;Analysis!$C$130,0,Analysis!$C$146*12)</f>
        <v>-1500</v>
      </c>
      <c r="EZ46" s="1">
        <f>IF($B46&lt;Analysis!$C$130,0,Analysis!$C$147*12)</f>
        <v>-480</v>
      </c>
      <c r="FA46" s="1">
        <f>IF($B46&lt;Analysis!$C$130,0,Analysis!$C$148*12)</f>
        <v>-480</v>
      </c>
      <c r="FB46" s="1">
        <f>IF($B46&lt;Analysis!$C$130,0,Analysis!$C$149*12)</f>
        <v>-600</v>
      </c>
      <c r="FC46" s="1">
        <v>0</v>
      </c>
      <c r="FD46" s="1">
        <f>-FC46*Analysis!$C$28</f>
        <v>0</v>
      </c>
      <c r="FE46" s="53"/>
      <c r="FF46" s="1">
        <f t="shared" si="32"/>
        <v>-314978.47577903117</v>
      </c>
      <c r="FG46" s="64">
        <f>IF($B46&lt;Analysis!$C$130,0,Analysis!$C$31)</f>
        <v>0.1275</v>
      </c>
      <c r="FH46" s="1">
        <f>IF($B46&lt;Analysis!$C$130,0,EB46+FF46)</f>
        <v>2155440.942095723</v>
      </c>
      <c r="FI46" s="1">
        <f>IF($B46-Analysis!$C$130&gt;3,0,IF(EB46&gt;LOOKUP(Analysis!$C$130,$B:$B, EB:EB),$V46*(LOOKUP(Analysis!$C$130,$B:$B, EB:EB)-EB46),0))</f>
        <v>0</v>
      </c>
      <c r="FJ46" s="1">
        <f t="shared" si="33"/>
        <v>2155440.942095723</v>
      </c>
      <c r="FK46" s="53"/>
      <c r="FL46" s="1">
        <f>$P46+$N46+IF($B46&lt;Analysis!$C$130,$X46+$Z46,0)+CP46+CS46+CY46+DE46+DG46+MIN(DI46,SUM(DJ46:DN46))+DQ46+DS46+DT46+EG46+EJ46+EP46+ES46+EU46+MIN(EW46,SUM(EX46:FB46))+FD46</f>
        <v>-90148.281211079229</v>
      </c>
      <c r="FM46" s="1">
        <f>$M46+$R46+DD46+IF(AND($B46&lt;&gt;Analysis!$C$130,$B46=Analysis!$C$101),DZ45+CQ45+CT45+CZ45,0)</f>
        <v>54805.543397135196</v>
      </c>
      <c r="FN46" s="1">
        <f t="shared" si="34"/>
        <v>-35342.737813944033</v>
      </c>
      <c r="FO46" s="1">
        <f>IF(FN46 &lt; 0,
    IF(FO45 + FN46 &gt; 0,
        FO45 + FN46, IF(FT45-ABS(FO45 + FN46)*(1+$V46) &gt;= FO45 + FN46,
        0, FO45 + FN46)),
    MIN(FO45 + FN46, Analysis!$C$7))+IF(FO45&lt;0, FO45*Analysis!$C$9,0)</f>
        <v>-314030.44083371008</v>
      </c>
      <c r="FP46" s="53"/>
      <c r="FQ46" s="1">
        <f t="shared" si="51"/>
        <v>0</v>
      </c>
      <c r="FR46" s="1">
        <f>IF(OR($B46=Analysis!$C$100, $B46=Analysis!$C$130),0,IF(FN46 &gt;= 0,
    MAX(0, FO45 + FN46 - Analysis!$C$7),
    0))</f>
        <v>0</v>
      </c>
      <c r="FS46" s="1">
        <f>IF(OR($B46=Analysis!$C$100, $B46=Analysis!$C$130),0,MAX(0, FS45 + FR46 - IF(FN46 &lt; 0, MIN(ABS(FN46), FS45 + FR46), 0)))</f>
        <v>0</v>
      </c>
      <c r="FT46" s="1">
        <f>IF(OR($B46=Analysis!$C$100, $B46=Analysis!$C$130),0,IF(FN46 &lt; 0,
    IF(FN46 + FO45 &lt; 0,
        MAX(0, FT45 - (ABS(FN46 + FO45) * (1+$V45))),
        FT45 + FQ46),
    FT45 + FR46 + FQ46))</f>
        <v>0</v>
      </c>
      <c r="FU46" s="1">
        <f t="shared" si="57"/>
        <v>0</v>
      </c>
      <c r="FV46" s="36"/>
      <c r="FW46" s="1">
        <f t="shared" si="52"/>
        <v>1860333.2311995961</v>
      </c>
      <c r="FX46" s="64">
        <f t="shared" si="53"/>
        <v>2.941176470588247E-2</v>
      </c>
      <c r="FY46" s="1">
        <f>IF($B46=Analysis!$C$159,(FW46*(1+Analysis!$C$23+Analysis!$C$24+Analysis!$C$25))-IF($B46=$B$2,(Analysis!$C$6-Analysis!$C$7+Analysis!$C$165), (HW45-Analysis!$C$7+GH46)),0)</f>
        <v>0</v>
      </c>
      <c r="FZ46" s="65">
        <f>IF($B46=Analysis!$C$159,NPER(GD46,-GG46,-FY46),0)</f>
        <v>0</v>
      </c>
      <c r="GA46" s="64">
        <f>IF($B46=Analysis!$C$159,Analysis!$C$161,0)</f>
        <v>0</v>
      </c>
      <c r="GB46" s="1">
        <f>IF($B46&lt;Analysis!$C$159,0,IF($B46=Analysis!$C$159,-FY46*GA46,IF(GG46&gt;=0,0,GG46-GE46)))</f>
        <v>0</v>
      </c>
      <c r="GC46" s="1">
        <f>IF($B46&lt;Analysis!$C$159,0,IF($B46=Analysis!$C$159,-FY46-GB46,MIN(0,GC45-GB46)))</f>
        <v>0</v>
      </c>
      <c r="GD46" s="64">
        <f>IF($B46&lt;Analysis!$C$159,0,IF($B46=Analysis!$C$159,Analysis!$C$160,IF(($B46-Analysis!$C$159)&lt;LOOKUP(Analysis!$C$159,$B:$B,FZ:FZ),GD45,0)))</f>
        <v>0</v>
      </c>
      <c r="GE46" s="1">
        <f>IF($B46&lt;Analysis!$C$159,0,IF($B46=Analysis!$C$159,-GD46*FY46,GD45*GC45))</f>
        <v>0</v>
      </c>
      <c r="GF46" s="1">
        <f>IF($B46&lt;Analysis!$C$159,0,IF($B46=Analysis!$C$159,PMT(GD46,FZ46,FY46)*FZ46-GG46-GC46,IF(($B46-Analysis!$C$159+1)&lt;LOOKUP(Analysis!$C$159,$B:$B,FZ:FZ),IF(GF45-GE46&lt;0, GF45-GE46,0),0)))</f>
        <v>0</v>
      </c>
      <c r="GG46" s="1">
        <f>IF($B46&lt;Analysis!$C$159,0,IF($B46=Analysis!$C$159,GB46+GE46,IF(GC45&lt;0,IF(GC45&gt;LOOKUP(Analysis!$C$159,$B:$B,GG:GG), GC45*(1+GD45),GG45),0)))</f>
        <v>0</v>
      </c>
      <c r="GH46" s="1">
        <f>IF($B46=Analysis!$C$159,Analysis!$C$165,0)</f>
        <v>0</v>
      </c>
      <c r="GI46" s="1">
        <f>IF($B46=Analysis!$C$159,PMT(GD46,GJ46,GH46)*GJ46,0)</f>
        <v>0</v>
      </c>
      <c r="GJ46" s="7">
        <f>IF($B46=Analysis!$C$159,Analysis!$C$167,0)</f>
        <v>0</v>
      </c>
      <c r="GK46" s="1">
        <f>IF($B46&lt;Analysis!$C$159,0,IF($B46=Analysis!$C$159,GI46/GJ46,IF(($B46-Analysis!$C$159)&lt;LOOKUP(Analysis!$C$159,$B:$B,GJ:GJ),GK45,0)))</f>
        <v>0</v>
      </c>
      <c r="GL46" s="1">
        <f>IF($B46&lt;Analysis!$C$159,0,IF($B46=Analysis!$C$159,GJ46*GK46-GK46,IF(($B46-Analysis!$C$159)&lt;Analysis!$C$167,GL45-GK46,0)))</f>
        <v>0</v>
      </c>
      <c r="GM46" s="38"/>
      <c r="GN46" s="1">
        <f>IF($B46&lt;Analysis!$C$159,0,IF($B46=2025,(Analysis!$C$109*12),IF($B46=Analysis!$C$159,(Analysis!$C$109*12)*(1+GO46)^($B46-$B$2),GN45*(1+GO46))))</f>
        <v>49623.207437310251</v>
      </c>
      <c r="GO46" s="64">
        <f>IF($B46&lt;Analysis!$C$159,0,((1+Analysis!$C$174)/(1+$S46))-1)</f>
        <v>2.941176470588247E-2</v>
      </c>
      <c r="GP46" s="1">
        <f t="shared" si="7"/>
        <v>59164.207130909039</v>
      </c>
      <c r="GQ46" s="1">
        <f t="shared" si="36"/>
        <v>-5580.9996935987883</v>
      </c>
      <c r="GR46" s="64">
        <f>IF($B46&lt;Analysis!$C$159,0,Analysis!$C$178)</f>
        <v>3.0000000000000001E-3</v>
      </c>
      <c r="GS46" s="1">
        <f t="shared" si="37"/>
        <v>-13952.49923399697</v>
      </c>
      <c r="GT46" s="64">
        <f>IF($B46&lt;Analysis!$C$159,0,Analysis!$C$179)</f>
        <v>7.4999999999999997E-3</v>
      </c>
      <c r="GU46" s="1">
        <f>IF($B46&lt;Analysis!$C$159,0,MIN(Analysis!$C$180*12,SUM(GV46:GZ46)))</f>
        <v>-3960</v>
      </c>
      <c r="GV46" s="1">
        <f>IF($B46&lt;Analysis!$C$159,0,Analysis!$C$181*12)</f>
        <v>-900</v>
      </c>
      <c r="GW46" s="1">
        <f>IF($B46&lt;Analysis!$C$159,0,Analysis!$C$182*12)</f>
        <v>-1500</v>
      </c>
      <c r="GX46" s="1">
        <f>IF($B46&lt;Analysis!$C$159,0,Analysis!$C$183*12)</f>
        <v>-480</v>
      </c>
      <c r="GY46" s="1">
        <f>IF($B46&lt;Analysis!$C$159,0,Analysis!$C$184*12)</f>
        <v>-480</v>
      </c>
      <c r="GZ46" s="1">
        <f>IF($B46&lt;Analysis!$C$159,0,Analysis!$C$185*12)</f>
        <v>-600</v>
      </c>
      <c r="HA46" s="64">
        <f>IF($B46&lt;Analysis!$C$159,0,Analysis!$C$173)</f>
        <v>0.02</v>
      </c>
      <c r="HB46" s="1">
        <f>-HA46*LOOKUP(Analysis!$C$159,$B:$B,FW:FW)</f>
        <v>-10392</v>
      </c>
      <c r="HC46" s="1">
        <f>-Analysis!$C$177*GN46</f>
        <v>-3721.7405577982686</v>
      </c>
      <c r="HD46" s="1">
        <f t="shared" si="38"/>
        <v>-37607.239485394035</v>
      </c>
      <c r="HE46" s="1">
        <f>MIN(0,-(GN46+HD46)*Analysis!$C$28)-GE46*Analysis!$C$28</f>
        <v>-5324.2753994940749</v>
      </c>
      <c r="HF46" s="1">
        <f>-Analysis!$C$176*GP46/12</f>
        <v>-4930.3505942424199</v>
      </c>
      <c r="HG46" s="38"/>
      <c r="HH46" s="1">
        <f>IF($B46&lt;Analysis!$C$159,0,-$HI46*$FW46)</f>
        <v>-237192.48697794852</v>
      </c>
      <c r="HI46" s="64">
        <f>IF($B46&lt;Analysis!$C$159,0,IF($B46=Analysis!$C$159,Analysis!$C$31,HI45))</f>
        <v>0.1275</v>
      </c>
      <c r="HJ46" s="1">
        <f>IF($B46&lt;Analysis!$C$159,0,$FW46+HH46)</f>
        <v>1623140.7442216475</v>
      </c>
      <c r="HK46" s="1">
        <f>IF($B46-Analysis!$C$159&gt;10,0,IF($FW46&gt;LOOKUP(Analysis!$C$159,$B:$B, FW:FW),$V46*(LOOKUP(Analysis!$C$159,$B:$B, FW:FW)-FW46),0))</f>
        <v>0</v>
      </c>
      <c r="HL46" s="1">
        <f t="shared" si="39"/>
        <v>1623140.7442216475</v>
      </c>
      <c r="HM46" s="38"/>
      <c r="HN46" s="1">
        <f t="shared" si="40"/>
        <v>-146142.10255034224</v>
      </c>
      <c r="HO46" s="1">
        <f t="shared" si="8"/>
        <v>113969.75052804424</v>
      </c>
      <c r="HP46" s="1">
        <f t="shared" si="41"/>
        <v>-32172.352022298001</v>
      </c>
      <c r="HQ46" s="1">
        <f>IF(HP46 &lt; 0,
    IF(HQ45 + HP46 &gt; 0,
        HQ45 + HP46, IF(HV45-ABS(HQ45 + HP46)*(1+$V46) &gt;= HQ45 + HP46,
        0, HQ45 + HP46)),
    MIN(HQ45 + HP46, Analysis!$C$7))+IF(HQ45&lt;0, HQ45*Analysis!$C$9,0)</f>
        <v>0</v>
      </c>
      <c r="HR46" s="38"/>
      <c r="HS46" s="1">
        <f t="shared" si="54"/>
        <v>18460.363494198678</v>
      </c>
      <c r="HT46" s="1">
        <f>IF($B46=Analysis!$C$159,0,IF(HP46 &gt;= 0,
    MAX(0, HQ45 + HP46 - Analysis!$C$7),
    0))</f>
        <v>0</v>
      </c>
      <c r="HU46" s="1">
        <f>IF($B46=Analysis!$C$159,0,MAX(0, HU45 + HT46 - IF(HP46 &lt; 0, MIN(ABS(HP46), HU45 + HT46), 0)))</f>
        <v>547734.48259570205</v>
      </c>
      <c r="HV46" s="1">
        <f>IF($B46=Analysis!$C$159,0,IF(HP46 &lt; 0,
    IF(HP46 + HQ45 &lt; 0,
        MAX(0, HV45 - (ABS(HP46 + HQ45) * (1+$V45))),
        HV45 + HS46),
    HV45 + HT46 + HS46))</f>
        <v>900820.72833595681</v>
      </c>
      <c r="HW46" s="1">
        <f t="shared" si="58"/>
        <v>807694.23102196457</v>
      </c>
      <c r="HX46" s="36"/>
    </row>
    <row r="47" spans="1:232" x14ac:dyDescent="0.35">
      <c r="A47">
        <f t="shared" si="0"/>
        <v>80</v>
      </c>
      <c r="B47">
        <v>2070</v>
      </c>
      <c r="C47" s="1">
        <f>IF($B47&lt;Analysis!C$66,0,$AN47)+$AT47+$AW47+$BC47+$CF47+$CA47</f>
        <v>-3690170.802572805</v>
      </c>
      <c r="D47" s="1">
        <f>IF($B47&lt;Analysis!C$66, 0, BV47)+AT47+AW47+BC47+CG47+CA47</f>
        <v>-4108396.6985880146</v>
      </c>
      <c r="E47" s="1">
        <f t="shared" si="1"/>
        <v>1648503.2371746951</v>
      </c>
      <c r="F47" s="1">
        <f t="shared" si="9"/>
        <v>1380387.7031245753</v>
      </c>
      <c r="G47" s="1">
        <f>IF(AND($B47&gt;=Analysis!$C$100, $B47&lt;Analysis!$C$101),$CK47,0)+IF($B47&gt;=Analysis!$C$130,EB47,0)+CQ47+CT47+CZ47+EH47+EK47+EQ47+$FO47+$FT47</f>
        <v>2172615.3443841799</v>
      </c>
      <c r="H47" s="1">
        <f t="shared" si="10"/>
        <v>1848372.7957881182</v>
      </c>
      <c r="I47" s="1">
        <f>IF($B47&lt;Analysis!$C$159,0,$FW47)+$GC47+$GF47+$GL47+$HQ47+$HV47</f>
        <v>2772300.9321465199</v>
      </c>
      <c r="J47" s="1">
        <f t="shared" si="59"/>
        <v>2437403.9704523142</v>
      </c>
      <c r="K47" s="36"/>
      <c r="L47" s="1">
        <f t="shared" si="11"/>
        <v>53709.432529192491</v>
      </c>
      <c r="M47" s="1">
        <f>IF($B47=Analysis!$C$47, M46 * (1 - Analysis!$C$48),
    IF($B47=Analysis!$C$52, M46 * (1 - Analysis!$C$53),
    IF($B47=Analysis!$C$58, M46 * (1 - Analysis!$C$60),
    L47)))</f>
        <v>53709.432529192491</v>
      </c>
      <c r="N47" s="1">
        <f>Analysis!$C$3*12*(1+O47)+P47</f>
        <v>-48000</v>
      </c>
      <c r="O47" s="64">
        <f>IF(OR($B47=Analysis!$C$47,$B47=Analysis!$C$52,$B47=Analysis!$C$58),-Analysis!$C$49,0)</f>
        <v>0</v>
      </c>
      <c r="P47" s="1">
        <f>IF($B47&lt;Analysis!$C$47,0,IF($B47-Analysis!$C$47&lt;=3,Analysis!$C$40+Analysis!$C$44,IF($B47-Analysis!$C$47&lt;=10,Analysis!$C$41+Analysis!$C$44,IF($B47-Analysis!$C$47&lt;=18,Analysis!$C$42+Analysis!$C$44,IF($B47-Analysis!$C$47&lt;=25,Analysis!$C$43+Analysis!$C$44,0)))) + IF(AND($B47&gt;=Analysis!$C$52, $B47-Analysis!$C$52&lt;=3),Analysis!$C$40+Analysis!$C$44,IF(AND($B47&gt;=Analysis!$C$52, $B47-Analysis!$C$52&lt;=10),Analysis!$C$41+Analysis!$C$44,IF(AND($B47&gt;=Analysis!$C$52, $B47-Analysis!$C$52&lt;=18),Analysis!$C$42+Analysis!$C$44,IF(AND($B47&gt;=Analysis!$C$52, $B47-Analysis!$C$52&lt;=25),Analysis!$C$43+Analysis!$C$44,0)))) + Analysis!$C$57*IF(AND($B47&gt;=Analysis!$C$58, $B47-Analysis!$C$58&lt;=3),Analysis!$C$40+Analysis!$C$44,IF(AND($B47&gt;=Analysis!$C$58, $B47-Analysis!$C$58&lt;=10),Analysis!$C$41+Analysis!$C$44,IF(AND($B47&gt;=Analysis!$C$58, $B47-Analysis!$C$58&lt;=18),Analysis!$C$42+Analysis!$C$44,IF(AND($B47&gt;=Analysis!$C$58, $B47-Analysis!$C$58&lt;=25),Analysis!$C$43+Analysis!$C$44,0)))))</f>
        <v>0</v>
      </c>
      <c r="Q47" s="1">
        <f t="shared" si="43"/>
        <v>0</v>
      </c>
      <c r="R47" s="1">
        <f>IF(AND(AND(B47=Analysis!C$35,Analysis!C$34&lt;&gt;0),AND(B47=Analysis!C$37,Analysis!C$36&lt;&gt;0)),Analysis!C$34+Analysis!C$36,IF(AND(B47=Analysis!C$35,Analysis!C$34&lt;&gt;0),Analysis!C$34,IF(AND(B47=Analysis!C$37,Analysis!C$36&lt;&gt;0),Analysis!C$36,0)))</f>
        <v>0</v>
      </c>
      <c r="S47" s="64">
        <f t="shared" si="12"/>
        <v>0.02</v>
      </c>
      <c r="T47" s="64">
        <f>IF($B47&lt;Analysis!$C$13, ((1+IF($B47-$B$2&lt;10,Analysis!$C$11,IF($B47-$B$2&lt;20,(Analysis!$C$11+Analysis!$C$12)/2,Analysis!$C$12)))/(1+$S47)-1),IF($B47=Analysis!$C$13,-Analysis!$C$14,-$S47))</f>
        <v>-0.02</v>
      </c>
      <c r="U47" s="64">
        <f>IF($B47=$B$2,((1+Analysis!$C$16)/(1+$S47))-1,IF(B47&lt;Analysis!$C$13,U46-((Analysis!$C$16-Analysis!$C$17)/(Analysis!$C$13-$B$2)),((1+Analysis!$C$17)/(1+$S46))-1))</f>
        <v>1.9607843137254832E-2</v>
      </c>
      <c r="V47" s="64">
        <f t="shared" si="13"/>
        <v>0.26374999999999998</v>
      </c>
      <c r="W47" s="36"/>
      <c r="X47" s="1">
        <f t="shared" si="14"/>
        <v>-58380.24404389441</v>
      </c>
      <c r="Y47" s="64">
        <f t="shared" si="15"/>
        <v>2.941176470588247E-2</v>
      </c>
      <c r="Z47" s="1">
        <f t="shared" si="16"/>
        <v>-3960</v>
      </c>
      <c r="AA47" s="64">
        <f t="shared" si="17"/>
        <v>0</v>
      </c>
      <c r="AB47" s="40"/>
      <c r="AC47" s="1">
        <f t="shared" si="3"/>
        <v>-110340.2440438944</v>
      </c>
      <c r="AD47" s="1">
        <f t="shared" si="4"/>
        <v>53709.432529192491</v>
      </c>
      <c r="AE47" s="1">
        <f t="shared" si="18"/>
        <v>-56630.811514701913</v>
      </c>
      <c r="AF47" s="1">
        <f>IF(AE47 &lt; 0,
    IF(AF46 + AE47 &gt; 0,
        AF46 + AE47, IF(AK46-ABS(AF46 + AE47)*(1+$V47) &gt;= AF46 + AE47,
        0, AF46 + AE47)),
    MIN(AF46 + AE47, Analysis!$C$7))+IF(AF46&lt;0, AF46*Analysis!$C$9,0)</f>
        <v>0</v>
      </c>
      <c r="AG47" s="40"/>
      <c r="AH47" s="1">
        <f t="shared" si="19"/>
        <v>33726.871082870464</v>
      </c>
      <c r="AI47" s="1">
        <f>IF(AE47 &gt;= 0,
    MAX(0, AF46 + AE47 - Analysis!$C$7),
    0)</f>
        <v>0</v>
      </c>
      <c r="AJ47" s="1">
        <f t="shared" si="44"/>
        <v>631951.44930694264</v>
      </c>
      <c r="AK47" s="1">
        <f t="shared" si="20"/>
        <v>1648503.2371746951</v>
      </c>
      <c r="AL47" s="1">
        <f t="shared" si="5"/>
        <v>1380387.7031245753</v>
      </c>
      <c r="AM47" s="36"/>
      <c r="AN47" s="1">
        <f t="shared" si="45"/>
        <v>3280203.1060016421</v>
      </c>
      <c r="AO47" s="64">
        <f t="shared" si="21"/>
        <v>2.941176470588247E-2</v>
      </c>
      <c r="AP47" s="1">
        <f>IF($B47=Analysis!$C$66,(AN47*(1+Analysis!$C$23+Analysis!$C$24+Analysis!$C$25))-IF($B47=$B$2,(Analysis!$C$6-Analysis!$C$7+Analysis!$C$68), ($CG46-Analysis!$C$7+AY47)),0)</f>
        <v>0</v>
      </c>
      <c r="AQ47" s="65">
        <f>IF($B47=Analysis!$C$66,NPER(AU47,-AX47,-AP47),0)</f>
        <v>0</v>
      </c>
      <c r="AR47" s="64">
        <f>IF($B47=Analysis!$C$66,Analysis!$C$73,0)</f>
        <v>0</v>
      </c>
      <c r="AS47" s="1">
        <f>IF($B47&lt;Analysis!$C$66,0,IF($B47=Analysis!$C$66,-AP47*AR47,IF(AX47&gt;=0,0,AX47-AV47)))</f>
        <v>0</v>
      </c>
      <c r="AT47" s="1">
        <f>IF($B47&lt;Analysis!$C$66,0,IF($B47=Analysis!$C$66,-AP47-AS47,MIN(0,AT46-AS47)))</f>
        <v>0</v>
      </c>
      <c r="AU47" s="64">
        <f>IF($B47&lt;Analysis!$C$66,0,IF($B47=Analysis!$C$66,Analysis!$C$72,IF(($B47-Analysis!$C$66)&lt;LOOKUP(Analysis!$C$66,$B:$B,AQ:AQ),AU46,0)))</f>
        <v>0</v>
      </c>
      <c r="AV47" s="1">
        <f>IF($B47&lt;Analysis!$C$66,0,IF($B47=Analysis!$C$66,-AU47*AP47,AU46*AT46))</f>
        <v>0</v>
      </c>
      <c r="AW47" s="1">
        <f>IF($B47&lt;Analysis!$C$66,0,IF($B47=Analysis!$C$66,PMT(AU47,AQ47,AP47)*AQ47-AX47-AT47,IF(($B47-Analysis!$C$66+1)&lt;LOOKUP(Analysis!$C$66,$B:$B,AQ:AQ),IF(AW46-AV47&lt;0, AW46-AV47,0),0)))</f>
        <v>0</v>
      </c>
      <c r="AX47" s="1">
        <f>IF($B47&lt;Analysis!$C$66,0,IF($B47=Analysis!$C$66,AS47+AV47,IF(AT46&lt;0,IF(AT46&gt;LOOKUP(Analysis!$C$66,$B:$B,AX:AX), AT46*(1+AU46),AX46),0)))</f>
        <v>0</v>
      </c>
      <c r="AY47" s="1">
        <f>IF($B47=Analysis!$C$66,Analysis!$C$68,0)</f>
        <v>0</v>
      </c>
      <c r="AZ47" s="1">
        <f>IF($B47=Analysis!$C$66,PMT(AU47,BA47,AY47)*BA47,0)</f>
        <v>0</v>
      </c>
      <c r="BA47" s="7">
        <f>IF($B47=Analysis!$C$66,Analysis!$C$70,0)</f>
        <v>0</v>
      </c>
      <c r="BB47" s="1">
        <f>IF($B47&lt;Analysis!$C$66,0,IF($B47=Analysis!$C$66,AZ47/BA47,IF(($B47-Analysis!$C$66)&lt;LOOKUP(Analysis!$C$66,$B:$B,BA:BA),BB46,0)))</f>
        <v>0</v>
      </c>
      <c r="BC47" s="1">
        <f>IF($B47&lt;Analysis!$C$66,0,IF($B47=Analysis!$C$66,BA47*BB47-BB47,IF(($B47-Analysis!$C$66)&lt;Analysis!$C$70,BC46-BB47,0)))</f>
        <v>0</v>
      </c>
      <c r="BD47" s="42"/>
      <c r="BE47" s="1">
        <f>IF($B47&lt;Analysis!$C$66,0,-BF47*AN47)</f>
        <v>-9840.6093180049265</v>
      </c>
      <c r="BF47" s="64">
        <f>IF($B47&lt;Analysis!$C$66,0,Analysis!$C$78)</f>
        <v>3.0000000000000001E-3</v>
      </c>
      <c r="BG47" s="1">
        <f>IF($B47&lt;Analysis!$C$66,0,-BH47*AN47)</f>
        <v>-24601.523295012314</v>
      </c>
      <c r="BH47" s="64">
        <f>IF($B47&lt;Analysis!$C$66,0,Analysis!$C$79)</f>
        <v>7.4999999999999997E-3</v>
      </c>
      <c r="BI47" s="1">
        <f>IF($B47&lt;Analysis!$C$66,0,MIN(Analysis!$C$80*12,SUM(BJ47:BN47)))</f>
        <v>-3960</v>
      </c>
      <c r="BJ47" s="1">
        <f>IF($B47&lt;Analysis!$C$66,0,Analysis!$C$81*12)</f>
        <v>-900</v>
      </c>
      <c r="BK47" s="1">
        <f>IF($B47&lt;Analysis!$C$66,0,Analysis!$C$82*12)</f>
        <v>-1500</v>
      </c>
      <c r="BL47" s="1">
        <f>IF($B47&lt;Analysis!$C$66,0,Analysis!$C$83*12)</f>
        <v>-480</v>
      </c>
      <c r="BM47" s="1">
        <f>IF($B47&lt;Analysis!$C$66,0,Analysis!$C$84*12)</f>
        <v>-480</v>
      </c>
      <c r="BN47" s="1">
        <f>IF($B47&lt;Analysis!$C$66,0,Analysis!$C$85*12)</f>
        <v>-600</v>
      </c>
      <c r="BO47" s="1">
        <v>0</v>
      </c>
      <c r="BP47" s="1">
        <f>-BO47*Analysis!$C$28</f>
        <v>0</v>
      </c>
      <c r="BQ47" s="42"/>
      <c r="BR47" s="1">
        <f t="shared" si="22"/>
        <v>-418225.89601520938</v>
      </c>
      <c r="BS47" s="64">
        <f>IF($B47&lt;Analysis!C$66,0,Analysis!C$31)</f>
        <v>0.1275</v>
      </c>
      <c r="BT47" s="1">
        <f>IF($B47&lt;Analysis!$C$66,0,AN47+BR47)</f>
        <v>2861977.2099864325</v>
      </c>
      <c r="BU47" s="1">
        <f>IF($B47-Analysis!$C$66&gt;3,0,IF($AN47&gt;LOOKUP(Analysis!$C$66,$B:$B, AN:AN),$V47*(LOOKUP(Analysis!$C$66,$B:$B, AN:AN)-AN47),0))</f>
        <v>0</v>
      </c>
      <c r="BV47" s="1">
        <f t="shared" si="23"/>
        <v>2861977.2099864325</v>
      </c>
      <c r="BW47" s="42"/>
      <c r="BX47" s="1">
        <f>IF($B47&lt;Analysis!$C$66,$P47+$N47+$X47+$Z47,$P47+$N47+AS47+AV47+BB47+BE47+BG47+MAX(BI47,SUM(BJ47:BN47))+BP47)</f>
        <v>-86402.132613017238</v>
      </c>
      <c r="BY47" s="1">
        <f t="shared" si="24"/>
        <v>53709.432529192491</v>
      </c>
      <c r="BZ47" s="1">
        <f t="shared" si="46"/>
        <v>-32692.700083824748</v>
      </c>
      <c r="CA47" s="1">
        <f>IF(BZ47 &lt; 0,
    IF(CA46 + BZ47 &gt; 0,
        CA46 + BZ47, IF(CF46-ABS(CA46 + BZ47)*(1+$V47) &gt;= CA46 + BZ47,
        0, CA46 + BZ47)),
    MIN(CA46 + BZ47, Analysis!$C$7))+IF(CA46&lt;0, CA46*Analysis!$C$9,0)</f>
        <v>-6970373.908574447</v>
      </c>
      <c r="CB47" s="42"/>
      <c r="CC47" s="1">
        <f t="shared" si="47"/>
        <v>0</v>
      </c>
      <c r="CD47" s="1">
        <f>IF(BZ47 &gt;= 0,
    MAX(0, CA46 + BZ47 - Analysis!$C$7),
    0)</f>
        <v>0</v>
      </c>
      <c r="CE47" s="1">
        <f>IF($B47=Analysis!$C$66,0,MAX(0, CE46 + CD47 - IF(BZ47 &lt; 0, MIN(ABS(BZ47), CE46 + CD47), 0)))</f>
        <v>0</v>
      </c>
      <c r="CF47" s="1">
        <f>IF($B47=Analysis!$C$66,0,IF(BZ47 &lt; 0,
    IF(BZ47 + CA46 &lt; 0,
        MAX(0, CF46 - (ABS(BZ47 + CA46) * (1+$V46))),
        CF46 + CC47),
    CF46 + CD47 + CC47))</f>
        <v>0</v>
      </c>
      <c r="CG47" s="1">
        <f t="shared" si="25"/>
        <v>0</v>
      </c>
      <c r="CH47" s="36"/>
      <c r="CI47" s="1">
        <f>IF(OR($B47&lt;Analysis!$C$100, $B47&gt;=Analysis!$C$130),0,X47)</f>
        <v>0</v>
      </c>
      <c r="CJ47" s="1">
        <f>IF(OR($B47&lt;Analysis!$C$100, $B47&gt;=Analysis!$C$130),0,Z47)</f>
        <v>0</v>
      </c>
      <c r="CK47" s="1">
        <f t="shared" si="60"/>
        <v>1915048.9144701727</v>
      </c>
      <c r="CL47" s="64">
        <f t="shared" si="48"/>
        <v>2.941176470588247E-2</v>
      </c>
      <c r="CM47" s="1">
        <f>IF($B47=Analysis!$C$100,(CK47*(1+Analysis!$C$23+Analysis!$C$24+Analysis!$C$25))-IF($B47=$B$2,(Analysis!$C$6-Analysis!$C$7+Analysis!$C$105), (FU46-Analysis!$C$7+CV47)),0)</f>
        <v>0</v>
      </c>
      <c r="CN47" s="65">
        <f>IF($B47=Analysis!$C$100,NPER(CR47,-CU47,-CM47),0)</f>
        <v>0</v>
      </c>
      <c r="CO47" s="64">
        <f>IF($B47=Analysis!$C$100,Analysis!$C$103,0)</f>
        <v>0</v>
      </c>
      <c r="CP47" s="1">
        <f>IF(OR($B47&lt;Analysis!$C$100, $B47&gt;=Analysis!$C$101),0,IF($B47=Analysis!$C$100,-CM47*CO47,IF(CU47&gt;=0,0,CU47-CS47)))</f>
        <v>0</v>
      </c>
      <c r="CQ47" s="1">
        <f>IF(OR($B47&lt;Analysis!$C$100, $B47&gt;=Analysis!$C$101),0,IF($B47=Analysis!$C$100,-CM47-CP47,MIN(0,CQ46-CP47)))</f>
        <v>0</v>
      </c>
      <c r="CR47" s="64">
        <f>IF(OR($B47&lt;Analysis!$C$100, $B47&gt;=Analysis!$C$101),0,IF($B47=Analysis!$C$100,Analysis!$C$102,IF(($B47-Analysis!$C$100)&lt;LOOKUP(Analysis!$C$100,$B:$B,CN:CN),CR46,0)))</f>
        <v>0</v>
      </c>
      <c r="CS47" s="1">
        <f>IF(OR($B47&lt;Analysis!$C$100, $B47&gt;=Analysis!$C$101),0,IF($B47=Analysis!$C$100,-CR47*CM47,CR46*CQ46))</f>
        <v>0</v>
      </c>
      <c r="CT47" s="1">
        <f>IF(OR($B47&lt;Analysis!$C$100, $B47&gt;=Analysis!$C$101),0,IF($B47=Analysis!$C$100,PMT(CR47,CN47,CM47)*CN47-CU47-CQ47,IF(($B47-Analysis!$C$100+1)&lt;LOOKUP(Analysis!$C$100,$B:$B,CN:CN),IF(CT46-CS47&lt;0, CT46-CS47,0),0)))</f>
        <v>0</v>
      </c>
      <c r="CU47" s="1">
        <f>IF(OR($B47&lt;Analysis!$C$100, $B47&gt;=Analysis!$C$101),0,IF($B47=Analysis!$C$100,CP47+CS47,IF(CQ46&lt;0,IF(CQ46&gt;LOOKUP(Analysis!$C$100,$B:$B,CU:CU), CQ46*(1+CR46),CU46),0)))</f>
        <v>0</v>
      </c>
      <c r="CV47" s="1">
        <f>IF($B47=Analysis!$C$100,Analysis!$C$105,0)</f>
        <v>0</v>
      </c>
      <c r="CW47" s="1">
        <f>IF($B47=Analysis!$C$100,PMT(CR47,CX47,CV47)*CX47,0)</f>
        <v>0</v>
      </c>
      <c r="CX47" s="7">
        <f>IF($B47=Analysis!$C$100,Analysis!$C$107,0)</f>
        <v>0</v>
      </c>
      <c r="CY47" s="1">
        <f>IF(OR($B47&lt;Analysis!$C$100, $B47&gt;=Analysis!$C$101),0,IF($B47=Analysis!$C$100,CW47/CX47,IF(($B47-Analysis!$C$100)&lt;LOOKUP(Analysis!$C$100,$B:$B,CX:CX),CY46,0)))</f>
        <v>0</v>
      </c>
      <c r="CZ47" s="1">
        <f>IF(OR($B47&lt;Analysis!$C$100, $B47&gt;=Analysis!$C$101),0,IF($B47=Analysis!$C$100,CX47*CY47-CY47,IF(($B47-Analysis!$C$100)&lt;Analysis!$C$107,CZ46-CY47,0)))</f>
        <v>0</v>
      </c>
      <c r="DA47" s="53"/>
      <c r="DB47" s="1">
        <f>IF(OR($B47&lt;Analysis!$C$100, $B47&gt;=Analysis!$C$101),0,IF($B47=2025,(Analysis!$C$109*12),IF($B47=Analysis!$C$100,(Analysis!$C$109*12)*(1+DC47)^($B47-$B$2),DB46*(1+DC47))))</f>
        <v>0</v>
      </c>
      <c r="DC47" s="64">
        <f>IF(OR($B47&lt;Analysis!$C$100, $B47&gt;=Analysis!$C$101),0,((1+Analysis!$C$114)/(1+$S47))-1)</f>
        <v>0</v>
      </c>
      <c r="DD47" s="1">
        <f t="shared" si="6"/>
        <v>0</v>
      </c>
      <c r="DE47" s="1">
        <f t="shared" si="27"/>
        <v>0</v>
      </c>
      <c r="DF47" s="64">
        <f>IF(OR($B47&lt;Analysis!$C$100, $B47&gt;=Analysis!$C$101),0,Analysis!$C$118)</f>
        <v>0</v>
      </c>
      <c r="DG47" s="1">
        <f t="shared" si="28"/>
        <v>0</v>
      </c>
      <c r="DH47" s="64">
        <f>IF(OR($B47&lt;Analysis!$C$100, $B47&gt;=Analysis!$C$101),0,Analysis!$C$119)</f>
        <v>0</v>
      </c>
      <c r="DI47" s="1">
        <f>IF(OR($B47&lt;Analysis!$C$100, $B47&gt;=Analysis!$C$101),0,MIN(Analysis!$C$120*12,SUM(DJ47:DN47)))</f>
        <v>0</v>
      </c>
      <c r="DJ47" s="1">
        <f>IF(OR($B47&lt;Analysis!$C$100, $B47&gt;=Analysis!$C$101),0,Analysis!$C$121*12)</f>
        <v>0</v>
      </c>
      <c r="DK47" s="1">
        <f>IF(OR($B47&lt;Analysis!$C$100, $B47&gt;=Analysis!$C$101),0,Analysis!$C$122*12)</f>
        <v>0</v>
      </c>
      <c r="DL47" s="1">
        <f>IF(OR($B47&lt;Analysis!$C$100, $B47&gt;=Analysis!$C$101),0,Analysis!$C$123*12)</f>
        <v>0</v>
      </c>
      <c r="DM47" s="1">
        <f>IF(OR($B47&lt;Analysis!$C$100, $B47&gt;=Analysis!$C$101),0,Analysis!$C$124*12)</f>
        <v>0</v>
      </c>
      <c r="DN47" s="1">
        <f>IF(OR($B47&lt;Analysis!$C$100, $B47&gt;=Analysis!$C$101),0,Analysis!$C$125*12)</f>
        <v>0</v>
      </c>
      <c r="DO47" s="64">
        <f>IF(OR($B47&lt;Analysis!$C$100, $B47&gt;=Analysis!$C$101),0,Analysis!$C$113)</f>
        <v>0</v>
      </c>
      <c r="DP47" s="1">
        <f>-DO47*LOOKUP(Analysis!$C$100,$B:$B,CK:CK)</f>
        <v>0</v>
      </c>
      <c r="DQ47" s="1">
        <f>-Analysis!$C$117*DB47</f>
        <v>0</v>
      </c>
      <c r="DR47" s="1">
        <f t="shared" si="29"/>
        <v>0</v>
      </c>
      <c r="DS47" s="1">
        <f>MIN(0,-(DB47+DR47)*Analysis!$C$28)-CS47*Analysis!$C$28</f>
        <v>0</v>
      </c>
      <c r="DT47" s="1">
        <f>-Analysis!$C$116*DD47/12</f>
        <v>0</v>
      </c>
      <c r="DU47" s="53"/>
      <c r="DV47" s="1">
        <f t="shared" si="30"/>
        <v>0</v>
      </c>
      <c r="DW47" s="64">
        <f>IF(OR($B47&lt;Analysis!$C$100, $B47&gt;=Analysis!$C$101),0,IF($B47=Analysis!$C$100,Analysis!$C$31,DW46))</f>
        <v>0</v>
      </c>
      <c r="DX47" s="1">
        <f>IF(OR($B47&lt;Analysis!$C$100, $B47&gt;=Analysis!$C$101),0,CK47+DV47)</f>
        <v>0</v>
      </c>
      <c r="DY47" s="1">
        <f>IF(OR($B47&lt;Analysis!$C$100, $B47&gt;=Analysis!$C$101),0,IF($B47-Analysis!$C$100&gt;3,0,IF(CK47&gt;LOOKUP(Analysis!$C$100,$B:$B, CK:CK),$V47*(LOOKUP(Analysis!$C$100,$B:$B, CK:CK)-CK47),0)))</f>
        <v>0</v>
      </c>
      <c r="DZ47" s="1">
        <f t="shared" si="49"/>
        <v>0</v>
      </c>
      <c r="EA47" s="53"/>
      <c r="EB47" s="1">
        <f t="shared" si="31"/>
        <v>2543078.8125181301</v>
      </c>
      <c r="EC47" s="64">
        <f t="shared" si="50"/>
        <v>2.941176470588247E-2</v>
      </c>
      <c r="ED47" s="1">
        <f>IF($B47=Analysis!$C$130,(EB47*(1+Analysis!$C$23+Analysis!$C$24+Analysis!$C$25))-(IF($B47=$B$2,(Analysis!$C$6-Analysis!$C$7+Analysis!$C$132), (FU46-Analysis!$C$7+EM47)) + IF($B47=Analysis!$C$101,DZ46+CQ46+CT46+CZ46,0)),0)</f>
        <v>0</v>
      </c>
      <c r="EE47" s="65">
        <f>IF($B47=Analysis!$C$130,IF(ED47&gt;0,NPER(EI47,-EL47,-ED47),0),0)</f>
        <v>0</v>
      </c>
      <c r="EF47" s="64">
        <f>IF($B47=Analysis!$C$130,Analysis!$C$137,0)</f>
        <v>0</v>
      </c>
      <c r="EG47" s="1">
        <f>IF($B47&lt;Analysis!$C$130,0,IF($B47=Analysis!$C$130,-ED47*EF47,IF(EL47&gt;=0,0,EL47-EJ47)))</f>
        <v>0</v>
      </c>
      <c r="EH47" s="1">
        <f>IF($B47&lt;Analysis!$C$130,0,IF($B47=Analysis!$C$130,-ED47-EG47,MIN(0,EH46-EG47)))</f>
        <v>0</v>
      </c>
      <c r="EI47" s="64">
        <f>IF($B47&lt;Analysis!$C$130,0,IF($B47=Analysis!$C$130,Analysis!$C$136,IF(($B47-Analysis!$C$130)&lt;LOOKUP(Analysis!$C$130,$B:$B,EE:EE),EI46,0)))</f>
        <v>0</v>
      </c>
      <c r="EJ47" s="1">
        <f>IF($B47&lt;Analysis!$C$130,0,IF($B47=Analysis!$C$130,-EI47*ED47,EI46*EH46))</f>
        <v>0</v>
      </c>
      <c r="EK47" s="1">
        <f>IF(OR($B47&lt;Analysis!$C$130, ED47=0),0,IF($B47=Analysis!$C$130,PMT(EI47,EE47,ED47)*EE47-EL47-EH47,IF(($B47-Analysis!$C$130+1)&lt;LOOKUP(Analysis!$C$130,$B:$B,EE:EE),IF(EK46-EJ47&lt;0, EK46-EJ47,0),0)))</f>
        <v>0</v>
      </c>
      <c r="EL47" s="1">
        <f>IF($B47&lt;Analysis!$C$130,0,IF($B47=Analysis!$C$130,EG47+EJ47,IF(EH46&lt;0,IF(EH46&gt;LOOKUP(Analysis!$C$130,$B:$B,EL:EL), EH46*(1+EI46),EL46),0)))</f>
        <v>0</v>
      </c>
      <c r="EM47" s="1">
        <f>IF($B47=Analysis!$C$130,Analysis!$C$132,0)</f>
        <v>0</v>
      </c>
      <c r="EN47" s="1">
        <f>IF($B47=Analysis!$C$130,PMT(EI47,EO47,EM47)*EO47,0)</f>
        <v>0</v>
      </c>
      <c r="EO47" s="7">
        <f>IF($B47=Analysis!$C$130,Analysis!$C$134,0)</f>
        <v>0</v>
      </c>
      <c r="EP47" s="1">
        <f>IF($B47&lt;Analysis!$C$130,0,IF($B47=Analysis!$C$130,EN47/EO47,IF(($B47-Analysis!$C$130)&lt;LOOKUP(Analysis!$C$130,$B:$B,EO:EO),EP46,0)))</f>
        <v>0</v>
      </c>
      <c r="EQ47" s="1">
        <f>IF($B47&lt;Analysis!$C$130,0,IF($B47=Analysis!$C$130,EO47*EP47-EP47,IF(($B47-Analysis!$C$130)&lt;Analysis!$C$134,EQ46-EP47,0)))</f>
        <v>0</v>
      </c>
      <c r="ER47" s="53"/>
      <c r="ES47" s="1">
        <f>IF($B47&lt;Analysis!$C$130,0,-ET47*EB47)</f>
        <v>-7629.2364375543902</v>
      </c>
      <c r="ET47" s="64">
        <f>IF($B47&lt;Analysis!$C$130,0,Analysis!$C$142)</f>
        <v>3.0000000000000001E-3</v>
      </c>
      <c r="EU47" s="1">
        <f>IF($B47&lt;Analysis!$C$130,0,-EV47*EB47)</f>
        <v>-25430.788125181301</v>
      </c>
      <c r="EV47" s="64">
        <f>IF($B47&lt;Analysis!$C$130,0,Analysis!$C$143)</f>
        <v>0.01</v>
      </c>
      <c r="EW47" s="1">
        <f>IF($B47&lt;Analysis!$C$130,0,MIN(Analysis!$C$144*12,SUM(EX47:FB47)))</f>
        <v>-3960</v>
      </c>
      <c r="EX47" s="1">
        <f>IF($B47&lt;Analysis!$C$130,0,Analysis!$C$145*12)</f>
        <v>-900</v>
      </c>
      <c r="EY47" s="1">
        <f>IF($B47&lt;Analysis!$C$130,0,Analysis!$C$146*12)</f>
        <v>-1500</v>
      </c>
      <c r="EZ47" s="1">
        <f>IF($B47&lt;Analysis!$C$130,0,Analysis!$C$147*12)</f>
        <v>-480</v>
      </c>
      <c r="FA47" s="1">
        <f>IF($B47&lt;Analysis!$C$130,0,Analysis!$C$148*12)</f>
        <v>-480</v>
      </c>
      <c r="FB47" s="1">
        <f>IF($B47&lt;Analysis!$C$130,0,Analysis!$C$149*12)</f>
        <v>-600</v>
      </c>
      <c r="FC47" s="1">
        <v>0</v>
      </c>
      <c r="FD47" s="1">
        <f>-FC47*Analysis!$C$28</f>
        <v>0</v>
      </c>
      <c r="FE47" s="53"/>
      <c r="FF47" s="1">
        <f t="shared" si="32"/>
        <v>-324242.54859606159</v>
      </c>
      <c r="FG47" s="64">
        <f>IF($B47&lt;Analysis!$C$130,0,Analysis!$C$31)</f>
        <v>0.1275</v>
      </c>
      <c r="FH47" s="1">
        <f>IF($B47&lt;Analysis!$C$130,0,EB47+FF47)</f>
        <v>2218836.2639220683</v>
      </c>
      <c r="FI47" s="1">
        <f>IF($B47-Analysis!$C$130&gt;3,0,IF(EB47&gt;LOOKUP(Analysis!$C$130,$B:$B, EB:EB),$V47*(LOOKUP(Analysis!$C$130,$B:$B, EB:EB)-EB47),0))</f>
        <v>0</v>
      </c>
      <c r="FJ47" s="1">
        <f t="shared" si="33"/>
        <v>2218836.2639220683</v>
      </c>
      <c r="FK47" s="53"/>
      <c r="FL47" s="1">
        <f>$P47+$N47+IF($B47&lt;Analysis!$C$130,$X47+$Z47,0)+CP47+CS47+CY47+DE47+DG47+MIN(DI47,SUM(DJ47:DN47))+DQ47+DS47+DT47+EG47+EJ47+EP47+ES47+EU47+MIN(EW47,SUM(EX47:FB47))+FD47</f>
        <v>-85020.024562735693</v>
      </c>
      <c r="FM47" s="1">
        <f>$M47+$R47+DD47+IF(AND($B47&lt;&gt;Analysis!$C$130,$B47=Analysis!$C$101),DZ46+CQ46+CT46+CZ46,0)</f>
        <v>53709.432529192491</v>
      </c>
      <c r="FN47" s="1">
        <f t="shared" si="34"/>
        <v>-31310.592033543202</v>
      </c>
      <c r="FO47" s="1">
        <f>IF(FN47 &lt; 0,
    IF(FO46 + FN47 &gt; 0,
        FO46 + FN47, IF(FT46-ABS(FO46 + FN47)*(1+$V47) &gt;= FO46 + FN47,
        0, FO46 + FN47)),
    MIN(FO46 + FN47, Analysis!$C$7))+IF(FO46&lt;0, FO46*Analysis!$C$9,0)</f>
        <v>-370463.46813395008</v>
      </c>
      <c r="FP47" s="53"/>
      <c r="FQ47" s="1">
        <f t="shared" si="51"/>
        <v>0</v>
      </c>
      <c r="FR47" s="1">
        <f>IF(OR($B47=Analysis!$C$100, $B47=Analysis!$C$130),0,IF(FN47 &gt;= 0,
    MAX(0, FO46 + FN47 - Analysis!$C$7),
    0))</f>
        <v>0</v>
      </c>
      <c r="FS47" s="1">
        <f>IF(OR($B47=Analysis!$C$100, $B47=Analysis!$C$130),0,MAX(0, FS46 + FR47 - IF(FN47 &lt; 0, MIN(ABS(FN47), FS46 + FR47), 0)))</f>
        <v>0</v>
      </c>
      <c r="FT47" s="1">
        <f>IF(OR($B47=Analysis!$C$100, $B47=Analysis!$C$130),0,IF(FN47 &lt; 0,
    IF(FN47 + FO46 &lt; 0,
        MAX(0, FT46 - (ABS(FN47 + FO46) * (1+$V46))),
        FT46 + FQ47),
    FT46 + FR47 + FQ47))</f>
        <v>0</v>
      </c>
      <c r="FU47" s="1">
        <f t="shared" si="57"/>
        <v>0</v>
      </c>
      <c r="FV47" s="36"/>
      <c r="FW47" s="1">
        <f t="shared" si="52"/>
        <v>1915048.9144701727</v>
      </c>
      <c r="FX47" s="64">
        <f t="shared" si="53"/>
        <v>2.941176470588247E-2</v>
      </c>
      <c r="FY47" s="1">
        <f>IF($B47=Analysis!$C$159,(FW47*(1+Analysis!$C$23+Analysis!$C$24+Analysis!$C$25))-IF($B47=$B$2,(Analysis!$C$6-Analysis!$C$7+Analysis!$C$165), (HW46-Analysis!$C$7+GH47)),0)</f>
        <v>0</v>
      </c>
      <c r="FZ47" s="65">
        <f>IF($B47=Analysis!$C$159,NPER(GD47,-GG47,-FY47),0)</f>
        <v>0</v>
      </c>
      <c r="GA47" s="64">
        <f>IF($B47=Analysis!$C$159,Analysis!$C$161,0)</f>
        <v>0</v>
      </c>
      <c r="GB47" s="1">
        <f>IF($B47&lt;Analysis!$C$159,0,IF($B47=Analysis!$C$159,-FY47*GA47,IF(GG47&gt;=0,0,GG47-GE47)))</f>
        <v>0</v>
      </c>
      <c r="GC47" s="1">
        <f>IF($B47&lt;Analysis!$C$159,0,IF($B47=Analysis!$C$159,-FY47-GB47,MIN(0,GC46-GB47)))</f>
        <v>0</v>
      </c>
      <c r="GD47" s="64">
        <f>IF($B47&lt;Analysis!$C$159,0,IF($B47=Analysis!$C$159,Analysis!$C$160,IF(($B47-Analysis!$C$159)&lt;LOOKUP(Analysis!$C$159,$B:$B,FZ:FZ),GD46,0)))</f>
        <v>0</v>
      </c>
      <c r="GE47" s="1">
        <f>IF($B47&lt;Analysis!$C$159,0,IF($B47=Analysis!$C$159,-GD47*FY47,GD46*GC46))</f>
        <v>0</v>
      </c>
      <c r="GF47" s="1">
        <f>IF($B47&lt;Analysis!$C$159,0,IF($B47=Analysis!$C$159,PMT(GD47,FZ47,FY47)*FZ47-GG47-GC47,IF(($B47-Analysis!$C$159+1)&lt;LOOKUP(Analysis!$C$159,$B:$B,FZ:FZ),IF(GF46-GE47&lt;0, GF46-GE47,0),0)))</f>
        <v>0</v>
      </c>
      <c r="GG47" s="1">
        <f>IF($B47&lt;Analysis!$C$159,0,IF($B47=Analysis!$C$159,GB47+GE47,IF(GC46&lt;0,IF(GC46&gt;LOOKUP(Analysis!$C$159,$B:$B,GG:GG), GC46*(1+GD46),GG46),0)))</f>
        <v>0</v>
      </c>
      <c r="GH47" s="1">
        <f>IF($B47=Analysis!$C$159,Analysis!$C$165,0)</f>
        <v>0</v>
      </c>
      <c r="GI47" s="1">
        <f>IF($B47=Analysis!$C$159,PMT(GD47,GJ47,GH47)*GJ47,0)</f>
        <v>0</v>
      </c>
      <c r="GJ47" s="7">
        <f>IF($B47=Analysis!$C$159,Analysis!$C$167,0)</f>
        <v>0</v>
      </c>
      <c r="GK47" s="1">
        <f>IF($B47&lt;Analysis!$C$159,0,IF($B47=Analysis!$C$159,GI47/GJ47,IF(($B47-Analysis!$C$159)&lt;LOOKUP(Analysis!$C$159,$B:$B,GJ:GJ),GK46,0)))</f>
        <v>0</v>
      </c>
      <c r="GL47" s="1">
        <f>IF($B47&lt;Analysis!$C$159,0,IF($B47=Analysis!$C$159,GJ47*GK47-GK47,IF(($B47-Analysis!$C$159)&lt;Analysis!$C$167,GL46-GK47,0)))</f>
        <v>0</v>
      </c>
      <c r="GM47" s="38"/>
      <c r="GN47" s="1">
        <f>IF($B47&lt;Analysis!$C$159,0,IF($B47=2025,(Analysis!$C$109*12),IF($B47=Analysis!$C$159,(Analysis!$C$109*12)*(1+GO47)^($B47-$B$2),GN46*(1+GO47))))</f>
        <v>51082.713538407617</v>
      </c>
      <c r="GO47" s="64">
        <f>IF($B47&lt;Analysis!$C$159,0,((1+Analysis!$C$174)/(1+$S47))-1)</f>
        <v>2.941176470588247E-2</v>
      </c>
      <c r="GP47" s="1">
        <f t="shared" si="7"/>
        <v>60787.860281818139</v>
      </c>
      <c r="GQ47" s="1">
        <f t="shared" si="36"/>
        <v>-5745.146743410518</v>
      </c>
      <c r="GR47" s="64">
        <f>IF($B47&lt;Analysis!$C$159,0,Analysis!$C$178)</f>
        <v>3.0000000000000001E-3</v>
      </c>
      <c r="GS47" s="1">
        <f t="shared" si="37"/>
        <v>-14362.866858526295</v>
      </c>
      <c r="GT47" s="64">
        <f>IF($B47&lt;Analysis!$C$159,0,Analysis!$C$179)</f>
        <v>7.4999999999999997E-3</v>
      </c>
      <c r="GU47" s="1">
        <f>IF($B47&lt;Analysis!$C$159,0,MIN(Analysis!$C$180*12,SUM(GV47:GZ47)))</f>
        <v>-3960</v>
      </c>
      <c r="GV47" s="1">
        <f>IF($B47&lt;Analysis!$C$159,0,Analysis!$C$181*12)</f>
        <v>-900</v>
      </c>
      <c r="GW47" s="1">
        <f>IF($B47&lt;Analysis!$C$159,0,Analysis!$C$182*12)</f>
        <v>-1500</v>
      </c>
      <c r="GX47" s="1">
        <f>IF($B47&lt;Analysis!$C$159,0,Analysis!$C$183*12)</f>
        <v>-480</v>
      </c>
      <c r="GY47" s="1">
        <f>IF($B47&lt;Analysis!$C$159,0,Analysis!$C$184*12)</f>
        <v>-480</v>
      </c>
      <c r="GZ47" s="1">
        <f>IF($B47&lt;Analysis!$C$159,0,Analysis!$C$185*12)</f>
        <v>-600</v>
      </c>
      <c r="HA47" s="64">
        <f>IF($B47&lt;Analysis!$C$159,0,Analysis!$C$173)</f>
        <v>0.02</v>
      </c>
      <c r="HB47" s="1">
        <f>-HA47*LOOKUP(Analysis!$C$159,$B:$B,FW:FW)</f>
        <v>-10392</v>
      </c>
      <c r="HC47" s="1">
        <f>-Analysis!$C$177*GN47</f>
        <v>-3831.2035153805709</v>
      </c>
      <c r="HD47" s="1">
        <f t="shared" si="38"/>
        <v>-38291.217117317385</v>
      </c>
      <c r="HE47" s="1">
        <f>MIN(0,-(GN47+HD47)*Analysis!$C$28)-GE47*Analysis!$C$28</f>
        <v>-5667.9120641850814</v>
      </c>
      <c r="HF47" s="1">
        <f>-Analysis!$C$176*GP47/12</f>
        <v>-5065.6550234848446</v>
      </c>
      <c r="HG47" s="38"/>
      <c r="HH47" s="1">
        <f>IF($B47&lt;Analysis!$C$159,0,-$HI47*$FW47)</f>
        <v>-244168.73659494703</v>
      </c>
      <c r="HI47" s="64">
        <f>IF($B47&lt;Analysis!$C$159,0,IF($B47=Analysis!$C$159,Analysis!$C$31,HI46))</f>
        <v>0.1275</v>
      </c>
      <c r="HJ47" s="1">
        <f>IF($B47&lt;Analysis!$C$159,0,$FW47+HH47)</f>
        <v>1670880.1778752257</v>
      </c>
      <c r="HK47" s="1">
        <f>IF($B47-Analysis!$C$159&gt;10,0,IF($FW47&gt;LOOKUP(Analysis!$C$159,$B:$B, FW:FW),$V47*(LOOKUP(Analysis!$C$159,$B:$B, FW:FW)-FW47),0))</f>
        <v>0</v>
      </c>
      <c r="HL47" s="1">
        <f t="shared" si="39"/>
        <v>1670880.1778752257</v>
      </c>
      <c r="HM47" s="38"/>
      <c r="HN47" s="1">
        <f t="shared" si="40"/>
        <v>-148973.02824888169</v>
      </c>
      <c r="HO47" s="1">
        <f t="shared" si="8"/>
        <v>114497.29281101063</v>
      </c>
      <c r="HP47" s="1">
        <f t="shared" si="41"/>
        <v>-34475.735437871059</v>
      </c>
      <c r="HQ47" s="1">
        <f>IF(HP47 &lt; 0,
    IF(HQ46 + HP47 &gt; 0,
        HQ46 + HP47, IF(HV46-ABS(HQ46 + HP47)*(1+$V47) &gt;= HQ46 + HP47,
        0, HQ46 + HP47)),
    MIN(HQ46 + HP47, Analysis!$C$7))+IF(HQ46&lt;0, HQ46*Analysis!$C$9,0)</f>
        <v>0</v>
      </c>
      <c r="HR47" s="38"/>
      <c r="HS47" s="1">
        <f t="shared" si="54"/>
        <v>17663.151535999092</v>
      </c>
      <c r="HT47" s="1">
        <f>IF($B47=Analysis!$C$159,0,IF(HP47 &gt;= 0,
    MAX(0, HQ46 + HP47 - Analysis!$C$7),
    0))</f>
        <v>0</v>
      </c>
      <c r="HU47" s="1">
        <f>IF($B47=Analysis!$C$159,0,MAX(0, HU46 + HT47 - IF(HP47 &lt; 0, MIN(ABS(HP47), HU46 + HT47), 0)))</f>
        <v>513258.74715783098</v>
      </c>
      <c r="HV47" s="1">
        <f>IF($B47=Analysis!$C$159,0,IF(HP47 &lt; 0,
    IF(HP47 + HQ46 &lt; 0,
        MAX(0, HV46 - (ABS(HP47 + HQ46) * (1+$V46))),
        HV46 + HS47),
    HV46 + HT47 + HS47))</f>
        <v>857252.01767634728</v>
      </c>
      <c r="HW47" s="1">
        <f t="shared" si="58"/>
        <v>766523.79257708858</v>
      </c>
      <c r="HX47" s="36"/>
    </row>
    <row r="48" spans="1:232" x14ac:dyDescent="0.35">
      <c r="A48">
        <f t="shared" si="0"/>
        <v>81</v>
      </c>
      <c r="B48">
        <v>2071</v>
      </c>
      <c r="C48" s="1">
        <f>IF($B48&lt;Analysis!C$66,0,$AN48)+$AT48+$AW48+$BC48+$CF48+$CA48</f>
        <v>-4186104.0459523271</v>
      </c>
      <c r="D48" s="1">
        <f>IF($B48&lt;Analysis!C$66, 0, BV48)+AT48+AW48+BC48+CG48+CA48</f>
        <v>-4616630.7036150433</v>
      </c>
      <c r="E48" s="1">
        <f t="shared" si="1"/>
        <v>1573408.6010566838</v>
      </c>
      <c r="F48" s="1">
        <f t="shared" si="9"/>
        <v>1309426.7073312551</v>
      </c>
      <c r="G48" s="1">
        <f>IF(AND($B48&gt;=Analysis!$C$100, $B48&lt;Analysis!$C$101),$CK48,0)+IF($B48&gt;=Analysis!$C$130,EB48,0)+CQ48+CT48+CZ48+EH48+EK48+EQ48+$FO48+$FT48</f>
        <v>2184417.5682480256</v>
      </c>
      <c r="H48" s="1">
        <f t="shared" si="10"/>
        <v>1850638.474105021</v>
      </c>
      <c r="I48" s="1">
        <f>IF($B48&lt;Analysis!$C$159,0,$FW48)+$GC48+$GF48+$GL48+$HQ48+$HV48</f>
        <v>2782129.1197149646</v>
      </c>
      <c r="J48" s="1">
        <f t="shared" si="59"/>
        <v>2442610.174597465</v>
      </c>
      <c r="K48" s="36"/>
      <c r="L48" s="1">
        <f t="shared" si="11"/>
        <v>52635.243878608642</v>
      </c>
      <c r="M48" s="1">
        <f>IF($B48=Analysis!$C$47, M47 * (1 - Analysis!$C$48),
    IF($B48=Analysis!$C$52, M47 * (1 - Analysis!$C$53),
    IF($B48=Analysis!$C$58, M47 * (1 - Analysis!$C$60),
    L48)))</f>
        <v>52635.243878608642</v>
      </c>
      <c r="N48" s="1">
        <f>Analysis!$C$3*12*(1+O48)+P48</f>
        <v>-48000</v>
      </c>
      <c r="O48" s="64">
        <f>IF(OR($B48=Analysis!$C$47,$B48=Analysis!$C$52,$B48=Analysis!$C$58),-Analysis!$C$49,0)</f>
        <v>0</v>
      </c>
      <c r="P48" s="1">
        <f>IF($B48&lt;Analysis!$C$47,0,IF($B48-Analysis!$C$47&lt;=3,Analysis!$C$40+Analysis!$C$44,IF($B48-Analysis!$C$47&lt;=10,Analysis!$C$41+Analysis!$C$44,IF($B48-Analysis!$C$47&lt;=18,Analysis!$C$42+Analysis!$C$44,IF($B48-Analysis!$C$47&lt;=25,Analysis!$C$43+Analysis!$C$44,0)))) + IF(AND($B48&gt;=Analysis!$C$52, $B48-Analysis!$C$52&lt;=3),Analysis!$C$40+Analysis!$C$44,IF(AND($B48&gt;=Analysis!$C$52, $B48-Analysis!$C$52&lt;=10),Analysis!$C$41+Analysis!$C$44,IF(AND($B48&gt;=Analysis!$C$52, $B48-Analysis!$C$52&lt;=18),Analysis!$C$42+Analysis!$C$44,IF(AND($B48&gt;=Analysis!$C$52, $B48-Analysis!$C$52&lt;=25),Analysis!$C$43+Analysis!$C$44,0)))) + Analysis!$C$57*IF(AND($B48&gt;=Analysis!$C$58, $B48-Analysis!$C$58&lt;=3),Analysis!$C$40+Analysis!$C$44,IF(AND($B48&gt;=Analysis!$C$58, $B48-Analysis!$C$58&lt;=10),Analysis!$C$41+Analysis!$C$44,IF(AND($B48&gt;=Analysis!$C$58, $B48-Analysis!$C$58&lt;=18),Analysis!$C$42+Analysis!$C$44,IF(AND($B48&gt;=Analysis!$C$58, $B48-Analysis!$C$58&lt;=25),Analysis!$C$43+Analysis!$C$44,0)))))</f>
        <v>0</v>
      </c>
      <c r="Q48" s="1">
        <f t="shared" si="43"/>
        <v>0</v>
      </c>
      <c r="R48" s="1">
        <f>IF(AND(AND(B48=Analysis!C$35,Analysis!C$34&lt;&gt;0),AND(B48=Analysis!C$37,Analysis!C$36&lt;&gt;0)),Analysis!C$34+Analysis!C$36,IF(AND(B48=Analysis!C$35,Analysis!C$34&lt;&gt;0),Analysis!C$34,IF(AND(B48=Analysis!C$37,Analysis!C$36&lt;&gt;0),Analysis!C$36,0)))</f>
        <v>0</v>
      </c>
      <c r="S48" s="64">
        <f t="shared" si="12"/>
        <v>0.02</v>
      </c>
      <c r="T48" s="64">
        <f>IF($B48&lt;Analysis!$C$13, ((1+IF($B48-$B$2&lt;10,Analysis!$C$11,IF($B48-$B$2&lt;20,(Analysis!$C$11+Analysis!$C$12)/2,Analysis!$C$12)))/(1+$S48)-1),IF($B48=Analysis!$C$13,-Analysis!$C$14,-$S48))</f>
        <v>-0.02</v>
      </c>
      <c r="U48" s="64">
        <f>IF($B48=$B$2,((1+Analysis!$C$16)/(1+$S48))-1,IF(B48&lt;Analysis!$C$13,U47-((Analysis!$C$16-Analysis!$C$17)/(Analysis!$C$13-$B$2)),((1+Analysis!$C$17)/(1+$S47))-1))</f>
        <v>1.9607843137254832E-2</v>
      </c>
      <c r="V48" s="64">
        <f t="shared" si="13"/>
        <v>0.26374999999999998</v>
      </c>
      <c r="W48" s="36"/>
      <c r="X48" s="1">
        <f t="shared" si="14"/>
        <v>-60097.310045185426</v>
      </c>
      <c r="Y48" s="64">
        <f t="shared" si="15"/>
        <v>2.941176470588247E-2</v>
      </c>
      <c r="Z48" s="1">
        <f t="shared" si="16"/>
        <v>-3960</v>
      </c>
      <c r="AA48" s="64">
        <f t="shared" si="17"/>
        <v>0</v>
      </c>
      <c r="AB48" s="40"/>
      <c r="AC48" s="1">
        <f t="shared" si="3"/>
        <v>-112057.31004518543</v>
      </c>
      <c r="AD48" s="1">
        <f t="shared" si="4"/>
        <v>52635.243878608642</v>
      </c>
      <c r="AE48" s="1">
        <f t="shared" si="18"/>
        <v>-59422.066166576784</v>
      </c>
      <c r="AF48" s="1">
        <f>IF(AE48 &lt; 0,
    IF(AF47 + AE48 &gt; 0,
        AF47 + AE48, IF(AK47-ABS(AF47 + AE48)*(1+$V48) &gt;= AF47 + AE48,
        0, AF47 + AE48)),
    MIN(AF47 + AE48, Analysis!$C$7))+IF(AF47&lt;0, AF47*Analysis!$C$9,0)</f>
        <v>0</v>
      </c>
      <c r="AG48" s="40"/>
      <c r="AH48" s="1">
        <f t="shared" si="19"/>
        <v>32323.59288577822</v>
      </c>
      <c r="AI48" s="1">
        <f>IF(AE48 &gt;= 0,
    MAX(0, AF47 + AE48 - Analysis!$C$7),
    0)</f>
        <v>0</v>
      </c>
      <c r="AJ48" s="1">
        <f t="shared" si="44"/>
        <v>572529.38314036583</v>
      </c>
      <c r="AK48" s="1">
        <f t="shared" si="20"/>
        <v>1573408.6010566838</v>
      </c>
      <c r="AL48" s="1">
        <f t="shared" si="5"/>
        <v>1309426.7073312551</v>
      </c>
      <c r="AM48" s="36"/>
      <c r="AN48" s="1">
        <f t="shared" si="45"/>
        <v>3376679.6679428671</v>
      </c>
      <c r="AO48" s="64">
        <f t="shared" si="21"/>
        <v>2.941176470588247E-2</v>
      </c>
      <c r="AP48" s="1">
        <f>IF($B48=Analysis!$C$66,(AN48*(1+Analysis!$C$23+Analysis!$C$24+Analysis!$C$25))-IF($B48=$B$2,(Analysis!$C$6-Analysis!$C$7+Analysis!$C$68), ($CG47-Analysis!$C$7+AY48)),0)</f>
        <v>0</v>
      </c>
      <c r="AQ48" s="65">
        <f>IF($B48=Analysis!$C$66,NPER(AU48,-AX48,-AP48),0)</f>
        <v>0</v>
      </c>
      <c r="AR48" s="64">
        <f>IF($B48=Analysis!$C$66,Analysis!$C$73,0)</f>
        <v>0</v>
      </c>
      <c r="AS48" s="1">
        <f>IF($B48&lt;Analysis!$C$66,0,IF($B48=Analysis!$C$66,-AP48*AR48,IF(AX48&gt;=0,0,AX48-AV48)))</f>
        <v>0</v>
      </c>
      <c r="AT48" s="1">
        <f>IF($B48&lt;Analysis!$C$66,0,IF($B48=Analysis!$C$66,-AP48-AS48,MIN(0,AT47-AS48)))</f>
        <v>0</v>
      </c>
      <c r="AU48" s="64">
        <f>IF($B48&lt;Analysis!$C$66,0,IF($B48=Analysis!$C$66,Analysis!$C$72,IF(($B48-Analysis!$C$66)&lt;LOOKUP(Analysis!$C$66,$B:$B,AQ:AQ),AU47,0)))</f>
        <v>0</v>
      </c>
      <c r="AV48" s="1">
        <f>IF($B48&lt;Analysis!$C$66,0,IF($B48=Analysis!$C$66,-AU48*AP48,AU47*AT47))</f>
        <v>0</v>
      </c>
      <c r="AW48" s="1">
        <f>IF($B48&lt;Analysis!$C$66,0,IF($B48=Analysis!$C$66,PMT(AU48,AQ48,AP48)*AQ48-AX48-AT48,IF(($B48-Analysis!$C$66+1)&lt;LOOKUP(Analysis!$C$66,$B:$B,AQ:AQ),IF(AW47-AV48&lt;0, AW47-AV48,0),0)))</f>
        <v>0</v>
      </c>
      <c r="AX48" s="1">
        <f>IF($B48&lt;Analysis!$C$66,0,IF($B48=Analysis!$C$66,AS48+AV48,IF(AT47&lt;0,IF(AT47&gt;LOOKUP(Analysis!$C$66,$B:$B,AX:AX), AT47*(1+AU47),AX47),0)))</f>
        <v>0</v>
      </c>
      <c r="AY48" s="1">
        <f>IF($B48=Analysis!$C$66,Analysis!$C$68,0)</f>
        <v>0</v>
      </c>
      <c r="AZ48" s="1">
        <f>IF($B48=Analysis!$C$66,PMT(AU48,BA48,AY48)*BA48,0)</f>
        <v>0</v>
      </c>
      <c r="BA48" s="7">
        <f>IF($B48=Analysis!$C$66,Analysis!$C$70,0)</f>
        <v>0</v>
      </c>
      <c r="BB48" s="1">
        <f>IF($B48&lt;Analysis!$C$66,0,IF($B48=Analysis!$C$66,AZ48/BA48,IF(($B48-Analysis!$C$66)&lt;LOOKUP(Analysis!$C$66,$B:$B,BA:BA),BB47,0)))</f>
        <v>0</v>
      </c>
      <c r="BC48" s="1">
        <f>IF($B48&lt;Analysis!$C$66,0,IF($B48=Analysis!$C$66,BA48*BB48-BB48,IF(($B48-Analysis!$C$66)&lt;Analysis!$C$70,BC47-BB48,0)))</f>
        <v>0</v>
      </c>
      <c r="BD48" s="42"/>
      <c r="BE48" s="1">
        <f>IF($B48&lt;Analysis!$C$66,0,-BF48*AN48)</f>
        <v>-10130.039003828602</v>
      </c>
      <c r="BF48" s="64">
        <f>IF($B48&lt;Analysis!$C$66,0,Analysis!$C$78)</f>
        <v>3.0000000000000001E-3</v>
      </c>
      <c r="BG48" s="1">
        <f>IF($B48&lt;Analysis!$C$66,0,-BH48*AN48)</f>
        <v>-25325.097509571504</v>
      </c>
      <c r="BH48" s="64">
        <f>IF($B48&lt;Analysis!$C$66,0,Analysis!$C$79)</f>
        <v>7.4999999999999997E-3</v>
      </c>
      <c r="BI48" s="1">
        <f>IF($B48&lt;Analysis!$C$66,0,MIN(Analysis!$C$80*12,SUM(BJ48:BN48)))</f>
        <v>-3960</v>
      </c>
      <c r="BJ48" s="1">
        <f>IF($B48&lt;Analysis!$C$66,0,Analysis!$C$81*12)</f>
        <v>-900</v>
      </c>
      <c r="BK48" s="1">
        <f>IF($B48&lt;Analysis!$C$66,0,Analysis!$C$82*12)</f>
        <v>-1500</v>
      </c>
      <c r="BL48" s="1">
        <f>IF($B48&lt;Analysis!$C$66,0,Analysis!$C$83*12)</f>
        <v>-480</v>
      </c>
      <c r="BM48" s="1">
        <f>IF($B48&lt;Analysis!$C$66,0,Analysis!$C$84*12)</f>
        <v>-480</v>
      </c>
      <c r="BN48" s="1">
        <f>IF($B48&lt;Analysis!$C$66,0,Analysis!$C$85*12)</f>
        <v>-600</v>
      </c>
      <c r="BO48" s="1">
        <v>0</v>
      </c>
      <c r="BP48" s="1">
        <f>-BO48*Analysis!$C$28</f>
        <v>0</v>
      </c>
      <c r="BQ48" s="42"/>
      <c r="BR48" s="1">
        <f t="shared" si="22"/>
        <v>-430526.65766271559</v>
      </c>
      <c r="BS48" s="64">
        <f>IF($B48&lt;Analysis!C$66,0,Analysis!C$31)</f>
        <v>0.1275</v>
      </c>
      <c r="BT48" s="1">
        <f>IF($B48&lt;Analysis!$C$66,0,AN48+BR48)</f>
        <v>2946153.0102801514</v>
      </c>
      <c r="BU48" s="1">
        <f>IF($B48-Analysis!$C$66&gt;3,0,IF($AN48&gt;LOOKUP(Analysis!$C$66,$B:$B, AN:AN),$V48*(LOOKUP(Analysis!$C$66,$B:$B, AN:AN)-AN48),0))</f>
        <v>0</v>
      </c>
      <c r="BV48" s="1">
        <f t="shared" si="23"/>
        <v>2946153.0102801514</v>
      </c>
      <c r="BW48" s="42"/>
      <c r="BX48" s="1">
        <f>IF($B48&lt;Analysis!$C$66,$P48+$N48+$X48+$Z48,$P48+$N48+AS48+AV48+BB48+BE48+BG48+MAX(BI48,SUM(BJ48:BN48))+BP48)</f>
        <v>-87415.136513400095</v>
      </c>
      <c r="BY48" s="1">
        <f t="shared" si="24"/>
        <v>52635.243878608642</v>
      </c>
      <c r="BZ48" s="1">
        <f t="shared" si="46"/>
        <v>-34779.892634791453</v>
      </c>
      <c r="CA48" s="1">
        <f>IF(BZ48 &lt; 0,
    IF(CA47 + BZ48 &gt; 0,
        CA47 + BZ48, IF(CF47-ABS(CA47 + BZ48)*(1+$V48) &gt;= CA47 + BZ48,
        0, CA47 + BZ48)),
    MIN(CA47 + BZ48, Analysis!$C$7))+IF(CA47&lt;0, CA47*Analysis!$C$9,0)</f>
        <v>-7562783.7138951942</v>
      </c>
      <c r="CB48" s="42"/>
      <c r="CC48" s="1">
        <f t="shared" si="47"/>
        <v>0</v>
      </c>
      <c r="CD48" s="1">
        <f>IF(BZ48 &gt;= 0,
    MAX(0, CA47 + BZ48 - Analysis!$C$7),
    0)</f>
        <v>0</v>
      </c>
      <c r="CE48" s="1">
        <f>IF($B48=Analysis!$C$66,0,MAX(0, CE47 + CD48 - IF(BZ48 &lt; 0, MIN(ABS(BZ48), CE47 + CD48), 0)))</f>
        <v>0</v>
      </c>
      <c r="CF48" s="1">
        <f>IF($B48=Analysis!$C$66,0,IF(BZ48 &lt; 0,
    IF(BZ48 + CA47 &lt; 0,
        MAX(0, CF47 - (ABS(BZ48 + CA47) * (1+$V47))),
        CF47 + CC48),
    CF47 + CD48 + CC48))</f>
        <v>0</v>
      </c>
      <c r="CG48" s="1">
        <f t="shared" si="25"/>
        <v>0</v>
      </c>
      <c r="CH48" s="36"/>
      <c r="CI48" s="1">
        <f>IF(OR($B48&lt;Analysis!$C$100, $B48&gt;=Analysis!$C$130),0,X48)</f>
        <v>0</v>
      </c>
      <c r="CJ48" s="1">
        <f>IF(OR($B48&lt;Analysis!$C$100, $B48&gt;=Analysis!$C$130),0,Z48)</f>
        <v>0</v>
      </c>
      <c r="CK48" s="1">
        <f t="shared" si="60"/>
        <v>1971373.8825428251</v>
      </c>
      <c r="CL48" s="64">
        <f t="shared" si="48"/>
        <v>2.941176470588247E-2</v>
      </c>
      <c r="CM48" s="1">
        <f>IF($B48=Analysis!$C$100,(CK48*(1+Analysis!$C$23+Analysis!$C$24+Analysis!$C$25))-IF($B48=$B$2,(Analysis!$C$6-Analysis!$C$7+Analysis!$C$105), (FU47-Analysis!$C$7+CV48)),0)</f>
        <v>0</v>
      </c>
      <c r="CN48" s="65">
        <f>IF($B48=Analysis!$C$100,NPER(CR48,-CU48,-CM48),0)</f>
        <v>0</v>
      </c>
      <c r="CO48" s="64">
        <f>IF($B48=Analysis!$C$100,Analysis!$C$103,0)</f>
        <v>0</v>
      </c>
      <c r="CP48" s="1">
        <f>IF(OR($B48&lt;Analysis!$C$100, $B48&gt;=Analysis!$C$101),0,IF($B48=Analysis!$C$100,-CM48*CO48,IF(CU48&gt;=0,0,CU48-CS48)))</f>
        <v>0</v>
      </c>
      <c r="CQ48" s="1">
        <f>IF(OR($B48&lt;Analysis!$C$100, $B48&gt;=Analysis!$C$101),0,IF($B48=Analysis!$C$100,-CM48-CP48,MIN(0,CQ47-CP48)))</f>
        <v>0</v>
      </c>
      <c r="CR48" s="64">
        <f>IF(OR($B48&lt;Analysis!$C$100, $B48&gt;=Analysis!$C$101),0,IF($B48=Analysis!$C$100,Analysis!$C$102,IF(($B48-Analysis!$C$100)&lt;LOOKUP(Analysis!$C$100,$B:$B,CN:CN),CR47,0)))</f>
        <v>0</v>
      </c>
      <c r="CS48" s="1">
        <f>IF(OR($B48&lt;Analysis!$C$100, $B48&gt;=Analysis!$C$101),0,IF($B48=Analysis!$C$100,-CR48*CM48,CR47*CQ47))</f>
        <v>0</v>
      </c>
      <c r="CT48" s="1">
        <f>IF(OR($B48&lt;Analysis!$C$100, $B48&gt;=Analysis!$C$101),0,IF($B48=Analysis!$C$100,PMT(CR48,CN48,CM48)*CN48-CU48-CQ48,IF(($B48-Analysis!$C$100+1)&lt;LOOKUP(Analysis!$C$100,$B:$B,CN:CN),IF(CT47-CS48&lt;0, CT47-CS48,0),0)))</f>
        <v>0</v>
      </c>
      <c r="CU48" s="1">
        <f>IF(OR($B48&lt;Analysis!$C$100, $B48&gt;=Analysis!$C$101),0,IF($B48=Analysis!$C$100,CP48+CS48,IF(CQ47&lt;0,IF(CQ47&gt;LOOKUP(Analysis!$C$100,$B:$B,CU:CU), CQ47*(1+CR47),CU47),0)))</f>
        <v>0</v>
      </c>
      <c r="CV48" s="1">
        <f>IF($B48=Analysis!$C$100,Analysis!$C$105,0)</f>
        <v>0</v>
      </c>
      <c r="CW48" s="1">
        <f>IF($B48=Analysis!$C$100,PMT(CR48,CX48,CV48)*CX48,0)</f>
        <v>0</v>
      </c>
      <c r="CX48" s="7">
        <f>IF($B48=Analysis!$C$100,Analysis!$C$107,0)</f>
        <v>0</v>
      </c>
      <c r="CY48" s="1">
        <f>IF(OR($B48&lt;Analysis!$C$100, $B48&gt;=Analysis!$C$101),0,IF($B48=Analysis!$C$100,CW48/CX48,IF(($B48-Analysis!$C$100)&lt;LOOKUP(Analysis!$C$100,$B:$B,CX:CX),CY47,0)))</f>
        <v>0</v>
      </c>
      <c r="CZ48" s="1">
        <f>IF(OR($B48&lt;Analysis!$C$100, $B48&gt;=Analysis!$C$101),0,IF($B48=Analysis!$C$100,CX48*CY48-CY48,IF(($B48-Analysis!$C$100)&lt;Analysis!$C$107,CZ47-CY48,0)))</f>
        <v>0</v>
      </c>
      <c r="DA48" s="53"/>
      <c r="DB48" s="1">
        <f>IF(OR($B48&lt;Analysis!$C$100, $B48&gt;=Analysis!$C$101),0,IF($B48=2025,(Analysis!$C$109*12),IF($B48=Analysis!$C$100,(Analysis!$C$109*12)*(1+DC48)^($B48-$B$2),DB47*(1+DC48))))</f>
        <v>0</v>
      </c>
      <c r="DC48" s="64">
        <f>IF(OR($B48&lt;Analysis!$C$100, $B48&gt;=Analysis!$C$101),0,((1+Analysis!$C$114)/(1+$S48))-1)</f>
        <v>0</v>
      </c>
      <c r="DD48" s="1">
        <f t="shared" si="6"/>
        <v>0</v>
      </c>
      <c r="DE48" s="1">
        <f t="shared" si="27"/>
        <v>0</v>
      </c>
      <c r="DF48" s="64">
        <f>IF(OR($B48&lt;Analysis!$C$100, $B48&gt;=Analysis!$C$101),0,Analysis!$C$118)</f>
        <v>0</v>
      </c>
      <c r="DG48" s="1">
        <f t="shared" si="28"/>
        <v>0</v>
      </c>
      <c r="DH48" s="64">
        <f>IF(OR($B48&lt;Analysis!$C$100, $B48&gt;=Analysis!$C$101),0,Analysis!$C$119)</f>
        <v>0</v>
      </c>
      <c r="DI48" s="1">
        <f>IF(OR($B48&lt;Analysis!$C$100, $B48&gt;=Analysis!$C$101),0,MIN(Analysis!$C$120*12,SUM(DJ48:DN48)))</f>
        <v>0</v>
      </c>
      <c r="DJ48" s="1">
        <f>IF(OR($B48&lt;Analysis!$C$100, $B48&gt;=Analysis!$C$101),0,Analysis!$C$121*12)</f>
        <v>0</v>
      </c>
      <c r="DK48" s="1">
        <f>IF(OR($B48&lt;Analysis!$C$100, $B48&gt;=Analysis!$C$101),0,Analysis!$C$122*12)</f>
        <v>0</v>
      </c>
      <c r="DL48" s="1">
        <f>IF(OR($B48&lt;Analysis!$C$100, $B48&gt;=Analysis!$C$101),0,Analysis!$C$123*12)</f>
        <v>0</v>
      </c>
      <c r="DM48" s="1">
        <f>IF(OR($B48&lt;Analysis!$C$100, $B48&gt;=Analysis!$C$101),0,Analysis!$C$124*12)</f>
        <v>0</v>
      </c>
      <c r="DN48" s="1">
        <f>IF(OR($B48&lt;Analysis!$C$100, $B48&gt;=Analysis!$C$101),0,Analysis!$C$125*12)</f>
        <v>0</v>
      </c>
      <c r="DO48" s="64">
        <f>IF(OR($B48&lt;Analysis!$C$100, $B48&gt;=Analysis!$C$101),0,Analysis!$C$113)</f>
        <v>0</v>
      </c>
      <c r="DP48" s="1">
        <f>-DO48*LOOKUP(Analysis!$C$100,$B:$B,CK:CK)</f>
        <v>0</v>
      </c>
      <c r="DQ48" s="1">
        <f>-Analysis!$C$117*DB48</f>
        <v>0</v>
      </c>
      <c r="DR48" s="1">
        <f t="shared" si="29"/>
        <v>0</v>
      </c>
      <c r="DS48" s="1">
        <f>MIN(0,-(DB48+DR48)*Analysis!$C$28)-CS48*Analysis!$C$28</f>
        <v>0</v>
      </c>
      <c r="DT48" s="1">
        <f>-Analysis!$C$116*DD48/12</f>
        <v>0</v>
      </c>
      <c r="DU48" s="53"/>
      <c r="DV48" s="1">
        <f t="shared" si="30"/>
        <v>0</v>
      </c>
      <c r="DW48" s="64">
        <f>IF(OR($B48&lt;Analysis!$C$100, $B48&gt;=Analysis!$C$101),0,IF($B48=Analysis!$C$100,Analysis!$C$31,DW47))</f>
        <v>0</v>
      </c>
      <c r="DX48" s="1">
        <f>IF(OR($B48&lt;Analysis!$C$100, $B48&gt;=Analysis!$C$101),0,CK48+DV48)</f>
        <v>0</v>
      </c>
      <c r="DY48" s="1">
        <f>IF(OR($B48&lt;Analysis!$C$100, $B48&gt;=Analysis!$C$101),0,IF($B48-Analysis!$C$100&gt;3,0,IF(CK48&gt;LOOKUP(Analysis!$C$100,$B:$B, CK:CK),$V48*(LOOKUP(Analysis!$C$100,$B:$B, CK:CK)-CK48),0)))</f>
        <v>0</v>
      </c>
      <c r="DZ48" s="1">
        <f t="shared" si="49"/>
        <v>0</v>
      </c>
      <c r="EA48" s="53"/>
      <c r="EB48" s="1">
        <f t="shared" si="31"/>
        <v>2617875.2481804285</v>
      </c>
      <c r="EC48" s="64">
        <f t="shared" si="50"/>
        <v>2.941176470588247E-2</v>
      </c>
      <c r="ED48" s="1">
        <f>IF($B48=Analysis!$C$130,(EB48*(1+Analysis!$C$23+Analysis!$C$24+Analysis!$C$25))-(IF($B48=$B$2,(Analysis!$C$6-Analysis!$C$7+Analysis!$C$132), (FU47-Analysis!$C$7+EM48)) + IF($B48=Analysis!$C$101,DZ47+CQ47+CT47+CZ47,0)),0)</f>
        <v>0</v>
      </c>
      <c r="EE48" s="65">
        <f>IF($B48=Analysis!$C$130,IF(ED48&gt;0,NPER(EI48,-EL48,-ED48),0),0)</f>
        <v>0</v>
      </c>
      <c r="EF48" s="64">
        <f>IF($B48=Analysis!$C$130,Analysis!$C$137,0)</f>
        <v>0</v>
      </c>
      <c r="EG48" s="1">
        <f>IF($B48&lt;Analysis!$C$130,0,IF($B48=Analysis!$C$130,-ED48*EF48,IF(EL48&gt;=0,0,EL48-EJ48)))</f>
        <v>0</v>
      </c>
      <c r="EH48" s="1">
        <f>IF($B48&lt;Analysis!$C$130,0,IF($B48=Analysis!$C$130,-ED48-EG48,MIN(0,EH47-EG48)))</f>
        <v>0</v>
      </c>
      <c r="EI48" s="64">
        <f>IF($B48&lt;Analysis!$C$130,0,IF($B48=Analysis!$C$130,Analysis!$C$136,IF(($B48-Analysis!$C$130)&lt;LOOKUP(Analysis!$C$130,$B:$B,EE:EE),EI47,0)))</f>
        <v>0</v>
      </c>
      <c r="EJ48" s="1">
        <f>IF($B48&lt;Analysis!$C$130,0,IF($B48=Analysis!$C$130,-EI48*ED48,EI47*EH47))</f>
        <v>0</v>
      </c>
      <c r="EK48" s="1">
        <f>IF(OR($B48&lt;Analysis!$C$130, ED48=0),0,IF($B48=Analysis!$C$130,PMT(EI48,EE48,ED48)*EE48-EL48-EH48,IF(($B48-Analysis!$C$130+1)&lt;LOOKUP(Analysis!$C$130,$B:$B,EE:EE),IF(EK47-EJ48&lt;0, EK47-EJ48,0),0)))</f>
        <v>0</v>
      </c>
      <c r="EL48" s="1">
        <f>IF($B48&lt;Analysis!$C$130,0,IF($B48=Analysis!$C$130,EG48+EJ48,IF(EH47&lt;0,IF(EH47&gt;LOOKUP(Analysis!$C$130,$B:$B,EL:EL), EH47*(1+EI47),EL47),0)))</f>
        <v>0</v>
      </c>
      <c r="EM48" s="1">
        <f>IF($B48=Analysis!$C$130,Analysis!$C$132,0)</f>
        <v>0</v>
      </c>
      <c r="EN48" s="1">
        <f>IF($B48=Analysis!$C$130,PMT(EI48,EO48,EM48)*EO48,0)</f>
        <v>0</v>
      </c>
      <c r="EO48" s="7">
        <f>IF($B48=Analysis!$C$130,Analysis!$C$134,0)</f>
        <v>0</v>
      </c>
      <c r="EP48" s="1">
        <f>IF($B48&lt;Analysis!$C$130,0,IF($B48=Analysis!$C$130,EN48/EO48,IF(($B48-Analysis!$C$130)&lt;LOOKUP(Analysis!$C$130,$B:$B,EO:EO),EP47,0)))</f>
        <v>0</v>
      </c>
      <c r="EQ48" s="1">
        <f>IF($B48&lt;Analysis!$C$130,0,IF($B48=Analysis!$C$130,EO48*EP48-EP48,IF(($B48-Analysis!$C$130)&lt;Analysis!$C$134,EQ47-EP48,0)))</f>
        <v>0</v>
      </c>
      <c r="ER48" s="53"/>
      <c r="ES48" s="1">
        <f>IF($B48&lt;Analysis!$C$130,0,-ET48*EB48)</f>
        <v>-7853.6257445412857</v>
      </c>
      <c r="ET48" s="64">
        <f>IF($B48&lt;Analysis!$C$130,0,Analysis!$C$142)</f>
        <v>3.0000000000000001E-3</v>
      </c>
      <c r="EU48" s="1">
        <f>IF($B48&lt;Analysis!$C$130,0,-EV48*EB48)</f>
        <v>-26178.752481804288</v>
      </c>
      <c r="EV48" s="64">
        <f>IF($B48&lt;Analysis!$C$130,0,Analysis!$C$143)</f>
        <v>0.01</v>
      </c>
      <c r="EW48" s="1">
        <f>IF($B48&lt;Analysis!$C$130,0,MIN(Analysis!$C$144*12,SUM(EX48:FB48)))</f>
        <v>-3960</v>
      </c>
      <c r="EX48" s="1">
        <f>IF($B48&lt;Analysis!$C$130,0,Analysis!$C$145*12)</f>
        <v>-900</v>
      </c>
      <c r="EY48" s="1">
        <f>IF($B48&lt;Analysis!$C$130,0,Analysis!$C$146*12)</f>
        <v>-1500</v>
      </c>
      <c r="EZ48" s="1">
        <f>IF($B48&lt;Analysis!$C$130,0,Analysis!$C$147*12)</f>
        <v>-480</v>
      </c>
      <c r="FA48" s="1">
        <f>IF($B48&lt;Analysis!$C$130,0,Analysis!$C$148*12)</f>
        <v>-480</v>
      </c>
      <c r="FB48" s="1">
        <f>IF($B48&lt;Analysis!$C$130,0,Analysis!$C$149*12)</f>
        <v>-600</v>
      </c>
      <c r="FC48" s="1">
        <v>0</v>
      </c>
      <c r="FD48" s="1">
        <f>-FC48*Analysis!$C$28</f>
        <v>0</v>
      </c>
      <c r="FE48" s="53"/>
      <c r="FF48" s="1">
        <f t="shared" si="32"/>
        <v>-333779.09414300462</v>
      </c>
      <c r="FG48" s="64">
        <f>IF($B48&lt;Analysis!$C$130,0,Analysis!$C$31)</f>
        <v>0.1275</v>
      </c>
      <c r="FH48" s="1">
        <f>IF($B48&lt;Analysis!$C$130,0,EB48+FF48)</f>
        <v>2284096.1540374239</v>
      </c>
      <c r="FI48" s="1">
        <f>IF($B48-Analysis!$C$130&gt;3,0,IF(EB48&gt;LOOKUP(Analysis!$C$130,$B:$B, EB:EB),$V48*(LOOKUP(Analysis!$C$130,$B:$B, EB:EB)-EB48),0))</f>
        <v>0</v>
      </c>
      <c r="FJ48" s="1">
        <f t="shared" si="33"/>
        <v>2284096.1540374239</v>
      </c>
      <c r="FK48" s="53"/>
      <c r="FL48" s="1">
        <f>$P48+$N48+IF($B48&lt;Analysis!$C$130,$X48+$Z48,0)+CP48+CS48+CY48+DE48+DG48+MIN(DI48,SUM(DJ48:DN48))+DQ48+DS48+DT48+EG48+EJ48+EP48+ES48+EU48+MIN(EW48,SUM(EX48:FB48))+FD48</f>
        <v>-85992.37822634558</v>
      </c>
      <c r="FM48" s="1">
        <f>$M48+$R48+DD48+IF(AND($B48&lt;&gt;Analysis!$C$130,$B48=Analysis!$C$101),DZ47+CQ47+CT47+CZ47,0)</f>
        <v>52635.243878608642</v>
      </c>
      <c r="FN48" s="1">
        <f t="shared" si="34"/>
        <v>-33357.134347736937</v>
      </c>
      <c r="FO48" s="1">
        <f>IF(FN48 &lt; 0,
    IF(FO47 + FN48 &gt; 0,
        FO47 + FN48, IF(FT47-ABS(FO47 + FN48)*(1+$V48) &gt;= FO47 + FN48,
        0, FO47 + FN48)),
    MIN(FO47 + FN48, Analysis!$C$7))+IF(FO47&lt;0, FO47*Analysis!$C$9,0)</f>
        <v>-433457.67993240303</v>
      </c>
      <c r="FP48" s="53"/>
      <c r="FQ48" s="1">
        <f t="shared" si="51"/>
        <v>0</v>
      </c>
      <c r="FR48" s="1">
        <f>IF(OR($B48=Analysis!$C$100, $B48=Analysis!$C$130),0,IF(FN48 &gt;= 0,
    MAX(0, FO47 + FN48 - Analysis!$C$7),
    0))</f>
        <v>0</v>
      </c>
      <c r="FS48" s="1">
        <f>IF(OR($B48=Analysis!$C$100, $B48=Analysis!$C$130),0,MAX(0, FS47 + FR48 - IF(FN48 &lt; 0, MIN(ABS(FN48), FS47 + FR48), 0)))</f>
        <v>0</v>
      </c>
      <c r="FT48" s="1">
        <f>IF(OR($B48=Analysis!$C$100, $B48=Analysis!$C$130),0,IF(FN48 &lt; 0,
    IF(FN48 + FO47 &lt; 0,
        MAX(0, FT47 - (ABS(FN48 + FO47) * (1+$V47))),
        FT47 + FQ48),
    FT47 + FR48 + FQ48))</f>
        <v>0</v>
      </c>
      <c r="FU48" s="1">
        <f t="shared" si="57"/>
        <v>0</v>
      </c>
      <c r="FV48" s="36"/>
      <c r="FW48" s="1">
        <f t="shared" si="52"/>
        <v>1971373.8825428251</v>
      </c>
      <c r="FX48" s="64">
        <f t="shared" si="53"/>
        <v>2.941176470588247E-2</v>
      </c>
      <c r="FY48" s="1">
        <f>IF($B48=Analysis!$C$159,(FW48*(1+Analysis!$C$23+Analysis!$C$24+Analysis!$C$25))-IF($B48=$B$2,(Analysis!$C$6-Analysis!$C$7+Analysis!$C$165), (HW47-Analysis!$C$7+GH48)),0)</f>
        <v>0</v>
      </c>
      <c r="FZ48" s="65">
        <f>IF($B48=Analysis!$C$159,NPER(GD48,-GG48,-FY48),0)</f>
        <v>0</v>
      </c>
      <c r="GA48" s="64">
        <f>IF($B48=Analysis!$C$159,Analysis!$C$161,0)</f>
        <v>0</v>
      </c>
      <c r="GB48" s="1">
        <f>IF($B48&lt;Analysis!$C$159,0,IF($B48=Analysis!$C$159,-FY48*GA48,IF(GG48&gt;=0,0,GG48-GE48)))</f>
        <v>0</v>
      </c>
      <c r="GC48" s="1">
        <f>IF($B48&lt;Analysis!$C$159,0,IF($B48=Analysis!$C$159,-FY48-GB48,MIN(0,GC47-GB48)))</f>
        <v>0</v>
      </c>
      <c r="GD48" s="64">
        <f>IF($B48&lt;Analysis!$C$159,0,IF($B48=Analysis!$C$159,Analysis!$C$160,IF(($B48-Analysis!$C$159)&lt;LOOKUP(Analysis!$C$159,$B:$B,FZ:FZ),GD47,0)))</f>
        <v>0</v>
      </c>
      <c r="GE48" s="1">
        <f>IF($B48&lt;Analysis!$C$159,0,IF($B48=Analysis!$C$159,-GD48*FY48,GD47*GC47))</f>
        <v>0</v>
      </c>
      <c r="GF48" s="1">
        <f>IF($B48&lt;Analysis!$C$159,0,IF($B48=Analysis!$C$159,PMT(GD48,FZ48,FY48)*FZ48-GG48-GC48,IF(($B48-Analysis!$C$159+1)&lt;LOOKUP(Analysis!$C$159,$B:$B,FZ:FZ),IF(GF47-GE48&lt;0, GF47-GE48,0),0)))</f>
        <v>0</v>
      </c>
      <c r="GG48" s="1">
        <f>IF($B48&lt;Analysis!$C$159,0,IF($B48=Analysis!$C$159,GB48+GE48,IF(GC47&lt;0,IF(GC47&gt;LOOKUP(Analysis!$C$159,$B:$B,GG:GG), GC47*(1+GD47),GG47),0)))</f>
        <v>0</v>
      </c>
      <c r="GH48" s="1">
        <f>IF($B48=Analysis!$C$159,Analysis!$C$165,0)</f>
        <v>0</v>
      </c>
      <c r="GI48" s="1">
        <f>IF($B48=Analysis!$C$159,PMT(GD48,GJ48,GH48)*GJ48,0)</f>
        <v>0</v>
      </c>
      <c r="GJ48" s="7">
        <f>IF($B48=Analysis!$C$159,Analysis!$C$167,0)</f>
        <v>0</v>
      </c>
      <c r="GK48" s="1">
        <f>IF($B48&lt;Analysis!$C$159,0,IF($B48=Analysis!$C$159,GI48/GJ48,IF(($B48-Analysis!$C$159)&lt;LOOKUP(Analysis!$C$159,$B:$B,GJ:GJ),GK47,0)))</f>
        <v>0</v>
      </c>
      <c r="GL48" s="1">
        <f>IF($B48&lt;Analysis!$C$159,0,IF($B48=Analysis!$C$159,GJ48*GK48-GK48,IF(($B48-Analysis!$C$159)&lt;Analysis!$C$167,GL47-GK48,0)))</f>
        <v>0</v>
      </c>
      <c r="GM48" s="38"/>
      <c r="GN48" s="1">
        <f>IF($B48&lt;Analysis!$C$159,0,IF($B48=2025,(Analysis!$C$109*12),IF($B48=Analysis!$C$159,(Analysis!$C$109*12)*(1+GO48)^($B48-$B$2),GN47*(1+GO48))))</f>
        <v>52585.146289537261</v>
      </c>
      <c r="GO48" s="64">
        <f>IF($B48&lt;Analysis!$C$159,0,((1+Analysis!$C$174)/(1+$S48))-1)</f>
        <v>2.941176470588247E-2</v>
      </c>
      <c r="GP48" s="1">
        <f t="shared" si="7"/>
        <v>62459.267937165736</v>
      </c>
      <c r="GQ48" s="1">
        <f t="shared" si="36"/>
        <v>-5914.1216476284753</v>
      </c>
      <c r="GR48" s="64">
        <f>IF($B48&lt;Analysis!$C$159,0,Analysis!$C$178)</f>
        <v>3.0000000000000001E-3</v>
      </c>
      <c r="GS48" s="1">
        <f t="shared" si="37"/>
        <v>-14785.304119071188</v>
      </c>
      <c r="GT48" s="64">
        <f>IF($B48&lt;Analysis!$C$159,0,Analysis!$C$179)</f>
        <v>7.4999999999999997E-3</v>
      </c>
      <c r="GU48" s="1">
        <f>IF($B48&lt;Analysis!$C$159,0,MIN(Analysis!$C$180*12,SUM(GV48:GZ48)))</f>
        <v>-3960</v>
      </c>
      <c r="GV48" s="1">
        <f>IF($B48&lt;Analysis!$C$159,0,Analysis!$C$181*12)</f>
        <v>-900</v>
      </c>
      <c r="GW48" s="1">
        <f>IF($B48&lt;Analysis!$C$159,0,Analysis!$C$182*12)</f>
        <v>-1500</v>
      </c>
      <c r="GX48" s="1">
        <f>IF($B48&lt;Analysis!$C$159,0,Analysis!$C$183*12)</f>
        <v>-480</v>
      </c>
      <c r="GY48" s="1">
        <f>IF($B48&lt;Analysis!$C$159,0,Analysis!$C$184*12)</f>
        <v>-480</v>
      </c>
      <c r="GZ48" s="1">
        <f>IF($B48&lt;Analysis!$C$159,0,Analysis!$C$185*12)</f>
        <v>-600</v>
      </c>
      <c r="HA48" s="64">
        <f>IF($B48&lt;Analysis!$C$159,0,Analysis!$C$173)</f>
        <v>0.02</v>
      </c>
      <c r="HB48" s="1">
        <f>-HA48*LOOKUP(Analysis!$C$159,$B:$B,FW:FW)</f>
        <v>-10392</v>
      </c>
      <c r="HC48" s="1">
        <f>-Analysis!$C$177*GN48</f>
        <v>-3943.8859717152945</v>
      </c>
      <c r="HD48" s="1">
        <f t="shared" si="38"/>
        <v>-38995.311738414959</v>
      </c>
      <c r="HE48" s="1">
        <f>MIN(0,-(GN48+HD48)*Analysis!$C$28)-GE48*Analysis!$C$28</f>
        <v>-6021.6556896022912</v>
      </c>
      <c r="HF48" s="1">
        <f>-Analysis!$C$176*GP48/12</f>
        <v>-5204.938994763811</v>
      </c>
      <c r="HG48" s="38"/>
      <c r="HH48" s="1">
        <f>IF($B48&lt;Analysis!$C$159,0,-$HI48*$FW48)</f>
        <v>-251350.17002421021</v>
      </c>
      <c r="HI48" s="64">
        <f>IF($B48&lt;Analysis!$C$159,0,IF($B48=Analysis!$C$159,Analysis!$C$31,HI47))</f>
        <v>0.1275</v>
      </c>
      <c r="HJ48" s="1">
        <f>IF($B48&lt;Analysis!$C$159,0,$FW48+HH48)</f>
        <v>1720023.7125186149</v>
      </c>
      <c r="HK48" s="1">
        <f>IF($B48-Analysis!$C$159&gt;10,0,IF($FW48&gt;LOOKUP(Analysis!$C$159,$B:$B, FW:FW),$V48*(LOOKUP(Analysis!$C$159,$B:$B, FW:FW)-FW48),0))</f>
        <v>0</v>
      </c>
      <c r="HL48" s="1">
        <f t="shared" si="39"/>
        <v>1720023.7125186149</v>
      </c>
      <c r="HM48" s="38"/>
      <c r="HN48" s="1">
        <f t="shared" si="40"/>
        <v>-151887.21646796647</v>
      </c>
      <c r="HO48" s="1">
        <f t="shared" si="8"/>
        <v>115094.51181577437</v>
      </c>
      <c r="HP48" s="1">
        <f t="shared" si="41"/>
        <v>-36792.7046521921</v>
      </c>
      <c r="HQ48" s="1">
        <f>IF(HP48 &lt; 0,
    IF(HQ47 + HP48 &gt; 0,
        HQ47 + HP48, IF(HV47-ABS(HQ47 + HP48)*(1+$V48) &gt;= HQ47 + HP48,
        0, HQ47 + HP48)),
    MIN(HQ47 + HP48, Analysis!$C$7))+IF(HQ47&lt;0, HQ47*Analysis!$C$9,0)</f>
        <v>0</v>
      </c>
      <c r="HR48" s="38"/>
      <c r="HS48" s="1">
        <f t="shared" si="54"/>
        <v>16808.863091693023</v>
      </c>
      <c r="HT48" s="1">
        <f>IF($B48=Analysis!$C$159,0,IF(HP48 &gt;= 0,
    MAX(0, HQ47 + HP48 - Analysis!$C$7),
    0))</f>
        <v>0</v>
      </c>
      <c r="HU48" s="1">
        <f>IF($B48=Analysis!$C$159,0,MAX(0, HU47 + HT48 - IF(HP48 &lt; 0, MIN(ABS(HP48), HU47 + HT48), 0)))</f>
        <v>476466.04250563891</v>
      </c>
      <c r="HV48" s="1">
        <f>IF($B48=Analysis!$C$159,0,IF(HP48 &lt; 0,
    IF(HP48 + HQ47 &lt; 0,
        MAX(0, HV47 - (ABS(HP48 + HQ47) * (1+$V47))),
        HV47 + HS48),
    HV47 + HT48 + HS48))</f>
        <v>810755.23717213958</v>
      </c>
      <c r="HW48" s="1">
        <f t="shared" si="58"/>
        <v>722586.46207885002</v>
      </c>
      <c r="HX48" s="36"/>
    </row>
    <row r="49" spans="1:232" x14ac:dyDescent="0.35">
      <c r="A49">
        <f t="shared" si="0"/>
        <v>82</v>
      </c>
      <c r="B49">
        <v>2072</v>
      </c>
      <c r="C49" s="1">
        <f>IF($B49&lt;Analysis!C$66,0,$AN49)+$AT49+$AW49+$BC49+$CF49+$CA49</f>
        <v>-4728688.030828381</v>
      </c>
      <c r="D49" s="1">
        <f>IF($B49&lt;Analysis!C$66, 0, BV49)+AT49+AW49+BC49+CG49+CA49</f>
        <v>-5171877.2372458819</v>
      </c>
      <c r="E49" s="1">
        <f t="shared" si="1"/>
        <v>1494749.8451622992</v>
      </c>
      <c r="F49" s="1">
        <f t="shared" si="9"/>
        <v>1235097.7813962842</v>
      </c>
      <c r="G49" s="1">
        <f>IF(AND($B49&gt;=Analysis!$C$100, $B49&lt;Analysis!$C$101),$CK49,0)+IF($B49&gt;=Analysis!$C$130,EB49,0)+CQ49+CT49+CZ49+EH49+EK49+EQ49+$FO49+$FT49</f>
        <v>2191326.4931561858</v>
      </c>
      <c r="H49" s="1">
        <f t="shared" si="10"/>
        <v>1847730.3668325045</v>
      </c>
      <c r="I49" s="1">
        <f>IF($B49&lt;Analysis!$C$159,0,$FW49)+$GC49+$GF49+$GL49+$HQ49+$HV49</f>
        <v>2790666.8112079911</v>
      </c>
      <c r="J49" s="1">
        <f t="shared" si="59"/>
        <v>2446476.8900609496</v>
      </c>
      <c r="K49" s="36"/>
      <c r="L49" s="1">
        <f t="shared" si="11"/>
        <v>51582.539001036472</v>
      </c>
      <c r="M49" s="1">
        <f>IF($B49=Analysis!$C$47, M48 * (1 - Analysis!$C$48),
    IF($B49=Analysis!$C$52, M48 * (1 - Analysis!$C$53),
    IF($B49=Analysis!$C$58, M48 * (1 - Analysis!$C$60),
    L49)))</f>
        <v>51582.539001036472</v>
      </c>
      <c r="N49" s="1">
        <f>Analysis!$C$3*12*(1+O49)+P49</f>
        <v>-48000</v>
      </c>
      <c r="O49" s="64">
        <f>IF(OR($B49=Analysis!$C$47,$B49=Analysis!$C$52,$B49=Analysis!$C$58),-Analysis!$C$49,0)</f>
        <v>0</v>
      </c>
      <c r="P49" s="1">
        <f>IF($B49&lt;Analysis!$C$47,0,IF($B49-Analysis!$C$47&lt;=3,Analysis!$C$40+Analysis!$C$44,IF($B49-Analysis!$C$47&lt;=10,Analysis!$C$41+Analysis!$C$44,IF($B49-Analysis!$C$47&lt;=18,Analysis!$C$42+Analysis!$C$44,IF($B49-Analysis!$C$47&lt;=25,Analysis!$C$43+Analysis!$C$44,0)))) + IF(AND($B49&gt;=Analysis!$C$52, $B49-Analysis!$C$52&lt;=3),Analysis!$C$40+Analysis!$C$44,IF(AND($B49&gt;=Analysis!$C$52, $B49-Analysis!$C$52&lt;=10),Analysis!$C$41+Analysis!$C$44,IF(AND($B49&gt;=Analysis!$C$52, $B49-Analysis!$C$52&lt;=18),Analysis!$C$42+Analysis!$C$44,IF(AND($B49&gt;=Analysis!$C$52, $B49-Analysis!$C$52&lt;=25),Analysis!$C$43+Analysis!$C$44,0)))) + Analysis!$C$57*IF(AND($B49&gt;=Analysis!$C$58, $B49-Analysis!$C$58&lt;=3),Analysis!$C$40+Analysis!$C$44,IF(AND($B49&gt;=Analysis!$C$58, $B49-Analysis!$C$58&lt;=10),Analysis!$C$41+Analysis!$C$44,IF(AND($B49&gt;=Analysis!$C$58, $B49-Analysis!$C$58&lt;=18),Analysis!$C$42+Analysis!$C$44,IF(AND($B49&gt;=Analysis!$C$58, $B49-Analysis!$C$58&lt;=25),Analysis!$C$43+Analysis!$C$44,0)))))</f>
        <v>0</v>
      </c>
      <c r="Q49" s="1">
        <f t="shared" si="43"/>
        <v>0</v>
      </c>
      <c r="R49" s="1">
        <f>IF(AND(AND(B49=Analysis!C$35,Analysis!C$34&lt;&gt;0),AND(B49=Analysis!C$37,Analysis!C$36&lt;&gt;0)),Analysis!C$34+Analysis!C$36,IF(AND(B49=Analysis!C$35,Analysis!C$34&lt;&gt;0),Analysis!C$34,IF(AND(B49=Analysis!C$37,Analysis!C$36&lt;&gt;0),Analysis!C$36,0)))</f>
        <v>0</v>
      </c>
      <c r="S49" s="64">
        <f t="shared" si="12"/>
        <v>0.02</v>
      </c>
      <c r="T49" s="64">
        <f>IF($B49&lt;Analysis!$C$13, ((1+IF($B49-$B$2&lt;10,Analysis!$C$11,IF($B49-$B$2&lt;20,(Analysis!$C$11+Analysis!$C$12)/2,Analysis!$C$12)))/(1+$S49)-1),IF($B49=Analysis!$C$13,-Analysis!$C$14,-$S49))</f>
        <v>-0.02</v>
      </c>
      <c r="U49" s="64">
        <f>IF($B49=$B$2,((1+Analysis!$C$16)/(1+$S49))-1,IF(B49&lt;Analysis!$C$13,U48-((Analysis!$C$16-Analysis!$C$17)/(Analysis!$C$13-$B$2)),((1+Analysis!$C$17)/(1+$S48))-1))</f>
        <v>1.9607843137254832E-2</v>
      </c>
      <c r="V49" s="64">
        <f t="shared" si="13"/>
        <v>0.26374999999999998</v>
      </c>
      <c r="W49" s="36"/>
      <c r="X49" s="1">
        <f t="shared" si="14"/>
        <v>-61864.877987690888</v>
      </c>
      <c r="Y49" s="64">
        <f t="shared" si="15"/>
        <v>2.941176470588247E-2</v>
      </c>
      <c r="Z49" s="1">
        <f t="shared" si="16"/>
        <v>-3960</v>
      </c>
      <c r="AA49" s="64">
        <f t="shared" si="17"/>
        <v>0</v>
      </c>
      <c r="AB49" s="40"/>
      <c r="AC49" s="1">
        <f t="shared" si="3"/>
        <v>-113824.87798769088</v>
      </c>
      <c r="AD49" s="1">
        <f t="shared" si="4"/>
        <v>51582.539001036472</v>
      </c>
      <c r="AE49" s="1">
        <f t="shared" si="18"/>
        <v>-62242.338986654409</v>
      </c>
      <c r="AF49" s="1">
        <f>IF(AE49 &lt; 0,
    IF(AF48 + AE49 &gt; 0,
        AF48 + AE49, IF(AK48-ABS(AF48 + AE49)*(1+$V49) &gt;= AF48 + AE49,
        0, AF48 + AE49)),
    MIN(AF48 + AE49, Analysis!$C$7))+IF(AF48&lt;0, AF48*Analysis!$C$9,0)</f>
        <v>0</v>
      </c>
      <c r="AG49" s="40"/>
      <c r="AH49" s="1">
        <f t="shared" si="19"/>
        <v>30851.149040327025</v>
      </c>
      <c r="AI49" s="1">
        <f>IF(AE49 &gt;= 0,
    MAX(0, AF48 + AE49 - Analysis!$C$7),
    0)</f>
        <v>0</v>
      </c>
      <c r="AJ49" s="1">
        <f t="shared" si="44"/>
        <v>510287.04415371141</v>
      </c>
      <c r="AK49" s="1">
        <f t="shared" si="20"/>
        <v>1494749.8451622992</v>
      </c>
      <c r="AL49" s="1">
        <f t="shared" si="5"/>
        <v>1235097.7813962842</v>
      </c>
      <c r="AM49" s="36"/>
      <c r="AN49" s="1">
        <f t="shared" si="45"/>
        <v>3475993.7758235401</v>
      </c>
      <c r="AO49" s="64">
        <f t="shared" si="21"/>
        <v>2.941176470588247E-2</v>
      </c>
      <c r="AP49" s="1">
        <f>IF($B49=Analysis!$C$66,(AN49*(1+Analysis!$C$23+Analysis!$C$24+Analysis!$C$25))-IF($B49=$B$2,(Analysis!$C$6-Analysis!$C$7+Analysis!$C$68), ($CG48-Analysis!$C$7+AY49)),0)</f>
        <v>0</v>
      </c>
      <c r="AQ49" s="65">
        <f>IF($B49=Analysis!$C$66,NPER(AU49,-AX49,-AP49),0)</f>
        <v>0</v>
      </c>
      <c r="AR49" s="64">
        <f>IF($B49=Analysis!$C$66,Analysis!$C$73,0)</f>
        <v>0</v>
      </c>
      <c r="AS49" s="1">
        <f>IF($B49&lt;Analysis!$C$66,0,IF($B49=Analysis!$C$66,-AP49*AR49,IF(AX49&gt;=0,0,AX49-AV49)))</f>
        <v>0</v>
      </c>
      <c r="AT49" s="1">
        <f>IF($B49&lt;Analysis!$C$66,0,IF($B49=Analysis!$C$66,-AP49-AS49,MIN(0,AT48-AS49)))</f>
        <v>0</v>
      </c>
      <c r="AU49" s="64">
        <f>IF($B49&lt;Analysis!$C$66,0,IF($B49=Analysis!$C$66,Analysis!$C$72,IF(($B49-Analysis!$C$66)&lt;LOOKUP(Analysis!$C$66,$B:$B,AQ:AQ),AU48,0)))</f>
        <v>0</v>
      </c>
      <c r="AV49" s="1">
        <f>IF($B49&lt;Analysis!$C$66,0,IF($B49=Analysis!$C$66,-AU49*AP49,AU48*AT48))</f>
        <v>0</v>
      </c>
      <c r="AW49" s="1">
        <f>IF($B49&lt;Analysis!$C$66,0,IF($B49=Analysis!$C$66,PMT(AU49,AQ49,AP49)*AQ49-AX49-AT49,IF(($B49-Analysis!$C$66+1)&lt;LOOKUP(Analysis!$C$66,$B:$B,AQ:AQ),IF(AW48-AV49&lt;0, AW48-AV49,0),0)))</f>
        <v>0</v>
      </c>
      <c r="AX49" s="1">
        <f>IF($B49&lt;Analysis!$C$66,0,IF($B49=Analysis!$C$66,AS49+AV49,IF(AT48&lt;0,IF(AT48&gt;LOOKUP(Analysis!$C$66,$B:$B,AX:AX), AT48*(1+AU48),AX48),0)))</f>
        <v>0</v>
      </c>
      <c r="AY49" s="1">
        <f>IF($B49=Analysis!$C$66,Analysis!$C$68,0)</f>
        <v>0</v>
      </c>
      <c r="AZ49" s="1">
        <f>IF($B49=Analysis!$C$66,PMT(AU49,BA49,AY49)*BA49,0)</f>
        <v>0</v>
      </c>
      <c r="BA49" s="7">
        <f>IF($B49=Analysis!$C$66,Analysis!$C$70,0)</f>
        <v>0</v>
      </c>
      <c r="BB49" s="1">
        <f>IF($B49&lt;Analysis!$C$66,0,IF($B49=Analysis!$C$66,AZ49/BA49,IF(($B49-Analysis!$C$66)&lt;LOOKUP(Analysis!$C$66,$B:$B,BA:BA),BB48,0)))</f>
        <v>0</v>
      </c>
      <c r="BC49" s="1">
        <f>IF($B49&lt;Analysis!$C$66,0,IF($B49=Analysis!$C$66,BA49*BB49-BB49,IF(($B49-Analysis!$C$66)&lt;Analysis!$C$70,BC48-BB49,0)))</f>
        <v>0</v>
      </c>
      <c r="BD49" s="42"/>
      <c r="BE49" s="1">
        <f>IF($B49&lt;Analysis!$C$66,0,-BF49*AN49)</f>
        <v>-10427.981327470621</v>
      </c>
      <c r="BF49" s="64">
        <f>IF($B49&lt;Analysis!$C$66,0,Analysis!$C$78)</f>
        <v>3.0000000000000001E-3</v>
      </c>
      <c r="BG49" s="1">
        <f>IF($B49&lt;Analysis!$C$66,0,-BH49*AN49)</f>
        <v>-26069.953318676551</v>
      </c>
      <c r="BH49" s="64">
        <f>IF($B49&lt;Analysis!$C$66,0,Analysis!$C$79)</f>
        <v>7.4999999999999997E-3</v>
      </c>
      <c r="BI49" s="1">
        <f>IF($B49&lt;Analysis!$C$66,0,MIN(Analysis!$C$80*12,SUM(BJ49:BN49)))</f>
        <v>-3960</v>
      </c>
      <c r="BJ49" s="1">
        <f>IF($B49&lt;Analysis!$C$66,0,Analysis!$C$81*12)</f>
        <v>-900</v>
      </c>
      <c r="BK49" s="1">
        <f>IF($B49&lt;Analysis!$C$66,0,Analysis!$C$82*12)</f>
        <v>-1500</v>
      </c>
      <c r="BL49" s="1">
        <f>IF($B49&lt;Analysis!$C$66,0,Analysis!$C$83*12)</f>
        <v>-480</v>
      </c>
      <c r="BM49" s="1">
        <f>IF($B49&lt;Analysis!$C$66,0,Analysis!$C$84*12)</f>
        <v>-480</v>
      </c>
      <c r="BN49" s="1">
        <f>IF($B49&lt;Analysis!$C$66,0,Analysis!$C$85*12)</f>
        <v>-600</v>
      </c>
      <c r="BO49" s="1">
        <v>0</v>
      </c>
      <c r="BP49" s="1">
        <f>-BO49*Analysis!$C$28</f>
        <v>0</v>
      </c>
      <c r="BQ49" s="42"/>
      <c r="BR49" s="1">
        <f t="shared" si="22"/>
        <v>-443189.20641750138</v>
      </c>
      <c r="BS49" s="64">
        <f>IF($B49&lt;Analysis!C$66,0,Analysis!C$31)</f>
        <v>0.1275</v>
      </c>
      <c r="BT49" s="1">
        <f>IF($B49&lt;Analysis!$C$66,0,AN49+BR49)</f>
        <v>3032804.5694060386</v>
      </c>
      <c r="BU49" s="1">
        <f>IF($B49-Analysis!$C$66&gt;3,0,IF($AN49&gt;LOOKUP(Analysis!$C$66,$B:$B, AN:AN),$V49*(LOOKUP(Analysis!$C$66,$B:$B, AN:AN)-AN49),0))</f>
        <v>0</v>
      </c>
      <c r="BV49" s="1">
        <f t="shared" si="23"/>
        <v>3032804.5694060386</v>
      </c>
      <c r="BW49" s="42"/>
      <c r="BX49" s="1">
        <f>IF($B49&lt;Analysis!$C$66,$P49+$N49+$X49+$Z49,$P49+$N49+AS49+AV49+BB49+BE49+BG49+MAX(BI49,SUM(BJ49:BN49))+BP49)</f>
        <v>-88457.934646147172</v>
      </c>
      <c r="BY49" s="1">
        <f t="shared" si="24"/>
        <v>51582.539001036472</v>
      </c>
      <c r="BZ49" s="1">
        <f t="shared" si="46"/>
        <v>-36875.395645110701</v>
      </c>
      <c r="CA49" s="1">
        <f>IF(BZ49 &lt; 0,
    IF(CA48 + BZ49 &gt; 0,
        CA48 + BZ49, IF(CF48-ABS(CA48 + BZ49)*(1+$V49) &gt;= CA48 + BZ49,
        0, CA48 + BZ49)),
    MIN(CA48 + BZ49, Analysis!$C$7))+IF(CA48&lt;0, CA48*Analysis!$C$9,0)</f>
        <v>-8204681.806651921</v>
      </c>
      <c r="CB49" s="42"/>
      <c r="CC49" s="1">
        <f t="shared" si="47"/>
        <v>0</v>
      </c>
      <c r="CD49" s="1">
        <f>IF(BZ49 &gt;= 0,
    MAX(0, CA48 + BZ49 - Analysis!$C$7),
    0)</f>
        <v>0</v>
      </c>
      <c r="CE49" s="1">
        <f>IF($B49=Analysis!$C$66,0,MAX(0, CE48 + CD49 - IF(BZ49 &lt; 0, MIN(ABS(BZ49), CE48 + CD49), 0)))</f>
        <v>0</v>
      </c>
      <c r="CF49" s="1">
        <f>IF($B49=Analysis!$C$66,0,IF(BZ49 &lt; 0,
    IF(BZ49 + CA48 &lt; 0,
        MAX(0, CF48 - (ABS(BZ49 + CA48) * (1+$V48))),
        CF48 + CC49),
    CF48 + CD49 + CC49))</f>
        <v>0</v>
      </c>
      <c r="CG49" s="1">
        <f t="shared" si="25"/>
        <v>0</v>
      </c>
      <c r="CH49" s="36"/>
      <c r="CI49" s="1">
        <f>IF(OR($B49&lt;Analysis!$C$100, $B49&gt;=Analysis!$C$130),0,X49)</f>
        <v>0</v>
      </c>
      <c r="CJ49" s="1">
        <f>IF(OR($B49&lt;Analysis!$C$100, $B49&gt;=Analysis!$C$130),0,Z49)</f>
        <v>0</v>
      </c>
      <c r="CK49" s="1">
        <f t="shared" si="60"/>
        <v>2029355.4673234967</v>
      </c>
      <c r="CL49" s="64">
        <f t="shared" si="48"/>
        <v>2.941176470588247E-2</v>
      </c>
      <c r="CM49" s="1">
        <f>IF($B49=Analysis!$C$100,(CK49*(1+Analysis!$C$23+Analysis!$C$24+Analysis!$C$25))-IF($B49=$B$2,(Analysis!$C$6-Analysis!$C$7+Analysis!$C$105), (FU48-Analysis!$C$7+CV49)),0)</f>
        <v>0</v>
      </c>
      <c r="CN49" s="65">
        <f>IF($B49=Analysis!$C$100,NPER(CR49,-CU49,-CM49),0)</f>
        <v>0</v>
      </c>
      <c r="CO49" s="64">
        <f>IF($B49=Analysis!$C$100,Analysis!$C$103,0)</f>
        <v>0</v>
      </c>
      <c r="CP49" s="1">
        <f>IF(OR($B49&lt;Analysis!$C$100, $B49&gt;=Analysis!$C$101),0,IF($B49=Analysis!$C$100,-CM49*CO49,IF(CU49&gt;=0,0,CU49-CS49)))</f>
        <v>0</v>
      </c>
      <c r="CQ49" s="1">
        <f>IF(OR($B49&lt;Analysis!$C$100, $B49&gt;=Analysis!$C$101),0,IF($B49=Analysis!$C$100,-CM49-CP49,MIN(0,CQ48-CP49)))</f>
        <v>0</v>
      </c>
      <c r="CR49" s="64">
        <f>IF(OR($B49&lt;Analysis!$C$100, $B49&gt;=Analysis!$C$101),0,IF($B49=Analysis!$C$100,Analysis!$C$102,IF(($B49-Analysis!$C$100)&lt;LOOKUP(Analysis!$C$100,$B:$B,CN:CN),CR48,0)))</f>
        <v>0</v>
      </c>
      <c r="CS49" s="1">
        <f>IF(OR($B49&lt;Analysis!$C$100, $B49&gt;=Analysis!$C$101),0,IF($B49=Analysis!$C$100,-CR49*CM49,CR48*CQ48))</f>
        <v>0</v>
      </c>
      <c r="CT49" s="1">
        <f>IF(OR($B49&lt;Analysis!$C$100, $B49&gt;=Analysis!$C$101),0,IF($B49=Analysis!$C$100,PMT(CR49,CN49,CM49)*CN49-CU49-CQ49,IF(($B49-Analysis!$C$100+1)&lt;LOOKUP(Analysis!$C$100,$B:$B,CN:CN),IF(CT48-CS49&lt;0, CT48-CS49,0),0)))</f>
        <v>0</v>
      </c>
      <c r="CU49" s="1">
        <f>IF(OR($B49&lt;Analysis!$C$100, $B49&gt;=Analysis!$C$101),0,IF($B49=Analysis!$C$100,CP49+CS49,IF(CQ48&lt;0,IF(CQ48&gt;LOOKUP(Analysis!$C$100,$B:$B,CU:CU), CQ48*(1+CR48),CU48),0)))</f>
        <v>0</v>
      </c>
      <c r="CV49" s="1">
        <f>IF($B49=Analysis!$C$100,Analysis!$C$105,0)</f>
        <v>0</v>
      </c>
      <c r="CW49" s="1">
        <f>IF($B49=Analysis!$C$100,PMT(CR49,CX49,CV49)*CX49,0)</f>
        <v>0</v>
      </c>
      <c r="CX49" s="7">
        <f>IF($B49=Analysis!$C$100,Analysis!$C$107,0)</f>
        <v>0</v>
      </c>
      <c r="CY49" s="1">
        <f>IF(OR($B49&lt;Analysis!$C$100, $B49&gt;=Analysis!$C$101),0,IF($B49=Analysis!$C$100,CW49/CX49,IF(($B49-Analysis!$C$100)&lt;LOOKUP(Analysis!$C$100,$B:$B,CX:CX),CY48,0)))</f>
        <v>0</v>
      </c>
      <c r="CZ49" s="1">
        <f>IF(OR($B49&lt;Analysis!$C$100, $B49&gt;=Analysis!$C$101),0,IF($B49=Analysis!$C$100,CX49*CY49-CY49,IF(($B49-Analysis!$C$100)&lt;Analysis!$C$107,CZ48-CY49,0)))</f>
        <v>0</v>
      </c>
      <c r="DA49" s="53"/>
      <c r="DB49" s="1">
        <f>IF(OR($B49&lt;Analysis!$C$100, $B49&gt;=Analysis!$C$101),0,IF($B49=2025,(Analysis!$C$109*12),IF($B49=Analysis!$C$100,(Analysis!$C$109*12)*(1+DC49)^($B49-$B$2),DB48*(1+DC49))))</f>
        <v>0</v>
      </c>
      <c r="DC49" s="64">
        <f>IF(OR($B49&lt;Analysis!$C$100, $B49&gt;=Analysis!$C$101),0,((1+Analysis!$C$114)/(1+$S49))-1)</f>
        <v>0</v>
      </c>
      <c r="DD49" s="1">
        <f t="shared" si="6"/>
        <v>0</v>
      </c>
      <c r="DE49" s="1">
        <f t="shared" si="27"/>
        <v>0</v>
      </c>
      <c r="DF49" s="64">
        <f>IF(OR($B49&lt;Analysis!$C$100, $B49&gt;=Analysis!$C$101),0,Analysis!$C$118)</f>
        <v>0</v>
      </c>
      <c r="DG49" s="1">
        <f t="shared" si="28"/>
        <v>0</v>
      </c>
      <c r="DH49" s="64">
        <f>IF(OR($B49&lt;Analysis!$C$100, $B49&gt;=Analysis!$C$101),0,Analysis!$C$119)</f>
        <v>0</v>
      </c>
      <c r="DI49" s="1">
        <f>IF(OR($B49&lt;Analysis!$C$100, $B49&gt;=Analysis!$C$101),0,MIN(Analysis!$C$120*12,SUM(DJ49:DN49)))</f>
        <v>0</v>
      </c>
      <c r="DJ49" s="1">
        <f>IF(OR($B49&lt;Analysis!$C$100, $B49&gt;=Analysis!$C$101),0,Analysis!$C$121*12)</f>
        <v>0</v>
      </c>
      <c r="DK49" s="1">
        <f>IF(OR($B49&lt;Analysis!$C$100, $B49&gt;=Analysis!$C$101),0,Analysis!$C$122*12)</f>
        <v>0</v>
      </c>
      <c r="DL49" s="1">
        <f>IF(OR($B49&lt;Analysis!$C$100, $B49&gt;=Analysis!$C$101),0,Analysis!$C$123*12)</f>
        <v>0</v>
      </c>
      <c r="DM49" s="1">
        <f>IF(OR($B49&lt;Analysis!$C$100, $B49&gt;=Analysis!$C$101),0,Analysis!$C$124*12)</f>
        <v>0</v>
      </c>
      <c r="DN49" s="1">
        <f>IF(OR($B49&lt;Analysis!$C$100, $B49&gt;=Analysis!$C$101),0,Analysis!$C$125*12)</f>
        <v>0</v>
      </c>
      <c r="DO49" s="64">
        <f>IF(OR($B49&lt;Analysis!$C$100, $B49&gt;=Analysis!$C$101),0,Analysis!$C$113)</f>
        <v>0</v>
      </c>
      <c r="DP49" s="1">
        <f>-DO49*LOOKUP(Analysis!$C$100,$B:$B,CK:CK)</f>
        <v>0</v>
      </c>
      <c r="DQ49" s="1">
        <f>-Analysis!$C$117*DB49</f>
        <v>0</v>
      </c>
      <c r="DR49" s="1">
        <f t="shared" si="29"/>
        <v>0</v>
      </c>
      <c r="DS49" s="1">
        <f>MIN(0,-(DB49+DR49)*Analysis!$C$28)-CS49*Analysis!$C$28</f>
        <v>0</v>
      </c>
      <c r="DT49" s="1">
        <f>-Analysis!$C$116*DD49/12</f>
        <v>0</v>
      </c>
      <c r="DU49" s="53"/>
      <c r="DV49" s="1">
        <f t="shared" si="30"/>
        <v>0</v>
      </c>
      <c r="DW49" s="64">
        <f>IF(OR($B49&lt;Analysis!$C$100, $B49&gt;=Analysis!$C$101),0,IF($B49=Analysis!$C$100,Analysis!$C$31,DW48))</f>
        <v>0</v>
      </c>
      <c r="DX49" s="1">
        <f>IF(OR($B49&lt;Analysis!$C$100, $B49&gt;=Analysis!$C$101),0,CK49+DV49)</f>
        <v>0</v>
      </c>
      <c r="DY49" s="1">
        <f>IF(OR($B49&lt;Analysis!$C$100, $B49&gt;=Analysis!$C$101),0,IF($B49-Analysis!$C$100&gt;3,0,IF(CK49&gt;LOOKUP(Analysis!$C$100,$B:$B, CK:CK),$V49*(LOOKUP(Analysis!$C$100,$B:$B, CK:CK)-CK49),0)))</f>
        <v>0</v>
      </c>
      <c r="DZ49" s="1">
        <f t="shared" si="49"/>
        <v>0</v>
      </c>
      <c r="EA49" s="53"/>
      <c r="EB49" s="1">
        <f t="shared" si="31"/>
        <v>2694871.5790092652</v>
      </c>
      <c r="EC49" s="64">
        <f t="shared" si="50"/>
        <v>2.941176470588247E-2</v>
      </c>
      <c r="ED49" s="1">
        <f>IF($B49=Analysis!$C$130,(EB49*(1+Analysis!$C$23+Analysis!$C$24+Analysis!$C$25))-(IF($B49=$B$2,(Analysis!$C$6-Analysis!$C$7+Analysis!$C$132), (FU48-Analysis!$C$7+EM49)) + IF($B49=Analysis!$C$101,DZ48+CQ48+CT48+CZ48,0)),0)</f>
        <v>0</v>
      </c>
      <c r="EE49" s="65">
        <f>IF($B49=Analysis!$C$130,IF(ED49&gt;0,NPER(EI49,-EL49,-ED49),0),0)</f>
        <v>0</v>
      </c>
      <c r="EF49" s="64">
        <f>IF($B49=Analysis!$C$130,Analysis!$C$137,0)</f>
        <v>0</v>
      </c>
      <c r="EG49" s="1">
        <f>IF($B49&lt;Analysis!$C$130,0,IF($B49=Analysis!$C$130,-ED49*EF49,IF(EL49&gt;=0,0,EL49-EJ49)))</f>
        <v>0</v>
      </c>
      <c r="EH49" s="1">
        <f>IF($B49&lt;Analysis!$C$130,0,IF($B49=Analysis!$C$130,-ED49-EG49,MIN(0,EH48-EG49)))</f>
        <v>0</v>
      </c>
      <c r="EI49" s="64">
        <f>IF($B49&lt;Analysis!$C$130,0,IF($B49=Analysis!$C$130,Analysis!$C$136,IF(($B49-Analysis!$C$130)&lt;LOOKUP(Analysis!$C$130,$B:$B,EE:EE),EI48,0)))</f>
        <v>0</v>
      </c>
      <c r="EJ49" s="1">
        <f>IF($B49&lt;Analysis!$C$130,0,IF($B49=Analysis!$C$130,-EI49*ED49,EI48*EH48))</f>
        <v>0</v>
      </c>
      <c r="EK49" s="1">
        <f>IF(OR($B49&lt;Analysis!$C$130, ED49=0),0,IF($B49=Analysis!$C$130,PMT(EI49,EE49,ED49)*EE49-EL49-EH49,IF(($B49-Analysis!$C$130+1)&lt;LOOKUP(Analysis!$C$130,$B:$B,EE:EE),IF(EK48-EJ49&lt;0, EK48-EJ49,0),0)))</f>
        <v>0</v>
      </c>
      <c r="EL49" s="1">
        <f>IF($B49&lt;Analysis!$C$130,0,IF($B49=Analysis!$C$130,EG49+EJ49,IF(EH48&lt;0,IF(EH48&gt;LOOKUP(Analysis!$C$130,$B:$B,EL:EL), EH48*(1+EI48),EL48),0)))</f>
        <v>0</v>
      </c>
      <c r="EM49" s="1">
        <f>IF($B49=Analysis!$C$130,Analysis!$C$132,0)</f>
        <v>0</v>
      </c>
      <c r="EN49" s="1">
        <f>IF($B49=Analysis!$C$130,PMT(EI49,EO49,EM49)*EO49,0)</f>
        <v>0</v>
      </c>
      <c r="EO49" s="7">
        <f>IF($B49=Analysis!$C$130,Analysis!$C$134,0)</f>
        <v>0</v>
      </c>
      <c r="EP49" s="1">
        <f>IF($B49&lt;Analysis!$C$130,0,IF($B49=Analysis!$C$130,EN49/EO49,IF(($B49-Analysis!$C$130)&lt;LOOKUP(Analysis!$C$130,$B:$B,EO:EO),EP48,0)))</f>
        <v>0</v>
      </c>
      <c r="EQ49" s="1">
        <f>IF($B49&lt;Analysis!$C$130,0,IF($B49=Analysis!$C$130,EO49*EP49-EP49,IF(($B49-Analysis!$C$130)&lt;Analysis!$C$134,EQ48-EP49,0)))</f>
        <v>0</v>
      </c>
      <c r="ER49" s="53"/>
      <c r="ES49" s="1">
        <f>IF($B49&lt;Analysis!$C$130,0,-ET49*EB49)</f>
        <v>-8084.6147370277959</v>
      </c>
      <c r="ET49" s="64">
        <f>IF($B49&lt;Analysis!$C$130,0,Analysis!$C$142)</f>
        <v>3.0000000000000001E-3</v>
      </c>
      <c r="EU49" s="1">
        <f>IF($B49&lt;Analysis!$C$130,0,-EV49*EB49)</f>
        <v>-26948.715790092654</v>
      </c>
      <c r="EV49" s="64">
        <f>IF($B49&lt;Analysis!$C$130,0,Analysis!$C$143)</f>
        <v>0.01</v>
      </c>
      <c r="EW49" s="1">
        <f>IF($B49&lt;Analysis!$C$130,0,MIN(Analysis!$C$144*12,SUM(EX49:FB49)))</f>
        <v>-3960</v>
      </c>
      <c r="EX49" s="1">
        <f>IF($B49&lt;Analysis!$C$130,0,Analysis!$C$145*12)</f>
        <v>-900</v>
      </c>
      <c r="EY49" s="1">
        <f>IF($B49&lt;Analysis!$C$130,0,Analysis!$C$146*12)</f>
        <v>-1500</v>
      </c>
      <c r="EZ49" s="1">
        <f>IF($B49&lt;Analysis!$C$130,0,Analysis!$C$147*12)</f>
        <v>-480</v>
      </c>
      <c r="FA49" s="1">
        <f>IF($B49&lt;Analysis!$C$130,0,Analysis!$C$148*12)</f>
        <v>-480</v>
      </c>
      <c r="FB49" s="1">
        <f>IF($B49&lt;Analysis!$C$130,0,Analysis!$C$149*12)</f>
        <v>-600</v>
      </c>
      <c r="FC49" s="1">
        <v>0</v>
      </c>
      <c r="FD49" s="1">
        <f>-FC49*Analysis!$C$28</f>
        <v>0</v>
      </c>
      <c r="FE49" s="53"/>
      <c r="FF49" s="1">
        <f t="shared" si="32"/>
        <v>-343596.12632368132</v>
      </c>
      <c r="FG49" s="64">
        <f>IF($B49&lt;Analysis!$C$130,0,Analysis!$C$31)</f>
        <v>0.1275</v>
      </c>
      <c r="FH49" s="1">
        <f>IF($B49&lt;Analysis!$C$130,0,EB49+FF49)</f>
        <v>2351275.4526855838</v>
      </c>
      <c r="FI49" s="1">
        <f>IF($B49-Analysis!$C$130&gt;3,0,IF(EB49&gt;LOOKUP(Analysis!$C$130,$B:$B, EB:EB),$V49*(LOOKUP(Analysis!$C$130,$B:$B, EB:EB)-EB49),0))</f>
        <v>0</v>
      </c>
      <c r="FJ49" s="1">
        <f t="shared" si="33"/>
        <v>2351275.4526855838</v>
      </c>
      <c r="FK49" s="53"/>
      <c r="FL49" s="1">
        <f>$P49+$N49+IF($B49&lt;Analysis!$C$130,$X49+$Z49,0)+CP49+CS49+CY49+DE49+DG49+MIN(DI49,SUM(DJ49:DN49))+DQ49+DS49+DT49+EG49+EJ49+EP49+ES49+EU49+MIN(EW49,SUM(EX49:FB49))+FD49</f>
        <v>-86993.330527120444</v>
      </c>
      <c r="FM49" s="1">
        <f>$M49+$R49+DD49+IF(AND($B49&lt;&gt;Analysis!$C$130,$B49=Analysis!$C$101),DZ48+CQ48+CT48+CZ48,0)</f>
        <v>51582.539001036472</v>
      </c>
      <c r="FN49" s="1">
        <f t="shared" si="34"/>
        <v>-35410.791526083973</v>
      </c>
      <c r="FO49" s="1">
        <f>IF(FN49 &lt; 0,
    IF(FO48 + FN49 &gt; 0,
        FO48 + FN49, IF(FT48-ABS(FO48 + FN49)*(1+$V49) &gt;= FO48 + FN49,
        0, FO48 + FN49)),
    MIN(FO48 + FN49, Analysis!$C$7))+IF(FO48&lt;0, FO48*Analysis!$C$9,0)</f>
        <v>-503545.08585307922</v>
      </c>
      <c r="FP49" s="53"/>
      <c r="FQ49" s="1">
        <f t="shared" si="51"/>
        <v>0</v>
      </c>
      <c r="FR49" s="1">
        <f>IF(OR($B49=Analysis!$C$100, $B49=Analysis!$C$130),0,IF(FN49 &gt;= 0,
    MAX(0, FO48 + FN49 - Analysis!$C$7),
    0))</f>
        <v>0</v>
      </c>
      <c r="FS49" s="1">
        <f>IF(OR($B49=Analysis!$C$100, $B49=Analysis!$C$130),0,MAX(0, FS48 + FR49 - IF(FN49 &lt; 0, MIN(ABS(FN49), FS48 + FR49), 0)))</f>
        <v>0</v>
      </c>
      <c r="FT49" s="1">
        <f>IF(OR($B49=Analysis!$C$100, $B49=Analysis!$C$130),0,IF(FN49 &lt; 0,
    IF(FN49 + FO48 &lt; 0,
        MAX(0, FT48 - (ABS(FN49 + FO48) * (1+$V48))),
        FT48 + FQ49),
    FT48 + FR49 + FQ49))</f>
        <v>0</v>
      </c>
      <c r="FU49" s="1">
        <f t="shared" si="57"/>
        <v>0</v>
      </c>
      <c r="FV49" s="36"/>
      <c r="FW49" s="1">
        <f t="shared" si="52"/>
        <v>2029355.4673234967</v>
      </c>
      <c r="FX49" s="64">
        <f t="shared" si="53"/>
        <v>2.941176470588247E-2</v>
      </c>
      <c r="FY49" s="1">
        <f>IF($B49=Analysis!$C$159,(FW49*(1+Analysis!$C$23+Analysis!$C$24+Analysis!$C$25))-IF($B49=$B$2,(Analysis!$C$6-Analysis!$C$7+Analysis!$C$165), (HW48-Analysis!$C$7+GH49)),0)</f>
        <v>0</v>
      </c>
      <c r="FZ49" s="65">
        <f>IF($B49=Analysis!$C$159,NPER(GD49,-GG49,-FY49),0)</f>
        <v>0</v>
      </c>
      <c r="GA49" s="64">
        <f>IF($B49=Analysis!$C$159,Analysis!$C$161,0)</f>
        <v>0</v>
      </c>
      <c r="GB49" s="1">
        <f>IF($B49&lt;Analysis!$C$159,0,IF($B49=Analysis!$C$159,-FY49*GA49,IF(GG49&gt;=0,0,GG49-GE49)))</f>
        <v>0</v>
      </c>
      <c r="GC49" s="1">
        <f>IF($B49&lt;Analysis!$C$159,0,IF($B49=Analysis!$C$159,-FY49-GB49,MIN(0,GC48-GB49)))</f>
        <v>0</v>
      </c>
      <c r="GD49" s="64">
        <f>IF($B49&lt;Analysis!$C$159,0,IF($B49=Analysis!$C$159,Analysis!$C$160,IF(($B49-Analysis!$C$159)&lt;LOOKUP(Analysis!$C$159,$B:$B,FZ:FZ),GD48,0)))</f>
        <v>0</v>
      </c>
      <c r="GE49" s="1">
        <f>IF($B49&lt;Analysis!$C$159,0,IF($B49=Analysis!$C$159,-GD49*FY49,GD48*GC48))</f>
        <v>0</v>
      </c>
      <c r="GF49" s="1">
        <f>IF($B49&lt;Analysis!$C$159,0,IF($B49=Analysis!$C$159,PMT(GD49,FZ49,FY49)*FZ49-GG49-GC49,IF(($B49-Analysis!$C$159+1)&lt;LOOKUP(Analysis!$C$159,$B:$B,FZ:FZ),IF(GF48-GE49&lt;0, GF48-GE49,0),0)))</f>
        <v>0</v>
      </c>
      <c r="GG49" s="1">
        <f>IF($B49&lt;Analysis!$C$159,0,IF($B49=Analysis!$C$159,GB49+GE49,IF(GC48&lt;0,IF(GC48&gt;LOOKUP(Analysis!$C$159,$B:$B,GG:GG), GC48*(1+GD48),GG48),0)))</f>
        <v>0</v>
      </c>
      <c r="GH49" s="1">
        <f>IF($B49=Analysis!$C$159,Analysis!$C$165,0)</f>
        <v>0</v>
      </c>
      <c r="GI49" s="1">
        <f>IF($B49=Analysis!$C$159,PMT(GD49,GJ49,GH49)*GJ49,0)</f>
        <v>0</v>
      </c>
      <c r="GJ49" s="7">
        <f>IF($B49=Analysis!$C$159,Analysis!$C$167,0)</f>
        <v>0</v>
      </c>
      <c r="GK49" s="1">
        <f>IF($B49&lt;Analysis!$C$159,0,IF($B49=Analysis!$C$159,GI49/GJ49,IF(($B49-Analysis!$C$159)&lt;LOOKUP(Analysis!$C$159,$B:$B,GJ:GJ),GK48,0)))</f>
        <v>0</v>
      </c>
      <c r="GL49" s="1">
        <f>IF($B49&lt;Analysis!$C$159,0,IF($B49=Analysis!$C$159,GJ49*GK49-GK49,IF(($B49-Analysis!$C$159)&lt;Analysis!$C$167,GL48-GK49,0)))</f>
        <v>0</v>
      </c>
      <c r="GM49" s="38"/>
      <c r="GN49" s="1">
        <f>IF($B49&lt;Analysis!$C$159,0,IF($B49=2025,(Analysis!$C$109*12),IF($B49=Analysis!$C$159,(Analysis!$C$109*12)*(1+GO49)^($B49-$B$2),GN48*(1+GO49))))</f>
        <v>54131.768239229539</v>
      </c>
      <c r="GO49" s="64">
        <f>IF($B49&lt;Analysis!$C$159,0,((1+Analysis!$C$174)/(1+$S49))-1)</f>
        <v>2.941176470588247E-2</v>
      </c>
      <c r="GP49" s="1">
        <f t="shared" si="7"/>
        <v>64179.834641200032</v>
      </c>
      <c r="GQ49" s="1">
        <f t="shared" si="36"/>
        <v>-6088.06640197049</v>
      </c>
      <c r="GR49" s="64">
        <f>IF($B49&lt;Analysis!$C$159,0,Analysis!$C$178)</f>
        <v>3.0000000000000001E-3</v>
      </c>
      <c r="GS49" s="1">
        <f t="shared" si="37"/>
        <v>-15220.166004926225</v>
      </c>
      <c r="GT49" s="64">
        <f>IF($B49&lt;Analysis!$C$159,0,Analysis!$C$179)</f>
        <v>7.4999999999999997E-3</v>
      </c>
      <c r="GU49" s="1">
        <f>IF($B49&lt;Analysis!$C$159,0,MIN(Analysis!$C$180*12,SUM(GV49:GZ49)))</f>
        <v>-3960</v>
      </c>
      <c r="GV49" s="1">
        <f>IF($B49&lt;Analysis!$C$159,0,Analysis!$C$181*12)</f>
        <v>-900</v>
      </c>
      <c r="GW49" s="1">
        <f>IF($B49&lt;Analysis!$C$159,0,Analysis!$C$182*12)</f>
        <v>-1500</v>
      </c>
      <c r="GX49" s="1">
        <f>IF($B49&lt;Analysis!$C$159,0,Analysis!$C$183*12)</f>
        <v>-480</v>
      </c>
      <c r="GY49" s="1">
        <f>IF($B49&lt;Analysis!$C$159,0,Analysis!$C$184*12)</f>
        <v>-480</v>
      </c>
      <c r="GZ49" s="1">
        <f>IF($B49&lt;Analysis!$C$159,0,Analysis!$C$185*12)</f>
        <v>-600</v>
      </c>
      <c r="HA49" s="64">
        <f>IF($B49&lt;Analysis!$C$159,0,Analysis!$C$173)</f>
        <v>0.02</v>
      </c>
      <c r="HB49" s="1">
        <f>-HA49*LOOKUP(Analysis!$C$159,$B:$B,FW:FW)</f>
        <v>-10392</v>
      </c>
      <c r="HC49" s="1">
        <f>-Analysis!$C$177*GN49</f>
        <v>-4059.8826179422153</v>
      </c>
      <c r="HD49" s="1">
        <f t="shared" si="38"/>
        <v>-39720.115024838931</v>
      </c>
      <c r="HE49" s="1">
        <f>MIN(0,-(GN49+HD49)*Analysis!$C$28)-GE49*Analysis!$C$28</f>
        <v>-6385.8035392964775</v>
      </c>
      <c r="HF49" s="1">
        <f>-Analysis!$C$176*GP49/12</f>
        <v>-5348.3195534333363</v>
      </c>
      <c r="HG49" s="38"/>
      <c r="HH49" s="1">
        <f>IF($B49&lt;Analysis!$C$159,0,-$HI49*$FW49)</f>
        <v>-258742.82208374582</v>
      </c>
      <c r="HI49" s="64">
        <f>IF($B49&lt;Analysis!$C$159,0,IF($B49=Analysis!$C$159,Analysis!$C$31,HI48))</f>
        <v>0.1275</v>
      </c>
      <c r="HJ49" s="1">
        <f>IF($B49&lt;Analysis!$C$159,0,$FW49+HH49)</f>
        <v>1770612.6452397509</v>
      </c>
      <c r="HK49" s="1">
        <f>IF($B49-Analysis!$C$159&gt;10,0,IF($FW49&gt;LOOKUP(Analysis!$C$159,$B:$B, FW:FW),$V49*(LOOKUP(Analysis!$C$159,$B:$B, FW:FW)-FW49),0))</f>
        <v>0</v>
      </c>
      <c r="HL49" s="1">
        <f t="shared" si="39"/>
        <v>1770612.6452397509</v>
      </c>
      <c r="HM49" s="38"/>
      <c r="HN49" s="1">
        <f t="shared" si="40"/>
        <v>-154887.1161052596</v>
      </c>
      <c r="HO49" s="1">
        <f t="shared" si="8"/>
        <v>115762.3736422365</v>
      </c>
      <c r="HP49" s="1">
        <f t="shared" si="41"/>
        <v>-39124.742463023096</v>
      </c>
      <c r="HQ49" s="1">
        <f>IF(HP49 &lt; 0,
    IF(HQ48 + HP49 &gt; 0,
        HQ48 + HP49, IF(HV48-ABS(HQ48 + HP49)*(1+$V49) &gt;= HQ48 + HP49,
        0, HQ48 + HP49)),
    MIN(HQ48 + HP49, Analysis!$C$7))+IF(HQ48&lt;0, HQ48*Analysis!$C$9,0)</f>
        <v>0</v>
      </c>
      <c r="HR49" s="38"/>
      <c r="HS49" s="1">
        <f t="shared" si="54"/>
        <v>15897.161513179151</v>
      </c>
      <c r="HT49" s="1">
        <f>IF($B49=Analysis!$C$159,0,IF(HP49 &gt;= 0,
    MAX(0, HQ48 + HP49 - Analysis!$C$7),
    0))</f>
        <v>0</v>
      </c>
      <c r="HU49" s="1">
        <f>IF($B49=Analysis!$C$159,0,MAX(0, HU48 + HT49 - IF(HP49 &lt; 0, MIN(ABS(HP49), HU48 + HT49), 0)))</f>
        <v>437341.3000426158</v>
      </c>
      <c r="HV49" s="1">
        <f>IF($B49=Analysis!$C$159,0,IF(HP49 &lt; 0,
    IF(HP49 + HQ48 &lt; 0,
        MAX(0, HV48 - (ABS(HP49 + HQ48) * (1+$V48))),
        HV48 + HS49),
    HV48 + HT49 + HS49))</f>
        <v>761311.34388449416</v>
      </c>
      <c r="HW49" s="1">
        <f t="shared" si="58"/>
        <v>675864.24482119875</v>
      </c>
      <c r="HX49" s="36"/>
    </row>
    <row r="50" spans="1:232" x14ac:dyDescent="0.35">
      <c r="A50">
        <f t="shared" si="0"/>
        <v>83</v>
      </c>
      <c r="B50">
        <v>2073</v>
      </c>
      <c r="C50" s="1">
        <f>IF($B50&lt;Analysis!C$66,0,$AN50)+$AT50+$AW50+$BC50+$CF50+$CA50</f>
        <v>-5321807.979398096</v>
      </c>
      <c r="D50" s="1">
        <f>IF($B50&lt;Analysis!C$66, 0, BV50)+AT50+AW50+BC50+CG50+CA50</f>
        <v>-5778032.1624749359</v>
      </c>
      <c r="E50" s="1">
        <f t="shared" si="1"/>
        <v>1412487.8776665181</v>
      </c>
      <c r="F50" s="1">
        <f t="shared" si="9"/>
        <v>1157363.9853333414</v>
      </c>
      <c r="G50" s="1">
        <f>IF(AND($B50&gt;=Analysis!$C$100, $B50&lt;Analysis!$C$101),$CK50,0)+IF($B50&gt;=Analysis!$C$130,EB50,0)+CQ50+CT50+CZ50+EH50+EK50+EQ50+$FO50+$FT50</f>
        <v>2192830.9807018982</v>
      </c>
      <c r="H50" s="1">
        <f t="shared" si="10"/>
        <v>1839129.085956932</v>
      </c>
      <c r="I50" s="1">
        <f>IF($B50&lt;Analysis!$C$159,0,$FW50)+$GC50+$GF50+$GL50+$HQ50+$HV50</f>
        <v>2797941.7860858971</v>
      </c>
      <c r="J50" s="1">
        <f t="shared" si="59"/>
        <v>2449026.8368993872</v>
      </c>
      <c r="K50" s="36"/>
      <c r="L50" s="1">
        <f t="shared" si="11"/>
        <v>50550.888221015739</v>
      </c>
      <c r="M50" s="1">
        <f>IF($B50=Analysis!$C$47, M49 * (1 - Analysis!$C$48),
    IF($B50=Analysis!$C$52, M49 * (1 - Analysis!$C$53),
    IF($B50=Analysis!$C$58, M49 * (1 - Analysis!$C$60),
    L50)))</f>
        <v>50550.888221015739</v>
      </c>
      <c r="N50" s="1">
        <f>Analysis!$C$3*12*(1+O50)+P50</f>
        <v>-48000</v>
      </c>
      <c r="O50" s="64">
        <f>IF(OR($B50=Analysis!$C$47,$B50=Analysis!$C$52,$B50=Analysis!$C$58),-Analysis!$C$49,0)</f>
        <v>0</v>
      </c>
      <c r="P50" s="1">
        <f>IF($B50&lt;Analysis!$C$47,0,IF($B50-Analysis!$C$47&lt;=3,Analysis!$C$40+Analysis!$C$44,IF($B50-Analysis!$C$47&lt;=10,Analysis!$C$41+Analysis!$C$44,IF($B50-Analysis!$C$47&lt;=18,Analysis!$C$42+Analysis!$C$44,IF($B50-Analysis!$C$47&lt;=25,Analysis!$C$43+Analysis!$C$44,0)))) + IF(AND($B50&gt;=Analysis!$C$52, $B50-Analysis!$C$52&lt;=3),Analysis!$C$40+Analysis!$C$44,IF(AND($B50&gt;=Analysis!$C$52, $B50-Analysis!$C$52&lt;=10),Analysis!$C$41+Analysis!$C$44,IF(AND($B50&gt;=Analysis!$C$52, $B50-Analysis!$C$52&lt;=18),Analysis!$C$42+Analysis!$C$44,IF(AND($B50&gt;=Analysis!$C$52, $B50-Analysis!$C$52&lt;=25),Analysis!$C$43+Analysis!$C$44,0)))) + Analysis!$C$57*IF(AND($B50&gt;=Analysis!$C$58, $B50-Analysis!$C$58&lt;=3),Analysis!$C$40+Analysis!$C$44,IF(AND($B50&gt;=Analysis!$C$58, $B50-Analysis!$C$58&lt;=10),Analysis!$C$41+Analysis!$C$44,IF(AND($B50&gt;=Analysis!$C$58, $B50-Analysis!$C$58&lt;=18),Analysis!$C$42+Analysis!$C$44,IF(AND($B50&gt;=Analysis!$C$58, $B50-Analysis!$C$58&lt;=25),Analysis!$C$43+Analysis!$C$44,0)))))</f>
        <v>0</v>
      </c>
      <c r="Q50" s="1">
        <f t="shared" si="43"/>
        <v>0</v>
      </c>
      <c r="R50" s="1">
        <f>IF(AND(AND(B50=Analysis!C$35,Analysis!C$34&lt;&gt;0),AND(B50=Analysis!C$37,Analysis!C$36&lt;&gt;0)),Analysis!C$34+Analysis!C$36,IF(AND(B50=Analysis!C$35,Analysis!C$34&lt;&gt;0),Analysis!C$34,IF(AND(B50=Analysis!C$37,Analysis!C$36&lt;&gt;0),Analysis!C$36,0)))</f>
        <v>0</v>
      </c>
      <c r="S50" s="64">
        <f t="shared" si="12"/>
        <v>0.02</v>
      </c>
      <c r="T50" s="64">
        <f>IF($B50&lt;Analysis!$C$13, ((1+IF($B50-$B$2&lt;10,Analysis!$C$11,IF($B50-$B$2&lt;20,(Analysis!$C$11+Analysis!$C$12)/2,Analysis!$C$12)))/(1+$S50)-1),IF($B50=Analysis!$C$13,-Analysis!$C$14,-$S50))</f>
        <v>-0.02</v>
      </c>
      <c r="U50" s="64">
        <f>IF($B50=$B$2,((1+Analysis!$C$16)/(1+$S50))-1,IF(B50&lt;Analysis!$C$13,U49-((Analysis!$C$16-Analysis!$C$17)/(Analysis!$C$13-$B$2)),((1+Analysis!$C$17)/(1+$S49))-1))</f>
        <v>1.9607843137254832E-2</v>
      </c>
      <c r="V50" s="64">
        <f t="shared" si="13"/>
        <v>0.26374999999999998</v>
      </c>
      <c r="W50" s="36"/>
      <c r="X50" s="1">
        <f t="shared" si="14"/>
        <v>-63684.433222622982</v>
      </c>
      <c r="Y50" s="64">
        <f t="shared" si="15"/>
        <v>2.941176470588247E-2</v>
      </c>
      <c r="Z50" s="1">
        <f t="shared" si="16"/>
        <v>-3960</v>
      </c>
      <c r="AA50" s="64">
        <f t="shared" si="17"/>
        <v>0</v>
      </c>
      <c r="AB50" s="40"/>
      <c r="AC50" s="1">
        <f t="shared" si="3"/>
        <v>-115644.43322262299</v>
      </c>
      <c r="AD50" s="1">
        <f t="shared" si="4"/>
        <v>50550.888221015739</v>
      </c>
      <c r="AE50" s="1">
        <f t="shared" si="18"/>
        <v>-65093.54500160725</v>
      </c>
      <c r="AF50" s="1">
        <f>IF(AE50 &lt; 0,
    IF(AF49 + AE50 &gt; 0,
        AF49 + AE50, IF(AK49-ABS(AF49 + AE50)*(1+$V50) &gt;= AF49 + AE50,
        0, AF49 + AE50)),
    MIN(AF49 + AE50, Analysis!$C$7))+IF(AF49&lt;0, AF49*Analysis!$C$9,0)</f>
        <v>0</v>
      </c>
      <c r="AG50" s="40"/>
      <c r="AH50" s="1">
        <f t="shared" si="19"/>
        <v>29308.820493378313</v>
      </c>
      <c r="AI50" s="1">
        <f>IF(AE50 &gt;= 0,
    MAX(0, AF49 + AE50 - Analysis!$C$7),
    0)</f>
        <v>0</v>
      </c>
      <c r="AJ50" s="1">
        <f t="shared" si="44"/>
        <v>445193.49915210414</v>
      </c>
      <c r="AK50" s="1">
        <f t="shared" si="20"/>
        <v>1412487.8776665181</v>
      </c>
      <c r="AL50" s="1">
        <f t="shared" si="5"/>
        <v>1157363.9853333414</v>
      </c>
      <c r="AM50" s="36"/>
      <c r="AN50" s="1">
        <f t="shared" si="45"/>
        <v>3578228.886877174</v>
      </c>
      <c r="AO50" s="64">
        <f t="shared" si="21"/>
        <v>2.941176470588247E-2</v>
      </c>
      <c r="AP50" s="1">
        <f>IF($B50=Analysis!$C$66,(AN50*(1+Analysis!$C$23+Analysis!$C$24+Analysis!$C$25))-IF($B50=$B$2,(Analysis!$C$6-Analysis!$C$7+Analysis!$C$68), ($CG49-Analysis!$C$7+AY50)),0)</f>
        <v>0</v>
      </c>
      <c r="AQ50" s="65">
        <f>IF($B50=Analysis!$C$66,NPER(AU50,-AX50,-AP50),0)</f>
        <v>0</v>
      </c>
      <c r="AR50" s="64">
        <f>IF($B50=Analysis!$C$66,Analysis!$C$73,0)</f>
        <v>0</v>
      </c>
      <c r="AS50" s="1">
        <f>IF($B50&lt;Analysis!$C$66,0,IF($B50=Analysis!$C$66,-AP50*AR50,IF(AX50&gt;=0,0,AX50-AV50)))</f>
        <v>0</v>
      </c>
      <c r="AT50" s="1">
        <f>IF($B50&lt;Analysis!$C$66,0,IF($B50=Analysis!$C$66,-AP50-AS50,MIN(0,AT49-AS50)))</f>
        <v>0</v>
      </c>
      <c r="AU50" s="64">
        <f>IF($B50&lt;Analysis!$C$66,0,IF($B50=Analysis!$C$66,Analysis!$C$72,IF(($B50-Analysis!$C$66)&lt;LOOKUP(Analysis!$C$66,$B:$B,AQ:AQ),AU49,0)))</f>
        <v>0</v>
      </c>
      <c r="AV50" s="1">
        <f>IF($B50&lt;Analysis!$C$66,0,IF($B50=Analysis!$C$66,-AU50*AP50,AU49*AT49))</f>
        <v>0</v>
      </c>
      <c r="AW50" s="1">
        <f>IF($B50&lt;Analysis!$C$66,0,IF($B50=Analysis!$C$66,PMT(AU50,AQ50,AP50)*AQ50-AX50-AT50,IF(($B50-Analysis!$C$66+1)&lt;LOOKUP(Analysis!$C$66,$B:$B,AQ:AQ),IF(AW49-AV50&lt;0, AW49-AV50,0),0)))</f>
        <v>0</v>
      </c>
      <c r="AX50" s="1">
        <f>IF($B50&lt;Analysis!$C$66,0,IF($B50=Analysis!$C$66,AS50+AV50,IF(AT49&lt;0,IF(AT49&gt;LOOKUP(Analysis!$C$66,$B:$B,AX:AX), AT49*(1+AU49),AX49),0)))</f>
        <v>0</v>
      </c>
      <c r="AY50" s="1">
        <f>IF($B50=Analysis!$C$66,Analysis!$C$68,0)</f>
        <v>0</v>
      </c>
      <c r="AZ50" s="1">
        <f>IF($B50=Analysis!$C$66,PMT(AU50,BA50,AY50)*BA50,0)</f>
        <v>0</v>
      </c>
      <c r="BA50" s="7">
        <f>IF($B50=Analysis!$C$66,Analysis!$C$70,0)</f>
        <v>0</v>
      </c>
      <c r="BB50" s="1">
        <f>IF($B50&lt;Analysis!$C$66,0,IF($B50=Analysis!$C$66,AZ50/BA50,IF(($B50-Analysis!$C$66)&lt;LOOKUP(Analysis!$C$66,$B:$B,BA:BA),BB49,0)))</f>
        <v>0</v>
      </c>
      <c r="BC50" s="1">
        <f>IF($B50&lt;Analysis!$C$66,0,IF($B50=Analysis!$C$66,BA50*BB50-BB50,IF(($B50-Analysis!$C$66)&lt;Analysis!$C$70,BC49-BB50,0)))</f>
        <v>0</v>
      </c>
      <c r="BD50" s="42"/>
      <c r="BE50" s="1">
        <f>IF($B50&lt;Analysis!$C$66,0,-BF50*AN50)</f>
        <v>-10734.686660631522</v>
      </c>
      <c r="BF50" s="64">
        <f>IF($B50&lt;Analysis!$C$66,0,Analysis!$C$78)</f>
        <v>3.0000000000000001E-3</v>
      </c>
      <c r="BG50" s="1">
        <f>IF($B50&lt;Analysis!$C$66,0,-BH50*AN50)</f>
        <v>-26836.716651578805</v>
      </c>
      <c r="BH50" s="64">
        <f>IF($B50&lt;Analysis!$C$66,0,Analysis!$C$79)</f>
        <v>7.4999999999999997E-3</v>
      </c>
      <c r="BI50" s="1">
        <f>IF($B50&lt;Analysis!$C$66,0,MIN(Analysis!$C$80*12,SUM(BJ50:BN50)))</f>
        <v>-3960</v>
      </c>
      <c r="BJ50" s="1">
        <f>IF($B50&lt;Analysis!$C$66,0,Analysis!$C$81*12)</f>
        <v>-900</v>
      </c>
      <c r="BK50" s="1">
        <f>IF($B50&lt;Analysis!$C$66,0,Analysis!$C$82*12)</f>
        <v>-1500</v>
      </c>
      <c r="BL50" s="1">
        <f>IF($B50&lt;Analysis!$C$66,0,Analysis!$C$83*12)</f>
        <v>-480</v>
      </c>
      <c r="BM50" s="1">
        <f>IF($B50&lt;Analysis!$C$66,0,Analysis!$C$84*12)</f>
        <v>-480</v>
      </c>
      <c r="BN50" s="1">
        <f>IF($B50&lt;Analysis!$C$66,0,Analysis!$C$85*12)</f>
        <v>-600</v>
      </c>
      <c r="BO50" s="1">
        <v>0</v>
      </c>
      <c r="BP50" s="1">
        <f>-BO50*Analysis!$C$28</f>
        <v>0</v>
      </c>
      <c r="BQ50" s="42"/>
      <c r="BR50" s="1">
        <f t="shared" si="22"/>
        <v>-456224.18307683972</v>
      </c>
      <c r="BS50" s="64">
        <f>IF($B50&lt;Analysis!C$66,0,Analysis!C$31)</f>
        <v>0.1275</v>
      </c>
      <c r="BT50" s="1">
        <f>IF($B50&lt;Analysis!$C$66,0,AN50+BR50)</f>
        <v>3122004.7038003341</v>
      </c>
      <c r="BU50" s="1">
        <f>IF($B50-Analysis!$C$66&gt;3,0,IF($AN50&gt;LOOKUP(Analysis!$C$66,$B:$B, AN:AN),$V50*(LOOKUP(Analysis!$C$66,$B:$B, AN:AN)-AN50),0))</f>
        <v>0</v>
      </c>
      <c r="BV50" s="1">
        <f t="shared" si="23"/>
        <v>3122004.7038003341</v>
      </c>
      <c r="BW50" s="42"/>
      <c r="BX50" s="1">
        <f>IF($B50&lt;Analysis!$C$66,$P50+$N50+$X50+$Z50,$P50+$N50+AS50+AV50+BB50+BE50+BG50+MAX(BI50,SUM(BJ50:BN50))+BP50)</f>
        <v>-89531.403312210328</v>
      </c>
      <c r="BY50" s="1">
        <f t="shared" si="24"/>
        <v>50550.888221015739</v>
      </c>
      <c r="BZ50" s="1">
        <f t="shared" si="46"/>
        <v>-38980.515091194589</v>
      </c>
      <c r="CA50" s="1">
        <f>IF(BZ50 &lt; 0,
    IF(CA49 + BZ50 &gt; 0,
        CA49 + BZ50, IF(CF49-ABS(CA49 + BZ50)*(1+$V50) &gt;= CA49 + BZ50,
        0, CA49 + BZ50)),
    MIN(CA49 + BZ50, Analysis!$C$7))+IF(CA49&lt;0, CA49*Analysis!$C$9,0)</f>
        <v>-8900036.8662752695</v>
      </c>
      <c r="CB50" s="42"/>
      <c r="CC50" s="1">
        <f t="shared" si="47"/>
        <v>0</v>
      </c>
      <c r="CD50" s="1">
        <f>IF(BZ50 &gt;= 0,
    MAX(0, CA49 + BZ50 - Analysis!$C$7),
    0)</f>
        <v>0</v>
      </c>
      <c r="CE50" s="1">
        <f>IF($B50=Analysis!$C$66,0,MAX(0, CE49 + CD50 - IF(BZ50 &lt; 0, MIN(ABS(BZ50), CE49 + CD50), 0)))</f>
        <v>0</v>
      </c>
      <c r="CF50" s="1">
        <f>IF($B50=Analysis!$C$66,0,IF(BZ50 &lt; 0,
    IF(BZ50 + CA49 &lt; 0,
        MAX(0, CF49 - (ABS(BZ50 + CA49) * (1+$V49))),
        CF49 + CC50),
    CF49 + CD50 + CC50))</f>
        <v>0</v>
      </c>
      <c r="CG50" s="1">
        <f t="shared" si="25"/>
        <v>0</v>
      </c>
      <c r="CH50" s="36"/>
      <c r="CI50" s="1">
        <f>IF(OR($B50&lt;Analysis!$C$100, $B50&gt;=Analysis!$C$130),0,X50)</f>
        <v>0</v>
      </c>
      <c r="CJ50" s="1">
        <f>IF(OR($B50&lt;Analysis!$C$100, $B50&gt;=Analysis!$C$130),0,Z50)</f>
        <v>0</v>
      </c>
      <c r="CK50" s="1">
        <f t="shared" si="60"/>
        <v>2089042.3928330115</v>
      </c>
      <c r="CL50" s="64">
        <f t="shared" si="48"/>
        <v>2.941176470588247E-2</v>
      </c>
      <c r="CM50" s="1">
        <f>IF($B50=Analysis!$C$100,(CK50*(1+Analysis!$C$23+Analysis!$C$24+Analysis!$C$25))-IF($B50=$B$2,(Analysis!$C$6-Analysis!$C$7+Analysis!$C$105), (FU49-Analysis!$C$7+CV50)),0)</f>
        <v>0</v>
      </c>
      <c r="CN50" s="65">
        <f>IF($B50=Analysis!$C$100,NPER(CR50,-CU50,-CM50),0)</f>
        <v>0</v>
      </c>
      <c r="CO50" s="64">
        <f>IF($B50=Analysis!$C$100,Analysis!$C$103,0)</f>
        <v>0</v>
      </c>
      <c r="CP50" s="1">
        <f>IF(OR($B50&lt;Analysis!$C$100, $B50&gt;=Analysis!$C$101),0,IF($B50=Analysis!$C$100,-CM50*CO50,IF(CU50&gt;=0,0,CU50-CS50)))</f>
        <v>0</v>
      </c>
      <c r="CQ50" s="1">
        <f>IF(OR($B50&lt;Analysis!$C$100, $B50&gt;=Analysis!$C$101),0,IF($B50=Analysis!$C$100,-CM50-CP50,MIN(0,CQ49-CP50)))</f>
        <v>0</v>
      </c>
      <c r="CR50" s="64">
        <f>IF(OR($B50&lt;Analysis!$C$100, $B50&gt;=Analysis!$C$101),0,IF($B50=Analysis!$C$100,Analysis!$C$102,IF(($B50-Analysis!$C$100)&lt;LOOKUP(Analysis!$C$100,$B:$B,CN:CN),CR49,0)))</f>
        <v>0</v>
      </c>
      <c r="CS50" s="1">
        <f>IF(OR($B50&lt;Analysis!$C$100, $B50&gt;=Analysis!$C$101),0,IF($B50=Analysis!$C$100,-CR50*CM50,CR49*CQ49))</f>
        <v>0</v>
      </c>
      <c r="CT50" s="1">
        <f>IF(OR($B50&lt;Analysis!$C$100, $B50&gt;=Analysis!$C$101),0,IF($B50=Analysis!$C$100,PMT(CR50,CN50,CM50)*CN50-CU50-CQ50,IF(($B50-Analysis!$C$100+1)&lt;LOOKUP(Analysis!$C$100,$B:$B,CN:CN),IF(CT49-CS50&lt;0, CT49-CS50,0),0)))</f>
        <v>0</v>
      </c>
      <c r="CU50" s="1">
        <f>IF(OR($B50&lt;Analysis!$C$100, $B50&gt;=Analysis!$C$101),0,IF($B50=Analysis!$C$100,CP50+CS50,IF(CQ49&lt;0,IF(CQ49&gt;LOOKUP(Analysis!$C$100,$B:$B,CU:CU), CQ49*(1+CR49),CU49),0)))</f>
        <v>0</v>
      </c>
      <c r="CV50" s="1">
        <f>IF($B50=Analysis!$C$100,Analysis!$C$105,0)</f>
        <v>0</v>
      </c>
      <c r="CW50" s="1">
        <f>IF($B50=Analysis!$C$100,PMT(CR50,CX50,CV50)*CX50,0)</f>
        <v>0</v>
      </c>
      <c r="CX50" s="7">
        <f>IF($B50=Analysis!$C$100,Analysis!$C$107,0)</f>
        <v>0</v>
      </c>
      <c r="CY50" s="1">
        <f>IF(OR($B50&lt;Analysis!$C$100, $B50&gt;=Analysis!$C$101),0,IF($B50=Analysis!$C$100,CW50/CX50,IF(($B50-Analysis!$C$100)&lt;LOOKUP(Analysis!$C$100,$B:$B,CX:CX),CY49,0)))</f>
        <v>0</v>
      </c>
      <c r="CZ50" s="1">
        <f>IF(OR($B50&lt;Analysis!$C$100, $B50&gt;=Analysis!$C$101),0,IF($B50=Analysis!$C$100,CX50*CY50-CY50,IF(($B50-Analysis!$C$100)&lt;Analysis!$C$107,CZ49-CY50,0)))</f>
        <v>0</v>
      </c>
      <c r="DA50" s="53"/>
      <c r="DB50" s="1">
        <f>IF(OR($B50&lt;Analysis!$C$100, $B50&gt;=Analysis!$C$101),0,IF($B50=2025,(Analysis!$C$109*12),IF($B50=Analysis!$C$100,(Analysis!$C$109*12)*(1+DC50)^($B50-$B$2),DB49*(1+DC50))))</f>
        <v>0</v>
      </c>
      <c r="DC50" s="64">
        <f>IF(OR($B50&lt;Analysis!$C$100, $B50&gt;=Analysis!$C$101),0,((1+Analysis!$C$114)/(1+$S50))-1)</f>
        <v>0</v>
      </c>
      <c r="DD50" s="1">
        <f t="shared" si="6"/>
        <v>0</v>
      </c>
      <c r="DE50" s="1">
        <f t="shared" si="27"/>
        <v>0</v>
      </c>
      <c r="DF50" s="64">
        <f>IF(OR($B50&lt;Analysis!$C$100, $B50&gt;=Analysis!$C$101),0,Analysis!$C$118)</f>
        <v>0</v>
      </c>
      <c r="DG50" s="1">
        <f t="shared" si="28"/>
        <v>0</v>
      </c>
      <c r="DH50" s="64">
        <f>IF(OR($B50&lt;Analysis!$C$100, $B50&gt;=Analysis!$C$101),0,Analysis!$C$119)</f>
        <v>0</v>
      </c>
      <c r="DI50" s="1">
        <f>IF(OR($B50&lt;Analysis!$C$100, $B50&gt;=Analysis!$C$101),0,MIN(Analysis!$C$120*12,SUM(DJ50:DN50)))</f>
        <v>0</v>
      </c>
      <c r="DJ50" s="1">
        <f>IF(OR($B50&lt;Analysis!$C$100, $B50&gt;=Analysis!$C$101),0,Analysis!$C$121*12)</f>
        <v>0</v>
      </c>
      <c r="DK50" s="1">
        <f>IF(OR($B50&lt;Analysis!$C$100, $B50&gt;=Analysis!$C$101),0,Analysis!$C$122*12)</f>
        <v>0</v>
      </c>
      <c r="DL50" s="1">
        <f>IF(OR($B50&lt;Analysis!$C$100, $B50&gt;=Analysis!$C$101),0,Analysis!$C$123*12)</f>
        <v>0</v>
      </c>
      <c r="DM50" s="1">
        <f>IF(OR($B50&lt;Analysis!$C$100, $B50&gt;=Analysis!$C$101),0,Analysis!$C$124*12)</f>
        <v>0</v>
      </c>
      <c r="DN50" s="1">
        <f>IF(OR($B50&lt;Analysis!$C$100, $B50&gt;=Analysis!$C$101),0,Analysis!$C$125*12)</f>
        <v>0</v>
      </c>
      <c r="DO50" s="64">
        <f>IF(OR($B50&lt;Analysis!$C$100, $B50&gt;=Analysis!$C$101),0,Analysis!$C$113)</f>
        <v>0</v>
      </c>
      <c r="DP50" s="1">
        <f>-DO50*LOOKUP(Analysis!$C$100,$B:$B,CK:CK)</f>
        <v>0</v>
      </c>
      <c r="DQ50" s="1">
        <f>-Analysis!$C$117*DB50</f>
        <v>0</v>
      </c>
      <c r="DR50" s="1">
        <f t="shared" si="29"/>
        <v>0</v>
      </c>
      <c r="DS50" s="1">
        <f>MIN(0,-(DB50+DR50)*Analysis!$C$28)-CS50*Analysis!$C$28</f>
        <v>0</v>
      </c>
      <c r="DT50" s="1">
        <f>-Analysis!$C$116*DD50/12</f>
        <v>0</v>
      </c>
      <c r="DU50" s="53"/>
      <c r="DV50" s="1">
        <f t="shared" si="30"/>
        <v>0</v>
      </c>
      <c r="DW50" s="64">
        <f>IF(OR($B50&lt;Analysis!$C$100, $B50&gt;=Analysis!$C$101),0,IF($B50=Analysis!$C$100,Analysis!$C$31,DW49))</f>
        <v>0</v>
      </c>
      <c r="DX50" s="1">
        <f>IF(OR($B50&lt;Analysis!$C$100, $B50&gt;=Analysis!$C$101),0,CK50+DV50)</f>
        <v>0</v>
      </c>
      <c r="DY50" s="1">
        <f>IF(OR($B50&lt;Analysis!$C$100, $B50&gt;=Analysis!$C$101),0,IF($B50-Analysis!$C$100&gt;3,0,IF(CK50&gt;LOOKUP(Analysis!$C$100,$B:$B, CK:CK),$V50*(LOOKUP(Analysis!$C$100,$B:$B, CK:CK)-CK50),0)))</f>
        <v>0</v>
      </c>
      <c r="DZ50" s="1">
        <f t="shared" si="49"/>
        <v>0</v>
      </c>
      <c r="EA50" s="53"/>
      <c r="EB50" s="1">
        <f t="shared" si="31"/>
        <v>2774132.5078036557</v>
      </c>
      <c r="EC50" s="64">
        <f t="shared" si="50"/>
        <v>2.941176470588247E-2</v>
      </c>
      <c r="ED50" s="1">
        <f>IF($B50=Analysis!$C$130,(EB50*(1+Analysis!$C$23+Analysis!$C$24+Analysis!$C$25))-(IF($B50=$B$2,(Analysis!$C$6-Analysis!$C$7+Analysis!$C$132), (FU49-Analysis!$C$7+EM50)) + IF($B50=Analysis!$C$101,DZ49+CQ49+CT49+CZ49,0)),0)</f>
        <v>0</v>
      </c>
      <c r="EE50" s="65">
        <f>IF($B50=Analysis!$C$130,IF(ED50&gt;0,NPER(EI50,-EL50,-ED50),0),0)</f>
        <v>0</v>
      </c>
      <c r="EF50" s="64">
        <f>IF($B50=Analysis!$C$130,Analysis!$C$137,0)</f>
        <v>0</v>
      </c>
      <c r="EG50" s="1">
        <f>IF($B50&lt;Analysis!$C$130,0,IF($B50=Analysis!$C$130,-ED50*EF50,IF(EL50&gt;=0,0,EL50-EJ50)))</f>
        <v>0</v>
      </c>
      <c r="EH50" s="1">
        <f>IF($B50&lt;Analysis!$C$130,0,IF($B50=Analysis!$C$130,-ED50-EG50,MIN(0,EH49-EG50)))</f>
        <v>0</v>
      </c>
      <c r="EI50" s="64">
        <f>IF($B50&lt;Analysis!$C$130,0,IF($B50=Analysis!$C$130,Analysis!$C$136,IF(($B50-Analysis!$C$130)&lt;LOOKUP(Analysis!$C$130,$B:$B,EE:EE),EI49,0)))</f>
        <v>0</v>
      </c>
      <c r="EJ50" s="1">
        <f>IF($B50&lt;Analysis!$C$130,0,IF($B50=Analysis!$C$130,-EI50*ED50,EI49*EH49))</f>
        <v>0</v>
      </c>
      <c r="EK50" s="1">
        <f>IF(OR($B50&lt;Analysis!$C$130, ED50=0),0,IF($B50=Analysis!$C$130,PMT(EI50,EE50,ED50)*EE50-EL50-EH50,IF(($B50-Analysis!$C$130+1)&lt;LOOKUP(Analysis!$C$130,$B:$B,EE:EE),IF(EK49-EJ50&lt;0, EK49-EJ50,0),0)))</f>
        <v>0</v>
      </c>
      <c r="EL50" s="1">
        <f>IF($B50&lt;Analysis!$C$130,0,IF($B50=Analysis!$C$130,EG50+EJ50,IF(EH49&lt;0,IF(EH49&gt;LOOKUP(Analysis!$C$130,$B:$B,EL:EL), EH49*(1+EI49),EL49),0)))</f>
        <v>0</v>
      </c>
      <c r="EM50" s="1">
        <f>IF($B50=Analysis!$C$130,Analysis!$C$132,0)</f>
        <v>0</v>
      </c>
      <c r="EN50" s="1">
        <f>IF($B50=Analysis!$C$130,PMT(EI50,EO50,EM50)*EO50,0)</f>
        <v>0</v>
      </c>
      <c r="EO50" s="7">
        <f>IF($B50=Analysis!$C$130,Analysis!$C$134,0)</f>
        <v>0</v>
      </c>
      <c r="EP50" s="1">
        <f>IF($B50&lt;Analysis!$C$130,0,IF($B50=Analysis!$C$130,EN50/EO50,IF(($B50-Analysis!$C$130)&lt;LOOKUP(Analysis!$C$130,$B:$B,EO:EO),EP49,0)))</f>
        <v>0</v>
      </c>
      <c r="EQ50" s="1">
        <f>IF($B50&lt;Analysis!$C$130,0,IF($B50=Analysis!$C$130,EO50*EP50-EP50,IF(($B50-Analysis!$C$130)&lt;Analysis!$C$134,EQ49-EP50,0)))</f>
        <v>0</v>
      </c>
      <c r="ER50" s="53"/>
      <c r="ES50" s="1">
        <f>IF($B50&lt;Analysis!$C$130,0,-ET50*EB50)</f>
        <v>-8322.3975234109676</v>
      </c>
      <c r="ET50" s="64">
        <f>IF($B50&lt;Analysis!$C$130,0,Analysis!$C$142)</f>
        <v>3.0000000000000001E-3</v>
      </c>
      <c r="EU50" s="1">
        <f>IF($B50&lt;Analysis!$C$130,0,-EV50*EB50)</f>
        <v>-27741.325078036556</v>
      </c>
      <c r="EV50" s="64">
        <f>IF($B50&lt;Analysis!$C$130,0,Analysis!$C$143)</f>
        <v>0.01</v>
      </c>
      <c r="EW50" s="1">
        <f>IF($B50&lt;Analysis!$C$130,0,MIN(Analysis!$C$144*12,SUM(EX50:FB50)))</f>
        <v>-3960</v>
      </c>
      <c r="EX50" s="1">
        <f>IF($B50&lt;Analysis!$C$130,0,Analysis!$C$145*12)</f>
        <v>-900</v>
      </c>
      <c r="EY50" s="1">
        <f>IF($B50&lt;Analysis!$C$130,0,Analysis!$C$146*12)</f>
        <v>-1500</v>
      </c>
      <c r="EZ50" s="1">
        <f>IF($B50&lt;Analysis!$C$130,0,Analysis!$C$147*12)</f>
        <v>-480</v>
      </c>
      <c r="FA50" s="1">
        <f>IF($B50&lt;Analysis!$C$130,0,Analysis!$C$148*12)</f>
        <v>-480</v>
      </c>
      <c r="FB50" s="1">
        <f>IF($B50&lt;Analysis!$C$130,0,Analysis!$C$149*12)</f>
        <v>-600</v>
      </c>
      <c r="FC50" s="1">
        <v>0</v>
      </c>
      <c r="FD50" s="1">
        <f>-FC50*Analysis!$C$28</f>
        <v>0</v>
      </c>
      <c r="FE50" s="53"/>
      <c r="FF50" s="1">
        <f t="shared" si="32"/>
        <v>-353701.89474496612</v>
      </c>
      <c r="FG50" s="64">
        <f>IF($B50&lt;Analysis!$C$130,0,Analysis!$C$31)</f>
        <v>0.1275</v>
      </c>
      <c r="FH50" s="1">
        <f>IF($B50&lt;Analysis!$C$130,0,EB50+FF50)</f>
        <v>2420430.6130586895</v>
      </c>
      <c r="FI50" s="1">
        <f>IF($B50-Analysis!$C$130&gt;3,0,IF(EB50&gt;LOOKUP(Analysis!$C$130,$B:$B, EB:EB),$V50*(LOOKUP(Analysis!$C$130,$B:$B, EB:EB)-EB50),0))</f>
        <v>0</v>
      </c>
      <c r="FJ50" s="1">
        <f t="shared" si="33"/>
        <v>2420430.6130586895</v>
      </c>
      <c r="FK50" s="53"/>
      <c r="FL50" s="1">
        <f>$P50+$N50+IF($B50&lt;Analysis!$C$130,$X50+$Z50,0)+CP50+CS50+CY50+DE50+DG50+MIN(DI50,SUM(DJ50:DN50))+DQ50+DS50+DT50+EG50+EJ50+EP50+ES50+EU50+MIN(EW50,SUM(EX50:FB50))+FD50</f>
        <v>-88023.722601447516</v>
      </c>
      <c r="FM50" s="1">
        <f>$M50+$R50+DD50+IF(AND($B50&lt;&gt;Analysis!$C$130,$B50=Analysis!$C$101),DZ49+CQ49+CT49+CZ49,0)</f>
        <v>50550.888221015739</v>
      </c>
      <c r="FN50" s="1">
        <f t="shared" si="34"/>
        <v>-37472.834380431777</v>
      </c>
      <c r="FO50" s="1">
        <f>IF(FN50 &lt; 0,
    IF(FO49 + FN50 &gt; 0,
        FO49 + FN50, IF(FT49-ABS(FO49 + FN50)*(1+$V50) &gt;= FO49 + FN50,
        0, FO49 + FN50)),
    MIN(FO49 + FN50, Analysis!$C$7))+IF(FO49&lt;0, FO49*Analysis!$C$9,0)</f>
        <v>-581301.52710175735</v>
      </c>
      <c r="FP50" s="53"/>
      <c r="FQ50" s="1">
        <f t="shared" si="51"/>
        <v>0</v>
      </c>
      <c r="FR50" s="1">
        <f>IF(OR($B50=Analysis!$C$100, $B50=Analysis!$C$130),0,IF(FN50 &gt;= 0,
    MAX(0, FO49 + FN50 - Analysis!$C$7),
    0))</f>
        <v>0</v>
      </c>
      <c r="FS50" s="1">
        <f>IF(OR($B50=Analysis!$C$100, $B50=Analysis!$C$130),0,MAX(0, FS49 + FR50 - IF(FN50 &lt; 0, MIN(ABS(FN50), FS49 + FR50), 0)))</f>
        <v>0</v>
      </c>
      <c r="FT50" s="1">
        <f>IF(OR($B50=Analysis!$C$100, $B50=Analysis!$C$130),0,IF(FN50 &lt; 0,
    IF(FN50 + FO49 &lt; 0,
        MAX(0, FT49 - (ABS(FN50 + FO49) * (1+$V49))),
        FT49 + FQ50),
    FT49 + FR50 + FQ50))</f>
        <v>0</v>
      </c>
      <c r="FU50" s="1">
        <f t="shared" si="57"/>
        <v>0</v>
      </c>
      <c r="FV50" s="36"/>
      <c r="FW50" s="1">
        <f t="shared" si="52"/>
        <v>2089042.3928330115</v>
      </c>
      <c r="FX50" s="64">
        <f t="shared" si="53"/>
        <v>2.941176470588247E-2</v>
      </c>
      <c r="FY50" s="1">
        <f>IF($B50=Analysis!$C$159,(FW50*(1+Analysis!$C$23+Analysis!$C$24+Analysis!$C$25))-IF($B50=$B$2,(Analysis!$C$6-Analysis!$C$7+Analysis!$C$165), (HW49-Analysis!$C$7+GH50)),0)</f>
        <v>0</v>
      </c>
      <c r="FZ50" s="65">
        <f>IF($B50=Analysis!$C$159,NPER(GD50,-GG50,-FY50),0)</f>
        <v>0</v>
      </c>
      <c r="GA50" s="64">
        <f>IF($B50=Analysis!$C$159,Analysis!$C$161,0)</f>
        <v>0</v>
      </c>
      <c r="GB50" s="1">
        <f>IF($B50&lt;Analysis!$C$159,0,IF($B50=Analysis!$C$159,-FY50*GA50,IF(GG50&gt;=0,0,GG50-GE50)))</f>
        <v>0</v>
      </c>
      <c r="GC50" s="1">
        <f>IF($B50&lt;Analysis!$C$159,0,IF($B50=Analysis!$C$159,-FY50-GB50,MIN(0,GC49-GB50)))</f>
        <v>0</v>
      </c>
      <c r="GD50" s="64">
        <f>IF($B50&lt;Analysis!$C$159,0,IF($B50=Analysis!$C$159,Analysis!$C$160,IF(($B50-Analysis!$C$159)&lt;LOOKUP(Analysis!$C$159,$B:$B,FZ:FZ),GD49,0)))</f>
        <v>0</v>
      </c>
      <c r="GE50" s="1">
        <f>IF($B50&lt;Analysis!$C$159,0,IF($B50=Analysis!$C$159,-GD50*FY50,GD49*GC49))</f>
        <v>0</v>
      </c>
      <c r="GF50" s="1">
        <f>IF($B50&lt;Analysis!$C$159,0,IF($B50=Analysis!$C$159,PMT(GD50,FZ50,FY50)*FZ50-GG50-GC50,IF(($B50-Analysis!$C$159+1)&lt;LOOKUP(Analysis!$C$159,$B:$B,FZ:FZ),IF(GF49-GE50&lt;0, GF49-GE50,0),0)))</f>
        <v>0</v>
      </c>
      <c r="GG50" s="1">
        <f>IF($B50&lt;Analysis!$C$159,0,IF($B50=Analysis!$C$159,GB50+GE50,IF(GC49&lt;0,IF(GC49&gt;LOOKUP(Analysis!$C$159,$B:$B,GG:GG), GC49*(1+GD49),GG49),0)))</f>
        <v>0</v>
      </c>
      <c r="GH50" s="1">
        <f>IF($B50=Analysis!$C$159,Analysis!$C$165,0)</f>
        <v>0</v>
      </c>
      <c r="GI50" s="1">
        <f>IF($B50=Analysis!$C$159,PMT(GD50,GJ50,GH50)*GJ50,0)</f>
        <v>0</v>
      </c>
      <c r="GJ50" s="7">
        <f>IF($B50=Analysis!$C$159,Analysis!$C$167,0)</f>
        <v>0</v>
      </c>
      <c r="GK50" s="1">
        <f>IF($B50&lt;Analysis!$C$159,0,IF($B50=Analysis!$C$159,GI50/GJ50,IF(($B50-Analysis!$C$159)&lt;LOOKUP(Analysis!$C$159,$B:$B,GJ:GJ),GK49,0)))</f>
        <v>0</v>
      </c>
      <c r="GL50" s="1">
        <f>IF($B50&lt;Analysis!$C$159,0,IF($B50=Analysis!$C$159,GJ50*GK50-GK50,IF(($B50-Analysis!$C$159)&lt;Analysis!$C$167,GL49-GK50,0)))</f>
        <v>0</v>
      </c>
      <c r="GM50" s="38"/>
      <c r="GN50" s="1">
        <f>IF($B50&lt;Analysis!$C$159,0,IF($B50=2025,(Analysis!$C$109*12),IF($B50=Analysis!$C$159,(Analysis!$C$109*12)*(1+GO50)^($B50-$B$2),GN49*(1+GO50))))</f>
        <v>55723.879069795119</v>
      </c>
      <c r="GO50" s="64">
        <f>IF($B50&lt;Analysis!$C$159,0,((1+Analysis!$C$174)/(1+$S50))-1)</f>
        <v>2.941176470588247E-2</v>
      </c>
      <c r="GP50" s="1">
        <f t="shared" si="7"/>
        <v>65951.006248294158</v>
      </c>
      <c r="GQ50" s="1">
        <f t="shared" si="36"/>
        <v>-6267.1271784990349</v>
      </c>
      <c r="GR50" s="64">
        <f>IF($B50&lt;Analysis!$C$159,0,Analysis!$C$178)</f>
        <v>3.0000000000000001E-3</v>
      </c>
      <c r="GS50" s="1">
        <f t="shared" si="37"/>
        <v>-15667.817946247585</v>
      </c>
      <c r="GT50" s="64">
        <f>IF($B50&lt;Analysis!$C$159,0,Analysis!$C$179)</f>
        <v>7.4999999999999997E-3</v>
      </c>
      <c r="GU50" s="1">
        <f>IF($B50&lt;Analysis!$C$159,0,MIN(Analysis!$C$180*12,SUM(GV50:GZ50)))</f>
        <v>-3960</v>
      </c>
      <c r="GV50" s="1">
        <f>IF($B50&lt;Analysis!$C$159,0,Analysis!$C$181*12)</f>
        <v>-900</v>
      </c>
      <c r="GW50" s="1">
        <f>IF($B50&lt;Analysis!$C$159,0,Analysis!$C$182*12)</f>
        <v>-1500</v>
      </c>
      <c r="GX50" s="1">
        <f>IF($B50&lt;Analysis!$C$159,0,Analysis!$C$183*12)</f>
        <v>-480</v>
      </c>
      <c r="GY50" s="1">
        <f>IF($B50&lt;Analysis!$C$159,0,Analysis!$C$184*12)</f>
        <v>-480</v>
      </c>
      <c r="GZ50" s="1">
        <f>IF($B50&lt;Analysis!$C$159,0,Analysis!$C$185*12)</f>
        <v>-600</v>
      </c>
      <c r="HA50" s="64">
        <f>IF($B50&lt;Analysis!$C$159,0,Analysis!$C$173)</f>
        <v>0.02</v>
      </c>
      <c r="HB50" s="1">
        <f>-HA50*LOOKUP(Analysis!$C$159,$B:$B,FW:FW)</f>
        <v>-10392</v>
      </c>
      <c r="HC50" s="1">
        <f>-Analysis!$C$177*GN50</f>
        <v>-4179.2909302346334</v>
      </c>
      <c r="HD50" s="1">
        <f t="shared" si="38"/>
        <v>-40466.236054981251</v>
      </c>
      <c r="HE50" s="1">
        <f>MIN(0,-(GN50+HD50)*Analysis!$C$28)-GE50*Analysis!$C$28</f>
        <v>-6760.661619864024</v>
      </c>
      <c r="HF50" s="1">
        <f>-Analysis!$C$176*GP50/12</f>
        <v>-5495.9171873578462</v>
      </c>
      <c r="HG50" s="38"/>
      <c r="HH50" s="1">
        <f>IF($B50&lt;Analysis!$C$159,0,-$HI50*$FW50)</f>
        <v>-266352.90508620895</v>
      </c>
      <c r="HI50" s="64">
        <f>IF($B50&lt;Analysis!$C$159,0,IF($B50=Analysis!$C$159,Analysis!$C$31,HI49))</f>
        <v>0.1275</v>
      </c>
      <c r="HJ50" s="1">
        <f>IF($B50&lt;Analysis!$C$159,0,$FW50+HH50)</f>
        <v>1822689.4877468026</v>
      </c>
      <c r="HK50" s="1">
        <f>IF($B50-Analysis!$C$159&gt;10,0,IF($FW50&gt;LOOKUP(Analysis!$C$159,$B:$B, FW:FW),$V50*(LOOKUP(Analysis!$C$159,$B:$B, FW:FW)-FW50),0))</f>
        <v>0</v>
      </c>
      <c r="HL50" s="1">
        <f t="shared" si="39"/>
        <v>1822689.4877468026</v>
      </c>
      <c r="HM50" s="38"/>
      <c r="HN50" s="1">
        <f t="shared" si="40"/>
        <v>-157975.2480848261</v>
      </c>
      <c r="HO50" s="1">
        <f t="shared" si="8"/>
        <v>116501.89446930989</v>
      </c>
      <c r="HP50" s="1">
        <f t="shared" si="41"/>
        <v>-41473.353615516215</v>
      </c>
      <c r="HQ50" s="1">
        <f>IF(HP50 &lt; 0,
    IF(HQ49 + HP50 &gt; 0,
        HQ49 + HP50, IF(HV49-ABS(HQ49 + HP50)*(1+$V50) &gt;= HQ49 + HP50,
        0, HQ49 + HP50)),
    MIN(HQ49 + HP50, Analysis!$C$7))+IF(HQ49&lt;0, HQ49*Analysis!$C$9,0)</f>
        <v>0</v>
      </c>
      <c r="HR50" s="38"/>
      <c r="HS50" s="1">
        <f t="shared" si="54"/>
        <v>14927.673409499832</v>
      </c>
      <c r="HT50" s="1">
        <f>IF($B50=Analysis!$C$159,0,IF(HP50 &gt;= 0,
    MAX(0, HQ49 + HP50 - Analysis!$C$7),
    0))</f>
        <v>0</v>
      </c>
      <c r="HU50" s="1">
        <f>IF($B50=Analysis!$C$159,0,MAX(0, HU49 + HT50 - IF(HP50 &lt; 0, MIN(ABS(HP50), HU49 + HT50), 0)))</f>
        <v>395867.94642709958</v>
      </c>
      <c r="HV50" s="1">
        <f>IF($B50=Analysis!$C$159,0,IF(HP50 &lt; 0,
    IF(HP50 + HQ49 &lt; 0,
        MAX(0, HV49 - (ABS(HP50 + HQ49) * (1+$V49))),
        HV49 + HS50),
    HV49 + HT50 + HS50))</f>
        <v>708899.39325288555</v>
      </c>
      <c r="HW50" s="1">
        <f t="shared" si="58"/>
        <v>626337.34915258456</v>
      </c>
      <c r="HX50" s="36"/>
    </row>
    <row r="51" spans="1:232" x14ac:dyDescent="0.35">
      <c r="A51">
        <f t="shared" si="0"/>
        <v>84</v>
      </c>
      <c r="B51">
        <v>2074</v>
      </c>
      <c r="C51" s="1">
        <f>IF($B51&lt;Analysis!C$66,0,$AN51)+$AT51+$AW51+$BC51+$CF51+$CA51</f>
        <v>-5969665.4767449964</v>
      </c>
      <c r="D51" s="1">
        <f>IF($B51&lt;Analysis!C$66, 0, BV51)+AT51+AW51+BC51+CG51+CA51</f>
        <v>-6439308.018147626</v>
      </c>
      <c r="E51" s="1">
        <f t="shared" si="1"/>
        <v>1326581.1422802128</v>
      </c>
      <c r="F51" s="1">
        <f t="shared" si="9"/>
        <v>1076186.0503502677</v>
      </c>
      <c r="G51" s="1">
        <f>IF(AND($B51&gt;=Analysis!$C$100, $B51&lt;Analysis!$C$101),$CK51,0)+IF($B51&gt;=Analysis!$C$130,EB51,0)+CQ51+CT51+CZ51+EH51+EK51+EQ51+$FO51+$FT51</f>
        <v>2188374.4412477948</v>
      </c>
      <c r="H51" s="1">
        <f t="shared" si="10"/>
        <v>1824269.5495985649</v>
      </c>
      <c r="I51" s="1">
        <f>IF($B51&lt;Analysis!$C$159,0,$FW51)+$GC51+$GF51+$GL51+$HQ51+$HV51</f>
        <v>2803981.3261473877</v>
      </c>
      <c r="J51" s="1">
        <f t="shared" si="59"/>
        <v>2450282.1610707045</v>
      </c>
      <c r="K51" s="36"/>
      <c r="L51" s="1">
        <f t="shared" si="11"/>
        <v>49539.870456595425</v>
      </c>
      <c r="M51" s="1">
        <f>IF($B51=Analysis!$C$47, M50 * (1 - Analysis!$C$48),
    IF($B51=Analysis!$C$52, M50 * (1 - Analysis!$C$53),
    IF($B51=Analysis!$C$58, M50 * (1 - Analysis!$C$60),
    L51)))</f>
        <v>49539.870456595425</v>
      </c>
      <c r="N51" s="1">
        <f>Analysis!$C$3*12*(1+O51)+P51</f>
        <v>-48000</v>
      </c>
      <c r="O51" s="64">
        <f>IF(OR($B51=Analysis!$C$47,$B51=Analysis!$C$52,$B51=Analysis!$C$58),-Analysis!$C$49,0)</f>
        <v>0</v>
      </c>
      <c r="P51" s="1">
        <f>IF($B51&lt;Analysis!$C$47,0,IF($B51-Analysis!$C$47&lt;=3,Analysis!$C$40+Analysis!$C$44,IF($B51-Analysis!$C$47&lt;=10,Analysis!$C$41+Analysis!$C$44,IF($B51-Analysis!$C$47&lt;=18,Analysis!$C$42+Analysis!$C$44,IF($B51-Analysis!$C$47&lt;=25,Analysis!$C$43+Analysis!$C$44,0)))) + IF(AND($B51&gt;=Analysis!$C$52, $B51-Analysis!$C$52&lt;=3),Analysis!$C$40+Analysis!$C$44,IF(AND($B51&gt;=Analysis!$C$52, $B51-Analysis!$C$52&lt;=10),Analysis!$C$41+Analysis!$C$44,IF(AND($B51&gt;=Analysis!$C$52, $B51-Analysis!$C$52&lt;=18),Analysis!$C$42+Analysis!$C$44,IF(AND($B51&gt;=Analysis!$C$52, $B51-Analysis!$C$52&lt;=25),Analysis!$C$43+Analysis!$C$44,0)))) + Analysis!$C$57*IF(AND($B51&gt;=Analysis!$C$58, $B51-Analysis!$C$58&lt;=3),Analysis!$C$40+Analysis!$C$44,IF(AND($B51&gt;=Analysis!$C$58, $B51-Analysis!$C$58&lt;=10),Analysis!$C$41+Analysis!$C$44,IF(AND($B51&gt;=Analysis!$C$58, $B51-Analysis!$C$58&lt;=18),Analysis!$C$42+Analysis!$C$44,IF(AND($B51&gt;=Analysis!$C$58, $B51-Analysis!$C$58&lt;=25),Analysis!$C$43+Analysis!$C$44,0)))))</f>
        <v>0</v>
      </c>
      <c r="Q51" s="1">
        <f t="shared" si="43"/>
        <v>0</v>
      </c>
      <c r="R51" s="1">
        <f>IF(AND(AND(B51=Analysis!C$35,Analysis!C$34&lt;&gt;0),AND(B51=Analysis!C$37,Analysis!C$36&lt;&gt;0)),Analysis!C$34+Analysis!C$36,IF(AND(B51=Analysis!C$35,Analysis!C$34&lt;&gt;0),Analysis!C$34,IF(AND(B51=Analysis!C$37,Analysis!C$36&lt;&gt;0),Analysis!C$36,0)))</f>
        <v>0</v>
      </c>
      <c r="S51" s="64">
        <f t="shared" si="12"/>
        <v>0.02</v>
      </c>
      <c r="T51" s="64">
        <f>IF($B51&lt;Analysis!$C$13, ((1+IF($B51-$B$2&lt;10,Analysis!$C$11,IF($B51-$B$2&lt;20,(Analysis!$C$11+Analysis!$C$12)/2,Analysis!$C$12)))/(1+$S51)-1),IF($B51=Analysis!$C$13,-Analysis!$C$14,-$S51))</f>
        <v>-0.02</v>
      </c>
      <c r="U51" s="64">
        <f>IF($B51=$B$2,((1+Analysis!$C$16)/(1+$S51))-1,IF(B51&lt;Analysis!$C$13,U50-((Analysis!$C$16-Analysis!$C$17)/(Analysis!$C$13-$B$2)),((1+Analysis!$C$17)/(1+$S50))-1))</f>
        <v>1.9607843137254832E-2</v>
      </c>
      <c r="V51" s="64">
        <f t="shared" si="13"/>
        <v>0.26374999999999998</v>
      </c>
      <c r="W51" s="36"/>
      <c r="X51" s="1">
        <f t="shared" si="14"/>
        <v>-65557.504787994258</v>
      </c>
      <c r="Y51" s="64">
        <f t="shared" si="15"/>
        <v>2.941176470588247E-2</v>
      </c>
      <c r="Z51" s="1">
        <f t="shared" si="16"/>
        <v>-3960</v>
      </c>
      <c r="AA51" s="64">
        <f t="shared" si="17"/>
        <v>0</v>
      </c>
      <c r="AB51" s="40"/>
      <c r="AC51" s="1">
        <f t="shared" si="3"/>
        <v>-117517.50478799426</v>
      </c>
      <c r="AD51" s="1">
        <f t="shared" si="4"/>
        <v>49539.870456595425</v>
      </c>
      <c r="AE51" s="1">
        <f t="shared" si="18"/>
        <v>-67977.634331398833</v>
      </c>
      <c r="AF51" s="1">
        <f>IF(AE51 &lt; 0,
    IF(AF50 + AE51 &gt; 0,
        AF50 + AE51, IF(AK50-ABS(AF50 + AE51)*(1+$V51) &gt;= AF50 + AE51,
        0, AF50 + AE51)),
    MIN(AF50 + AE51, Analysis!$C$7))+IF(AF50&lt;0, AF50*Analysis!$C$9,0)</f>
        <v>0</v>
      </c>
      <c r="AG51" s="40"/>
      <c r="AH51" s="1">
        <f t="shared" si="19"/>
        <v>27695.84073855908</v>
      </c>
      <c r="AI51" s="1">
        <f>IF(AE51 &gt;= 0,
    MAX(0, AF50 + AE51 - Analysis!$C$7),
    0)</f>
        <v>0</v>
      </c>
      <c r="AJ51" s="1">
        <f t="shared" si="44"/>
        <v>377215.86482070532</v>
      </c>
      <c r="AK51" s="1">
        <f t="shared" si="20"/>
        <v>1326581.1422802128</v>
      </c>
      <c r="AL51" s="1">
        <f t="shared" si="5"/>
        <v>1076186.0503502677</v>
      </c>
      <c r="AM51" s="36"/>
      <c r="AN51" s="1">
        <f t="shared" si="45"/>
        <v>3683470.9129617973</v>
      </c>
      <c r="AO51" s="64">
        <f t="shared" si="21"/>
        <v>2.941176470588247E-2</v>
      </c>
      <c r="AP51" s="1">
        <f>IF($B51=Analysis!$C$66,(AN51*(1+Analysis!$C$23+Analysis!$C$24+Analysis!$C$25))-IF($B51=$B$2,(Analysis!$C$6-Analysis!$C$7+Analysis!$C$68), ($CG50-Analysis!$C$7+AY51)),0)</f>
        <v>0</v>
      </c>
      <c r="AQ51" s="65">
        <f>IF($B51=Analysis!$C$66,NPER(AU51,-AX51,-AP51),0)</f>
        <v>0</v>
      </c>
      <c r="AR51" s="64">
        <f>IF($B51=Analysis!$C$66,Analysis!$C$73,0)</f>
        <v>0</v>
      </c>
      <c r="AS51" s="1">
        <f>IF($B51&lt;Analysis!$C$66,0,IF($B51=Analysis!$C$66,-AP51*AR51,IF(AX51&gt;=0,0,AX51-AV51)))</f>
        <v>0</v>
      </c>
      <c r="AT51" s="1">
        <f>IF($B51&lt;Analysis!$C$66,0,IF($B51=Analysis!$C$66,-AP51-AS51,MIN(0,AT50-AS51)))</f>
        <v>0</v>
      </c>
      <c r="AU51" s="64">
        <f>IF($B51&lt;Analysis!$C$66,0,IF($B51=Analysis!$C$66,Analysis!$C$72,IF(($B51-Analysis!$C$66)&lt;LOOKUP(Analysis!$C$66,$B:$B,AQ:AQ),AU50,0)))</f>
        <v>0</v>
      </c>
      <c r="AV51" s="1">
        <f>IF($B51&lt;Analysis!$C$66,0,IF($B51=Analysis!$C$66,-AU51*AP51,AU50*AT50))</f>
        <v>0</v>
      </c>
      <c r="AW51" s="1">
        <f>IF($B51&lt;Analysis!$C$66,0,IF($B51=Analysis!$C$66,PMT(AU51,AQ51,AP51)*AQ51-AX51-AT51,IF(($B51-Analysis!$C$66+1)&lt;LOOKUP(Analysis!$C$66,$B:$B,AQ:AQ),IF(AW50-AV51&lt;0, AW50-AV51,0),0)))</f>
        <v>0</v>
      </c>
      <c r="AX51" s="1">
        <f>IF($B51&lt;Analysis!$C$66,0,IF($B51=Analysis!$C$66,AS51+AV51,IF(AT50&lt;0,IF(AT50&gt;LOOKUP(Analysis!$C$66,$B:$B,AX:AX), AT50*(1+AU50),AX50),0)))</f>
        <v>0</v>
      </c>
      <c r="AY51" s="1">
        <f>IF($B51=Analysis!$C$66,Analysis!$C$68,0)</f>
        <v>0</v>
      </c>
      <c r="AZ51" s="1">
        <f>IF($B51=Analysis!$C$66,PMT(AU51,BA51,AY51)*BA51,0)</f>
        <v>0</v>
      </c>
      <c r="BA51" s="7">
        <f>IF($B51=Analysis!$C$66,Analysis!$C$70,0)</f>
        <v>0</v>
      </c>
      <c r="BB51" s="1">
        <f>IF($B51&lt;Analysis!$C$66,0,IF($B51=Analysis!$C$66,AZ51/BA51,IF(($B51-Analysis!$C$66)&lt;LOOKUP(Analysis!$C$66,$B:$B,BA:BA),BB50,0)))</f>
        <v>0</v>
      </c>
      <c r="BC51" s="1">
        <f>IF($B51&lt;Analysis!$C$66,0,IF($B51=Analysis!$C$66,BA51*BB51-BB51,IF(($B51-Analysis!$C$66)&lt;Analysis!$C$70,BC50-BB51,0)))</f>
        <v>0</v>
      </c>
      <c r="BD51" s="42"/>
      <c r="BE51" s="1">
        <f>IF($B51&lt;Analysis!$C$66,0,-BF51*AN51)</f>
        <v>-11050.412738885392</v>
      </c>
      <c r="BF51" s="64">
        <f>IF($B51&lt;Analysis!$C$66,0,Analysis!$C$78)</f>
        <v>3.0000000000000001E-3</v>
      </c>
      <c r="BG51" s="1">
        <f>IF($B51&lt;Analysis!$C$66,0,-BH51*AN51)</f>
        <v>-27626.031847213479</v>
      </c>
      <c r="BH51" s="64">
        <f>IF($B51&lt;Analysis!$C$66,0,Analysis!$C$79)</f>
        <v>7.4999999999999997E-3</v>
      </c>
      <c r="BI51" s="1">
        <f>IF($B51&lt;Analysis!$C$66,0,MIN(Analysis!$C$80*12,SUM(BJ51:BN51)))</f>
        <v>-3960</v>
      </c>
      <c r="BJ51" s="1">
        <f>IF($B51&lt;Analysis!$C$66,0,Analysis!$C$81*12)</f>
        <v>-900</v>
      </c>
      <c r="BK51" s="1">
        <f>IF($B51&lt;Analysis!$C$66,0,Analysis!$C$82*12)</f>
        <v>-1500</v>
      </c>
      <c r="BL51" s="1">
        <f>IF($B51&lt;Analysis!$C$66,0,Analysis!$C$83*12)</f>
        <v>-480</v>
      </c>
      <c r="BM51" s="1">
        <f>IF($B51&lt;Analysis!$C$66,0,Analysis!$C$84*12)</f>
        <v>-480</v>
      </c>
      <c r="BN51" s="1">
        <f>IF($B51&lt;Analysis!$C$66,0,Analysis!$C$85*12)</f>
        <v>-600</v>
      </c>
      <c r="BO51" s="1">
        <v>0</v>
      </c>
      <c r="BP51" s="1">
        <f>-BO51*Analysis!$C$28</f>
        <v>0</v>
      </c>
      <c r="BQ51" s="42"/>
      <c r="BR51" s="1">
        <f t="shared" si="22"/>
        <v>-469642.54140262917</v>
      </c>
      <c r="BS51" s="64">
        <f>IF($B51&lt;Analysis!C$66,0,Analysis!C$31)</f>
        <v>0.1275</v>
      </c>
      <c r="BT51" s="1">
        <f>IF($B51&lt;Analysis!$C$66,0,AN51+BR51)</f>
        <v>3213828.3715591682</v>
      </c>
      <c r="BU51" s="1">
        <f>IF($B51-Analysis!$C$66&gt;3,0,IF($AN51&gt;LOOKUP(Analysis!$C$66,$B:$B, AN:AN),$V51*(LOOKUP(Analysis!$C$66,$B:$B, AN:AN)-AN51),0))</f>
        <v>0</v>
      </c>
      <c r="BV51" s="1">
        <f t="shared" si="23"/>
        <v>3213828.3715591682</v>
      </c>
      <c r="BW51" s="42"/>
      <c r="BX51" s="1">
        <f>IF($B51&lt;Analysis!$C$66,$P51+$N51+$X51+$Z51,$P51+$N51+AS51+AV51+BB51+BE51+BG51+MAX(BI51,SUM(BJ51:BN51))+BP51)</f>
        <v>-90636.444586098878</v>
      </c>
      <c r="BY51" s="1">
        <f t="shared" si="24"/>
        <v>49539.870456595425</v>
      </c>
      <c r="BZ51" s="1">
        <f t="shared" si="46"/>
        <v>-41096.574129503453</v>
      </c>
      <c r="CA51" s="1">
        <f>IF(BZ51 &lt; 0,
    IF(CA50 + BZ51 &gt; 0,
        CA50 + BZ51, IF(CF50-ABS(CA50 + BZ51)*(1+$V51) &gt;= CA50 + BZ51,
        0, CA50 + BZ51)),
    MIN(CA50 + BZ51, Analysis!$C$7))+IF(CA50&lt;0, CA50*Analysis!$C$9,0)</f>
        <v>-9653136.3897067942</v>
      </c>
      <c r="CB51" s="42"/>
      <c r="CC51" s="1">
        <f t="shared" si="47"/>
        <v>0</v>
      </c>
      <c r="CD51" s="1">
        <f>IF(BZ51 &gt;= 0,
    MAX(0, CA50 + BZ51 - Analysis!$C$7),
    0)</f>
        <v>0</v>
      </c>
      <c r="CE51" s="1">
        <f>IF($B51=Analysis!$C$66,0,MAX(0, CE50 + CD51 - IF(BZ51 &lt; 0, MIN(ABS(BZ51), CE50 + CD51), 0)))</f>
        <v>0</v>
      </c>
      <c r="CF51" s="1">
        <f>IF($B51=Analysis!$C$66,0,IF(BZ51 &lt; 0,
    IF(BZ51 + CA50 &lt; 0,
        MAX(0, CF50 - (ABS(BZ51 + CA50) * (1+$V50))),
        CF50 + CC51),
    CF50 + CD51 + CC51))</f>
        <v>0</v>
      </c>
      <c r="CG51" s="1">
        <f t="shared" si="25"/>
        <v>0</v>
      </c>
      <c r="CH51" s="36"/>
      <c r="CI51" s="1">
        <f>IF(OR($B51&lt;Analysis!$C$100, $B51&gt;=Analysis!$C$130),0,X51)</f>
        <v>0</v>
      </c>
      <c r="CJ51" s="1">
        <f>IF(OR($B51&lt;Analysis!$C$100, $B51&gt;=Analysis!$C$130),0,Z51)</f>
        <v>0</v>
      </c>
      <c r="CK51" s="1">
        <f t="shared" si="60"/>
        <v>2150484.8161516297</v>
      </c>
      <c r="CL51" s="64">
        <f t="shared" si="48"/>
        <v>2.941176470588247E-2</v>
      </c>
      <c r="CM51" s="1">
        <f>IF($B51=Analysis!$C$100,(CK51*(1+Analysis!$C$23+Analysis!$C$24+Analysis!$C$25))-IF($B51=$B$2,(Analysis!$C$6-Analysis!$C$7+Analysis!$C$105), (FU50-Analysis!$C$7+CV51)),0)</f>
        <v>0</v>
      </c>
      <c r="CN51" s="65">
        <f>IF($B51=Analysis!$C$100,NPER(CR51,-CU51,-CM51),0)</f>
        <v>0</v>
      </c>
      <c r="CO51" s="64">
        <f>IF($B51=Analysis!$C$100,Analysis!$C$103,0)</f>
        <v>0</v>
      </c>
      <c r="CP51" s="1">
        <f>IF(OR($B51&lt;Analysis!$C$100, $B51&gt;=Analysis!$C$101),0,IF($B51=Analysis!$C$100,-CM51*CO51,IF(CU51&gt;=0,0,CU51-CS51)))</f>
        <v>0</v>
      </c>
      <c r="CQ51" s="1">
        <f>IF(OR($B51&lt;Analysis!$C$100, $B51&gt;=Analysis!$C$101),0,IF($B51=Analysis!$C$100,-CM51-CP51,MIN(0,CQ50-CP51)))</f>
        <v>0</v>
      </c>
      <c r="CR51" s="64">
        <f>IF(OR($B51&lt;Analysis!$C$100, $B51&gt;=Analysis!$C$101),0,IF($B51=Analysis!$C$100,Analysis!$C$102,IF(($B51-Analysis!$C$100)&lt;LOOKUP(Analysis!$C$100,$B:$B,CN:CN),CR50,0)))</f>
        <v>0</v>
      </c>
      <c r="CS51" s="1">
        <f>IF(OR($B51&lt;Analysis!$C$100, $B51&gt;=Analysis!$C$101),0,IF($B51=Analysis!$C$100,-CR51*CM51,CR50*CQ50))</f>
        <v>0</v>
      </c>
      <c r="CT51" s="1">
        <f>IF(OR($B51&lt;Analysis!$C$100, $B51&gt;=Analysis!$C$101),0,IF($B51=Analysis!$C$100,PMT(CR51,CN51,CM51)*CN51-CU51-CQ51,IF(($B51-Analysis!$C$100+1)&lt;LOOKUP(Analysis!$C$100,$B:$B,CN:CN),IF(CT50-CS51&lt;0, CT50-CS51,0),0)))</f>
        <v>0</v>
      </c>
      <c r="CU51" s="1">
        <f>IF(OR($B51&lt;Analysis!$C$100, $B51&gt;=Analysis!$C$101),0,IF($B51=Analysis!$C$100,CP51+CS51,IF(CQ50&lt;0,IF(CQ50&gt;LOOKUP(Analysis!$C$100,$B:$B,CU:CU), CQ50*(1+CR50),CU50),0)))</f>
        <v>0</v>
      </c>
      <c r="CV51" s="1">
        <f>IF($B51=Analysis!$C$100,Analysis!$C$105,0)</f>
        <v>0</v>
      </c>
      <c r="CW51" s="1">
        <f>IF($B51=Analysis!$C$100,PMT(CR51,CX51,CV51)*CX51,0)</f>
        <v>0</v>
      </c>
      <c r="CX51" s="7">
        <f>IF($B51=Analysis!$C$100,Analysis!$C$107,0)</f>
        <v>0</v>
      </c>
      <c r="CY51" s="1">
        <f>IF(OR($B51&lt;Analysis!$C$100, $B51&gt;=Analysis!$C$101),0,IF($B51=Analysis!$C$100,CW51/CX51,IF(($B51-Analysis!$C$100)&lt;LOOKUP(Analysis!$C$100,$B:$B,CX:CX),CY50,0)))</f>
        <v>0</v>
      </c>
      <c r="CZ51" s="1">
        <f>IF(OR($B51&lt;Analysis!$C$100, $B51&gt;=Analysis!$C$101),0,IF($B51=Analysis!$C$100,CX51*CY51-CY51,IF(($B51-Analysis!$C$100)&lt;Analysis!$C$107,CZ50-CY51,0)))</f>
        <v>0</v>
      </c>
      <c r="DA51" s="53"/>
      <c r="DB51" s="1">
        <f>IF(OR($B51&lt;Analysis!$C$100, $B51&gt;=Analysis!$C$101),0,IF($B51=2025,(Analysis!$C$109*12),IF($B51=Analysis!$C$100,(Analysis!$C$109*12)*(1+DC51)^($B51-$B$2),DB50*(1+DC51))))</f>
        <v>0</v>
      </c>
      <c r="DC51" s="64">
        <f>IF(OR($B51&lt;Analysis!$C$100, $B51&gt;=Analysis!$C$101),0,((1+Analysis!$C$114)/(1+$S51))-1)</f>
        <v>0</v>
      </c>
      <c r="DD51" s="1">
        <f t="shared" si="6"/>
        <v>0</v>
      </c>
      <c r="DE51" s="1">
        <f t="shared" si="27"/>
        <v>0</v>
      </c>
      <c r="DF51" s="64">
        <f>IF(OR($B51&lt;Analysis!$C$100, $B51&gt;=Analysis!$C$101),0,Analysis!$C$118)</f>
        <v>0</v>
      </c>
      <c r="DG51" s="1">
        <f t="shared" si="28"/>
        <v>0</v>
      </c>
      <c r="DH51" s="64">
        <f>IF(OR($B51&lt;Analysis!$C$100, $B51&gt;=Analysis!$C$101),0,Analysis!$C$119)</f>
        <v>0</v>
      </c>
      <c r="DI51" s="1">
        <f>IF(OR($B51&lt;Analysis!$C$100, $B51&gt;=Analysis!$C$101),0,MIN(Analysis!$C$120*12,SUM(DJ51:DN51)))</f>
        <v>0</v>
      </c>
      <c r="DJ51" s="1">
        <f>IF(OR($B51&lt;Analysis!$C$100, $B51&gt;=Analysis!$C$101),0,Analysis!$C$121*12)</f>
        <v>0</v>
      </c>
      <c r="DK51" s="1">
        <f>IF(OR($B51&lt;Analysis!$C$100, $B51&gt;=Analysis!$C$101),0,Analysis!$C$122*12)</f>
        <v>0</v>
      </c>
      <c r="DL51" s="1">
        <f>IF(OR($B51&lt;Analysis!$C$100, $B51&gt;=Analysis!$C$101),0,Analysis!$C$123*12)</f>
        <v>0</v>
      </c>
      <c r="DM51" s="1">
        <f>IF(OR($B51&lt;Analysis!$C$100, $B51&gt;=Analysis!$C$101),0,Analysis!$C$124*12)</f>
        <v>0</v>
      </c>
      <c r="DN51" s="1">
        <f>IF(OR($B51&lt;Analysis!$C$100, $B51&gt;=Analysis!$C$101),0,Analysis!$C$125*12)</f>
        <v>0</v>
      </c>
      <c r="DO51" s="64">
        <f>IF(OR($B51&lt;Analysis!$C$100, $B51&gt;=Analysis!$C$101),0,Analysis!$C$113)</f>
        <v>0</v>
      </c>
      <c r="DP51" s="1">
        <f>-DO51*LOOKUP(Analysis!$C$100,$B:$B,CK:CK)</f>
        <v>0</v>
      </c>
      <c r="DQ51" s="1">
        <f>-Analysis!$C$117*DB51</f>
        <v>0</v>
      </c>
      <c r="DR51" s="1">
        <f t="shared" si="29"/>
        <v>0</v>
      </c>
      <c r="DS51" s="1">
        <f>MIN(0,-(DB51+DR51)*Analysis!$C$28)-CS51*Analysis!$C$28</f>
        <v>0</v>
      </c>
      <c r="DT51" s="1">
        <f>-Analysis!$C$116*DD51/12</f>
        <v>0</v>
      </c>
      <c r="DU51" s="53"/>
      <c r="DV51" s="1">
        <f t="shared" si="30"/>
        <v>0</v>
      </c>
      <c r="DW51" s="64">
        <f>IF(OR($B51&lt;Analysis!$C$100, $B51&gt;=Analysis!$C$101),0,IF($B51=Analysis!$C$100,Analysis!$C$31,DW50))</f>
        <v>0</v>
      </c>
      <c r="DX51" s="1">
        <f>IF(OR($B51&lt;Analysis!$C$100, $B51&gt;=Analysis!$C$101),0,CK51+DV51)</f>
        <v>0</v>
      </c>
      <c r="DY51" s="1">
        <f>IF(OR($B51&lt;Analysis!$C$100, $B51&gt;=Analysis!$C$101),0,IF($B51-Analysis!$C$100&gt;3,0,IF(CK51&gt;LOOKUP(Analysis!$C$100,$B:$B, CK:CK),$V51*(LOOKUP(Analysis!$C$100,$B:$B, CK:CK)-CK51),0)))</f>
        <v>0</v>
      </c>
      <c r="DZ51" s="1">
        <f t="shared" si="49"/>
        <v>0</v>
      </c>
      <c r="EA51" s="53"/>
      <c r="EB51" s="1">
        <f t="shared" si="31"/>
        <v>2855724.6403861167</v>
      </c>
      <c r="EC51" s="64">
        <f t="shared" si="50"/>
        <v>2.941176470588247E-2</v>
      </c>
      <c r="ED51" s="1">
        <f>IF($B51=Analysis!$C$130,(EB51*(1+Analysis!$C$23+Analysis!$C$24+Analysis!$C$25))-(IF($B51=$B$2,(Analysis!$C$6-Analysis!$C$7+Analysis!$C$132), (FU50-Analysis!$C$7+EM51)) + IF($B51=Analysis!$C$101,DZ50+CQ50+CT50+CZ50,0)),0)</f>
        <v>0</v>
      </c>
      <c r="EE51" s="65">
        <f>IF($B51=Analysis!$C$130,IF(ED51&gt;0,NPER(EI51,-EL51,-ED51),0),0)</f>
        <v>0</v>
      </c>
      <c r="EF51" s="64">
        <f>IF($B51=Analysis!$C$130,Analysis!$C$137,0)</f>
        <v>0</v>
      </c>
      <c r="EG51" s="1">
        <f>IF($B51&lt;Analysis!$C$130,0,IF($B51=Analysis!$C$130,-ED51*EF51,IF(EL51&gt;=0,0,EL51-EJ51)))</f>
        <v>0</v>
      </c>
      <c r="EH51" s="1">
        <f>IF($B51&lt;Analysis!$C$130,0,IF($B51=Analysis!$C$130,-ED51-EG51,MIN(0,EH50-EG51)))</f>
        <v>0</v>
      </c>
      <c r="EI51" s="64">
        <f>IF($B51&lt;Analysis!$C$130,0,IF($B51=Analysis!$C$130,Analysis!$C$136,IF(($B51-Analysis!$C$130)&lt;LOOKUP(Analysis!$C$130,$B:$B,EE:EE),EI50,0)))</f>
        <v>0</v>
      </c>
      <c r="EJ51" s="1">
        <f>IF($B51&lt;Analysis!$C$130,0,IF($B51=Analysis!$C$130,-EI51*ED51,EI50*EH50))</f>
        <v>0</v>
      </c>
      <c r="EK51" s="1">
        <f>IF(OR($B51&lt;Analysis!$C$130, ED51=0),0,IF($B51=Analysis!$C$130,PMT(EI51,EE51,ED51)*EE51-EL51-EH51,IF(($B51-Analysis!$C$130+1)&lt;LOOKUP(Analysis!$C$130,$B:$B,EE:EE),IF(EK50-EJ51&lt;0, EK50-EJ51,0),0)))</f>
        <v>0</v>
      </c>
      <c r="EL51" s="1">
        <f>IF($B51&lt;Analysis!$C$130,0,IF($B51=Analysis!$C$130,EG51+EJ51,IF(EH50&lt;0,IF(EH50&gt;LOOKUP(Analysis!$C$130,$B:$B,EL:EL), EH50*(1+EI50),EL50),0)))</f>
        <v>0</v>
      </c>
      <c r="EM51" s="1">
        <f>IF($B51=Analysis!$C$130,Analysis!$C$132,0)</f>
        <v>0</v>
      </c>
      <c r="EN51" s="1">
        <f>IF($B51=Analysis!$C$130,PMT(EI51,EO51,EM51)*EO51,0)</f>
        <v>0</v>
      </c>
      <c r="EO51" s="7">
        <f>IF($B51=Analysis!$C$130,Analysis!$C$134,0)</f>
        <v>0</v>
      </c>
      <c r="EP51" s="1">
        <f>IF($B51&lt;Analysis!$C$130,0,IF($B51=Analysis!$C$130,EN51/EO51,IF(($B51-Analysis!$C$130)&lt;LOOKUP(Analysis!$C$130,$B:$B,EO:EO),EP50,0)))</f>
        <v>0</v>
      </c>
      <c r="EQ51" s="1">
        <f>IF($B51&lt;Analysis!$C$130,0,IF($B51=Analysis!$C$130,EO51*EP51-EP51,IF(($B51-Analysis!$C$130)&lt;Analysis!$C$134,EQ50-EP51,0)))</f>
        <v>0</v>
      </c>
      <c r="ER51" s="53"/>
      <c r="ES51" s="1">
        <f>IF($B51&lt;Analysis!$C$130,0,-ET51*EB51)</f>
        <v>-8567.1739211583499</v>
      </c>
      <c r="ET51" s="64">
        <f>IF($B51&lt;Analysis!$C$130,0,Analysis!$C$142)</f>
        <v>3.0000000000000001E-3</v>
      </c>
      <c r="EU51" s="1">
        <f>IF($B51&lt;Analysis!$C$130,0,-EV51*EB51)</f>
        <v>-28557.246403861169</v>
      </c>
      <c r="EV51" s="64">
        <f>IF($B51&lt;Analysis!$C$130,0,Analysis!$C$143)</f>
        <v>0.01</v>
      </c>
      <c r="EW51" s="1">
        <f>IF($B51&lt;Analysis!$C$130,0,MIN(Analysis!$C$144*12,SUM(EX51:FB51)))</f>
        <v>-3960</v>
      </c>
      <c r="EX51" s="1">
        <f>IF($B51&lt;Analysis!$C$130,0,Analysis!$C$145*12)</f>
        <v>-900</v>
      </c>
      <c r="EY51" s="1">
        <f>IF($B51&lt;Analysis!$C$130,0,Analysis!$C$146*12)</f>
        <v>-1500</v>
      </c>
      <c r="EZ51" s="1">
        <f>IF($B51&lt;Analysis!$C$130,0,Analysis!$C$147*12)</f>
        <v>-480</v>
      </c>
      <c r="FA51" s="1">
        <f>IF($B51&lt;Analysis!$C$130,0,Analysis!$C$148*12)</f>
        <v>-480</v>
      </c>
      <c r="FB51" s="1">
        <f>IF($B51&lt;Analysis!$C$130,0,Analysis!$C$149*12)</f>
        <v>-600</v>
      </c>
      <c r="FC51" s="1">
        <v>0</v>
      </c>
      <c r="FD51" s="1">
        <f>-FC51*Analysis!$C$28</f>
        <v>0</v>
      </c>
      <c r="FE51" s="53"/>
      <c r="FF51" s="1">
        <f t="shared" si="32"/>
        <v>-364104.89164922986</v>
      </c>
      <c r="FG51" s="64">
        <f>IF($B51&lt;Analysis!$C$130,0,Analysis!$C$31)</f>
        <v>0.1275</v>
      </c>
      <c r="FH51" s="1">
        <f>IF($B51&lt;Analysis!$C$130,0,EB51+FF51)</f>
        <v>2491619.7487368868</v>
      </c>
      <c r="FI51" s="1">
        <f>IF($B51-Analysis!$C$130&gt;3,0,IF(EB51&gt;LOOKUP(Analysis!$C$130,$B:$B, EB:EB),$V51*(LOOKUP(Analysis!$C$130,$B:$B, EB:EB)-EB51),0))</f>
        <v>0</v>
      </c>
      <c r="FJ51" s="1">
        <f t="shared" si="33"/>
        <v>2491619.7487368868</v>
      </c>
      <c r="FK51" s="53"/>
      <c r="FL51" s="1">
        <f>$P51+$N51+IF($B51&lt;Analysis!$C$130,$X51+$Z51,0)+CP51+CS51+CY51+DE51+DG51+MIN(DI51,SUM(DJ51:DN51))+DQ51+DS51+DT51+EG51+EJ51+EP51+ES51+EU51+MIN(EW51,SUM(EX51:FB51))+FD51</f>
        <v>-89084.420325019513</v>
      </c>
      <c r="FM51" s="1">
        <f>$M51+$R51+DD51+IF(AND($B51&lt;&gt;Analysis!$C$130,$B51=Analysis!$C$101),DZ50+CQ50+CT50+CZ50,0)</f>
        <v>49539.870456595425</v>
      </c>
      <c r="FN51" s="1">
        <f t="shared" si="34"/>
        <v>-39544.549868424088</v>
      </c>
      <c r="FO51" s="1">
        <f>IF(FN51 &lt; 0,
    IF(FO50 + FN51 &gt; 0,
        FO50 + FN51, IF(FT50-ABS(FO50 + FN51)*(1+$V51) &gt;= FO50 + FN51,
        0, FO50 + FN51)),
    MIN(FO50 + FN51, Analysis!$C$7))+IF(FO50&lt;0, FO50*Analysis!$C$9,0)</f>
        <v>-667350.19913832203</v>
      </c>
      <c r="FP51" s="53"/>
      <c r="FQ51" s="1">
        <f t="shared" si="51"/>
        <v>0</v>
      </c>
      <c r="FR51" s="1">
        <f>IF(OR($B51=Analysis!$C$100, $B51=Analysis!$C$130),0,IF(FN51 &gt;= 0,
    MAX(0, FO50 + FN51 - Analysis!$C$7),
    0))</f>
        <v>0</v>
      </c>
      <c r="FS51" s="1">
        <f>IF(OR($B51=Analysis!$C$100, $B51=Analysis!$C$130),0,MAX(0, FS50 + FR51 - IF(FN51 &lt; 0, MIN(ABS(FN51), FS50 + FR51), 0)))</f>
        <v>0</v>
      </c>
      <c r="FT51" s="1">
        <f>IF(OR($B51=Analysis!$C$100, $B51=Analysis!$C$130),0,IF(FN51 &lt; 0,
    IF(FN51 + FO50 &lt; 0,
        MAX(0, FT50 - (ABS(FN51 + FO50) * (1+$V50))),
        FT50 + FQ51),
    FT50 + FR51 + FQ51))</f>
        <v>0</v>
      </c>
      <c r="FU51" s="1">
        <f t="shared" si="57"/>
        <v>0</v>
      </c>
      <c r="FV51" s="36"/>
      <c r="FW51" s="1">
        <f t="shared" si="52"/>
        <v>2150484.8161516297</v>
      </c>
      <c r="FX51" s="64">
        <f t="shared" si="53"/>
        <v>2.941176470588247E-2</v>
      </c>
      <c r="FY51" s="1">
        <f>IF($B51=Analysis!$C$159,(FW51*(1+Analysis!$C$23+Analysis!$C$24+Analysis!$C$25))-IF($B51=$B$2,(Analysis!$C$6-Analysis!$C$7+Analysis!$C$165), (HW50-Analysis!$C$7+GH51)),0)</f>
        <v>0</v>
      </c>
      <c r="FZ51" s="65">
        <f>IF($B51=Analysis!$C$159,NPER(GD51,-GG51,-FY51),0)</f>
        <v>0</v>
      </c>
      <c r="GA51" s="64">
        <f>IF($B51=Analysis!$C$159,Analysis!$C$161,0)</f>
        <v>0</v>
      </c>
      <c r="GB51" s="1">
        <f>IF($B51&lt;Analysis!$C$159,0,IF($B51=Analysis!$C$159,-FY51*GA51,IF(GG51&gt;=0,0,GG51-GE51)))</f>
        <v>0</v>
      </c>
      <c r="GC51" s="1">
        <f>IF($B51&lt;Analysis!$C$159,0,IF($B51=Analysis!$C$159,-FY51-GB51,MIN(0,GC50-GB51)))</f>
        <v>0</v>
      </c>
      <c r="GD51" s="64">
        <f>IF($B51&lt;Analysis!$C$159,0,IF($B51=Analysis!$C$159,Analysis!$C$160,IF(($B51-Analysis!$C$159)&lt;LOOKUP(Analysis!$C$159,$B:$B,FZ:FZ),GD50,0)))</f>
        <v>0</v>
      </c>
      <c r="GE51" s="1">
        <f>IF($B51&lt;Analysis!$C$159,0,IF($B51=Analysis!$C$159,-GD51*FY51,GD50*GC50))</f>
        <v>0</v>
      </c>
      <c r="GF51" s="1">
        <f>IF($B51&lt;Analysis!$C$159,0,IF($B51=Analysis!$C$159,PMT(GD51,FZ51,FY51)*FZ51-GG51-GC51,IF(($B51-Analysis!$C$159+1)&lt;LOOKUP(Analysis!$C$159,$B:$B,FZ:FZ),IF(GF50-GE51&lt;0, GF50-GE51,0),0)))</f>
        <v>0</v>
      </c>
      <c r="GG51" s="1">
        <f>IF($B51&lt;Analysis!$C$159,0,IF($B51=Analysis!$C$159,GB51+GE51,IF(GC50&lt;0,IF(GC50&gt;LOOKUP(Analysis!$C$159,$B:$B,GG:GG), GC50*(1+GD50),GG50),0)))</f>
        <v>0</v>
      </c>
      <c r="GH51" s="1">
        <f>IF($B51=Analysis!$C$159,Analysis!$C$165,0)</f>
        <v>0</v>
      </c>
      <c r="GI51" s="1">
        <f>IF($B51=Analysis!$C$159,PMT(GD51,GJ51,GH51)*GJ51,0)</f>
        <v>0</v>
      </c>
      <c r="GJ51" s="7">
        <f>IF($B51=Analysis!$C$159,Analysis!$C$167,0)</f>
        <v>0</v>
      </c>
      <c r="GK51" s="1">
        <f>IF($B51&lt;Analysis!$C$159,0,IF($B51=Analysis!$C$159,GI51/GJ51,IF(($B51-Analysis!$C$159)&lt;LOOKUP(Analysis!$C$159,$B:$B,GJ:GJ),GK50,0)))</f>
        <v>0</v>
      </c>
      <c r="GL51" s="1">
        <f>IF($B51&lt;Analysis!$C$159,0,IF($B51=Analysis!$C$159,GJ51*GK51-GK51,IF(($B51-Analysis!$C$159)&lt;Analysis!$C$167,GL50-GK51,0)))</f>
        <v>0</v>
      </c>
      <c r="GM51" s="38"/>
      <c r="GN51" s="1">
        <f>IF($B51&lt;Analysis!$C$159,0,IF($B51=2025,(Analysis!$C$109*12),IF($B51=Analysis!$C$159,(Analysis!$C$109*12)*(1+GO51)^($B51-$B$2),GN50*(1+GO51))))</f>
        <v>57362.816689494983</v>
      </c>
      <c r="GO51" s="64">
        <f>IF($B51&lt;Analysis!$C$159,0,((1+Analysis!$C$174)/(1+$S51))-1)</f>
        <v>2.941176470588247E-2</v>
      </c>
      <c r="GP51" s="1">
        <f t="shared" si="7"/>
        <v>67774.271137949865</v>
      </c>
      <c r="GQ51" s="1">
        <f t="shared" si="36"/>
        <v>-6451.4544484548887</v>
      </c>
      <c r="GR51" s="64">
        <f>IF($B51&lt;Analysis!$C$159,0,Analysis!$C$178)</f>
        <v>3.0000000000000001E-3</v>
      </c>
      <c r="GS51" s="1">
        <f t="shared" si="37"/>
        <v>-16128.636121137222</v>
      </c>
      <c r="GT51" s="64">
        <f>IF($B51&lt;Analysis!$C$159,0,Analysis!$C$179)</f>
        <v>7.4999999999999997E-3</v>
      </c>
      <c r="GU51" s="1">
        <f>IF($B51&lt;Analysis!$C$159,0,MIN(Analysis!$C$180*12,SUM(GV51:GZ51)))</f>
        <v>-3960</v>
      </c>
      <c r="GV51" s="1">
        <f>IF($B51&lt;Analysis!$C$159,0,Analysis!$C$181*12)</f>
        <v>-900</v>
      </c>
      <c r="GW51" s="1">
        <f>IF($B51&lt;Analysis!$C$159,0,Analysis!$C$182*12)</f>
        <v>-1500</v>
      </c>
      <c r="GX51" s="1">
        <f>IF($B51&lt;Analysis!$C$159,0,Analysis!$C$183*12)</f>
        <v>-480</v>
      </c>
      <c r="GY51" s="1">
        <f>IF($B51&lt;Analysis!$C$159,0,Analysis!$C$184*12)</f>
        <v>-480</v>
      </c>
      <c r="GZ51" s="1">
        <f>IF($B51&lt;Analysis!$C$159,0,Analysis!$C$185*12)</f>
        <v>-600</v>
      </c>
      <c r="HA51" s="64">
        <f>IF($B51&lt;Analysis!$C$159,0,Analysis!$C$173)</f>
        <v>0.02</v>
      </c>
      <c r="HB51" s="1">
        <f>-HA51*LOOKUP(Analysis!$C$159,$B:$B,FW:FW)</f>
        <v>-10392</v>
      </c>
      <c r="HC51" s="1">
        <f>-Analysis!$C$177*GN51</f>
        <v>-4302.2112517121232</v>
      </c>
      <c r="HD51" s="1">
        <f t="shared" si="38"/>
        <v>-41234.301821304231</v>
      </c>
      <c r="HE51" s="1">
        <f>MIN(0,-(GN51+HD51)*Analysis!$C$28)-GE51*Analysis!$C$28</f>
        <v>-7146.5449380953214</v>
      </c>
      <c r="HF51" s="1">
        <f>-Analysis!$C$176*GP51/12</f>
        <v>-5647.8559281624885</v>
      </c>
      <c r="HG51" s="38"/>
      <c r="HH51" s="1">
        <f>IF($B51&lt;Analysis!$C$159,0,-$HI51*$FW51)</f>
        <v>-274186.81405933277</v>
      </c>
      <c r="HI51" s="64">
        <f>IF($B51&lt;Analysis!$C$159,0,IF($B51=Analysis!$C$159,Analysis!$C$31,HI50))</f>
        <v>0.1275</v>
      </c>
      <c r="HJ51" s="1">
        <f>IF($B51&lt;Analysis!$C$159,0,$FW51+HH51)</f>
        <v>1876298.002092297</v>
      </c>
      <c r="HK51" s="1">
        <f>IF($B51-Analysis!$C$159&gt;10,0,IF($FW51&gt;LOOKUP(Analysis!$C$159,$B:$B, FW:FW),$V51*(LOOKUP(Analysis!$C$159,$B:$B, FW:FW)-FW51),0))</f>
        <v>0</v>
      </c>
      <c r="HL51" s="1">
        <f t="shared" si="39"/>
        <v>1876298.002092297</v>
      </c>
      <c r="HM51" s="38"/>
      <c r="HN51" s="1">
        <f t="shared" si="40"/>
        <v>-161154.20747555629</v>
      </c>
      <c r="HO51" s="1">
        <f t="shared" si="8"/>
        <v>117314.14159454529</v>
      </c>
      <c r="HP51" s="1">
        <f t="shared" si="41"/>
        <v>-43840.065881011004</v>
      </c>
      <c r="HQ51" s="1">
        <f>IF(HP51 &lt; 0,
    IF(HQ50 + HP51 &gt; 0,
        HQ50 + HP51, IF(HV50-ABS(HQ50 + HP51)*(1+$V51) &gt;= HQ50 + HP51,
        0, HQ50 + HP51)),
    MIN(HQ50 + HP51, Analysis!$C$7))+IF(HQ50&lt;0, HQ50*Analysis!$C$9,0)</f>
        <v>0</v>
      </c>
      <c r="HR51" s="38"/>
      <c r="HS51" s="1">
        <f t="shared" si="54"/>
        <v>13899.988102997706</v>
      </c>
      <c r="HT51" s="1">
        <f>IF($B51=Analysis!$C$159,0,IF(HP51 &gt;= 0,
    MAX(0, HQ50 + HP51 - Analysis!$C$7),
    0))</f>
        <v>0</v>
      </c>
      <c r="HU51" s="1">
        <f>IF($B51=Analysis!$C$159,0,MAX(0, HU50 + HT51 - IF(HP51 &lt; 0, MIN(ABS(HP51), HU50 + HT51), 0)))</f>
        <v>352027.88054608856</v>
      </c>
      <c r="HV51" s="1">
        <f>IF($B51=Analysis!$C$159,0,IF(HP51 &lt; 0,
    IF(HP51 + HQ50 &lt; 0,
        MAX(0, HV50 - (ABS(HP51 + HQ50) * (1+$V50))),
        HV50 + HS51),
    HV50 + HT51 + HS51))</f>
        <v>653496.50999575795</v>
      </c>
      <c r="HW51" s="1">
        <f t="shared" si="58"/>
        <v>573984.15897840762</v>
      </c>
      <c r="HX51" s="36"/>
    </row>
    <row r="52" spans="1:232" x14ac:dyDescent="0.35">
      <c r="A52">
        <f t="shared" si="0"/>
        <v>85</v>
      </c>
      <c r="B52">
        <v>2075</v>
      </c>
      <c r="C52" s="1">
        <f>IF($B52&lt;Analysis!C$66,0,$AN52)+$AT52+$AW52+$BC52+$CF52+$CA52</f>
        <v>-6676803.9221550077</v>
      </c>
      <c r="D52" s="1">
        <f>IF($B52&lt;Analysis!C$66, 0, BV52)+AT52+AW52+BC52+CG52+CA52</f>
        <v>-7160259.4794812435</v>
      </c>
      <c r="E52" s="1">
        <f t="shared" si="1"/>
        <v>1236985.5720600046</v>
      </c>
      <c r="F52" s="1">
        <f t="shared" si="9"/>
        <v>991522.33520149114</v>
      </c>
      <c r="G52" s="1">
        <f>IF(AND($B52&gt;=Analysis!$C$100, $B52&lt;Analysis!$C$101),$CK52,0)+IF($B52&gt;=Analysis!$C$130,EB52,0)+CQ52+CT52+CZ52+EH52+EK52+EQ52+$FO52+$FT52</f>
        <v>2177351.0845115585</v>
      </c>
      <c r="H52" s="1">
        <f t="shared" si="10"/>
        <v>1802537.2254608809</v>
      </c>
      <c r="I52" s="1">
        <f>IF($B52&lt;Analysis!$C$159,0,$FW52)+$GC52+$GF52+$GL52+$HQ52+$HV52</f>
        <v>2808812.2271865574</v>
      </c>
      <c r="J52" s="1">
        <f t="shared" si="59"/>
        <v>2450264.4423955949</v>
      </c>
      <c r="K52" s="36"/>
      <c r="L52" s="1">
        <f t="shared" si="11"/>
        <v>48549.073047463513</v>
      </c>
      <c r="M52" s="1">
        <f>IF($B52=Analysis!$C$47, M51 * (1 - Analysis!$C$48),
    IF($B52=Analysis!$C$52, M51 * (1 - Analysis!$C$53),
    IF($B52=Analysis!$C$58, M51 * (1 - Analysis!$C$60),
    L52)))</f>
        <v>48549.073047463513</v>
      </c>
      <c r="N52" s="1">
        <f>Analysis!$C$3*12*(1+O52)+P52</f>
        <v>-48000</v>
      </c>
      <c r="O52" s="64">
        <f>IF(OR($B52=Analysis!$C$47,$B52=Analysis!$C$52,$B52=Analysis!$C$58),-Analysis!$C$49,0)</f>
        <v>0</v>
      </c>
      <c r="P52" s="1">
        <f>IF($B52&lt;Analysis!$C$47,0,IF($B52-Analysis!$C$47&lt;=3,Analysis!$C$40+Analysis!$C$44,IF($B52-Analysis!$C$47&lt;=10,Analysis!$C$41+Analysis!$C$44,IF($B52-Analysis!$C$47&lt;=18,Analysis!$C$42+Analysis!$C$44,IF($B52-Analysis!$C$47&lt;=25,Analysis!$C$43+Analysis!$C$44,0)))) + IF(AND($B52&gt;=Analysis!$C$52, $B52-Analysis!$C$52&lt;=3),Analysis!$C$40+Analysis!$C$44,IF(AND($B52&gt;=Analysis!$C$52, $B52-Analysis!$C$52&lt;=10),Analysis!$C$41+Analysis!$C$44,IF(AND($B52&gt;=Analysis!$C$52, $B52-Analysis!$C$52&lt;=18),Analysis!$C$42+Analysis!$C$44,IF(AND($B52&gt;=Analysis!$C$52, $B52-Analysis!$C$52&lt;=25),Analysis!$C$43+Analysis!$C$44,0)))) + Analysis!$C$57*IF(AND($B52&gt;=Analysis!$C$58, $B52-Analysis!$C$58&lt;=3),Analysis!$C$40+Analysis!$C$44,IF(AND($B52&gt;=Analysis!$C$58, $B52-Analysis!$C$58&lt;=10),Analysis!$C$41+Analysis!$C$44,IF(AND($B52&gt;=Analysis!$C$58, $B52-Analysis!$C$58&lt;=18),Analysis!$C$42+Analysis!$C$44,IF(AND($B52&gt;=Analysis!$C$58, $B52-Analysis!$C$58&lt;=25),Analysis!$C$43+Analysis!$C$44,0)))))</f>
        <v>0</v>
      </c>
      <c r="Q52" s="1">
        <f t="shared" si="43"/>
        <v>0</v>
      </c>
      <c r="R52" s="1">
        <f>IF(AND(AND(B52=Analysis!C$35,Analysis!C$34&lt;&gt;0),AND(B52=Analysis!C$37,Analysis!C$36&lt;&gt;0)),Analysis!C$34+Analysis!C$36,IF(AND(B52=Analysis!C$35,Analysis!C$34&lt;&gt;0),Analysis!C$34,IF(AND(B52=Analysis!C$37,Analysis!C$36&lt;&gt;0),Analysis!C$36,0)))</f>
        <v>0</v>
      </c>
      <c r="S52" s="64">
        <f t="shared" si="12"/>
        <v>0.02</v>
      </c>
      <c r="T52" s="64">
        <f>IF($B52&lt;Analysis!$C$13, ((1+IF($B52-$B$2&lt;10,Analysis!$C$11,IF($B52-$B$2&lt;20,(Analysis!$C$11+Analysis!$C$12)/2,Analysis!$C$12)))/(1+$S52)-1),IF($B52=Analysis!$C$13,-Analysis!$C$14,-$S52))</f>
        <v>-0.02</v>
      </c>
      <c r="U52" s="64">
        <f>IF($B52=$B$2,((1+Analysis!$C$16)/(1+$S52))-1,IF(B52&lt;Analysis!$C$13,U51-((Analysis!$C$16-Analysis!$C$17)/(Analysis!$C$13-$B$2)),((1+Analysis!$C$17)/(1+$S51))-1))</f>
        <v>1.9607843137254832E-2</v>
      </c>
      <c r="V52" s="64">
        <f t="shared" si="13"/>
        <v>0.26374999999999998</v>
      </c>
      <c r="W52" s="36"/>
      <c r="X52" s="1">
        <f t="shared" si="14"/>
        <v>-67485.666693523512</v>
      </c>
      <c r="Y52" s="64">
        <f t="shared" si="15"/>
        <v>2.941176470588247E-2</v>
      </c>
      <c r="Z52" s="1">
        <f t="shared" si="16"/>
        <v>-3960</v>
      </c>
      <c r="AA52" s="64">
        <f t="shared" si="17"/>
        <v>0</v>
      </c>
      <c r="AB52" s="40"/>
      <c r="AC52" s="1">
        <f t="shared" si="3"/>
        <v>-119445.66669352351</v>
      </c>
      <c r="AD52" s="1">
        <f t="shared" si="4"/>
        <v>48549.073047463513</v>
      </c>
      <c r="AE52" s="1">
        <f t="shared" si="18"/>
        <v>-70896.593646060006</v>
      </c>
      <c r="AF52" s="1">
        <f>IF(AE52 &lt; 0,
    IF(AF51 + AE52 &gt; 0,
        AF51 + AE52, IF(AK51-ABS(AF51 + AE52)*(1+$V52) &gt;= AF51 + AE52,
        0, AF51 + AE52)),
    MIN(AF51 + AE52, Analysis!$C$7))+IF(AF51&lt;0, AF51*Analysis!$C$9,0)</f>
        <v>0</v>
      </c>
      <c r="AG52" s="40"/>
      <c r="AH52" s="1">
        <f t="shared" si="19"/>
        <v>26011.394946670749</v>
      </c>
      <c r="AI52" s="1">
        <f>IF(AE52 &gt;= 0,
    MAX(0, AF51 + AE52 - Analysis!$C$7),
    0)</f>
        <v>0</v>
      </c>
      <c r="AJ52" s="1">
        <f t="shared" si="44"/>
        <v>306319.27117464528</v>
      </c>
      <c r="AK52" s="1">
        <f t="shared" si="20"/>
        <v>1236985.5720600046</v>
      </c>
      <c r="AL52" s="1">
        <f t="shared" si="5"/>
        <v>991522.33520149114</v>
      </c>
      <c r="AM52" s="36"/>
      <c r="AN52" s="1">
        <f t="shared" si="45"/>
        <v>3791808.2927547917</v>
      </c>
      <c r="AO52" s="64">
        <f t="shared" si="21"/>
        <v>2.941176470588247E-2</v>
      </c>
      <c r="AP52" s="1">
        <f>IF($B52=Analysis!$C$66,(AN52*(1+Analysis!$C$23+Analysis!$C$24+Analysis!$C$25))-IF($B52=$B$2,(Analysis!$C$6-Analysis!$C$7+Analysis!$C$68), ($CG51-Analysis!$C$7+AY52)),0)</f>
        <v>0</v>
      </c>
      <c r="AQ52" s="65">
        <f>IF($B52=Analysis!$C$66,NPER(AU52,-AX52,-AP52),0)</f>
        <v>0</v>
      </c>
      <c r="AR52" s="64">
        <f>IF($B52=Analysis!$C$66,Analysis!$C$73,0)</f>
        <v>0</v>
      </c>
      <c r="AS52" s="1">
        <f>IF($B52&lt;Analysis!$C$66,0,IF($B52=Analysis!$C$66,-AP52*AR52,IF(AX52&gt;=0,0,AX52-AV52)))</f>
        <v>0</v>
      </c>
      <c r="AT52" s="1">
        <f>IF($B52&lt;Analysis!$C$66,0,IF($B52=Analysis!$C$66,-AP52-AS52,MIN(0,AT51-AS52)))</f>
        <v>0</v>
      </c>
      <c r="AU52" s="64">
        <f>IF($B52&lt;Analysis!$C$66,0,IF($B52=Analysis!$C$66,Analysis!$C$72,IF(($B52-Analysis!$C$66)&lt;LOOKUP(Analysis!$C$66,$B:$B,AQ:AQ),AU51,0)))</f>
        <v>0</v>
      </c>
      <c r="AV52" s="1">
        <f>IF($B52&lt;Analysis!$C$66,0,IF($B52=Analysis!$C$66,-AU52*AP52,AU51*AT51))</f>
        <v>0</v>
      </c>
      <c r="AW52" s="1">
        <f>IF($B52&lt;Analysis!$C$66,0,IF($B52=Analysis!$C$66,PMT(AU52,AQ52,AP52)*AQ52-AX52-AT52,IF(($B52-Analysis!$C$66+1)&lt;LOOKUP(Analysis!$C$66,$B:$B,AQ:AQ),IF(AW51-AV52&lt;0, AW51-AV52,0),0)))</f>
        <v>0</v>
      </c>
      <c r="AX52" s="1">
        <f>IF($B52&lt;Analysis!$C$66,0,IF($B52=Analysis!$C$66,AS52+AV52,IF(AT51&lt;0,IF(AT51&gt;LOOKUP(Analysis!$C$66,$B:$B,AX:AX), AT51*(1+AU51),AX51),0)))</f>
        <v>0</v>
      </c>
      <c r="AY52" s="1">
        <f>IF($B52=Analysis!$C$66,Analysis!$C$68,0)</f>
        <v>0</v>
      </c>
      <c r="AZ52" s="1">
        <f>IF($B52=Analysis!$C$66,PMT(AU52,BA52,AY52)*BA52,0)</f>
        <v>0</v>
      </c>
      <c r="BA52" s="7">
        <f>IF($B52=Analysis!$C$66,Analysis!$C$70,0)</f>
        <v>0</v>
      </c>
      <c r="BB52" s="1">
        <f>IF($B52&lt;Analysis!$C$66,0,IF($B52=Analysis!$C$66,AZ52/BA52,IF(($B52-Analysis!$C$66)&lt;LOOKUP(Analysis!$C$66,$B:$B,BA:BA),BB51,0)))</f>
        <v>0</v>
      </c>
      <c r="BC52" s="1">
        <f>IF($B52&lt;Analysis!$C$66,0,IF($B52=Analysis!$C$66,BA52*BB52-BB52,IF(($B52-Analysis!$C$66)&lt;Analysis!$C$70,BC51-BB52,0)))</f>
        <v>0</v>
      </c>
      <c r="BD52" s="42"/>
      <c r="BE52" s="1">
        <f>IF($B52&lt;Analysis!$C$66,0,-BF52*AN52)</f>
        <v>-11375.424878264375</v>
      </c>
      <c r="BF52" s="64">
        <f>IF($B52&lt;Analysis!$C$66,0,Analysis!$C$78)</f>
        <v>3.0000000000000001E-3</v>
      </c>
      <c r="BG52" s="1">
        <f>IF($B52&lt;Analysis!$C$66,0,-BH52*AN52)</f>
        <v>-28438.562195660936</v>
      </c>
      <c r="BH52" s="64">
        <f>IF($B52&lt;Analysis!$C$66,0,Analysis!$C$79)</f>
        <v>7.4999999999999997E-3</v>
      </c>
      <c r="BI52" s="1">
        <f>IF($B52&lt;Analysis!$C$66,0,MIN(Analysis!$C$80*12,SUM(BJ52:BN52)))</f>
        <v>-3960</v>
      </c>
      <c r="BJ52" s="1">
        <f>IF($B52&lt;Analysis!$C$66,0,Analysis!$C$81*12)</f>
        <v>-900</v>
      </c>
      <c r="BK52" s="1">
        <f>IF($B52&lt;Analysis!$C$66,0,Analysis!$C$82*12)</f>
        <v>-1500</v>
      </c>
      <c r="BL52" s="1">
        <f>IF($B52&lt;Analysis!$C$66,0,Analysis!$C$83*12)</f>
        <v>-480</v>
      </c>
      <c r="BM52" s="1">
        <f>IF($B52&lt;Analysis!$C$66,0,Analysis!$C$84*12)</f>
        <v>-480</v>
      </c>
      <c r="BN52" s="1">
        <f>IF($B52&lt;Analysis!$C$66,0,Analysis!$C$85*12)</f>
        <v>-600</v>
      </c>
      <c r="BO52" s="1">
        <v>0</v>
      </c>
      <c r="BP52" s="1">
        <f>-BO52*Analysis!$C$28</f>
        <v>0</v>
      </c>
      <c r="BQ52" s="42"/>
      <c r="BR52" s="1">
        <f t="shared" si="22"/>
        <v>-483455.55732623592</v>
      </c>
      <c r="BS52" s="64">
        <f>IF($B52&lt;Analysis!C$66,0,Analysis!C$31)</f>
        <v>0.1275</v>
      </c>
      <c r="BT52" s="1">
        <f>IF($B52&lt;Analysis!$C$66,0,AN52+BR52)</f>
        <v>3308352.7354285559</v>
      </c>
      <c r="BU52" s="1">
        <f>IF($B52-Analysis!$C$66&gt;3,0,IF($AN52&gt;LOOKUP(Analysis!$C$66,$B:$B, AN:AN),$V52*(LOOKUP(Analysis!$C$66,$B:$B, AN:AN)-AN52),0))</f>
        <v>0</v>
      </c>
      <c r="BV52" s="1">
        <f t="shared" si="23"/>
        <v>3308352.7354285559</v>
      </c>
      <c r="BW52" s="42"/>
      <c r="BX52" s="1">
        <f>IF($B52&lt;Analysis!$C$66,$P52+$N52+$X52+$Z52,$P52+$N52+AS52+AV52+BB52+BE52+BG52+MAX(BI52,SUM(BJ52:BN52))+BP52)</f>
        <v>-91773.987073925309</v>
      </c>
      <c r="BY52" s="1">
        <f t="shared" si="24"/>
        <v>48549.073047463513</v>
      </c>
      <c r="BZ52" s="1">
        <f t="shared" si="46"/>
        <v>-43224.914026461796</v>
      </c>
      <c r="CA52" s="1">
        <f>IF(BZ52 &lt; 0,
    IF(CA51 + BZ52 &gt; 0,
        CA51 + BZ52, IF(CF51-ABS(CA51 + BZ52)*(1+$V52) &gt;= CA51 + BZ52,
        0, CA51 + BZ52)),
    MIN(CA51 + BZ52, Analysis!$C$7))+IF(CA51&lt;0, CA51*Analysis!$C$9,0)</f>
        <v>-10468612.214909799</v>
      </c>
      <c r="CB52" s="42"/>
      <c r="CC52" s="1">
        <f t="shared" si="47"/>
        <v>0</v>
      </c>
      <c r="CD52" s="1">
        <f>IF(BZ52 &gt;= 0,
    MAX(0, CA51 + BZ52 - Analysis!$C$7),
    0)</f>
        <v>0</v>
      </c>
      <c r="CE52" s="1">
        <f>IF($B52=Analysis!$C$66,0,MAX(0, CE51 + CD52 - IF(BZ52 &lt; 0, MIN(ABS(BZ52), CE51 + CD52), 0)))</f>
        <v>0</v>
      </c>
      <c r="CF52" s="1">
        <f>IF($B52=Analysis!$C$66,0,IF(BZ52 &lt; 0,
    IF(BZ52 + CA51 &lt; 0,
        MAX(0, CF51 - (ABS(BZ52 + CA51) * (1+$V51))),
        CF51 + CC52),
    CF51 + CD52 + CC52))</f>
        <v>0</v>
      </c>
      <c r="CG52" s="1">
        <f t="shared" si="25"/>
        <v>0</v>
      </c>
      <c r="CH52" s="36"/>
      <c r="CI52" s="1">
        <f>IF(OR($B52&lt;Analysis!$C$100, $B52&gt;=Analysis!$C$130),0,X52)</f>
        <v>0</v>
      </c>
      <c r="CJ52" s="1">
        <f>IF(OR($B52&lt;Analysis!$C$100, $B52&gt;=Analysis!$C$130),0,Z52)</f>
        <v>0</v>
      </c>
      <c r="CK52" s="1">
        <f t="shared" si="60"/>
        <v>2213734.3695678543</v>
      </c>
      <c r="CL52" s="64">
        <f t="shared" si="48"/>
        <v>2.941176470588247E-2</v>
      </c>
      <c r="CM52" s="1">
        <f>IF($B52=Analysis!$C$100,(CK52*(1+Analysis!$C$23+Analysis!$C$24+Analysis!$C$25))-IF($B52=$B$2,(Analysis!$C$6-Analysis!$C$7+Analysis!$C$105), (FU51-Analysis!$C$7+CV52)),0)</f>
        <v>0</v>
      </c>
      <c r="CN52" s="65">
        <f>IF($B52=Analysis!$C$100,NPER(CR52,-CU52,-CM52),0)</f>
        <v>0</v>
      </c>
      <c r="CO52" s="64">
        <f>IF($B52=Analysis!$C$100,Analysis!$C$103,0)</f>
        <v>0</v>
      </c>
      <c r="CP52" s="1">
        <f>IF(OR($B52&lt;Analysis!$C$100, $B52&gt;=Analysis!$C$101),0,IF($B52=Analysis!$C$100,-CM52*CO52,IF(CU52&gt;=0,0,CU52-CS52)))</f>
        <v>0</v>
      </c>
      <c r="CQ52" s="1">
        <f>IF(OR($B52&lt;Analysis!$C$100, $B52&gt;=Analysis!$C$101),0,IF($B52=Analysis!$C$100,-CM52-CP52,MIN(0,CQ51-CP52)))</f>
        <v>0</v>
      </c>
      <c r="CR52" s="64">
        <f>IF(OR($B52&lt;Analysis!$C$100, $B52&gt;=Analysis!$C$101),0,IF($B52=Analysis!$C$100,Analysis!$C$102,IF(($B52-Analysis!$C$100)&lt;LOOKUP(Analysis!$C$100,$B:$B,CN:CN),CR51,0)))</f>
        <v>0</v>
      </c>
      <c r="CS52" s="1">
        <f>IF(OR($B52&lt;Analysis!$C$100, $B52&gt;=Analysis!$C$101),0,IF($B52=Analysis!$C$100,-CR52*CM52,CR51*CQ51))</f>
        <v>0</v>
      </c>
      <c r="CT52" s="1">
        <f>IF(OR($B52&lt;Analysis!$C$100, $B52&gt;=Analysis!$C$101),0,IF($B52=Analysis!$C$100,PMT(CR52,CN52,CM52)*CN52-CU52-CQ52,IF(($B52-Analysis!$C$100+1)&lt;LOOKUP(Analysis!$C$100,$B:$B,CN:CN),IF(CT51-CS52&lt;0, CT51-CS52,0),0)))</f>
        <v>0</v>
      </c>
      <c r="CU52" s="1">
        <f>IF(OR($B52&lt;Analysis!$C$100, $B52&gt;=Analysis!$C$101),0,IF($B52=Analysis!$C$100,CP52+CS52,IF(CQ51&lt;0,IF(CQ51&gt;LOOKUP(Analysis!$C$100,$B:$B,CU:CU), CQ51*(1+CR51),CU51),0)))</f>
        <v>0</v>
      </c>
      <c r="CV52" s="1">
        <f>IF($B52=Analysis!$C$100,Analysis!$C$105,0)</f>
        <v>0</v>
      </c>
      <c r="CW52" s="1">
        <f>IF($B52=Analysis!$C$100,PMT(CR52,CX52,CV52)*CX52,0)</f>
        <v>0</v>
      </c>
      <c r="CX52" s="7">
        <f>IF($B52=Analysis!$C$100,Analysis!$C$107,0)</f>
        <v>0</v>
      </c>
      <c r="CY52" s="1">
        <f>IF(OR($B52&lt;Analysis!$C$100, $B52&gt;=Analysis!$C$101),0,IF($B52=Analysis!$C$100,CW52/CX52,IF(($B52-Analysis!$C$100)&lt;LOOKUP(Analysis!$C$100,$B:$B,CX:CX),CY51,0)))</f>
        <v>0</v>
      </c>
      <c r="CZ52" s="1">
        <f>IF(OR($B52&lt;Analysis!$C$100, $B52&gt;=Analysis!$C$101),0,IF($B52=Analysis!$C$100,CX52*CY52-CY52,IF(($B52-Analysis!$C$100)&lt;Analysis!$C$107,CZ51-CY52,0)))</f>
        <v>0</v>
      </c>
      <c r="DA52" s="53"/>
      <c r="DB52" s="1">
        <f>IF(OR($B52&lt;Analysis!$C$100, $B52&gt;=Analysis!$C$101),0,IF($B52=2025,(Analysis!$C$109*12),IF($B52=Analysis!$C$100,(Analysis!$C$109*12)*(1+DC52)^($B52-$B$2),DB51*(1+DC52))))</f>
        <v>0</v>
      </c>
      <c r="DC52" s="64">
        <f>IF(OR($B52&lt;Analysis!$C$100, $B52&gt;=Analysis!$C$101),0,((1+Analysis!$C$114)/(1+$S52))-1)</f>
        <v>0</v>
      </c>
      <c r="DD52" s="1">
        <f t="shared" si="6"/>
        <v>0</v>
      </c>
      <c r="DE52" s="1">
        <f t="shared" si="27"/>
        <v>0</v>
      </c>
      <c r="DF52" s="64">
        <f>IF(OR($B52&lt;Analysis!$C$100, $B52&gt;=Analysis!$C$101),0,Analysis!$C$118)</f>
        <v>0</v>
      </c>
      <c r="DG52" s="1">
        <f t="shared" si="28"/>
        <v>0</v>
      </c>
      <c r="DH52" s="64">
        <f>IF(OR($B52&lt;Analysis!$C$100, $B52&gt;=Analysis!$C$101),0,Analysis!$C$119)</f>
        <v>0</v>
      </c>
      <c r="DI52" s="1">
        <f>IF(OR($B52&lt;Analysis!$C$100, $B52&gt;=Analysis!$C$101),0,MIN(Analysis!$C$120*12,SUM(DJ52:DN52)))</f>
        <v>0</v>
      </c>
      <c r="DJ52" s="1">
        <f>IF(OR($B52&lt;Analysis!$C$100, $B52&gt;=Analysis!$C$101),0,Analysis!$C$121*12)</f>
        <v>0</v>
      </c>
      <c r="DK52" s="1">
        <f>IF(OR($B52&lt;Analysis!$C$100, $B52&gt;=Analysis!$C$101),0,Analysis!$C$122*12)</f>
        <v>0</v>
      </c>
      <c r="DL52" s="1">
        <f>IF(OR($B52&lt;Analysis!$C$100, $B52&gt;=Analysis!$C$101),0,Analysis!$C$123*12)</f>
        <v>0</v>
      </c>
      <c r="DM52" s="1">
        <f>IF(OR($B52&lt;Analysis!$C$100, $B52&gt;=Analysis!$C$101),0,Analysis!$C$124*12)</f>
        <v>0</v>
      </c>
      <c r="DN52" s="1">
        <f>IF(OR($B52&lt;Analysis!$C$100, $B52&gt;=Analysis!$C$101),0,Analysis!$C$125*12)</f>
        <v>0</v>
      </c>
      <c r="DO52" s="64">
        <f>IF(OR($B52&lt;Analysis!$C$100, $B52&gt;=Analysis!$C$101),0,Analysis!$C$113)</f>
        <v>0</v>
      </c>
      <c r="DP52" s="1">
        <f>-DO52*LOOKUP(Analysis!$C$100,$B:$B,CK:CK)</f>
        <v>0</v>
      </c>
      <c r="DQ52" s="1">
        <f>-Analysis!$C$117*DB52</f>
        <v>0</v>
      </c>
      <c r="DR52" s="1">
        <f t="shared" si="29"/>
        <v>0</v>
      </c>
      <c r="DS52" s="1">
        <f>MIN(0,-(DB52+DR52)*Analysis!$C$28)-CS52*Analysis!$C$28</f>
        <v>0</v>
      </c>
      <c r="DT52" s="1">
        <f>-Analysis!$C$116*DD52/12</f>
        <v>0</v>
      </c>
      <c r="DU52" s="53"/>
      <c r="DV52" s="1">
        <f t="shared" si="30"/>
        <v>0</v>
      </c>
      <c r="DW52" s="64">
        <f>IF(OR($B52&lt;Analysis!$C$100, $B52&gt;=Analysis!$C$101),0,IF($B52=Analysis!$C$100,Analysis!$C$31,DW51))</f>
        <v>0</v>
      </c>
      <c r="DX52" s="1">
        <f>IF(OR($B52&lt;Analysis!$C$100, $B52&gt;=Analysis!$C$101),0,CK52+DV52)</f>
        <v>0</v>
      </c>
      <c r="DY52" s="1">
        <f>IF(OR($B52&lt;Analysis!$C$100, $B52&gt;=Analysis!$C$101),0,IF($B52-Analysis!$C$100&gt;3,0,IF(CK52&gt;LOOKUP(Analysis!$C$100,$B:$B, CK:CK),$V52*(LOOKUP(Analysis!$C$100,$B:$B, CK:CK)-CK52),0)))</f>
        <v>0</v>
      </c>
      <c r="DZ52" s="1">
        <f t="shared" si="49"/>
        <v>0</v>
      </c>
      <c r="EA52" s="53"/>
      <c r="EB52" s="1">
        <f t="shared" si="31"/>
        <v>2939716.541573944</v>
      </c>
      <c r="EC52" s="64">
        <f t="shared" si="50"/>
        <v>2.941176470588247E-2</v>
      </c>
      <c r="ED52" s="1">
        <f>IF($B52=Analysis!$C$130,(EB52*(1+Analysis!$C$23+Analysis!$C$24+Analysis!$C$25))-(IF($B52=$B$2,(Analysis!$C$6-Analysis!$C$7+Analysis!$C$132), (FU51-Analysis!$C$7+EM52)) + IF($B52=Analysis!$C$101,DZ51+CQ51+CT51+CZ51,0)),0)</f>
        <v>0</v>
      </c>
      <c r="EE52" s="65">
        <f>IF($B52=Analysis!$C$130,IF(ED52&gt;0,NPER(EI52,-EL52,-ED52),0),0)</f>
        <v>0</v>
      </c>
      <c r="EF52" s="64">
        <f>IF($B52=Analysis!$C$130,Analysis!$C$137,0)</f>
        <v>0</v>
      </c>
      <c r="EG52" s="1">
        <f>IF($B52&lt;Analysis!$C$130,0,IF($B52=Analysis!$C$130,-ED52*EF52,IF(EL52&gt;=0,0,EL52-EJ52)))</f>
        <v>0</v>
      </c>
      <c r="EH52" s="1">
        <f>IF($B52&lt;Analysis!$C$130,0,IF($B52=Analysis!$C$130,-ED52-EG52,MIN(0,EH51-EG52)))</f>
        <v>0</v>
      </c>
      <c r="EI52" s="64">
        <f>IF($B52&lt;Analysis!$C$130,0,IF($B52=Analysis!$C$130,Analysis!$C$136,IF(($B52-Analysis!$C$130)&lt;LOOKUP(Analysis!$C$130,$B:$B,EE:EE),EI51,0)))</f>
        <v>0</v>
      </c>
      <c r="EJ52" s="1">
        <f>IF($B52&lt;Analysis!$C$130,0,IF($B52=Analysis!$C$130,-EI52*ED52,EI51*EH51))</f>
        <v>0</v>
      </c>
      <c r="EK52" s="1">
        <f>IF(OR($B52&lt;Analysis!$C$130, ED52=0),0,IF($B52=Analysis!$C$130,PMT(EI52,EE52,ED52)*EE52-EL52-EH52,IF(($B52-Analysis!$C$130+1)&lt;LOOKUP(Analysis!$C$130,$B:$B,EE:EE),IF(EK51-EJ52&lt;0, EK51-EJ52,0),0)))</f>
        <v>0</v>
      </c>
      <c r="EL52" s="1">
        <f>IF($B52&lt;Analysis!$C$130,0,IF($B52=Analysis!$C$130,EG52+EJ52,IF(EH51&lt;0,IF(EH51&gt;LOOKUP(Analysis!$C$130,$B:$B,EL:EL), EH51*(1+EI51),EL51),0)))</f>
        <v>0</v>
      </c>
      <c r="EM52" s="1">
        <f>IF($B52=Analysis!$C$130,Analysis!$C$132,0)</f>
        <v>0</v>
      </c>
      <c r="EN52" s="1">
        <f>IF($B52=Analysis!$C$130,PMT(EI52,EO52,EM52)*EO52,0)</f>
        <v>0</v>
      </c>
      <c r="EO52" s="7">
        <f>IF($B52=Analysis!$C$130,Analysis!$C$134,0)</f>
        <v>0</v>
      </c>
      <c r="EP52" s="1">
        <f>IF($B52&lt;Analysis!$C$130,0,IF($B52=Analysis!$C$130,EN52/EO52,IF(($B52-Analysis!$C$130)&lt;LOOKUP(Analysis!$C$130,$B:$B,EO:EO),EP51,0)))</f>
        <v>0</v>
      </c>
      <c r="EQ52" s="1">
        <f>IF($B52&lt;Analysis!$C$130,0,IF($B52=Analysis!$C$130,EO52*EP52-EP52,IF(($B52-Analysis!$C$130)&lt;Analysis!$C$134,EQ51-EP52,0)))</f>
        <v>0</v>
      </c>
      <c r="ER52" s="53"/>
      <c r="ES52" s="1">
        <f>IF($B52&lt;Analysis!$C$130,0,-ET52*EB52)</f>
        <v>-8819.1496247218329</v>
      </c>
      <c r="ET52" s="64">
        <f>IF($B52&lt;Analysis!$C$130,0,Analysis!$C$142)</f>
        <v>3.0000000000000001E-3</v>
      </c>
      <c r="EU52" s="1">
        <f>IF($B52&lt;Analysis!$C$130,0,-EV52*EB52)</f>
        <v>-29397.165415739441</v>
      </c>
      <c r="EV52" s="64">
        <f>IF($B52&lt;Analysis!$C$130,0,Analysis!$C$143)</f>
        <v>0.01</v>
      </c>
      <c r="EW52" s="1">
        <f>IF($B52&lt;Analysis!$C$130,0,MIN(Analysis!$C$144*12,SUM(EX52:FB52)))</f>
        <v>-3960</v>
      </c>
      <c r="EX52" s="1">
        <f>IF($B52&lt;Analysis!$C$130,0,Analysis!$C$145*12)</f>
        <v>-900</v>
      </c>
      <c r="EY52" s="1">
        <f>IF($B52&lt;Analysis!$C$130,0,Analysis!$C$146*12)</f>
        <v>-1500</v>
      </c>
      <c r="EZ52" s="1">
        <f>IF($B52&lt;Analysis!$C$130,0,Analysis!$C$147*12)</f>
        <v>-480</v>
      </c>
      <c r="FA52" s="1">
        <f>IF($B52&lt;Analysis!$C$130,0,Analysis!$C$148*12)</f>
        <v>-480</v>
      </c>
      <c r="FB52" s="1">
        <f>IF($B52&lt;Analysis!$C$130,0,Analysis!$C$149*12)</f>
        <v>-600</v>
      </c>
      <c r="FC52" s="1">
        <v>0</v>
      </c>
      <c r="FD52" s="1">
        <f>-FC52*Analysis!$C$28</f>
        <v>0</v>
      </c>
      <c r="FE52" s="53"/>
      <c r="FF52" s="1">
        <f t="shared" si="32"/>
        <v>-374813.85905067786</v>
      </c>
      <c r="FG52" s="64">
        <f>IF($B52&lt;Analysis!$C$130,0,Analysis!$C$31)</f>
        <v>0.1275</v>
      </c>
      <c r="FH52" s="1">
        <f>IF($B52&lt;Analysis!$C$130,0,EB52+FF52)</f>
        <v>2564902.6825232664</v>
      </c>
      <c r="FI52" s="1">
        <f>IF($B52-Analysis!$C$130&gt;3,0,IF(EB52&gt;LOOKUP(Analysis!$C$130,$B:$B, EB:EB),$V52*(LOOKUP(Analysis!$C$130,$B:$B, EB:EB)-EB52),0))</f>
        <v>0</v>
      </c>
      <c r="FJ52" s="1">
        <f t="shared" si="33"/>
        <v>2564902.6825232664</v>
      </c>
      <c r="FK52" s="53"/>
      <c r="FL52" s="1">
        <f>$P52+$N52+IF($B52&lt;Analysis!$C$130,$X52+$Z52,0)+CP52+CS52+CY52+DE52+DG52+MIN(DI52,SUM(DJ52:DN52))+DQ52+DS52+DT52+EG52+EJ52+EP52+ES52+EU52+MIN(EW52,SUM(EX52:FB52))+FD52</f>
        <v>-90176.315040461268</v>
      </c>
      <c r="FM52" s="1">
        <f>$M52+$R52+DD52+IF(AND($B52&lt;&gt;Analysis!$C$130,$B52=Analysis!$C$101),DZ51+CQ51+CT51+CZ51,0)</f>
        <v>48549.073047463513</v>
      </c>
      <c r="FN52" s="1">
        <f t="shared" si="34"/>
        <v>-41627.241992997755</v>
      </c>
      <c r="FO52" s="1">
        <f>IF(FN52 &lt; 0,
    IF(FO51 + FN52 &gt; 0,
        FO51 + FN52, IF(FT51-ABS(FO51 + FN52)*(1+$V52) &gt;= FO51 + FN52,
        0, FO51 + FN52)),
    MIN(FO51 + FN52, Analysis!$C$7))+IF(FO51&lt;0, FO51*Analysis!$C$9,0)</f>
        <v>-762365.45706238551</v>
      </c>
      <c r="FP52" s="53"/>
      <c r="FQ52" s="1">
        <f t="shared" si="51"/>
        <v>0</v>
      </c>
      <c r="FR52" s="1">
        <f>IF(OR($B52=Analysis!$C$100, $B52=Analysis!$C$130),0,IF(FN52 &gt;= 0,
    MAX(0, FO51 + FN52 - Analysis!$C$7),
    0))</f>
        <v>0</v>
      </c>
      <c r="FS52" s="1">
        <f>IF(OR($B52=Analysis!$C$100, $B52=Analysis!$C$130),0,MAX(0, FS51 + FR52 - IF(FN52 &lt; 0, MIN(ABS(FN52), FS51 + FR52), 0)))</f>
        <v>0</v>
      </c>
      <c r="FT52" s="1">
        <f>IF(OR($B52=Analysis!$C$100, $B52=Analysis!$C$130),0,IF(FN52 &lt; 0,
    IF(FN52 + FO51 &lt; 0,
        MAX(0, FT51 - (ABS(FN52 + FO51) * (1+$V51))),
        FT51 + FQ52),
    FT51 + FR52 + FQ52))</f>
        <v>0</v>
      </c>
      <c r="FU52" s="1">
        <f t="shared" si="57"/>
        <v>0</v>
      </c>
      <c r="FV52" s="36"/>
      <c r="FW52" s="1">
        <f t="shared" si="52"/>
        <v>2213734.3695678543</v>
      </c>
      <c r="FX52" s="64">
        <f t="shared" si="53"/>
        <v>2.941176470588247E-2</v>
      </c>
      <c r="FY52" s="1">
        <f>IF($B52=Analysis!$C$159,(FW52*(1+Analysis!$C$23+Analysis!$C$24+Analysis!$C$25))-IF($B52=$B$2,(Analysis!$C$6-Analysis!$C$7+Analysis!$C$165), (HW51-Analysis!$C$7+GH52)),0)</f>
        <v>0</v>
      </c>
      <c r="FZ52" s="65">
        <f>IF($B52=Analysis!$C$159,NPER(GD52,-GG52,-FY52),0)</f>
        <v>0</v>
      </c>
      <c r="GA52" s="64">
        <f>IF($B52=Analysis!$C$159,Analysis!$C$161,0)</f>
        <v>0</v>
      </c>
      <c r="GB52" s="1">
        <f>IF($B52&lt;Analysis!$C$159,0,IF($B52=Analysis!$C$159,-FY52*GA52,IF(GG52&gt;=0,0,GG52-GE52)))</f>
        <v>0</v>
      </c>
      <c r="GC52" s="1">
        <f>IF($B52&lt;Analysis!$C$159,0,IF($B52=Analysis!$C$159,-FY52-GB52,MIN(0,GC51-GB52)))</f>
        <v>0</v>
      </c>
      <c r="GD52" s="64">
        <f>IF($B52&lt;Analysis!$C$159,0,IF($B52=Analysis!$C$159,Analysis!$C$160,IF(($B52-Analysis!$C$159)&lt;LOOKUP(Analysis!$C$159,$B:$B,FZ:FZ),GD51,0)))</f>
        <v>0</v>
      </c>
      <c r="GE52" s="1">
        <f>IF($B52&lt;Analysis!$C$159,0,IF($B52=Analysis!$C$159,-GD52*FY52,GD51*GC51))</f>
        <v>0</v>
      </c>
      <c r="GF52" s="1">
        <f>IF($B52&lt;Analysis!$C$159,0,IF($B52=Analysis!$C$159,PMT(GD52,FZ52,FY52)*FZ52-GG52-GC52,IF(($B52-Analysis!$C$159+1)&lt;LOOKUP(Analysis!$C$159,$B:$B,FZ:FZ),IF(GF51-GE52&lt;0, GF51-GE52,0),0)))</f>
        <v>0</v>
      </c>
      <c r="GG52" s="1">
        <f>IF($B52&lt;Analysis!$C$159,0,IF($B52=Analysis!$C$159,GB52+GE52,IF(GC51&lt;0,IF(GC51&gt;LOOKUP(Analysis!$C$159,$B:$B,GG:GG), GC51*(1+GD51),GG51),0)))</f>
        <v>0</v>
      </c>
      <c r="GH52" s="1">
        <f>IF($B52=Analysis!$C$159,Analysis!$C$165,0)</f>
        <v>0</v>
      </c>
      <c r="GI52" s="1">
        <f>IF($B52=Analysis!$C$159,PMT(GD52,GJ52,GH52)*GJ52,0)</f>
        <v>0</v>
      </c>
      <c r="GJ52" s="7">
        <f>IF($B52=Analysis!$C$159,Analysis!$C$167,0)</f>
        <v>0</v>
      </c>
      <c r="GK52" s="1">
        <f>IF($B52&lt;Analysis!$C$159,0,IF($B52=Analysis!$C$159,GI52/GJ52,IF(($B52-Analysis!$C$159)&lt;LOOKUP(Analysis!$C$159,$B:$B,GJ:GJ),GK51,0)))</f>
        <v>0</v>
      </c>
      <c r="GL52" s="1">
        <f>IF($B52&lt;Analysis!$C$159,0,IF($B52=Analysis!$C$159,GJ52*GK52-GK52,IF(($B52-Analysis!$C$159)&lt;Analysis!$C$167,GL51-GK52,0)))</f>
        <v>0</v>
      </c>
      <c r="GM52" s="38"/>
      <c r="GN52" s="1">
        <f>IF($B52&lt;Analysis!$C$159,0,IF($B52=2025,(Analysis!$C$109*12),IF($B52=Analysis!$C$159,(Analysis!$C$109*12)*(1+GO52)^($B52-$B$2),GN51*(1+GO52))))</f>
        <v>59049.958356833078</v>
      </c>
      <c r="GO52" s="64">
        <f>IF($B52&lt;Analysis!$C$159,0,((1+Analysis!$C$174)/(1+$S52))-1)</f>
        <v>2.941176470588247E-2</v>
      </c>
      <c r="GP52" s="1">
        <f t="shared" si="7"/>
        <v>69651.161465536643</v>
      </c>
      <c r="GQ52" s="1">
        <f t="shared" si="36"/>
        <v>-6641.203108703563</v>
      </c>
      <c r="GR52" s="64">
        <f>IF($B52&lt;Analysis!$C$159,0,Analysis!$C$178)</f>
        <v>3.0000000000000001E-3</v>
      </c>
      <c r="GS52" s="1">
        <f t="shared" si="37"/>
        <v>-16603.007771758908</v>
      </c>
      <c r="GT52" s="64">
        <f>IF($B52&lt;Analysis!$C$159,0,Analysis!$C$179)</f>
        <v>7.4999999999999997E-3</v>
      </c>
      <c r="GU52" s="1">
        <f>IF($B52&lt;Analysis!$C$159,0,MIN(Analysis!$C$180*12,SUM(GV52:GZ52)))</f>
        <v>-3960</v>
      </c>
      <c r="GV52" s="1">
        <f>IF($B52&lt;Analysis!$C$159,0,Analysis!$C$181*12)</f>
        <v>-900</v>
      </c>
      <c r="GW52" s="1">
        <f>IF($B52&lt;Analysis!$C$159,0,Analysis!$C$182*12)</f>
        <v>-1500</v>
      </c>
      <c r="GX52" s="1">
        <f>IF($B52&lt;Analysis!$C$159,0,Analysis!$C$183*12)</f>
        <v>-480</v>
      </c>
      <c r="GY52" s="1">
        <f>IF($B52&lt;Analysis!$C$159,0,Analysis!$C$184*12)</f>
        <v>-480</v>
      </c>
      <c r="GZ52" s="1">
        <f>IF($B52&lt;Analysis!$C$159,0,Analysis!$C$185*12)</f>
        <v>-600</v>
      </c>
      <c r="HA52" s="64">
        <f>IF($B52&lt;Analysis!$C$159,0,Analysis!$C$173)</f>
        <v>0.02</v>
      </c>
      <c r="HB52" s="1">
        <f>-HA52*LOOKUP(Analysis!$C$159,$B:$B,FW:FW)</f>
        <v>-10392</v>
      </c>
      <c r="HC52" s="1">
        <f>-Analysis!$C$177*GN52</f>
        <v>-4428.7468767624805</v>
      </c>
      <c r="HD52" s="1">
        <f t="shared" si="38"/>
        <v>-42024.957757224955</v>
      </c>
      <c r="HE52" s="1">
        <f>MIN(0,-(GN52+HD52)*Analysis!$C$28)-GE52*Analysis!$C$28</f>
        <v>-7543.7777656863582</v>
      </c>
      <c r="HF52" s="1">
        <f>-Analysis!$C$176*GP52/12</f>
        <v>-5804.2634554613869</v>
      </c>
      <c r="HG52" s="38"/>
      <c r="HH52" s="1">
        <f>IF($B52&lt;Analysis!$C$159,0,-$HI52*$FW52)</f>
        <v>-282251.13211990142</v>
      </c>
      <c r="HI52" s="64">
        <f>IF($B52&lt;Analysis!$C$159,0,IF($B52=Analysis!$C$159,Analysis!$C$31,HI51))</f>
        <v>0.1275</v>
      </c>
      <c r="HJ52" s="1">
        <f>IF($B52&lt;Analysis!$C$159,0,$FW52+HH52)</f>
        <v>1931483.2374479529</v>
      </c>
      <c r="HK52" s="1">
        <f>IF($B52-Analysis!$C$159&gt;10,0,IF($FW52&gt;LOOKUP(Analysis!$C$159,$B:$B, FW:FW),$V52*(LOOKUP(Analysis!$C$159,$B:$B, FW:FW)-FW52),0))</f>
        <v>0</v>
      </c>
      <c r="HL52" s="1">
        <f t="shared" si="39"/>
        <v>1931483.2374479529</v>
      </c>
      <c r="HM52" s="38"/>
      <c r="HN52" s="1">
        <f t="shared" si="40"/>
        <v>-164426.66567189622</v>
      </c>
      <c r="HO52" s="1">
        <f t="shared" si="8"/>
        <v>118200.23451300015</v>
      </c>
      <c r="HP52" s="1">
        <f t="shared" si="41"/>
        <v>-46226.43115889607</v>
      </c>
      <c r="HQ52" s="1">
        <f>IF(HP52 &lt; 0,
    IF(HQ51 + HP52 &gt; 0,
        HQ51 + HP52, IF(HV51-ABS(HQ51 + HP52)*(1+$V52) &gt;= HQ51 + HP52,
        0, HQ51 + HP52)),
    MIN(HQ51 + HP52, Analysis!$C$7))+IF(HQ51&lt;0, HQ51*Analysis!$C$9,0)</f>
        <v>0</v>
      </c>
      <c r="HR52" s="38"/>
      <c r="HS52" s="1">
        <f t="shared" si="54"/>
        <v>12813.657058740306</v>
      </c>
      <c r="HT52" s="1">
        <f>IF($B52=Analysis!$C$159,0,IF(HP52 &gt;= 0,
    MAX(0, HQ51 + HP52 - Analysis!$C$7),
    0))</f>
        <v>0</v>
      </c>
      <c r="HU52" s="1">
        <f>IF($B52=Analysis!$C$159,0,MAX(0, HU51 + HT52 - IF(HP52 &lt; 0, MIN(ABS(HP52), HU51 + HT52), 0)))</f>
        <v>305801.44938719249</v>
      </c>
      <c r="HV52" s="1">
        <f>IF($B52=Analysis!$C$159,0,IF(HP52 &lt; 0,
    IF(HP52 + HQ51 &lt; 0,
        MAX(0, HV51 - (ABS(HP52 + HQ51) * (1+$V51))),
        HV51 + HS52),
    HV51 + HT52 + HS52))</f>
        <v>595077.85761870304</v>
      </c>
      <c r="HW52" s="1">
        <f t="shared" si="58"/>
        <v>518781.20494764217</v>
      </c>
      <c r="HX52" s="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Analysis</vt:lpstr>
      <vt:lpstr>base scenario</vt:lpstr>
      <vt:lpstr>low return</vt:lpstr>
      <vt:lpstr>high return</vt:lpstr>
      <vt:lpstr>low property growth</vt:lpstr>
      <vt:lpstr>high property growth</vt:lpstr>
      <vt:lpstr>low interest rate</vt:lpstr>
      <vt:lpstr>high interest rate</vt:lpstr>
      <vt:lpstr>low property value</vt:lpstr>
      <vt:lpstr>high property 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Vieira e Vieira</dc:creator>
  <cp:lastModifiedBy>Carlos Vieira e Vieira</cp:lastModifiedBy>
  <dcterms:created xsi:type="dcterms:W3CDTF">2024-10-05T18:57:20Z</dcterms:created>
  <dcterms:modified xsi:type="dcterms:W3CDTF">2024-12-15T00:04:16Z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c76c141-ac86-40e5-abf2-c6f60e474cee_Enabled">
    <vt:lpwstr>true</vt:lpwstr>
  </property>
  <property fmtid="{D5CDD505-2E9C-101B-9397-08002B2CF9AE}" pid="3" name="MSIP_Label_2c76c141-ac86-40e5-abf2-c6f60e474cee_SetDate">
    <vt:lpwstr>2024-10-12T08:45:40Z</vt:lpwstr>
  </property>
  <property fmtid="{D5CDD505-2E9C-101B-9397-08002B2CF9AE}" pid="4" name="MSIP_Label_2c76c141-ac86-40e5-abf2-c6f60e474cee_Method">
    <vt:lpwstr>Standard</vt:lpwstr>
  </property>
  <property fmtid="{D5CDD505-2E9C-101B-9397-08002B2CF9AE}" pid="5" name="MSIP_Label_2c76c141-ac86-40e5-abf2-c6f60e474cee_Name">
    <vt:lpwstr>2c76c141-ac86-40e5-abf2-c6f60e474cee</vt:lpwstr>
  </property>
  <property fmtid="{D5CDD505-2E9C-101B-9397-08002B2CF9AE}" pid="6" name="MSIP_Label_2c76c141-ac86-40e5-abf2-c6f60e474cee_SiteId">
    <vt:lpwstr>fcb2b37b-5da0-466b-9b83-0014b67a7c78</vt:lpwstr>
  </property>
  <property fmtid="{D5CDD505-2E9C-101B-9397-08002B2CF9AE}" pid="7" name="MSIP_Label_2c76c141-ac86-40e5-abf2-c6f60e474cee_ActionId">
    <vt:lpwstr>887e32be-ec2b-4b1f-a798-f5b9815a916b</vt:lpwstr>
  </property>
  <property fmtid="{D5CDD505-2E9C-101B-9397-08002B2CF9AE}" pid="8" name="MSIP_Label_2c76c141-ac86-40e5-abf2-c6f60e474cee_ContentBits">
    <vt:lpwstr>2</vt:lpwstr>
  </property>
</Properties>
</file>